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eer.raj\Desktop\"/>
    </mc:Choice>
  </mc:AlternateContent>
  <bookViews>
    <workbookView xWindow="-120" yWindow="-120" windowWidth="20730" windowHeight="11160" tabRatio="921"/>
  </bookViews>
  <sheets>
    <sheet name="NAV 22.07.2022" sheetId="40" r:id="rId1"/>
    <sheet name="comparison" sheetId="20" r:id="rId2"/>
    <sheet name="Capital Growth Fund" sheetId="55" state="hidden" r:id="rId3"/>
    <sheet name="Equity - CIAP MA" sheetId="56" r:id="rId4"/>
    <sheet name="Equity Portfolio Movement" sheetId="65" r:id="rId5"/>
    <sheet name="Daily Trade Summary" sheetId="41" r:id="rId6"/>
    <sheet name="YTD Purchases" sheetId="37" r:id="rId7"/>
    <sheet name="YTD Sales" sheetId="46" r:id="rId8"/>
    <sheet name="Brokerage" sheetId="62" r:id="rId9"/>
    <sheet name="TDR accrual " sheetId="47" r:id="rId10"/>
    <sheet name="PIB Sold" sheetId="45" state="hidden" r:id="rId11"/>
    <sheet name="DPA - HBL" sheetId="64" r:id="rId12"/>
    <sheet name="PIB" sheetId="59" r:id="rId13"/>
    <sheet name="PIB Accrual And Income" sheetId="60" r:id="rId14"/>
    <sheet name="PIB Ammortization" sheetId="61" r:id="rId15"/>
    <sheet name="T-Bills" sheetId="33" r:id="rId16"/>
    <sheet name="T-Bills Amortization " sheetId="34" r:id="rId17"/>
    <sheet name="TFCs -Market Value " sheetId="48" state="hidden" r:id="rId18"/>
    <sheet name="TFCs -Accrued Income" sheetId="49" state="hidden" r:id="rId19"/>
    <sheet name="NCCPL Charges" sheetId="66" r:id="rId20"/>
    <sheet name="NCCPL Working" sheetId="68" r:id="rId21"/>
    <sheet name="Dividend" sheetId="43" r:id="rId22"/>
    <sheet name="Bonus" sheetId="44" r:id="rId23"/>
    <sheet name="PKRV" sheetId="2" r:id="rId24"/>
    <sheet name="Rates" sheetId="36" r:id="rId25"/>
    <sheet name="TDR - NBP - 22-Apr-21" sheetId="69" state="hidden" r:id="rId26"/>
    <sheet name="MONTHLY CDC CHARGES" sheetId="70" r:id="rId27"/>
    <sheet name="MONTHLY BANK CHARGES" sheetId="71" r:id="rId28"/>
    <sheet name="Soneri - 08Jan21-TFC" sheetId="67" state="hidden" r:id="rId29"/>
    <sheet name="Right Shares - Mughal" sheetId="51" state="hidden" r:id="rId30"/>
    <sheet name="Right Shares - ICL" sheetId="50" state="hidden" r:id="rId31"/>
    <sheet name="Right Shares - HASCOL" sheetId="53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_FilterDatabase" localSheetId="8" hidden="1">Brokerage!$B$4:$AH$370</definedName>
    <definedName name="_xlnm._FilterDatabase" localSheetId="5" hidden="1">'Daily Trade Summary'!#REF!</definedName>
    <definedName name="_xlnm._FilterDatabase" localSheetId="21" hidden="1">Dividend!$A$5:$IN$6</definedName>
    <definedName name="_xlnm._FilterDatabase" localSheetId="12" hidden="1">PIB!$A$10:$AE$17</definedName>
    <definedName name="_xlnm._FilterDatabase" localSheetId="14" hidden="1">'PIB Ammortization'!$A$7:$V$8</definedName>
    <definedName name="_xlnm._FilterDatabase" localSheetId="10" hidden="1">'PIB Sold'!$A$10:$AC$19</definedName>
    <definedName name="_xlnm._FilterDatabase" localSheetId="24" hidden="1">Rates!$A$1:$A$539</definedName>
    <definedName name="_xlnm._FilterDatabase" localSheetId="31" hidden="1">'Right Shares - HASCOL'!$A$5:$Q$28</definedName>
    <definedName name="_xlnm._FilterDatabase" localSheetId="30" hidden="1">'Right Shares - ICL'!$A$5:$R$25</definedName>
    <definedName name="_xlnm._FilterDatabase" localSheetId="29" hidden="1">'Right Shares - Mughal'!$A$5:$R$25</definedName>
    <definedName name="_xlnm._FilterDatabase" localSheetId="15" hidden="1">'T-Bills'!$A$11:$AE$24</definedName>
    <definedName name="_xlnm._FilterDatabase" localSheetId="16" hidden="1">'T-Bills Amortization '!$A$9:$N$91</definedName>
    <definedName name="_xlnm._FilterDatabase" localSheetId="9" hidden="1">'TDR accrual '!$A$6:$M$20</definedName>
    <definedName name="_xlnm._FilterDatabase" localSheetId="6" hidden="1">'YTD Purchases'!$B$8:$I$1306</definedName>
    <definedName name="_xlnm._FilterDatabase" localSheetId="7" hidden="1">'YTD Sales'!$8:$135</definedName>
    <definedName name="a" localSheetId="28" hidden="1">{"'CALL MONEY'!$K$53"}</definedName>
    <definedName name="a" localSheetId="25" hidden="1">{"'CALL MONEY'!$K$53"}</definedName>
    <definedName name="a" hidden="1">{"'CALL MONEY'!$K$53"}</definedName>
    <definedName name="B" localSheetId="8">#REF!</definedName>
    <definedName name="B" localSheetId="3">#REF!</definedName>
    <definedName name="B" localSheetId="28">#REF!</definedName>
    <definedName name="B" localSheetId="25">#REF!</definedName>
    <definedName name="B">#REF!</definedName>
    <definedName name="HTML_CodePage" hidden="1">1252</definedName>
    <definedName name="HTML_Control" localSheetId="8" hidden="1">{"'CALL MONEY'!$K$53"}</definedName>
    <definedName name="HTML_Control" localSheetId="11" hidden="1">{"'CALL MONEY'!$K$53"}</definedName>
    <definedName name="HTML_Control" localSheetId="3" hidden="1">{"'CALL MONEY'!$K$53"}</definedName>
    <definedName name="HTML_Control" localSheetId="28" hidden="1">{"'CALL MONEY'!$K$53"}</definedName>
    <definedName name="HTML_Control" localSheetId="25" hidden="1">{"'CALL MONEY'!$K$53"}</definedName>
    <definedName name="HTML_Control" hidden="1">{"'CALL MONEY'!$K$53"}</definedName>
    <definedName name="HTML_Description" hidden="1">""</definedName>
    <definedName name="HTML_Email" hidden="1">""</definedName>
    <definedName name="HTML_Header" hidden="1">"CALL MONEY"</definedName>
    <definedName name="HTML_LastUpdate" hidden="1">"27/11/02"</definedName>
    <definedName name="HTML_LineAfter" hidden="1">FALSE</definedName>
    <definedName name="HTML_LineBefore" hidden="1">FALSE</definedName>
    <definedName name="HTML_Name" hidden="1">"Sana"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"HOLDING 27-11-2002"</definedName>
    <definedName name="PRICING" localSheetId="8">[1]Sheet1!$I$25:$J$6600</definedName>
    <definedName name="PRICING" localSheetId="2">[2]Sheet1!$I$25:$J$6600</definedName>
    <definedName name="PRICING" localSheetId="3">[2]Sheet1!$I$25:$J$6600</definedName>
    <definedName name="PRICING" localSheetId="28">[3]Sheet1!$I$25:$J$6600</definedName>
    <definedName name="PRICING" localSheetId="25">[3]Sheet1!$I$25:$J$6600</definedName>
    <definedName name="PRICING">[2]Sheet1!$I$25:$J$6600</definedName>
    <definedName name="_xlnm.Print_Area" localSheetId="22">Bonus!$A$1:$O$24</definedName>
    <definedName name="_xlnm.Print_Area" localSheetId="2">'Capital Growth Fund'!$A$1:$P$86</definedName>
    <definedName name="_xlnm.Print_Area" localSheetId="1">comparison!$A$1:$H$58</definedName>
    <definedName name="_xlnm.Print_Area" localSheetId="5">'Daily Trade Summary'!$B$1:$G$33</definedName>
    <definedName name="_xlnm.Print_Area" localSheetId="21">Dividend!$A$1:$O$41</definedName>
    <definedName name="_xlnm.Print_Area" localSheetId="3">'Equity - CIAP MA'!$A$1:$P$150</definedName>
    <definedName name="_xlnm.Print_Area" localSheetId="0">'NAV 22.07.2022'!$A$1:$I$90</definedName>
    <definedName name="_xlnm.Print_Area" localSheetId="12">PIB!$A$1:$Z$18</definedName>
    <definedName name="_xlnm.Print_Area" localSheetId="13">'PIB Accrual And Income'!$A$1:$P$16</definedName>
    <definedName name="_xlnm.Print_Area" localSheetId="14">'PIB Ammortization'!$A$1:$V$14</definedName>
    <definedName name="_xlnm.Print_Area" localSheetId="10">'PIB Sold'!$A$1:$U$24</definedName>
    <definedName name="_xlnm.Print_Area" localSheetId="24">Rates!$A$1:$A$471</definedName>
    <definedName name="_xlnm.Print_Area" localSheetId="31">'Right Shares - HASCOL'!$A$1:$H$36</definedName>
    <definedName name="_xlnm.Print_Area" localSheetId="30">'Right Shares - ICL'!$A$1:$H$33</definedName>
    <definedName name="_xlnm.Print_Area" localSheetId="29">'Right Shares - Mughal'!$A$1:$H$33</definedName>
    <definedName name="_xlnm.Print_Area" localSheetId="15">'T-Bills'!$A$1:$U$53</definedName>
    <definedName name="_xlnm.Print_Area" localSheetId="16">'T-Bills Amortization '!$A$1:$R$92</definedName>
    <definedName name="_xlnm.Print_Area" localSheetId="9">'TDR accrual '!$A$1:$L$25</definedName>
    <definedName name="_xlnm.Print_Area" localSheetId="18">'TFCs -Accrued Income'!$A$1:$Q$16</definedName>
    <definedName name="_xlnm.Print_Area" localSheetId="17">'TFCs -Market Value '!$A$1:$Q$16</definedName>
    <definedName name="_xlnm.Print_Area" localSheetId="6">'YTD Purchases'!$A$1:$G$609</definedName>
    <definedName name="_xlnm.Print_Area" localSheetId="7">'YTD Sales'!$A$1:$M$8</definedName>
    <definedName name="_xlnm.Print_Titles" localSheetId="2">'Capital Growth Fund'!$1:$5</definedName>
    <definedName name="_xlnm.Print_Titles" localSheetId="3">'Equity - CIAP MA'!$1:$5</definedName>
    <definedName name="_xlnm.Print_Titles" localSheetId="9">'TDR accrual '!$1:$5</definedName>
    <definedName name="_xlnm.Print_Titles" localSheetId="18">'TFCs -Accrued Income'!$1:$5</definedName>
    <definedName name="_xlnm.Print_Titles" localSheetId="17">'TFCs -Market Value '!$1:$5</definedName>
    <definedName name="rate" localSheetId="8">'[4]broker sheet-2'!$F$7:$G$24</definedName>
    <definedName name="rate" localSheetId="2">'[5]broker sheet-2'!$F$7:$G$24</definedName>
    <definedName name="rate" localSheetId="3">'[5]broker sheet-2'!$F$7:$G$24</definedName>
    <definedName name="rate" localSheetId="28">'[6]broker sheet-2'!$F$7:$G$24</definedName>
    <definedName name="rate" localSheetId="25">'[6]broker sheet-2'!$F$7:$G$24</definedName>
    <definedName name="rate">'[5]broker sheet-2'!$F$7:$G$24</definedName>
    <definedName name="sdasdada" localSheetId="28">#REF!</definedName>
    <definedName name="sdasdada" localSheetId="25">#REF!</definedName>
    <definedName name="sdasdada">#REF!</definedName>
    <definedName name="sss" localSheetId="28">'[7]T-BILL'!#REF!</definedName>
    <definedName name="sss" localSheetId="25">'[7]T-BILL'!#REF!</definedName>
    <definedName name="sss">'[7]T-BILL'!#REF!</definedName>
    <definedName name="T_BILLREPO" localSheetId="8">'[7]T-BILL'!#REF!</definedName>
    <definedName name="T_BILLREPO" localSheetId="11">'[7]T-BILL'!#REF!</definedName>
    <definedName name="T_BILLREPO" localSheetId="3">'[7]T-BILL'!#REF!</definedName>
    <definedName name="T_BILLREPO" localSheetId="25">'[7]T-BILL'!#REF!</definedName>
    <definedName name="T_BILLREPO">'[7]T-BILL'!#REF!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0" i="40" l="1"/>
  <c r="F87" i="56" l="1"/>
  <c r="K73" i="46"/>
  <c r="L73" i="46" s="1"/>
  <c r="H73" i="46"/>
  <c r="I73" i="46" s="1"/>
  <c r="E73" i="46"/>
  <c r="K116" i="46"/>
  <c r="L116" i="46" s="1"/>
  <c r="H116" i="46"/>
  <c r="I116" i="46" s="1"/>
  <c r="E116" i="46"/>
  <c r="E277" i="37"/>
  <c r="E78" i="37"/>
  <c r="E176" i="37"/>
  <c r="E10" i="41"/>
  <c r="E9" i="41"/>
  <c r="E8" i="41"/>
  <c r="H16" i="47"/>
  <c r="G28" i="64"/>
  <c r="K115" i="46" l="1"/>
  <c r="L115" i="46" s="1"/>
  <c r="H115" i="46"/>
  <c r="I115" i="46" s="1"/>
  <c r="E115" i="46"/>
  <c r="E175" i="37"/>
  <c r="E77" i="37"/>
  <c r="E276" i="37"/>
  <c r="E216" i="37"/>
  <c r="G27" i="64"/>
  <c r="H29" i="47"/>
  <c r="L2" i="20"/>
  <c r="E126" i="37" l="1"/>
  <c r="E275" i="37"/>
  <c r="E215" i="37"/>
  <c r="G26" i="64"/>
  <c r="N251" i="46" l="1"/>
  <c r="F251" i="46"/>
  <c r="D251" i="46"/>
  <c r="K249" i="46"/>
  <c r="K251" i="46" s="1"/>
  <c r="H249" i="46"/>
  <c r="I249" i="46" s="1"/>
  <c r="E249" i="46"/>
  <c r="K132" i="46"/>
  <c r="L132" i="46" s="1"/>
  <c r="H132" i="46"/>
  <c r="I132" i="46" s="1"/>
  <c r="E132" i="46"/>
  <c r="K114" i="46"/>
  <c r="L114" i="46" s="1"/>
  <c r="H114" i="46"/>
  <c r="I114" i="46" s="1"/>
  <c r="E114" i="46"/>
  <c r="K142" i="46"/>
  <c r="L142" i="46" s="1"/>
  <c r="H142" i="46"/>
  <c r="I142" i="46" s="1"/>
  <c r="E142" i="46"/>
  <c r="K54" i="46"/>
  <c r="L54" i="46" s="1"/>
  <c r="H54" i="46"/>
  <c r="I54" i="46" s="1"/>
  <c r="E54" i="46"/>
  <c r="K72" i="46"/>
  <c r="L72" i="46" s="1"/>
  <c r="H72" i="46"/>
  <c r="I72" i="46" s="1"/>
  <c r="E72" i="46"/>
  <c r="K213" i="46"/>
  <c r="L213" i="46" s="1"/>
  <c r="H213" i="46"/>
  <c r="I213" i="46" s="1"/>
  <c r="E213" i="46"/>
  <c r="K104" i="46"/>
  <c r="L104" i="46" s="1"/>
  <c r="H104" i="46"/>
  <c r="I104" i="46" s="1"/>
  <c r="E104" i="46"/>
  <c r="E34" i="41"/>
  <c r="E125" i="37"/>
  <c r="E214" i="37"/>
  <c r="E274" i="37"/>
  <c r="E76" i="37"/>
  <c r="E174" i="37"/>
  <c r="Q15" i="47"/>
  <c r="Q17" i="47" s="1"/>
  <c r="L249" i="46" l="1"/>
  <c r="H251" i="46"/>
  <c r="G25" i="64"/>
  <c r="K131" i="46" l="1"/>
  <c r="L131" i="46" s="1"/>
  <c r="H131" i="46"/>
  <c r="I131" i="46" s="1"/>
  <c r="E273" i="37"/>
  <c r="E50" i="37"/>
  <c r="E213" i="37"/>
  <c r="E173" i="37"/>
  <c r="G24" i="64" l="1"/>
  <c r="G23" i="64"/>
  <c r="G22" i="64"/>
  <c r="E49" i="37" l="1"/>
  <c r="E272" i="37"/>
  <c r="E212" i="37"/>
  <c r="E75" i="37"/>
  <c r="E172" i="37"/>
  <c r="B40" i="34" l="1"/>
  <c r="C40" i="34"/>
  <c r="D40" i="34"/>
  <c r="E40" i="34"/>
  <c r="F40" i="34" s="1"/>
  <c r="I40" i="34"/>
  <c r="L40" i="34"/>
  <c r="M51" i="33"/>
  <c r="J40" i="34" s="1"/>
  <c r="H40" i="34" l="1"/>
  <c r="K40" i="34"/>
  <c r="M40" i="34" s="1"/>
  <c r="O40" i="34" s="1"/>
  <c r="G21" i="64"/>
  <c r="E48" i="37" l="1"/>
  <c r="E124" i="37"/>
  <c r="E211" i="37"/>
  <c r="E307" i="37"/>
  <c r="E271" i="37"/>
  <c r="G13" i="40"/>
  <c r="G20" i="64"/>
  <c r="F67" i="56"/>
  <c r="K113" i="46" l="1"/>
  <c r="L113" i="46" s="1"/>
  <c r="H113" i="46"/>
  <c r="I113" i="46" s="1"/>
  <c r="E113" i="46"/>
  <c r="E123" i="37"/>
  <c r="E306" i="37"/>
  <c r="E210" i="37"/>
  <c r="E171" i="37"/>
  <c r="G19" i="64"/>
  <c r="G18" i="64"/>
  <c r="G17" i="64"/>
  <c r="G16" i="64"/>
  <c r="G15" i="64"/>
  <c r="G14" i="64"/>
  <c r="F80" i="56" l="1"/>
  <c r="K103" i="46"/>
  <c r="L103" i="46" s="1"/>
  <c r="H103" i="46"/>
  <c r="I103" i="46" s="1"/>
  <c r="E103" i="46"/>
  <c r="E209" i="37"/>
  <c r="E74" i="37"/>
  <c r="E170" i="37"/>
  <c r="G13" i="64"/>
  <c r="K102" i="46" l="1"/>
  <c r="L102" i="46" s="1"/>
  <c r="H102" i="46"/>
  <c r="I102" i="46" s="1"/>
  <c r="E102" i="46"/>
  <c r="E305" i="37"/>
  <c r="E122" i="37"/>
  <c r="G12" i="64"/>
  <c r="K101" i="46" l="1"/>
  <c r="L101" i="46" s="1"/>
  <c r="H101" i="46"/>
  <c r="I101" i="46" s="1"/>
  <c r="E101" i="46"/>
  <c r="E304" i="37"/>
  <c r="G11" i="64"/>
  <c r="K100" i="46" l="1"/>
  <c r="L100" i="46" s="1"/>
  <c r="H100" i="46"/>
  <c r="I100" i="46" s="1"/>
  <c r="E100" i="46"/>
  <c r="E303" i="37"/>
  <c r="E47" i="37"/>
  <c r="E270" i="37"/>
  <c r="G10" i="64"/>
  <c r="G9" i="64"/>
  <c r="G8" i="64"/>
  <c r="T53" i="33"/>
  <c r="K48" i="46" l="1"/>
  <c r="L48" i="46" s="1"/>
  <c r="H48" i="46"/>
  <c r="I48" i="46" s="1"/>
  <c r="E48" i="46"/>
  <c r="K99" i="46"/>
  <c r="L99" i="46" s="1"/>
  <c r="H99" i="46"/>
  <c r="I99" i="46" s="1"/>
  <c r="E99" i="46"/>
  <c r="K98" i="46"/>
  <c r="L98" i="46" s="1"/>
  <c r="H98" i="46"/>
  <c r="I98" i="46" s="1"/>
  <c r="E98" i="46"/>
  <c r="E121" i="37"/>
  <c r="E208" i="37"/>
  <c r="E73" i="37"/>
  <c r="G7" i="64" l="1"/>
  <c r="Q83" i="34" l="1"/>
  <c r="H48" i="33"/>
  <c r="W48" i="33"/>
  <c r="B38" i="34"/>
  <c r="C38" i="34"/>
  <c r="D38" i="34"/>
  <c r="E38" i="34"/>
  <c r="I38" i="34"/>
  <c r="L38" i="34"/>
  <c r="P49" i="33"/>
  <c r="P48" i="33"/>
  <c r="M49" i="33"/>
  <c r="J38" i="34" s="1"/>
  <c r="F38" i="34" l="1"/>
  <c r="K38" i="34"/>
  <c r="H38" i="34"/>
  <c r="B186" i="66"/>
  <c r="K225" i="46"/>
  <c r="L225" i="46" s="1"/>
  <c r="H225" i="46"/>
  <c r="I225" i="46" s="1"/>
  <c r="E225" i="46"/>
  <c r="K180" i="46"/>
  <c r="L180" i="46" s="1"/>
  <c r="H180" i="46"/>
  <c r="I180" i="46" s="1"/>
  <c r="E180" i="46"/>
  <c r="K130" i="46"/>
  <c r="L130" i="46" s="1"/>
  <c r="H130" i="46"/>
  <c r="I130" i="46" s="1"/>
  <c r="E130" i="46"/>
  <c r="E120" i="37"/>
  <c r="E302" i="37"/>
  <c r="E207" i="37"/>
  <c r="E269" i="37"/>
  <c r="E72" i="37"/>
  <c r="E169" i="37"/>
  <c r="M38" i="34" l="1"/>
  <c r="O38" i="34" s="1"/>
  <c r="H8" i="56"/>
  <c r="J61" i="65"/>
  <c r="I61" i="65"/>
  <c r="H61" i="65"/>
  <c r="G61" i="65"/>
  <c r="F61" i="65"/>
  <c r="E61" i="65"/>
  <c r="H327" i="37"/>
  <c r="F327" i="37"/>
  <c r="D327" i="37"/>
  <c r="E325" i="37"/>
  <c r="K61" i="65" l="1"/>
  <c r="C8" i="56" s="1"/>
  <c r="K8" i="56" s="1"/>
  <c r="M61" i="65"/>
  <c r="J8" i="56" s="1"/>
  <c r="L61" i="65"/>
  <c r="I8" i="56" s="1"/>
  <c r="K224" i="46"/>
  <c r="L224" i="46" s="1"/>
  <c r="H224" i="46"/>
  <c r="I224" i="46" s="1"/>
  <c r="E224" i="46"/>
  <c r="E206" i="37"/>
  <c r="E268" i="37"/>
  <c r="J10" i="20"/>
  <c r="B31" i="34"/>
  <c r="C31" i="34"/>
  <c r="D31" i="34"/>
  <c r="E31" i="34"/>
  <c r="I31" i="34"/>
  <c r="L31" i="34"/>
  <c r="P40" i="33"/>
  <c r="P39" i="33"/>
  <c r="H39" i="33"/>
  <c r="W39" i="33"/>
  <c r="M40" i="33"/>
  <c r="J31" i="34" s="1"/>
  <c r="D8" i="56" l="1"/>
  <c r="E8" i="56"/>
  <c r="F31" i="34"/>
  <c r="K31" i="34"/>
  <c r="H31" i="34"/>
  <c r="I10" i="56"/>
  <c r="R8" i="56"/>
  <c r="P8" i="56"/>
  <c r="P10" i="56" s="1"/>
  <c r="K97" i="46"/>
  <c r="L97" i="46" s="1"/>
  <c r="H97" i="46"/>
  <c r="I97" i="46" s="1"/>
  <c r="E97" i="46"/>
  <c r="E119" i="37"/>
  <c r="E301" i="37"/>
  <c r="E71" i="37"/>
  <c r="M31" i="34" l="1"/>
  <c r="O31" i="34" s="1"/>
  <c r="J10" i="56"/>
  <c r="K10" i="56"/>
  <c r="I167" i="56" s="1"/>
  <c r="V8" i="56"/>
  <c r="C10" i="56"/>
  <c r="E46" i="37"/>
  <c r="E300" i="37"/>
  <c r="E205" i="37"/>
  <c r="E168" i="37"/>
  <c r="M8" i="56" l="1"/>
  <c r="L8" i="56"/>
  <c r="E299" i="37"/>
  <c r="E204" i="37"/>
  <c r="E70" i="37"/>
  <c r="E167" i="37"/>
  <c r="L10" i="56" l="1"/>
  <c r="M10" i="56"/>
  <c r="E203" i="37"/>
  <c r="K47" i="46" l="1"/>
  <c r="L47" i="46" s="1"/>
  <c r="H47" i="46"/>
  <c r="I47" i="46" s="1"/>
  <c r="E47" i="46"/>
  <c r="E298" i="37"/>
  <c r="E166" i="37"/>
  <c r="K245" i="46" l="1"/>
  <c r="L245" i="46" s="1"/>
  <c r="H245" i="46"/>
  <c r="I245" i="46" s="1"/>
  <c r="E245" i="46"/>
  <c r="E202" i="37"/>
  <c r="E45" i="37"/>
  <c r="E165" i="37"/>
  <c r="E297" i="37"/>
  <c r="E164" i="37" l="1"/>
  <c r="E201" i="37"/>
  <c r="E267" i="37"/>
  <c r="E44" i="37"/>
  <c r="E118" i="37"/>
  <c r="E296" i="37"/>
  <c r="B39" i="34" l="1"/>
  <c r="C39" i="34"/>
  <c r="D39" i="34"/>
  <c r="E39" i="34"/>
  <c r="I39" i="34"/>
  <c r="L39" i="34"/>
  <c r="M50" i="33"/>
  <c r="J39" i="34" s="1"/>
  <c r="F39" i="34" l="1"/>
  <c r="H39" i="34"/>
  <c r="K39" i="34"/>
  <c r="K239" i="46"/>
  <c r="L239" i="46" s="1"/>
  <c r="H239" i="46"/>
  <c r="I239" i="46" s="1"/>
  <c r="E239" i="46"/>
  <c r="K223" i="46"/>
  <c r="L223" i="46" s="1"/>
  <c r="H223" i="46"/>
  <c r="I223" i="46" s="1"/>
  <c r="E223" i="46"/>
  <c r="E295" i="37"/>
  <c r="E200" i="37"/>
  <c r="E266" i="37"/>
  <c r="E163" i="37"/>
  <c r="M39" i="34" l="1"/>
  <c r="O39" i="34" s="1"/>
  <c r="N247" i="46"/>
  <c r="F247" i="46"/>
  <c r="D247" i="46"/>
  <c r="K244" i="46"/>
  <c r="L244" i="46" s="1"/>
  <c r="H244" i="46"/>
  <c r="I244" i="46" s="1"/>
  <c r="E244" i="46"/>
  <c r="E294" i="37"/>
  <c r="E199" i="37"/>
  <c r="E162" i="37"/>
  <c r="H247" i="46" l="1"/>
  <c r="K247" i="46"/>
  <c r="Q14" i="47"/>
  <c r="N241" i="46" l="1"/>
  <c r="F241" i="46"/>
  <c r="D241" i="46"/>
  <c r="K238" i="46"/>
  <c r="L238" i="46" s="1"/>
  <c r="H238" i="46"/>
  <c r="I238" i="46" s="1"/>
  <c r="E238" i="46"/>
  <c r="K237" i="46"/>
  <c r="L237" i="46" s="1"/>
  <c r="H237" i="46"/>
  <c r="I237" i="46" s="1"/>
  <c r="E237" i="46"/>
  <c r="E293" i="37"/>
  <c r="H22" i="47"/>
  <c r="K241" i="46" l="1"/>
  <c r="H241" i="46"/>
  <c r="K129" i="46"/>
  <c r="L129" i="46" s="1"/>
  <c r="H129" i="46"/>
  <c r="I129" i="46" s="1"/>
  <c r="E129" i="46"/>
  <c r="E292" i="37"/>
  <c r="E161" i="37"/>
  <c r="K22" i="47"/>
  <c r="I22" i="47" l="1"/>
  <c r="J22" i="47" s="1"/>
  <c r="I30" i="64"/>
  <c r="I31" i="64" s="1"/>
  <c r="K71" i="46" l="1"/>
  <c r="L71" i="46" s="1"/>
  <c r="H71" i="46"/>
  <c r="I71" i="46" s="1"/>
  <c r="E71" i="46"/>
  <c r="E198" i="37"/>
  <c r="E160" i="37"/>
  <c r="F94" i="56" l="1"/>
  <c r="E159" i="37"/>
  <c r="E197" i="37"/>
  <c r="E117" i="37"/>
  <c r="E291" i="37"/>
  <c r="E265" i="37"/>
  <c r="E158" i="37" l="1"/>
  <c r="W46" i="33" l="1"/>
  <c r="H46" i="33"/>
  <c r="K128" i="46" l="1"/>
  <c r="L128" i="46" s="1"/>
  <c r="H128" i="46"/>
  <c r="I128" i="46" s="1"/>
  <c r="E128" i="46"/>
  <c r="E69" i="37" l="1"/>
  <c r="F93" i="56"/>
  <c r="K46" i="46" l="1"/>
  <c r="L46" i="46" s="1"/>
  <c r="H46" i="46"/>
  <c r="I46" i="46" s="1"/>
  <c r="E46" i="46"/>
  <c r="K127" i="46"/>
  <c r="L127" i="46" s="1"/>
  <c r="H127" i="46"/>
  <c r="I127" i="46" s="1"/>
  <c r="E127" i="46"/>
  <c r="K70" i="46"/>
  <c r="L70" i="46" s="1"/>
  <c r="H70" i="46"/>
  <c r="I70" i="46" s="1"/>
  <c r="E70" i="46"/>
  <c r="E43" i="37"/>
  <c r="E264" i="37"/>
  <c r="E68" i="37"/>
  <c r="E157" i="37"/>
  <c r="M48" i="33" l="1"/>
  <c r="E116" i="37" l="1"/>
  <c r="E196" i="37"/>
  <c r="E156" i="37" l="1"/>
  <c r="E115" i="37"/>
  <c r="B156" i="66" l="1"/>
  <c r="E114" i="37"/>
  <c r="E263" i="37"/>
  <c r="E45" i="40"/>
  <c r="E42" i="37" l="1"/>
  <c r="B36" i="34" l="1"/>
  <c r="C36" i="34"/>
  <c r="D36" i="34"/>
  <c r="E36" i="34"/>
  <c r="I36" i="34"/>
  <c r="L36" i="34"/>
  <c r="M47" i="33"/>
  <c r="J36" i="34" s="1"/>
  <c r="F36" i="34" l="1"/>
  <c r="H36" i="34"/>
  <c r="K36" i="34"/>
  <c r="K45" i="46"/>
  <c r="L45" i="46" s="1"/>
  <c r="H45" i="46"/>
  <c r="I45" i="46" s="1"/>
  <c r="E45" i="46"/>
  <c r="K126" i="46"/>
  <c r="L126" i="46" s="1"/>
  <c r="H126" i="46"/>
  <c r="I126" i="46" s="1"/>
  <c r="E126" i="46"/>
  <c r="N235" i="46"/>
  <c r="F235" i="46"/>
  <c r="D235" i="46"/>
  <c r="K233" i="46"/>
  <c r="L233" i="46" s="1"/>
  <c r="H233" i="46"/>
  <c r="I233" i="46" s="1"/>
  <c r="E233" i="46"/>
  <c r="E195" i="37"/>
  <c r="E262" i="37"/>
  <c r="M36" i="34" l="1"/>
  <c r="O36" i="34" s="1"/>
  <c r="H235" i="46"/>
  <c r="K235" i="46"/>
  <c r="N231" i="46"/>
  <c r="F231" i="46"/>
  <c r="D231" i="46"/>
  <c r="K229" i="46"/>
  <c r="L229" i="46" s="1"/>
  <c r="H229" i="46"/>
  <c r="I229" i="46" s="1"/>
  <c r="E229" i="46"/>
  <c r="K44" i="46"/>
  <c r="L44" i="46" s="1"/>
  <c r="H44" i="46"/>
  <c r="I44" i="46" s="1"/>
  <c r="E44" i="46"/>
  <c r="K82" i="46"/>
  <c r="L82" i="46" s="1"/>
  <c r="H82" i="46"/>
  <c r="I82" i="46" s="1"/>
  <c r="E82" i="46"/>
  <c r="K169" i="46"/>
  <c r="L169" i="46" s="1"/>
  <c r="H169" i="46"/>
  <c r="I169" i="46" s="1"/>
  <c r="E169" i="46"/>
  <c r="K179" i="46"/>
  <c r="L179" i="46" s="1"/>
  <c r="H179" i="46"/>
  <c r="I179" i="46" s="1"/>
  <c r="E179" i="46"/>
  <c r="K178" i="46"/>
  <c r="L178" i="46" s="1"/>
  <c r="H178" i="46"/>
  <c r="I178" i="46" s="1"/>
  <c r="E178" i="46"/>
  <c r="E194" i="37"/>
  <c r="E113" i="37"/>
  <c r="E261" i="37"/>
  <c r="E155" i="37"/>
  <c r="H231" i="46" l="1"/>
  <c r="K231" i="46"/>
  <c r="K176" i="46" l="1"/>
  <c r="L176" i="46" s="1"/>
  <c r="H176" i="46"/>
  <c r="I176" i="46" s="1"/>
  <c r="E176" i="46"/>
  <c r="K81" i="46" l="1"/>
  <c r="L81" i="46" s="1"/>
  <c r="H81" i="46"/>
  <c r="I81" i="46" s="1"/>
  <c r="E81" i="46"/>
  <c r="K177" i="46"/>
  <c r="L177" i="46" s="1"/>
  <c r="H177" i="46"/>
  <c r="I177" i="46" s="1"/>
  <c r="E177" i="46"/>
  <c r="K168" i="46"/>
  <c r="L168" i="46" s="1"/>
  <c r="H168" i="46"/>
  <c r="I168" i="46" s="1"/>
  <c r="E168" i="46"/>
  <c r="E41" i="37"/>
  <c r="E290" i="37"/>
  <c r="E154" i="37"/>
  <c r="K167" i="46" l="1"/>
  <c r="L167" i="46" s="1"/>
  <c r="H167" i="46"/>
  <c r="I167" i="46" s="1"/>
  <c r="E167" i="46"/>
  <c r="E193" i="37"/>
  <c r="E289" i="37"/>
  <c r="E153" i="37"/>
  <c r="K166" i="46" l="1"/>
  <c r="L166" i="46" s="1"/>
  <c r="H166" i="46"/>
  <c r="I166" i="46" s="1"/>
  <c r="E166" i="46"/>
  <c r="K165" i="46"/>
  <c r="L165" i="46" s="1"/>
  <c r="H165" i="46"/>
  <c r="I165" i="46" s="1"/>
  <c r="E165" i="46"/>
  <c r="E260" i="37"/>
  <c r="E40" i="37"/>
  <c r="E192" i="37"/>
  <c r="E112" i="37"/>
  <c r="K164" i="46" l="1"/>
  <c r="L164" i="46" s="1"/>
  <c r="H164" i="46"/>
  <c r="I164" i="46" s="1"/>
  <c r="E164" i="46"/>
  <c r="K222" i="46"/>
  <c r="L222" i="46" s="1"/>
  <c r="H222" i="46"/>
  <c r="I222" i="46" s="1"/>
  <c r="E222" i="46"/>
  <c r="E259" i="37"/>
  <c r="E288" i="37"/>
  <c r="E111" i="37"/>
  <c r="E191" i="37"/>
  <c r="E39" i="37"/>
  <c r="E152" i="37"/>
  <c r="K125" i="46" l="1"/>
  <c r="L125" i="46" s="1"/>
  <c r="H125" i="46"/>
  <c r="I125" i="46" s="1"/>
  <c r="E125" i="46"/>
  <c r="E190" i="37"/>
  <c r="E151" i="37"/>
  <c r="M46" i="33"/>
  <c r="K96" i="46" l="1"/>
  <c r="L96" i="46" s="1"/>
  <c r="H96" i="46"/>
  <c r="I96" i="46" s="1"/>
  <c r="E96" i="46"/>
  <c r="K43" i="46"/>
  <c r="L43" i="46" s="1"/>
  <c r="H43" i="46"/>
  <c r="I43" i="46" s="1"/>
  <c r="E43" i="46"/>
  <c r="E258" i="37"/>
  <c r="E110" i="37"/>
  <c r="E189" i="37"/>
  <c r="H44" i="33" l="1"/>
  <c r="W44" i="33"/>
  <c r="E188" i="37" l="1"/>
  <c r="E109" i="37"/>
  <c r="K42" i="46"/>
  <c r="L42" i="46" s="1"/>
  <c r="H42" i="46"/>
  <c r="I42" i="46" s="1"/>
  <c r="E42" i="46"/>
  <c r="N227" i="46"/>
  <c r="F227" i="46"/>
  <c r="D227" i="46"/>
  <c r="K221" i="46"/>
  <c r="L221" i="46" s="1"/>
  <c r="H221" i="46"/>
  <c r="I221" i="46" s="1"/>
  <c r="E221" i="46"/>
  <c r="K124" i="46"/>
  <c r="L124" i="46" s="1"/>
  <c r="H124" i="46"/>
  <c r="I124" i="46" s="1"/>
  <c r="E124" i="46"/>
  <c r="H227" i="46" l="1"/>
  <c r="K227" i="46"/>
  <c r="E108" i="37" l="1"/>
  <c r="E69" i="40"/>
  <c r="K41" i="46" l="1"/>
  <c r="L41" i="46" s="1"/>
  <c r="H41" i="46"/>
  <c r="I41" i="46" s="1"/>
  <c r="E41" i="46"/>
  <c r="K80" i="46"/>
  <c r="L80" i="46" s="1"/>
  <c r="H80" i="46"/>
  <c r="I80" i="46" s="1"/>
  <c r="E80" i="46"/>
  <c r="K123" i="46"/>
  <c r="L123" i="46" s="1"/>
  <c r="H123" i="46"/>
  <c r="I123" i="46" s="1"/>
  <c r="E123" i="46"/>
  <c r="K163" i="46"/>
  <c r="L163" i="46" s="1"/>
  <c r="H163" i="46"/>
  <c r="I163" i="46" s="1"/>
  <c r="E163" i="46"/>
  <c r="E38" i="37"/>
  <c r="E107" i="37"/>
  <c r="E187" i="37"/>
  <c r="E257" i="37"/>
  <c r="E150" i="37"/>
  <c r="K38" i="43" l="1"/>
  <c r="M38" i="43" s="1"/>
  <c r="J38" i="43"/>
  <c r="C38" i="43"/>
  <c r="U38" i="43" l="1"/>
  <c r="L46" i="40" s="1"/>
  <c r="R38" i="43"/>
  <c r="L38" i="43"/>
  <c r="N38" i="43"/>
  <c r="E186" i="37"/>
  <c r="E256" i="37"/>
  <c r="K40" i="46"/>
  <c r="L40" i="46" s="1"/>
  <c r="H40" i="46"/>
  <c r="I40" i="46" s="1"/>
  <c r="E40" i="46"/>
  <c r="K212" i="46"/>
  <c r="L212" i="46" s="1"/>
  <c r="H212" i="46"/>
  <c r="I212" i="46" s="1"/>
  <c r="E212" i="46"/>
  <c r="K122" i="46"/>
  <c r="L122" i="46" s="1"/>
  <c r="H122" i="46"/>
  <c r="I122" i="46" s="1"/>
  <c r="E122" i="46"/>
  <c r="P38" i="43" l="1"/>
  <c r="S38" i="43" s="1"/>
  <c r="B35" i="34"/>
  <c r="C35" i="34"/>
  <c r="D35" i="34"/>
  <c r="E35" i="34"/>
  <c r="I35" i="34"/>
  <c r="L35" i="34"/>
  <c r="M45" i="33"/>
  <c r="J35" i="34" s="1"/>
  <c r="F35" i="34" l="1"/>
  <c r="H35" i="34"/>
  <c r="K35" i="34"/>
  <c r="K13" i="46"/>
  <c r="L13" i="46" s="1"/>
  <c r="H13" i="46"/>
  <c r="I13" i="46" s="1"/>
  <c r="E13" i="46"/>
  <c r="E255" i="37"/>
  <c r="K37" i="43"/>
  <c r="J37" i="43"/>
  <c r="C37" i="43"/>
  <c r="M35" i="34" l="1"/>
  <c r="O35" i="34" s="1"/>
  <c r="L37" i="43"/>
  <c r="M37" i="43"/>
  <c r="K36" i="43"/>
  <c r="L36" i="43" s="1"/>
  <c r="J36" i="43"/>
  <c r="C36" i="43"/>
  <c r="N219" i="46"/>
  <c r="F219" i="46"/>
  <c r="D219" i="46"/>
  <c r="K217" i="46"/>
  <c r="L217" i="46" s="1"/>
  <c r="H217" i="46"/>
  <c r="I217" i="46" s="1"/>
  <c r="E217" i="46"/>
  <c r="K79" i="46"/>
  <c r="L79" i="46" s="1"/>
  <c r="H79" i="46"/>
  <c r="I79" i="46" s="1"/>
  <c r="E79" i="46"/>
  <c r="K27" i="46"/>
  <c r="L27" i="46" s="1"/>
  <c r="H27" i="46"/>
  <c r="I27" i="46" s="1"/>
  <c r="E27" i="46"/>
  <c r="K207" i="46"/>
  <c r="L207" i="46" s="1"/>
  <c r="H207" i="46"/>
  <c r="I207" i="46" s="1"/>
  <c r="E207" i="46"/>
  <c r="K121" i="46"/>
  <c r="L121" i="46" s="1"/>
  <c r="H121" i="46"/>
  <c r="I121" i="46" s="1"/>
  <c r="E121" i="46"/>
  <c r="K202" i="46"/>
  <c r="L202" i="46" s="1"/>
  <c r="H202" i="46"/>
  <c r="I202" i="46" s="1"/>
  <c r="E202" i="46"/>
  <c r="K147" i="46"/>
  <c r="L147" i="46" s="1"/>
  <c r="H147" i="46"/>
  <c r="I147" i="46" s="1"/>
  <c r="E147" i="46"/>
  <c r="K162" i="46"/>
  <c r="L162" i="46" s="1"/>
  <c r="H162" i="46"/>
  <c r="I162" i="46" s="1"/>
  <c r="E162" i="46"/>
  <c r="K137" i="46"/>
  <c r="L137" i="46" s="1"/>
  <c r="H137" i="46"/>
  <c r="I137" i="46" s="1"/>
  <c r="E137" i="46"/>
  <c r="N215" i="46"/>
  <c r="F215" i="46"/>
  <c r="D215" i="46"/>
  <c r="K211" i="46"/>
  <c r="L211" i="46" s="1"/>
  <c r="H211" i="46"/>
  <c r="I211" i="46" s="1"/>
  <c r="E211" i="46"/>
  <c r="E106" i="37"/>
  <c r="E185" i="37"/>
  <c r="E254" i="37"/>
  <c r="N37" i="43" l="1"/>
  <c r="R37" i="43"/>
  <c r="H219" i="46"/>
  <c r="K219" i="46"/>
  <c r="M36" i="43"/>
  <c r="K215" i="46"/>
  <c r="H215" i="46"/>
  <c r="N209" i="46"/>
  <c r="F209" i="46"/>
  <c r="D209" i="46"/>
  <c r="K206" i="46"/>
  <c r="L206" i="46" s="1"/>
  <c r="H206" i="46"/>
  <c r="I206" i="46" s="1"/>
  <c r="E206" i="46"/>
  <c r="K161" i="46"/>
  <c r="L161" i="46" s="1"/>
  <c r="H161" i="46"/>
  <c r="I161" i="46" s="1"/>
  <c r="E161" i="46"/>
  <c r="K175" i="46"/>
  <c r="L175" i="46" s="1"/>
  <c r="H175" i="46"/>
  <c r="I175" i="46" s="1"/>
  <c r="E175" i="46"/>
  <c r="K156" i="46"/>
  <c r="L156" i="46" s="1"/>
  <c r="H156" i="46"/>
  <c r="I156" i="46" s="1"/>
  <c r="E156" i="46"/>
  <c r="K35" i="43"/>
  <c r="M35" i="43" s="1"/>
  <c r="J35" i="43"/>
  <c r="C35" i="43"/>
  <c r="N36" i="43" l="1"/>
  <c r="R36" i="43"/>
  <c r="P37" i="43"/>
  <c r="S37" i="43" s="1"/>
  <c r="N35" i="43"/>
  <c r="R35" i="43"/>
  <c r="L35" i="43"/>
  <c r="H209" i="46"/>
  <c r="K209" i="46"/>
  <c r="P36" i="43" l="1"/>
  <c r="S36" i="43" s="1"/>
  <c r="P35" i="43"/>
  <c r="S35" i="43" s="1"/>
  <c r="F18" i="56"/>
  <c r="J60" i="65"/>
  <c r="I60" i="65"/>
  <c r="H60" i="65"/>
  <c r="G60" i="65"/>
  <c r="F60" i="65"/>
  <c r="E60" i="65"/>
  <c r="E148" i="37"/>
  <c r="E253" i="37"/>
  <c r="F322" i="37"/>
  <c r="D322" i="37"/>
  <c r="E320" i="37"/>
  <c r="E319" i="37"/>
  <c r="K60" i="65" l="1"/>
  <c r="C18" i="56" s="1"/>
  <c r="K18" i="56" s="1"/>
  <c r="M60" i="65"/>
  <c r="J18" i="56" s="1"/>
  <c r="L60" i="65"/>
  <c r="I18" i="56" s="1"/>
  <c r="H18" i="56"/>
  <c r="M18" i="56" l="1"/>
  <c r="D18" i="56"/>
  <c r="E18" i="56"/>
  <c r="L18" i="56"/>
  <c r="M44" i="33"/>
  <c r="B34" i="34" l="1"/>
  <c r="C34" i="34"/>
  <c r="D34" i="34"/>
  <c r="E34" i="34"/>
  <c r="I34" i="34"/>
  <c r="L34" i="34"/>
  <c r="B33" i="34"/>
  <c r="C33" i="34"/>
  <c r="D33" i="34"/>
  <c r="E33" i="34"/>
  <c r="I33" i="34"/>
  <c r="L33" i="34"/>
  <c r="B32" i="34"/>
  <c r="C32" i="34"/>
  <c r="D32" i="34"/>
  <c r="E32" i="34"/>
  <c r="I32" i="34"/>
  <c r="L32" i="34"/>
  <c r="M43" i="33"/>
  <c r="J34" i="34" s="1"/>
  <c r="M42" i="33"/>
  <c r="J33" i="34" s="1"/>
  <c r="M41" i="33"/>
  <c r="J32" i="34" s="1"/>
  <c r="H36" i="33"/>
  <c r="W36" i="33"/>
  <c r="H33" i="33"/>
  <c r="W33" i="33"/>
  <c r="F32" i="34" l="1"/>
  <c r="H32" i="34"/>
  <c r="F33" i="34"/>
  <c r="K34" i="34"/>
  <c r="K33" i="34"/>
  <c r="F34" i="34"/>
  <c r="K32" i="34"/>
  <c r="H34" i="34"/>
  <c r="H33" i="34"/>
  <c r="N204" i="46"/>
  <c r="F204" i="46"/>
  <c r="D204" i="46"/>
  <c r="K201" i="46"/>
  <c r="L201" i="46" s="1"/>
  <c r="H201" i="46"/>
  <c r="I201" i="46" s="1"/>
  <c r="E201" i="46"/>
  <c r="K112" i="46"/>
  <c r="L112" i="46" s="1"/>
  <c r="H112" i="46"/>
  <c r="I112" i="46" s="1"/>
  <c r="E112" i="46"/>
  <c r="K174" i="46"/>
  <c r="L174" i="46" s="1"/>
  <c r="H174" i="46"/>
  <c r="I174" i="46" s="1"/>
  <c r="E174" i="46"/>
  <c r="N199" i="46"/>
  <c r="F199" i="46"/>
  <c r="D199" i="46"/>
  <c r="K197" i="46"/>
  <c r="L197" i="46" s="1"/>
  <c r="H197" i="46"/>
  <c r="I197" i="46" s="1"/>
  <c r="E197" i="46"/>
  <c r="M32" i="34" l="1"/>
  <c r="O32" i="34" s="1"/>
  <c r="M33" i="34"/>
  <c r="O33" i="34" s="1"/>
  <c r="M34" i="34"/>
  <c r="O34" i="34" s="1"/>
  <c r="H204" i="46"/>
  <c r="K204" i="46"/>
  <c r="H199" i="46"/>
  <c r="K199" i="46"/>
  <c r="F82" i="56"/>
  <c r="K111" i="46"/>
  <c r="L111" i="46" s="1"/>
  <c r="H111" i="46"/>
  <c r="I111" i="46" s="1"/>
  <c r="E111" i="46"/>
  <c r="K95" i="46"/>
  <c r="L95" i="46" s="1"/>
  <c r="H95" i="46"/>
  <c r="I95" i="46" s="1"/>
  <c r="E95" i="46"/>
  <c r="K34" i="43"/>
  <c r="J34" i="43"/>
  <c r="C34" i="43"/>
  <c r="K33" i="43"/>
  <c r="L33" i="43" s="1"/>
  <c r="J33" i="43"/>
  <c r="C33" i="43"/>
  <c r="K32" i="43"/>
  <c r="M32" i="43" s="1"/>
  <c r="R32" i="43" s="1"/>
  <c r="J32" i="43"/>
  <c r="C32" i="43"/>
  <c r="K31" i="43"/>
  <c r="J31" i="43"/>
  <c r="C31" i="43"/>
  <c r="M33" i="43" l="1"/>
  <c r="L32" i="43"/>
  <c r="L31" i="43"/>
  <c r="N32" i="43"/>
  <c r="M31" i="43"/>
  <c r="L34" i="43"/>
  <c r="M34" i="43"/>
  <c r="N34" i="43" l="1"/>
  <c r="R34" i="43"/>
  <c r="N33" i="43"/>
  <c r="R33" i="43"/>
  <c r="N31" i="43"/>
  <c r="R31" i="43"/>
  <c r="P32" i="43"/>
  <c r="S32" i="43" s="1"/>
  <c r="P31" i="43" l="1"/>
  <c r="S31" i="43" s="1"/>
  <c r="P33" i="43"/>
  <c r="S33" i="43" s="1"/>
  <c r="P34" i="43"/>
  <c r="S34" i="43" s="1"/>
  <c r="F112" i="56"/>
  <c r="N195" i="46"/>
  <c r="F195" i="46"/>
  <c r="D195" i="46"/>
  <c r="K193" i="46"/>
  <c r="L193" i="46" s="1"/>
  <c r="H193" i="46"/>
  <c r="I193" i="46" s="1"/>
  <c r="E193" i="46"/>
  <c r="N191" i="46"/>
  <c r="F191" i="46"/>
  <c r="D191" i="46"/>
  <c r="K189" i="46"/>
  <c r="L189" i="46" s="1"/>
  <c r="H189" i="46"/>
  <c r="I189" i="46" s="1"/>
  <c r="E189" i="46"/>
  <c r="K188" i="46"/>
  <c r="L188" i="46" s="1"/>
  <c r="H188" i="46"/>
  <c r="I188" i="46" s="1"/>
  <c r="E188" i="46"/>
  <c r="K39" i="46"/>
  <c r="L39" i="46" s="1"/>
  <c r="H39" i="46"/>
  <c r="I39" i="46" s="1"/>
  <c r="E39" i="46"/>
  <c r="N186" i="46"/>
  <c r="F186" i="46"/>
  <c r="D186" i="46"/>
  <c r="K184" i="46"/>
  <c r="L184" i="46" s="1"/>
  <c r="H184" i="46"/>
  <c r="I184" i="46" s="1"/>
  <c r="E184" i="46"/>
  <c r="K110" i="46"/>
  <c r="L110" i="46" s="1"/>
  <c r="H110" i="46"/>
  <c r="I110" i="46" s="1"/>
  <c r="E110" i="46"/>
  <c r="N182" i="46"/>
  <c r="F182" i="46"/>
  <c r="D182" i="46"/>
  <c r="K173" i="46"/>
  <c r="L173" i="46" s="1"/>
  <c r="H173" i="46"/>
  <c r="I173" i="46" s="1"/>
  <c r="E173" i="46"/>
  <c r="N171" i="46"/>
  <c r="F171" i="46"/>
  <c r="D171" i="46"/>
  <c r="K160" i="46"/>
  <c r="K171" i="46" s="1"/>
  <c r="H160" i="46"/>
  <c r="I160" i="46" s="1"/>
  <c r="E160" i="46"/>
  <c r="N158" i="46"/>
  <c r="F158" i="46"/>
  <c r="D158" i="46"/>
  <c r="K155" i="46"/>
  <c r="L155" i="46" s="1"/>
  <c r="H155" i="46"/>
  <c r="I155" i="46" s="1"/>
  <c r="E155" i="46"/>
  <c r="N153" i="46"/>
  <c r="F153" i="46"/>
  <c r="D153" i="46"/>
  <c r="K151" i="46"/>
  <c r="L151" i="46" s="1"/>
  <c r="H151" i="46"/>
  <c r="I151" i="46" s="1"/>
  <c r="E151" i="46"/>
  <c r="K94" i="46"/>
  <c r="L94" i="46" s="1"/>
  <c r="H94" i="46"/>
  <c r="I94" i="46" s="1"/>
  <c r="E94" i="46"/>
  <c r="H195" i="46" l="1"/>
  <c r="K195" i="46"/>
  <c r="H191" i="46"/>
  <c r="K191" i="46"/>
  <c r="H186" i="46"/>
  <c r="K186" i="46"/>
  <c r="L160" i="46"/>
  <c r="H153" i="46"/>
  <c r="H158" i="46"/>
  <c r="K158" i="46"/>
  <c r="H171" i="46"/>
  <c r="H182" i="46"/>
  <c r="K153" i="46"/>
  <c r="K182" i="46"/>
  <c r="N149" i="46" l="1"/>
  <c r="F149" i="46"/>
  <c r="D149" i="46"/>
  <c r="K146" i="46"/>
  <c r="L146" i="46" s="1"/>
  <c r="H146" i="46"/>
  <c r="I146" i="46" s="1"/>
  <c r="E146" i="46"/>
  <c r="N144" i="46"/>
  <c r="F144" i="46"/>
  <c r="D144" i="46"/>
  <c r="K141" i="46"/>
  <c r="K144" i="46" s="1"/>
  <c r="H141" i="46"/>
  <c r="I141" i="46" s="1"/>
  <c r="E141" i="46"/>
  <c r="K38" i="46"/>
  <c r="L38" i="46" s="1"/>
  <c r="H38" i="46"/>
  <c r="I38" i="46" s="1"/>
  <c r="E38" i="46"/>
  <c r="K53" i="46"/>
  <c r="L53" i="46" s="1"/>
  <c r="H53" i="46"/>
  <c r="I53" i="46" s="1"/>
  <c r="E53" i="46"/>
  <c r="K109" i="46"/>
  <c r="L109" i="46" s="1"/>
  <c r="H109" i="46"/>
  <c r="I109" i="46" s="1"/>
  <c r="E109" i="46"/>
  <c r="K93" i="46"/>
  <c r="L93" i="46" s="1"/>
  <c r="H93" i="46"/>
  <c r="I93" i="46" s="1"/>
  <c r="E93" i="46"/>
  <c r="N139" i="46"/>
  <c r="F139" i="46"/>
  <c r="D139" i="46"/>
  <c r="K136" i="46"/>
  <c r="L136" i="46" s="1"/>
  <c r="H136" i="46"/>
  <c r="I136" i="46" s="1"/>
  <c r="E136" i="46"/>
  <c r="K26" i="46"/>
  <c r="L26" i="46" s="1"/>
  <c r="H26" i="46"/>
  <c r="I26" i="46" s="1"/>
  <c r="E26" i="46"/>
  <c r="E37" i="37"/>
  <c r="P48" i="41"/>
  <c r="P47" i="41"/>
  <c r="P46" i="41"/>
  <c r="P45" i="41"/>
  <c r="M39" i="33"/>
  <c r="H37" i="33"/>
  <c r="W37" i="33"/>
  <c r="W31" i="33"/>
  <c r="W30" i="33"/>
  <c r="H31" i="33"/>
  <c r="H30" i="33"/>
  <c r="L141" i="46" l="1"/>
  <c r="H144" i="46"/>
  <c r="H149" i="46"/>
  <c r="K149" i="46"/>
  <c r="H139" i="46"/>
  <c r="K139" i="46"/>
  <c r="K92" i="46" l="1"/>
  <c r="L92" i="46" s="1"/>
  <c r="H92" i="46"/>
  <c r="I92" i="46" s="1"/>
  <c r="E92" i="46"/>
  <c r="N134" i="46"/>
  <c r="F134" i="46"/>
  <c r="D134" i="46"/>
  <c r="K120" i="46"/>
  <c r="K134" i="46" s="1"/>
  <c r="H120" i="46"/>
  <c r="I120" i="46" s="1"/>
  <c r="E120" i="46"/>
  <c r="L120" i="46" l="1"/>
  <c r="H134" i="46"/>
  <c r="K30" i="43"/>
  <c r="M30" i="43" s="1"/>
  <c r="R30" i="43" s="1"/>
  <c r="J30" i="43"/>
  <c r="C30" i="43"/>
  <c r="K37" i="46"/>
  <c r="L37" i="46" s="1"/>
  <c r="H37" i="46"/>
  <c r="I37" i="46" s="1"/>
  <c r="E37" i="46"/>
  <c r="K25" i="46"/>
  <c r="L25" i="46" s="1"/>
  <c r="H25" i="46"/>
  <c r="I25" i="46" s="1"/>
  <c r="E25" i="46"/>
  <c r="N118" i="46"/>
  <c r="F118" i="46"/>
  <c r="D118" i="46"/>
  <c r="K108" i="46"/>
  <c r="L108" i="46" s="1"/>
  <c r="H108" i="46"/>
  <c r="I108" i="46" s="1"/>
  <c r="E108" i="46"/>
  <c r="N106" i="46"/>
  <c r="F106" i="46"/>
  <c r="D106" i="46"/>
  <c r="K91" i="46"/>
  <c r="L91" i="46" s="1"/>
  <c r="H91" i="46"/>
  <c r="I91" i="46" s="1"/>
  <c r="E91" i="46"/>
  <c r="Q48" i="41"/>
  <c r="Q47" i="41"/>
  <c r="Q46" i="41"/>
  <c r="Q45" i="41"/>
  <c r="N30" i="43" l="1"/>
  <c r="L30" i="43"/>
  <c r="H106" i="46"/>
  <c r="H118" i="46"/>
  <c r="K106" i="46"/>
  <c r="K118" i="46"/>
  <c r="P30" i="43" l="1"/>
  <c r="S30" i="43" s="1"/>
  <c r="K36" i="46"/>
  <c r="L36" i="46" s="1"/>
  <c r="H36" i="46"/>
  <c r="I36" i="46" s="1"/>
  <c r="E36" i="46"/>
  <c r="H317" i="37" l="1"/>
  <c r="F317" i="37"/>
  <c r="D317" i="37"/>
  <c r="B29" i="34"/>
  <c r="C29" i="34"/>
  <c r="D29" i="34"/>
  <c r="E29" i="34"/>
  <c r="I29" i="34"/>
  <c r="L29" i="34"/>
  <c r="M38" i="33"/>
  <c r="J29" i="34" s="1"/>
  <c r="H32" i="33"/>
  <c r="H29" i="33"/>
  <c r="W32" i="33"/>
  <c r="W29" i="33"/>
  <c r="H29" i="34" l="1"/>
  <c r="K29" i="34"/>
  <c r="F29" i="34"/>
  <c r="M29" i="34" l="1"/>
  <c r="M41" i="34" s="1"/>
  <c r="E42" i="40" s="1"/>
  <c r="N88" i="46"/>
  <c r="F88" i="46"/>
  <c r="D88" i="46"/>
  <c r="K86" i="46"/>
  <c r="L86" i="46" s="1"/>
  <c r="H86" i="46"/>
  <c r="I86" i="46" s="1"/>
  <c r="E86" i="46"/>
  <c r="E105" i="37"/>
  <c r="E287" i="37"/>
  <c r="E147" i="37"/>
  <c r="E36" i="37"/>
  <c r="O29" i="34" l="1"/>
  <c r="O41" i="34" s="1"/>
  <c r="H88" i="46"/>
  <c r="K88" i="46"/>
  <c r="E35" i="37"/>
  <c r="H313" i="37"/>
  <c r="F313" i="37"/>
  <c r="D313" i="37"/>
  <c r="E311" i="37"/>
  <c r="E286" i="37"/>
  <c r="E146" i="37"/>
  <c r="K29" i="43"/>
  <c r="L29" i="43" s="1"/>
  <c r="J29" i="43"/>
  <c r="C29" i="43"/>
  <c r="K28" i="43"/>
  <c r="L28" i="43" s="1"/>
  <c r="J28" i="43"/>
  <c r="C28" i="43"/>
  <c r="M29" i="43" l="1"/>
  <c r="M28" i="43"/>
  <c r="N29" i="43" l="1"/>
  <c r="R29" i="43"/>
  <c r="N28" i="43"/>
  <c r="R28" i="43"/>
  <c r="K35" i="46"/>
  <c r="L35" i="46" s="1"/>
  <c r="H35" i="46"/>
  <c r="I35" i="46" s="1"/>
  <c r="E35" i="46"/>
  <c r="E34" i="37"/>
  <c r="E90" i="37"/>
  <c r="P29" i="43" l="1"/>
  <c r="S29" i="43" s="1"/>
  <c r="P28" i="43"/>
  <c r="S28" i="43" s="1"/>
  <c r="E285" i="37"/>
  <c r="E33" i="37"/>
  <c r="E284" i="37"/>
  <c r="E32" i="37" l="1"/>
  <c r="E104" i="37"/>
  <c r="K78" i="46" l="1"/>
  <c r="L78" i="46" s="1"/>
  <c r="H78" i="46"/>
  <c r="I78" i="46" s="1"/>
  <c r="E78" i="46"/>
  <c r="E184" i="37"/>
  <c r="J8" i="44" l="1"/>
  <c r="K8" i="44" s="1"/>
  <c r="C8" i="44"/>
  <c r="K27" i="43"/>
  <c r="J27" i="43"/>
  <c r="C27" i="43"/>
  <c r="K69" i="46"/>
  <c r="L69" i="46" s="1"/>
  <c r="H69" i="46"/>
  <c r="I69" i="46" s="1"/>
  <c r="E69" i="46"/>
  <c r="E103" i="37"/>
  <c r="E252" i="37"/>
  <c r="M8" i="44" l="1"/>
  <c r="L27" i="43"/>
  <c r="M27" i="43"/>
  <c r="E251" i="37"/>
  <c r="E102" i="37"/>
  <c r="N27" i="43" l="1"/>
  <c r="R27" i="43"/>
  <c r="E101" i="37"/>
  <c r="E250" i="37"/>
  <c r="P27" i="43" l="1"/>
  <c r="S27" i="43" s="1"/>
  <c r="H93" i="56"/>
  <c r="R93" i="56" s="1"/>
  <c r="H87" i="56"/>
  <c r="R87" i="56" s="1"/>
  <c r="F88" i="56"/>
  <c r="H88" i="56" s="1"/>
  <c r="R88" i="56" s="1"/>
  <c r="H94" i="56"/>
  <c r="R94" i="56" s="1"/>
  <c r="F99" i="56"/>
  <c r="H99" i="56" s="1"/>
  <c r="R99" i="56" s="1"/>
  <c r="H100" i="56"/>
  <c r="F101" i="56"/>
  <c r="H101" i="56" s="1"/>
  <c r="R101" i="56" s="1"/>
  <c r="F102" i="56"/>
  <c r="P104" i="56"/>
  <c r="F107" i="56"/>
  <c r="H107" i="56" s="1"/>
  <c r="R107" i="56" s="1"/>
  <c r="H112" i="56"/>
  <c r="R112" i="56" s="1"/>
  <c r="F118" i="56"/>
  <c r="H118" i="56" s="1"/>
  <c r="R118" i="56" s="1"/>
  <c r="F119" i="56"/>
  <c r="H119" i="56" s="1"/>
  <c r="R119" i="56" s="1"/>
  <c r="F120" i="56"/>
  <c r="H120" i="56" s="1"/>
  <c r="R120" i="56" s="1"/>
  <c r="F121" i="56"/>
  <c r="F122" i="56"/>
  <c r="H122" i="56" s="1"/>
  <c r="R122" i="56" s="1"/>
  <c r="F127" i="56"/>
  <c r="H127" i="56" s="1"/>
  <c r="R127" i="56" s="1"/>
  <c r="F128" i="56"/>
  <c r="H128" i="56" s="1"/>
  <c r="R128" i="56" s="1"/>
  <c r="F133" i="56"/>
  <c r="H133" i="56" s="1"/>
  <c r="R133" i="56" s="1"/>
  <c r="F134" i="56"/>
  <c r="F135" i="56"/>
  <c r="H135" i="56" s="1"/>
  <c r="R135" i="56" s="1"/>
  <c r="F140" i="56"/>
  <c r="H140" i="56" s="1"/>
  <c r="R140" i="56" s="1"/>
  <c r="E249" i="37"/>
  <c r="E100" i="37"/>
  <c r="E283" i="37"/>
  <c r="Y9" i="56" l="1"/>
  <c r="Y10" i="56"/>
  <c r="H134" i="56"/>
  <c r="R134" i="56" s="1"/>
  <c r="H121" i="56"/>
  <c r="R121" i="56" s="1"/>
  <c r="H113" i="56"/>
  <c r="R113" i="56" s="1"/>
  <c r="H102" i="56"/>
  <c r="R102" i="56" s="1"/>
  <c r="E30" i="64" l="1"/>
  <c r="M37" i="33"/>
  <c r="H35" i="33"/>
  <c r="W35" i="33"/>
  <c r="H28" i="33"/>
  <c r="H27" i="33"/>
  <c r="W28" i="33"/>
  <c r="W27" i="33"/>
  <c r="W26" i="33"/>
  <c r="H26" i="33"/>
  <c r="E282" i="37" l="1"/>
  <c r="E145" i="37"/>
  <c r="M36" i="33" l="1"/>
  <c r="H34" i="33" l="1"/>
  <c r="P35" i="33"/>
  <c r="P34" i="33"/>
  <c r="M35" i="33"/>
  <c r="M34" i="33"/>
  <c r="W34" i="33"/>
  <c r="B95" i="66" l="1"/>
  <c r="E99" i="37"/>
  <c r="E182" i="37"/>
  <c r="E248" i="37"/>
  <c r="E144" i="37"/>
  <c r="J7" i="44"/>
  <c r="K7" i="44" s="1"/>
  <c r="M7" i="44" s="1"/>
  <c r="C7" i="44"/>
  <c r="K26" i="43" l="1"/>
  <c r="M26" i="43" s="1"/>
  <c r="J26" i="43"/>
  <c r="C26" i="43"/>
  <c r="N26" i="43" l="1"/>
  <c r="R26" i="43"/>
  <c r="L26" i="43"/>
  <c r="E31" i="37"/>
  <c r="E98" i="37"/>
  <c r="E247" i="37"/>
  <c r="P26" i="43" l="1"/>
  <c r="S26" i="43" s="1"/>
  <c r="E97" i="37"/>
  <c r="E246" i="37"/>
  <c r="E30" i="37"/>
  <c r="H309" i="37"/>
  <c r="F309" i="37"/>
  <c r="D309" i="37"/>
  <c r="E281" i="37"/>
  <c r="E181" i="37"/>
  <c r="K68" i="46" l="1"/>
  <c r="L68" i="46" s="1"/>
  <c r="H68" i="46"/>
  <c r="I68" i="46" s="1"/>
  <c r="E68" i="46"/>
  <c r="K67" i="46"/>
  <c r="L67" i="46" s="1"/>
  <c r="H67" i="46"/>
  <c r="I67" i="46" s="1"/>
  <c r="E67" i="46"/>
  <c r="P17" i="43" l="1"/>
  <c r="S17" i="43" s="1"/>
  <c r="R17" i="43"/>
  <c r="K25" i="43" l="1"/>
  <c r="J25" i="43"/>
  <c r="C25" i="43"/>
  <c r="L25" i="43" l="1"/>
  <c r="M25" i="43"/>
  <c r="N25" i="43" l="1"/>
  <c r="R25" i="43"/>
  <c r="R18" i="43"/>
  <c r="P18" i="43"/>
  <c r="R16" i="43"/>
  <c r="P16" i="43"/>
  <c r="P25" i="43" l="1"/>
  <c r="S25" i="43" s="1"/>
  <c r="K24" i="43"/>
  <c r="M24" i="43" s="1"/>
  <c r="J24" i="43"/>
  <c r="C24" i="43"/>
  <c r="K23" i="43"/>
  <c r="M23" i="43" s="1"/>
  <c r="J23" i="43"/>
  <c r="C23" i="43"/>
  <c r="N24" i="43" l="1"/>
  <c r="R24" i="43"/>
  <c r="N23" i="43"/>
  <c r="R23" i="43"/>
  <c r="L24" i="43"/>
  <c r="L23" i="43"/>
  <c r="P24" i="43" l="1"/>
  <c r="S24" i="43" s="1"/>
  <c r="P23" i="43"/>
  <c r="S23" i="43" s="1"/>
  <c r="W24" i="33"/>
  <c r="H24" i="33"/>
  <c r="K22" i="43" l="1"/>
  <c r="J22" i="43"/>
  <c r="C22" i="43"/>
  <c r="L22" i="43" l="1"/>
  <c r="M22" i="43"/>
  <c r="N22" i="43" l="1"/>
  <c r="R22" i="43"/>
  <c r="P22" i="43" l="1"/>
  <c r="S22" i="43" s="1"/>
  <c r="K21" i="43"/>
  <c r="J21" i="43"/>
  <c r="C21" i="43"/>
  <c r="L21" i="43" l="1"/>
  <c r="M21" i="43"/>
  <c r="E245" i="37"/>
  <c r="K20" i="43"/>
  <c r="J20" i="43"/>
  <c r="C20" i="43"/>
  <c r="N21" i="43" l="1"/>
  <c r="R21" i="43"/>
  <c r="L20" i="43"/>
  <c r="M20" i="43"/>
  <c r="P21" i="43" l="1"/>
  <c r="S21" i="43" s="1"/>
  <c r="N20" i="43"/>
  <c r="P20" i="43" s="1"/>
  <c r="R20" i="43"/>
  <c r="S20" i="43" l="1"/>
  <c r="F242" i="37"/>
  <c r="D242" i="37"/>
  <c r="H242" i="37"/>
  <c r="E239" i="37"/>
  <c r="E238" i="37"/>
  <c r="E66" i="37"/>
  <c r="H21" i="33" l="1"/>
  <c r="W21" i="33"/>
  <c r="K19" i="43" l="1"/>
  <c r="J19" i="43"/>
  <c r="C19" i="43"/>
  <c r="L19" i="43" l="1"/>
  <c r="M19" i="43"/>
  <c r="N19" i="43" l="1"/>
  <c r="R19" i="43"/>
  <c r="P19" i="43" l="1"/>
  <c r="S19" i="43" s="1"/>
  <c r="S18" i="43"/>
  <c r="S16" i="43"/>
  <c r="E143" i="37" l="1"/>
  <c r="K15" i="43" l="1"/>
  <c r="J15" i="43"/>
  <c r="C15" i="43"/>
  <c r="L15" i="43" l="1"/>
  <c r="M15" i="43"/>
  <c r="K14" i="43"/>
  <c r="J14" i="43"/>
  <c r="C14" i="43"/>
  <c r="N15" i="43" l="1"/>
  <c r="R15" i="43"/>
  <c r="L14" i="43"/>
  <c r="M14" i="43"/>
  <c r="P15" i="43" l="1"/>
  <c r="S15" i="43" s="1"/>
  <c r="N14" i="43"/>
  <c r="R14" i="43"/>
  <c r="E135" i="37"/>
  <c r="E237" i="37"/>
  <c r="P14" i="43" l="1"/>
  <c r="S14" i="43" s="1"/>
  <c r="E236" i="37"/>
  <c r="G30" i="64"/>
  <c r="L32" i="33" l="1"/>
  <c r="B64" i="66" l="1"/>
  <c r="H279" i="37"/>
  <c r="F279" i="37"/>
  <c r="D279" i="37"/>
  <c r="E244" i="37"/>
  <c r="K13" i="43"/>
  <c r="J13" i="43"/>
  <c r="C13" i="43"/>
  <c r="L13" i="43" l="1"/>
  <c r="M13" i="43"/>
  <c r="K12" i="43"/>
  <c r="J12" i="43"/>
  <c r="C12" i="43"/>
  <c r="N13" i="43" l="1"/>
  <c r="P13" i="43" s="1"/>
  <c r="R13" i="43"/>
  <c r="L12" i="43"/>
  <c r="M12" i="43"/>
  <c r="H25" i="33"/>
  <c r="J25" i="33" s="1"/>
  <c r="Q25" i="33" s="1"/>
  <c r="R25" i="33" s="1"/>
  <c r="W25" i="33"/>
  <c r="P25" i="33"/>
  <c r="P24" i="33"/>
  <c r="M25" i="33"/>
  <c r="M24" i="33"/>
  <c r="N12" i="43" l="1"/>
  <c r="R12" i="43"/>
  <c r="S13" i="43"/>
  <c r="X25" i="33"/>
  <c r="S25" i="33"/>
  <c r="L25" i="33"/>
  <c r="E235" i="37"/>
  <c r="E234" i="37"/>
  <c r="P12" i="43" l="1"/>
  <c r="S12" i="43" s="1"/>
  <c r="N25" i="33"/>
  <c r="O25" i="33" s="1"/>
  <c r="U25" i="33"/>
  <c r="Z25" i="33"/>
  <c r="E233" i="37" l="1"/>
  <c r="E232" i="37"/>
  <c r="L31" i="33"/>
  <c r="K34" i="46" l="1"/>
  <c r="L34" i="46" s="1"/>
  <c r="H34" i="46"/>
  <c r="I34" i="46" s="1"/>
  <c r="E34" i="46"/>
  <c r="K33" i="46" l="1"/>
  <c r="L33" i="46" s="1"/>
  <c r="H33" i="46"/>
  <c r="I33" i="46" s="1"/>
  <c r="E33" i="46"/>
  <c r="E29" i="37"/>
  <c r="J59" i="65" l="1"/>
  <c r="I59" i="65"/>
  <c r="H59" i="65"/>
  <c r="G59" i="65"/>
  <c r="F59" i="65"/>
  <c r="E59" i="65"/>
  <c r="E231" i="37"/>
  <c r="E230" i="37"/>
  <c r="K59" i="65" l="1"/>
  <c r="C121" i="56" s="1"/>
  <c r="M59" i="65"/>
  <c r="J121" i="56" s="1"/>
  <c r="L59" i="65"/>
  <c r="I121" i="56" s="1"/>
  <c r="V121" i="56" l="1"/>
  <c r="K121" i="56"/>
  <c r="E121" i="56"/>
  <c r="D121" i="56"/>
  <c r="M121" i="56" l="1"/>
  <c r="L121" i="56"/>
  <c r="E28" i="37"/>
  <c r="E27" i="37" l="1"/>
  <c r="I15" i="20"/>
  <c r="P53" i="33"/>
  <c r="M53" i="33"/>
  <c r="D53" i="33"/>
  <c r="L30" i="33" l="1"/>
  <c r="AC6" i="62" l="1"/>
  <c r="N75" i="46"/>
  <c r="F75" i="46"/>
  <c r="D75" i="46"/>
  <c r="K66" i="46"/>
  <c r="L66" i="46" s="1"/>
  <c r="H66" i="46"/>
  <c r="I66" i="46" s="1"/>
  <c r="E66" i="46"/>
  <c r="E142" i="37"/>
  <c r="K11" i="43"/>
  <c r="J11" i="43"/>
  <c r="C11" i="43"/>
  <c r="H75" i="46" l="1"/>
  <c r="K75" i="46"/>
  <c r="M11" i="43"/>
  <c r="L11" i="43"/>
  <c r="J15" i="20" l="1"/>
  <c r="J16" i="20" s="1"/>
  <c r="N11" i="43"/>
  <c r="R11" i="43"/>
  <c r="H18" i="33"/>
  <c r="H17" i="33"/>
  <c r="W18" i="33"/>
  <c r="W17" i="33"/>
  <c r="P11" i="43" l="1"/>
  <c r="S11" i="43" s="1"/>
  <c r="K62" i="46" l="1"/>
  <c r="L62" i="46" s="1"/>
  <c r="H62" i="46"/>
  <c r="I62" i="46" s="1"/>
  <c r="E62" i="46"/>
  <c r="E221" i="37"/>
  <c r="H227" i="37"/>
  <c r="F227" i="37"/>
  <c r="D227" i="37"/>
  <c r="E225" i="37"/>
  <c r="K61" i="46" l="1"/>
  <c r="L61" i="46" s="1"/>
  <c r="H61" i="46"/>
  <c r="I61" i="46" s="1"/>
  <c r="E61" i="46"/>
  <c r="E140" i="37"/>
  <c r="E139" i="37"/>
  <c r="E141" i="37"/>
  <c r="K60" i="46" l="1"/>
  <c r="L60" i="46" s="1"/>
  <c r="H60" i="46"/>
  <c r="I60" i="46" s="1"/>
  <c r="E60" i="46"/>
  <c r="K10" i="43"/>
  <c r="J10" i="43"/>
  <c r="L10" i="43" l="1"/>
  <c r="M10" i="43"/>
  <c r="N10" i="43" l="1"/>
  <c r="R10" i="43"/>
  <c r="P10" i="43" l="1"/>
  <c r="S10" i="43" s="1"/>
  <c r="K59" i="46"/>
  <c r="L59" i="46" s="1"/>
  <c r="H59" i="46"/>
  <c r="I59" i="46" s="1"/>
  <c r="E59" i="46"/>
  <c r="K58" i="46"/>
  <c r="L58" i="46" s="1"/>
  <c r="H58" i="46"/>
  <c r="I58" i="46" s="1"/>
  <c r="E58" i="46"/>
  <c r="N64" i="46"/>
  <c r="F64" i="46"/>
  <c r="D64" i="46"/>
  <c r="H64" i="46" l="1"/>
  <c r="K64" i="46"/>
  <c r="K9" i="43" l="1"/>
  <c r="M9" i="43" s="1"/>
  <c r="R9" i="43" s="1"/>
  <c r="J9" i="43"/>
  <c r="N9" i="43" l="1"/>
  <c r="L9" i="43"/>
  <c r="K8" i="43"/>
  <c r="M8" i="43" s="1"/>
  <c r="R8" i="43" s="1"/>
  <c r="J8" i="43"/>
  <c r="P9" i="43" l="1"/>
  <c r="S9" i="43" s="1"/>
  <c r="N8" i="43"/>
  <c r="L8" i="43"/>
  <c r="P8" i="43" l="1"/>
  <c r="S8" i="43" s="1"/>
  <c r="K7" i="43" l="1"/>
  <c r="K40" i="43" s="1"/>
  <c r="J7" i="43"/>
  <c r="L7" i="43" l="1"/>
  <c r="L40" i="43" s="1"/>
  <c r="M7" i="43"/>
  <c r="M40" i="43" s="1"/>
  <c r="R7" i="43" l="1"/>
  <c r="N7" i="43"/>
  <c r="N40" i="43" s="1"/>
  <c r="P7" i="43" l="1"/>
  <c r="S7" i="43" s="1"/>
  <c r="S40" i="43" s="1"/>
  <c r="N56" i="46"/>
  <c r="F56" i="46"/>
  <c r="D56" i="46"/>
  <c r="K52" i="46"/>
  <c r="L52" i="46" s="1"/>
  <c r="H52" i="46"/>
  <c r="I52" i="46" s="1"/>
  <c r="E52" i="46"/>
  <c r="L29" i="33"/>
  <c r="H56" i="46" l="1"/>
  <c r="K56" i="46"/>
  <c r="N50" i="46"/>
  <c r="F50" i="46"/>
  <c r="D50" i="46"/>
  <c r="F79" i="56" l="1"/>
  <c r="L28" i="33" l="1"/>
  <c r="L9" i="47" l="1"/>
  <c r="L27" i="33" l="1"/>
  <c r="E220" i="37" l="1"/>
  <c r="H223" i="37"/>
  <c r="F223" i="37"/>
  <c r="D223" i="37"/>
  <c r="E134" i="37"/>
  <c r="E133" i="37"/>
  <c r="E132" i="37"/>
  <c r="E65" i="37"/>
  <c r="E64" i="37"/>
  <c r="E63" i="37"/>
  <c r="E62" i="37"/>
  <c r="E84" i="37"/>
  <c r="E83" i="37"/>
  <c r="E26" i="37"/>
  <c r="E25" i="37"/>
  <c r="E24" i="37"/>
  <c r="E23" i="37"/>
  <c r="E14" i="37"/>
  <c r="E13" i="37"/>
  <c r="AF6" i="62" l="1"/>
  <c r="AE6" i="62"/>
  <c r="AD6" i="62"/>
  <c r="L26" i="33" l="1"/>
  <c r="H23" i="33" l="1"/>
  <c r="H22" i="33"/>
  <c r="H20" i="33"/>
  <c r="H16" i="33"/>
  <c r="H15" i="33"/>
  <c r="H14" i="33"/>
  <c r="H13" i="33"/>
  <c r="W23" i="33"/>
  <c r="W22" i="33"/>
  <c r="W20" i="33"/>
  <c r="W16" i="33"/>
  <c r="W15" i="33"/>
  <c r="W14" i="33"/>
  <c r="W13" i="33"/>
  <c r="E22" i="37" l="1"/>
  <c r="E12" i="37"/>
  <c r="E11" i="37"/>
  <c r="H21" i="47"/>
  <c r="E31" i="46" l="1"/>
  <c r="H31" i="46"/>
  <c r="K31" i="46"/>
  <c r="K32" i="46"/>
  <c r="L32" i="46" s="1"/>
  <c r="H32" i="46"/>
  <c r="I32" i="46" s="1"/>
  <c r="E32" i="46"/>
  <c r="E21" i="37"/>
  <c r="E61" i="37"/>
  <c r="K21" i="47"/>
  <c r="L31" i="46" l="1"/>
  <c r="K50" i="46"/>
  <c r="I31" i="46"/>
  <c r="H50" i="46"/>
  <c r="H19" i="33"/>
  <c r="W19" i="33"/>
  <c r="H12" i="33"/>
  <c r="W12" i="33"/>
  <c r="L24" i="33" l="1"/>
  <c r="I21" i="47"/>
  <c r="K24" i="46" l="1"/>
  <c r="L24" i="46" s="1"/>
  <c r="H24" i="46"/>
  <c r="I24" i="46" s="1"/>
  <c r="E24" i="46"/>
  <c r="E131" i="37"/>
  <c r="E20" i="37"/>
  <c r="E180" i="37"/>
  <c r="H218" i="37"/>
  <c r="F218" i="37"/>
  <c r="D218" i="37"/>
  <c r="E95" i="37"/>
  <c r="H178" i="37" l="1"/>
  <c r="F178" i="37"/>
  <c r="D178" i="37"/>
  <c r="K23" i="46" l="1"/>
  <c r="L23" i="46" s="1"/>
  <c r="H23" i="46"/>
  <c r="I23" i="46" s="1"/>
  <c r="E23" i="46"/>
  <c r="H137" i="37"/>
  <c r="E130" i="37"/>
  <c r="E60" i="37"/>
  <c r="E19" i="37"/>
  <c r="F137" i="37"/>
  <c r="D137" i="37"/>
  <c r="E94" i="37"/>
  <c r="H128" i="37"/>
  <c r="F128" i="37"/>
  <c r="D128" i="37"/>
  <c r="K18" i="46" l="1"/>
  <c r="L18" i="46" s="1"/>
  <c r="H18" i="46"/>
  <c r="I18" i="46" s="1"/>
  <c r="E18" i="46"/>
  <c r="K22" i="46"/>
  <c r="L22" i="46" s="1"/>
  <c r="H22" i="46"/>
  <c r="I22" i="46" s="1"/>
  <c r="E22" i="46"/>
  <c r="H92" i="37"/>
  <c r="F92" i="37"/>
  <c r="D92" i="37"/>
  <c r="E88" i="37"/>
  <c r="E82" i="37"/>
  <c r="E59" i="37"/>
  <c r="E55" i="37"/>
  <c r="E54" i="37"/>
  <c r="E18" i="37"/>
  <c r="K36" i="41"/>
  <c r="L36" i="41" s="1"/>
  <c r="H36" i="41"/>
  <c r="I36" i="41" s="1"/>
  <c r="E36" i="41"/>
  <c r="H86" i="37" l="1"/>
  <c r="F86" i="37"/>
  <c r="D86" i="37"/>
  <c r="H80" i="37"/>
  <c r="F80" i="37"/>
  <c r="D80" i="37"/>
  <c r="H57" i="37"/>
  <c r="F57" i="37"/>
  <c r="D57" i="37"/>
  <c r="K35" i="41"/>
  <c r="L35" i="41" s="1"/>
  <c r="H35" i="41"/>
  <c r="I35" i="41" s="1"/>
  <c r="E35" i="41"/>
  <c r="A7" i="68" l="1"/>
  <c r="A8" i="68" s="1"/>
  <c r="A9" i="68" s="1"/>
  <c r="A10" i="68" s="1"/>
  <c r="A11" i="68" s="1"/>
  <c r="A12" i="68" s="1"/>
  <c r="C6" i="68"/>
  <c r="D6" i="68" s="1"/>
  <c r="E6" i="68" s="1"/>
  <c r="H52" i="37"/>
  <c r="F52" i="37"/>
  <c r="D52" i="37"/>
  <c r="E10" i="37"/>
  <c r="H16" i="37"/>
  <c r="F16" i="37"/>
  <c r="D16" i="37"/>
  <c r="A13" i="68" l="1"/>
  <c r="C12" i="68"/>
  <c r="D12" i="68" s="1"/>
  <c r="E12" i="68" s="1"/>
  <c r="B18" i="70"/>
  <c r="B18" i="71"/>
  <c r="A14" i="68" l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A201" i="68" s="1"/>
  <c r="A202" i="68" s="1"/>
  <c r="A203" i="68" s="1"/>
  <c r="A204" i="68" s="1"/>
  <c r="A205" i="68" s="1"/>
  <c r="A206" i="68" s="1"/>
  <c r="A207" i="68" s="1"/>
  <c r="A208" i="68" s="1"/>
  <c r="A209" i="68" s="1"/>
  <c r="A210" i="68" s="1"/>
  <c r="A211" i="68" s="1"/>
  <c r="A212" i="68" s="1"/>
  <c r="A213" i="68" s="1"/>
  <c r="A214" i="68" s="1"/>
  <c r="A215" i="68" s="1"/>
  <c r="A216" i="68" s="1"/>
  <c r="A217" i="68" s="1"/>
  <c r="A218" i="68" s="1"/>
  <c r="A219" i="68" s="1"/>
  <c r="A220" i="68" s="1"/>
  <c r="A221" i="68" s="1"/>
  <c r="A222" i="68" s="1"/>
  <c r="A223" i="68" s="1"/>
  <c r="A224" i="68" s="1"/>
  <c r="A225" i="68" s="1"/>
  <c r="A226" i="68" s="1"/>
  <c r="A227" i="68" s="1"/>
  <c r="A228" i="68" s="1"/>
  <c r="A229" i="68" s="1"/>
  <c r="A230" i="68" s="1"/>
  <c r="A231" i="68" s="1"/>
  <c r="A232" i="68" s="1"/>
  <c r="A233" i="68" s="1"/>
  <c r="A234" i="68" s="1"/>
  <c r="A235" i="68" s="1"/>
  <c r="A236" i="68" s="1"/>
  <c r="A237" i="68" s="1"/>
  <c r="A238" i="68" s="1"/>
  <c r="A239" i="68" s="1"/>
  <c r="A240" i="68" s="1"/>
  <c r="A241" i="68" s="1"/>
  <c r="A242" i="68" s="1"/>
  <c r="A243" i="68" s="1"/>
  <c r="A244" i="68" s="1"/>
  <c r="A245" i="68" s="1"/>
  <c r="A246" i="68" s="1"/>
  <c r="A247" i="68" s="1"/>
  <c r="A248" i="68" s="1"/>
  <c r="A249" i="68" s="1"/>
  <c r="A250" i="68" s="1"/>
  <c r="A251" i="68" s="1"/>
  <c r="A252" i="68" s="1"/>
  <c r="A253" i="68" s="1"/>
  <c r="A254" i="68" s="1"/>
  <c r="A255" i="68" s="1"/>
  <c r="A256" i="68" s="1"/>
  <c r="A257" i="68" s="1"/>
  <c r="A258" i="68" s="1"/>
  <c r="A259" i="68" s="1"/>
  <c r="A260" i="68" s="1"/>
  <c r="A261" i="68" s="1"/>
  <c r="A262" i="68" s="1"/>
  <c r="A263" i="68" s="1"/>
  <c r="A264" i="68" s="1"/>
  <c r="A265" i="68" s="1"/>
  <c r="A266" i="68" s="1"/>
  <c r="A267" i="68" s="1"/>
  <c r="A268" i="68" s="1"/>
  <c r="A269" i="68" s="1"/>
  <c r="A270" i="68" s="1"/>
  <c r="A271" i="68" s="1"/>
  <c r="A272" i="68" s="1"/>
  <c r="A273" i="68" s="1"/>
  <c r="A274" i="68" s="1"/>
  <c r="A275" i="68" s="1"/>
  <c r="A276" i="68" s="1"/>
  <c r="A277" i="68" s="1"/>
  <c r="A278" i="68" s="1"/>
  <c r="A279" i="68" s="1"/>
  <c r="A280" i="68" s="1"/>
  <c r="A281" i="68" s="1"/>
  <c r="A282" i="68" s="1"/>
  <c r="A283" i="68" s="1"/>
  <c r="A284" i="68" s="1"/>
  <c r="A285" i="68" s="1"/>
  <c r="A286" i="68" s="1"/>
  <c r="A287" i="68" s="1"/>
  <c r="A288" i="68" s="1"/>
  <c r="A289" i="68" s="1"/>
  <c r="A290" i="68" s="1"/>
  <c r="A291" i="68" s="1"/>
  <c r="A292" i="68" s="1"/>
  <c r="A293" i="68" s="1"/>
  <c r="A294" i="68" s="1"/>
  <c r="A295" i="68" s="1"/>
  <c r="A296" i="68" s="1"/>
  <c r="A297" i="68" s="1"/>
  <c r="A298" i="68" s="1"/>
  <c r="A299" i="68" s="1"/>
  <c r="A300" i="68" s="1"/>
  <c r="A301" i="68" s="1"/>
  <c r="A302" i="68" s="1"/>
  <c r="A303" i="68" s="1"/>
  <c r="A304" i="68" s="1"/>
  <c r="A305" i="68" s="1"/>
  <c r="A306" i="68" s="1"/>
  <c r="A307" i="68" s="1"/>
  <c r="A308" i="68" s="1"/>
  <c r="A309" i="68" s="1"/>
  <c r="A310" i="68" s="1"/>
  <c r="A311" i="68" s="1"/>
  <c r="A312" i="68" s="1"/>
  <c r="A313" i="68" s="1"/>
  <c r="A314" i="68" s="1"/>
  <c r="A315" i="68" s="1"/>
  <c r="A316" i="68" s="1"/>
  <c r="A317" i="68" s="1"/>
  <c r="A318" i="68" s="1"/>
  <c r="A319" i="68" s="1"/>
  <c r="A320" i="68" s="1"/>
  <c r="A321" i="68" s="1"/>
  <c r="A322" i="68" s="1"/>
  <c r="A323" i="68" s="1"/>
  <c r="A324" i="68" s="1"/>
  <c r="A325" i="68" s="1"/>
  <c r="A326" i="68" s="1"/>
  <c r="A327" i="68" s="1"/>
  <c r="A328" i="68" s="1"/>
  <c r="A329" i="68" s="1"/>
  <c r="A330" i="68" s="1"/>
  <c r="A331" i="68" s="1"/>
  <c r="A332" i="68" s="1"/>
  <c r="A333" i="68" s="1"/>
  <c r="A334" i="68" s="1"/>
  <c r="A335" i="68" s="1"/>
  <c r="A336" i="68" s="1"/>
  <c r="A337" i="68" s="1"/>
  <c r="A338" i="68" s="1"/>
  <c r="A339" i="68" s="1"/>
  <c r="A340" i="68" s="1"/>
  <c r="A341" i="68" s="1"/>
  <c r="A342" i="68" s="1"/>
  <c r="A343" i="68" s="1"/>
  <c r="A344" i="68" s="1"/>
  <c r="A345" i="68" s="1"/>
  <c r="A346" i="68" s="1"/>
  <c r="A347" i="68" s="1"/>
  <c r="A348" i="68" s="1"/>
  <c r="A349" i="68" s="1"/>
  <c r="A350" i="68" s="1"/>
  <c r="A351" i="68" s="1"/>
  <c r="A352" i="68" s="1"/>
  <c r="A353" i="68" s="1"/>
  <c r="A354" i="68" s="1"/>
  <c r="A355" i="68" s="1"/>
  <c r="A356" i="68" s="1"/>
  <c r="A357" i="68" s="1"/>
  <c r="A358" i="68" s="1"/>
  <c r="A359" i="68" s="1"/>
  <c r="A360" i="68" s="1"/>
  <c r="A361" i="68" s="1"/>
  <c r="A362" i="68" s="1"/>
  <c r="A363" i="68" s="1"/>
  <c r="A364" i="68" s="1"/>
  <c r="A365" i="68" s="1"/>
  <c r="A366" i="68" s="1"/>
  <c r="A367" i="68" s="1"/>
  <c r="A368" i="68" s="1"/>
  <c r="A369" i="68" s="1"/>
  <c r="C13" i="68"/>
  <c r="D13" i="68" s="1"/>
  <c r="E13" i="68" s="1"/>
  <c r="C369" i="68" l="1"/>
  <c r="D369" i="68" s="1"/>
  <c r="E369" i="68" s="1"/>
  <c r="A370" i="68"/>
  <c r="C370" i="68" s="1"/>
  <c r="D370" i="68" s="1"/>
  <c r="E370" i="68" s="1"/>
  <c r="K17" i="20" l="1"/>
  <c r="L23" i="33"/>
  <c r="F61" i="56" l="1"/>
  <c r="H61" i="56" s="1"/>
  <c r="L12" i="33" l="1"/>
  <c r="C23" i="47" l="1"/>
  <c r="M23" i="47"/>
  <c r="L5" i="20" l="1"/>
  <c r="J24" i="20" l="1"/>
  <c r="J62" i="65" l="1"/>
  <c r="I62" i="65"/>
  <c r="H62" i="65"/>
  <c r="G62" i="65"/>
  <c r="F62" i="65"/>
  <c r="E62" i="65"/>
  <c r="K62" i="65" l="1"/>
  <c r="M62" i="65"/>
  <c r="J100" i="56" s="1"/>
  <c r="L62" i="65"/>
  <c r="I100" i="56" s="1"/>
  <c r="C100" i="56" l="1"/>
  <c r="K100" i="56" s="1"/>
  <c r="L100" i="56" l="1"/>
  <c r="M100" i="56"/>
  <c r="AB6" i="62"/>
  <c r="J58" i="65" l="1"/>
  <c r="I58" i="65"/>
  <c r="H58" i="65"/>
  <c r="G58" i="65"/>
  <c r="F58" i="65"/>
  <c r="E58" i="65"/>
  <c r="M58" i="65" l="1"/>
  <c r="J120" i="56" s="1"/>
  <c r="K58" i="65"/>
  <c r="L58" i="65"/>
  <c r="I120" i="56" s="1"/>
  <c r="C120" i="56" l="1"/>
  <c r="K120" i="56" s="1"/>
  <c r="L120" i="56" l="1"/>
  <c r="M120" i="56"/>
  <c r="V120" i="56"/>
  <c r="D120" i="56"/>
  <c r="E120" i="56"/>
  <c r="C30" i="40" l="1"/>
  <c r="H23" i="47" l="1"/>
  <c r="E44" i="40" s="1"/>
  <c r="J57" i="65" l="1"/>
  <c r="I57" i="65"/>
  <c r="H57" i="65"/>
  <c r="G57" i="65"/>
  <c r="F57" i="65"/>
  <c r="E57" i="65"/>
  <c r="J56" i="65"/>
  <c r="I56" i="65"/>
  <c r="H56" i="65"/>
  <c r="G56" i="65"/>
  <c r="F56" i="65"/>
  <c r="E56" i="65"/>
  <c r="F37" i="56"/>
  <c r="M56" i="65" l="1"/>
  <c r="K56" i="65"/>
  <c r="K57" i="65"/>
  <c r="M57" i="65"/>
  <c r="J107" i="56" s="1"/>
  <c r="J109" i="56" s="1"/>
  <c r="H37" i="56"/>
  <c r="R37" i="56" s="1"/>
  <c r="L56" i="65"/>
  <c r="L57" i="65"/>
  <c r="I107" i="56" s="1"/>
  <c r="I109" i="56" s="1"/>
  <c r="E53" i="40"/>
  <c r="C37" i="56" l="1"/>
  <c r="J37" i="56"/>
  <c r="I37" i="56"/>
  <c r="K37" i="56" l="1"/>
  <c r="M37" i="56" s="1"/>
  <c r="V37" i="56"/>
  <c r="D37" i="56"/>
  <c r="E37" i="56"/>
  <c r="L37" i="56" l="1"/>
  <c r="J55" i="65" l="1"/>
  <c r="I55" i="65"/>
  <c r="H55" i="65"/>
  <c r="G55" i="65"/>
  <c r="F55" i="65"/>
  <c r="E55" i="65"/>
  <c r="L22" i="33"/>
  <c r="M55" i="65" l="1"/>
  <c r="J119" i="56" s="1"/>
  <c r="K55" i="65"/>
  <c r="L55" i="65"/>
  <c r="I119" i="56" s="1"/>
  <c r="C119" i="56" l="1"/>
  <c r="K119" i="56" s="1"/>
  <c r="M119" i="56" l="1"/>
  <c r="L119" i="56"/>
  <c r="V119" i="56"/>
  <c r="E119" i="56"/>
  <c r="D119" i="56"/>
  <c r="L21" i="33" l="1"/>
  <c r="L20" i="33" l="1"/>
  <c r="J54" i="65"/>
  <c r="I54" i="65"/>
  <c r="H54" i="65"/>
  <c r="G54" i="65"/>
  <c r="F54" i="65"/>
  <c r="E54" i="65"/>
  <c r="K54" i="65" l="1"/>
  <c r="M54" i="65"/>
  <c r="J101" i="56" s="1"/>
  <c r="L54" i="65"/>
  <c r="I101" i="56" s="1"/>
  <c r="C101" i="56" l="1"/>
  <c r="K101" i="56" s="1"/>
  <c r="L19" i="33"/>
  <c r="L101" i="56" l="1"/>
  <c r="M101" i="56"/>
  <c r="V101" i="56"/>
  <c r="E101" i="56"/>
  <c r="D101" i="56"/>
  <c r="J53" i="65" l="1"/>
  <c r="I53" i="65"/>
  <c r="H53" i="65"/>
  <c r="G53" i="65"/>
  <c r="F53" i="65"/>
  <c r="E53" i="65"/>
  <c r="K53" i="65" l="1"/>
  <c r="M53" i="65"/>
  <c r="J122" i="56" s="1"/>
  <c r="L53" i="65"/>
  <c r="I122" i="56" s="1"/>
  <c r="C122" i="56" l="1"/>
  <c r="K122" i="56" s="1"/>
  <c r="L122" i="56" l="1"/>
  <c r="M122" i="56"/>
  <c r="V122" i="56"/>
  <c r="D122" i="56"/>
  <c r="E122" i="56"/>
  <c r="J52" i="65" l="1"/>
  <c r="I52" i="65"/>
  <c r="H52" i="65"/>
  <c r="G52" i="65"/>
  <c r="F52" i="65"/>
  <c r="E52" i="65"/>
  <c r="K52" i="65" l="1"/>
  <c r="M52" i="65"/>
  <c r="J113" i="56" s="1"/>
  <c r="L52" i="65"/>
  <c r="I113" i="56" s="1"/>
  <c r="C113" i="56" l="1"/>
  <c r="K113" i="56" s="1"/>
  <c r="L113" i="56" l="1"/>
  <c r="M113" i="56"/>
  <c r="V113" i="56"/>
  <c r="E113" i="56"/>
  <c r="D113" i="56"/>
  <c r="L18" i="33"/>
  <c r="L17" i="33" l="1"/>
  <c r="L16" i="33" l="1"/>
  <c r="L15" i="33" l="1"/>
  <c r="L14" i="33" l="1"/>
  <c r="J53" i="40" l="1"/>
  <c r="L13" i="33" l="1"/>
  <c r="F24" i="56" l="1"/>
  <c r="H24" i="56" s="1"/>
  <c r="R24" i="56" s="1"/>
  <c r="J51" i="65"/>
  <c r="I51" i="65"/>
  <c r="H51" i="65"/>
  <c r="G51" i="65"/>
  <c r="F51" i="65"/>
  <c r="E51" i="65"/>
  <c r="K51" i="65" l="1"/>
  <c r="L51" i="65"/>
  <c r="M51" i="65"/>
  <c r="J50" i="65"/>
  <c r="I50" i="65"/>
  <c r="H50" i="65"/>
  <c r="G50" i="65"/>
  <c r="F50" i="65"/>
  <c r="E50" i="65"/>
  <c r="F32" i="56"/>
  <c r="H32" i="56" s="1"/>
  <c r="R32" i="56" s="1"/>
  <c r="J49" i="65"/>
  <c r="I49" i="65"/>
  <c r="H49" i="65"/>
  <c r="G49" i="65"/>
  <c r="F49" i="65"/>
  <c r="E49" i="65"/>
  <c r="J24" i="56" l="1"/>
  <c r="I24" i="56"/>
  <c r="C24" i="56"/>
  <c r="M50" i="65"/>
  <c r="M49" i="65"/>
  <c r="J94" i="56" s="1"/>
  <c r="K49" i="65"/>
  <c r="K50" i="65"/>
  <c r="L50" i="65"/>
  <c r="L49" i="65"/>
  <c r="I94" i="56" s="1"/>
  <c r="K24" i="56" l="1"/>
  <c r="M24" i="56" s="1"/>
  <c r="V24" i="56"/>
  <c r="E24" i="56"/>
  <c r="D24" i="56"/>
  <c r="C94" i="56"/>
  <c r="K94" i="56" s="1"/>
  <c r="C32" i="56"/>
  <c r="I32" i="56"/>
  <c r="J32" i="56"/>
  <c r="L94" i="56" l="1"/>
  <c r="M94" i="56"/>
  <c r="L24" i="56"/>
  <c r="V94" i="56"/>
  <c r="K32" i="56"/>
  <c r="L32" i="56" s="1"/>
  <c r="V32" i="56"/>
  <c r="D94" i="56"/>
  <c r="D32" i="56"/>
  <c r="E94" i="56"/>
  <c r="E32" i="56"/>
  <c r="J48" i="65"/>
  <c r="I48" i="65"/>
  <c r="H48" i="65"/>
  <c r="G48" i="65"/>
  <c r="F48" i="65"/>
  <c r="E48" i="65"/>
  <c r="M32" i="56" l="1"/>
  <c r="K48" i="65"/>
  <c r="M48" i="65"/>
  <c r="J134" i="56" s="1"/>
  <c r="L48" i="65"/>
  <c r="I134" i="56" s="1"/>
  <c r="J47" i="65"/>
  <c r="I47" i="65"/>
  <c r="H47" i="65"/>
  <c r="G47" i="65"/>
  <c r="F47" i="65"/>
  <c r="E47" i="65"/>
  <c r="J46" i="65"/>
  <c r="I46" i="65"/>
  <c r="H46" i="65"/>
  <c r="G46" i="65"/>
  <c r="F46" i="65"/>
  <c r="E46" i="65"/>
  <c r="Y26" i="56" l="1"/>
  <c r="C134" i="56"/>
  <c r="K134" i="56" s="1"/>
  <c r="M46" i="65"/>
  <c r="J102" i="56" s="1"/>
  <c r="K47" i="65"/>
  <c r="M47" i="65"/>
  <c r="J99" i="56" s="1"/>
  <c r="K46" i="65"/>
  <c r="L46" i="65"/>
  <c r="I102" i="56" s="1"/>
  <c r="L47" i="65"/>
  <c r="I99" i="56" s="1"/>
  <c r="J104" i="56" l="1"/>
  <c r="M134" i="56"/>
  <c r="L134" i="56"/>
  <c r="I104" i="56"/>
  <c r="V134" i="56"/>
  <c r="V100" i="56"/>
  <c r="D134" i="56"/>
  <c r="E134" i="56"/>
  <c r="C102" i="56"/>
  <c r="K102" i="56" s="1"/>
  <c r="C99" i="56"/>
  <c r="V99" i="56" l="1"/>
  <c r="Z10" i="56" s="1"/>
  <c r="K99" i="56"/>
  <c r="M102" i="56"/>
  <c r="L102" i="56"/>
  <c r="V102" i="56"/>
  <c r="C104" i="56"/>
  <c r="E102" i="56"/>
  <c r="D99" i="56"/>
  <c r="P44" i="41" s="1"/>
  <c r="E99" i="56"/>
  <c r="Q44" i="41" s="1"/>
  <c r="D102" i="56"/>
  <c r="Z26" i="56" l="1"/>
  <c r="K104" i="56"/>
  <c r="L99" i="56"/>
  <c r="L104" i="56" s="1"/>
  <c r="M99" i="56"/>
  <c r="M104" i="56" s="1"/>
  <c r="E46" i="41"/>
  <c r="E40" i="41"/>
  <c r="E39" i="41"/>
  <c r="AA6" i="62" l="1"/>
  <c r="E41" i="41" l="1"/>
  <c r="H41" i="41"/>
  <c r="I41" i="41" s="1"/>
  <c r="K41" i="41"/>
  <c r="L41" i="41" s="1"/>
  <c r="H40" i="41"/>
  <c r="I40" i="41" s="1"/>
  <c r="K40" i="41"/>
  <c r="L40" i="41" s="1"/>
  <c r="H39" i="41"/>
  <c r="I39" i="41" s="1"/>
  <c r="K39" i="41"/>
  <c r="L39" i="41" s="1"/>
  <c r="E38" i="41"/>
  <c r="H38" i="41"/>
  <c r="I38" i="41" s="1"/>
  <c r="K38" i="41"/>
  <c r="L38" i="41" s="1"/>
  <c r="K44" i="41"/>
  <c r="E43" i="41"/>
  <c r="H43" i="41"/>
  <c r="I43" i="41" s="1"/>
  <c r="K43" i="41"/>
  <c r="L43" i="41" s="1"/>
  <c r="E42" i="41"/>
  <c r="H42" i="41"/>
  <c r="I42" i="41" s="1"/>
  <c r="K42" i="41"/>
  <c r="L42" i="41" s="1"/>
  <c r="E37" i="41"/>
  <c r="H37" i="41"/>
  <c r="I37" i="41" s="1"/>
  <c r="K37" i="41"/>
  <c r="L37" i="41" s="1"/>
  <c r="I2" i="20"/>
  <c r="O41" i="41" l="1"/>
  <c r="O39" i="41"/>
  <c r="O40" i="41"/>
  <c r="O38" i="41"/>
  <c r="O37" i="41"/>
  <c r="O36" i="41"/>
  <c r="O35" i="41"/>
  <c r="O43" i="41"/>
  <c r="O42" i="41"/>
  <c r="F52" i="56" l="1"/>
  <c r="J45" i="65"/>
  <c r="I45" i="65"/>
  <c r="H45" i="65"/>
  <c r="G45" i="65"/>
  <c r="F45" i="65"/>
  <c r="E45" i="65"/>
  <c r="E48" i="41"/>
  <c r="E47" i="41"/>
  <c r="K45" i="65" l="1"/>
  <c r="L45" i="65"/>
  <c r="M45" i="65"/>
  <c r="H52" i="56"/>
  <c r="R52" i="56" s="1"/>
  <c r="J52" i="56" l="1"/>
  <c r="I52" i="56"/>
  <c r="C52" i="56"/>
  <c r="J44" i="65"/>
  <c r="I44" i="65"/>
  <c r="H44" i="65"/>
  <c r="G44" i="65"/>
  <c r="F44" i="65"/>
  <c r="E44" i="65"/>
  <c r="Y32" i="56"/>
  <c r="K52" i="56" l="1"/>
  <c r="M52" i="56" s="1"/>
  <c r="V52" i="56"/>
  <c r="E52" i="56"/>
  <c r="D52" i="56"/>
  <c r="K44" i="65"/>
  <c r="M44" i="65"/>
  <c r="J140" i="56" s="1"/>
  <c r="J142" i="56" s="1"/>
  <c r="L44" i="65"/>
  <c r="I140" i="56" s="1"/>
  <c r="I142" i="56" s="1"/>
  <c r="Z6" i="62"/>
  <c r="L52" i="56" l="1"/>
  <c r="C140" i="56"/>
  <c r="V140" i="56" l="1"/>
  <c r="Z32" i="56" s="1"/>
  <c r="K140" i="56"/>
  <c r="C142" i="56"/>
  <c r="E140" i="56"/>
  <c r="D140" i="56"/>
  <c r="K142" i="56" l="1"/>
  <c r="L140" i="56"/>
  <c r="L142" i="56" s="1"/>
  <c r="M140" i="56"/>
  <c r="M142" i="56" s="1"/>
  <c r="J43" i="65" l="1"/>
  <c r="I43" i="65"/>
  <c r="H43" i="65"/>
  <c r="G43" i="65"/>
  <c r="F43" i="65"/>
  <c r="E43" i="65"/>
  <c r="H82" i="56"/>
  <c r="R82" i="56" s="1"/>
  <c r="K43" i="65" l="1"/>
  <c r="L43" i="65"/>
  <c r="M43" i="65"/>
  <c r="J42" i="65"/>
  <c r="I42" i="65"/>
  <c r="H42" i="65"/>
  <c r="G42" i="65"/>
  <c r="F42" i="65"/>
  <c r="E42" i="65"/>
  <c r="J82" i="56" l="1"/>
  <c r="I82" i="56"/>
  <c r="C82" i="56"/>
  <c r="L42" i="65"/>
  <c r="I128" i="56" s="1"/>
  <c r="M42" i="65"/>
  <c r="J128" i="56" s="1"/>
  <c r="K42" i="65"/>
  <c r="E54" i="40"/>
  <c r="K82" i="56" l="1"/>
  <c r="L82" i="56" s="1"/>
  <c r="V82" i="56"/>
  <c r="J54" i="40"/>
  <c r="I54" i="40"/>
  <c r="D82" i="56"/>
  <c r="E82" i="56"/>
  <c r="C128" i="56"/>
  <c r="K128" i="56" s="1"/>
  <c r="M128" i="56" l="1"/>
  <c r="L128" i="56"/>
  <c r="M82" i="56"/>
  <c r="V128" i="56"/>
  <c r="D128" i="56"/>
  <c r="E128" i="56"/>
  <c r="J41" i="65" l="1"/>
  <c r="I41" i="65"/>
  <c r="H41" i="65"/>
  <c r="G41" i="65"/>
  <c r="F41" i="65"/>
  <c r="E41" i="65"/>
  <c r="K41" i="65" l="1"/>
  <c r="M41" i="65"/>
  <c r="L41" i="65"/>
  <c r="I61" i="56" l="1"/>
  <c r="J61" i="56"/>
  <c r="C61" i="56"/>
  <c r="K61" i="56" s="1"/>
  <c r="J40" i="65"/>
  <c r="I40" i="65"/>
  <c r="H40" i="65"/>
  <c r="G40" i="65"/>
  <c r="F40" i="65"/>
  <c r="E40" i="65"/>
  <c r="L61" i="56" l="1"/>
  <c r="M61" i="56"/>
  <c r="E61" i="56"/>
  <c r="D61" i="56"/>
  <c r="L40" i="65"/>
  <c r="I135" i="56" s="1"/>
  <c r="K40" i="65"/>
  <c r="M40" i="65"/>
  <c r="J135" i="56" s="1"/>
  <c r="F60" i="56"/>
  <c r="H60" i="56" s="1"/>
  <c r="R60" i="56" s="1"/>
  <c r="J39" i="65"/>
  <c r="I39" i="65"/>
  <c r="H39" i="65"/>
  <c r="G39" i="65"/>
  <c r="F39" i="65"/>
  <c r="E39" i="65"/>
  <c r="C135" i="56" l="1"/>
  <c r="K135" i="56" s="1"/>
  <c r="K39" i="65"/>
  <c r="M39" i="65"/>
  <c r="L39" i="65"/>
  <c r="L135" i="56" l="1"/>
  <c r="M135" i="56"/>
  <c r="V135" i="56"/>
  <c r="D135" i="56"/>
  <c r="J60" i="56"/>
  <c r="E135" i="56"/>
  <c r="I60" i="56"/>
  <c r="C60" i="56"/>
  <c r="K60" i="56" l="1"/>
  <c r="M60" i="56" s="1"/>
  <c r="V60" i="56"/>
  <c r="D60" i="56"/>
  <c r="E60" i="56"/>
  <c r="L60" i="56" l="1"/>
  <c r="J38" i="65"/>
  <c r="I38" i="65"/>
  <c r="H38" i="65"/>
  <c r="G38" i="65"/>
  <c r="F38" i="65"/>
  <c r="E38" i="65"/>
  <c r="K38" i="65" l="1"/>
  <c r="L38" i="65"/>
  <c r="I88" i="56" s="1"/>
  <c r="M38" i="65"/>
  <c r="J88" i="56" s="1"/>
  <c r="C88" i="56" l="1"/>
  <c r="K88" i="56" s="1"/>
  <c r="L88" i="56" l="1"/>
  <c r="M88" i="56"/>
  <c r="V88" i="56"/>
  <c r="D88" i="56"/>
  <c r="E88" i="56"/>
  <c r="J37" i="65"/>
  <c r="I37" i="65"/>
  <c r="H37" i="65"/>
  <c r="G37" i="65"/>
  <c r="F37" i="65"/>
  <c r="E37" i="65"/>
  <c r="F30" i="56"/>
  <c r="H30" i="56" s="1"/>
  <c r="R30" i="56" s="1"/>
  <c r="K37" i="65" l="1"/>
  <c r="M37" i="65"/>
  <c r="L37" i="65"/>
  <c r="I30" i="56" l="1"/>
  <c r="J30" i="56"/>
  <c r="C30" i="56"/>
  <c r="E54" i="69"/>
  <c r="G49" i="69"/>
  <c r="C49" i="69"/>
  <c r="A47" i="69"/>
  <c r="C44" i="69"/>
  <c r="C43" i="69"/>
  <c r="C42" i="69"/>
  <c r="C41" i="69"/>
  <c r="C40" i="69"/>
  <c r="C39" i="69"/>
  <c r="C38" i="69"/>
  <c r="C30" i="69"/>
  <c r="C26" i="69"/>
  <c r="F11" i="69"/>
  <c r="K30" i="56" l="1"/>
  <c r="L30" i="56" s="1"/>
  <c r="V30" i="56"/>
  <c r="E30" i="56"/>
  <c r="D30" i="56"/>
  <c r="C33" i="69"/>
  <c r="D22" i="69" s="1"/>
  <c r="E22" i="69" s="1"/>
  <c r="D41" i="69" s="1"/>
  <c r="C31" i="69"/>
  <c r="D44" i="69" s="1"/>
  <c r="M30" i="56" l="1"/>
  <c r="D23" i="69"/>
  <c r="E23" i="69" s="1"/>
  <c r="D42" i="69" s="1"/>
  <c r="D24" i="69"/>
  <c r="E24" i="69" s="1"/>
  <c r="D43" i="69" s="1"/>
  <c r="D20" i="69"/>
  <c r="E20" i="69" s="1"/>
  <c r="G48" i="69" s="1"/>
  <c r="G50" i="69" s="1"/>
  <c r="D21" i="69"/>
  <c r="E21" i="69" s="1"/>
  <c r="D40" i="69" s="1"/>
  <c r="D19" i="69"/>
  <c r="E19" i="69" s="1"/>
  <c r="C48" i="69" s="1"/>
  <c r="C50" i="69" s="1"/>
  <c r="C32" i="69"/>
  <c r="D39" i="69" l="1"/>
  <c r="E53" i="69"/>
  <c r="E55" i="69" s="1"/>
  <c r="D38" i="69"/>
  <c r="E26" i="69"/>
  <c r="F81" i="56"/>
  <c r="J36" i="65"/>
  <c r="I36" i="65"/>
  <c r="H36" i="65"/>
  <c r="G36" i="65"/>
  <c r="F36" i="65"/>
  <c r="E36" i="65"/>
  <c r="K36" i="65" l="1"/>
  <c r="L36" i="65"/>
  <c r="M36" i="65"/>
  <c r="H81" i="56"/>
  <c r="R81" i="56" s="1"/>
  <c r="O13" i="49"/>
  <c r="E43" i="40" s="1"/>
  <c r="P13" i="48"/>
  <c r="L13" i="48"/>
  <c r="T11" i="49"/>
  <c r="L11" i="49" s="1"/>
  <c r="J81" i="56" l="1"/>
  <c r="I81" i="56"/>
  <c r="C81" i="56"/>
  <c r="K11" i="49"/>
  <c r="K81" i="56" l="1"/>
  <c r="M81" i="56" s="1"/>
  <c r="V81" i="56"/>
  <c r="D81" i="56"/>
  <c r="E81" i="56"/>
  <c r="L81" i="56" l="1"/>
  <c r="R48" i="41"/>
  <c r="L15" i="48" l="1"/>
  <c r="H11" i="49" l="1"/>
  <c r="J11" i="49"/>
  <c r="I11" i="49" l="1"/>
  <c r="M11" i="49" l="1"/>
  <c r="O11" i="49" s="1"/>
  <c r="P11" i="49" s="1"/>
  <c r="E45" i="41" l="1"/>
  <c r="J35" i="65" l="1"/>
  <c r="I35" i="65"/>
  <c r="H35" i="65"/>
  <c r="G35" i="65"/>
  <c r="F35" i="65"/>
  <c r="E35" i="65"/>
  <c r="F62" i="56"/>
  <c r="X6" i="62"/>
  <c r="K35" i="65" l="1"/>
  <c r="M35" i="65"/>
  <c r="L35" i="65"/>
  <c r="H62" i="56"/>
  <c r="R62" i="56" s="1"/>
  <c r="I62" i="56" l="1"/>
  <c r="J62" i="56"/>
  <c r="C62" i="56"/>
  <c r="K62" i="56" s="1"/>
  <c r="L62" i="56" l="1"/>
  <c r="E62" i="56"/>
  <c r="D62" i="56"/>
  <c r="M62" i="56"/>
  <c r="J25" i="47" l="1"/>
  <c r="F74" i="56" l="1"/>
  <c r="H74" i="56" s="1"/>
  <c r="R74" i="56" s="1"/>
  <c r="J33" i="65"/>
  <c r="I33" i="65"/>
  <c r="H33" i="65"/>
  <c r="G33" i="65"/>
  <c r="F33" i="65"/>
  <c r="E33" i="65"/>
  <c r="W6" i="62"/>
  <c r="K33" i="65" l="1"/>
  <c r="M33" i="65"/>
  <c r="L33" i="65"/>
  <c r="I74" i="56" l="1"/>
  <c r="J74" i="56"/>
  <c r="C74" i="56"/>
  <c r="K74" i="56" l="1"/>
  <c r="M74" i="56" s="1"/>
  <c r="V74" i="56"/>
  <c r="E74" i="56"/>
  <c r="D74" i="56"/>
  <c r="L74" i="56" l="1"/>
  <c r="V6" i="62"/>
  <c r="T6" i="62"/>
  <c r="U6" i="62" l="1"/>
  <c r="F68" i="56"/>
  <c r="J32" i="65"/>
  <c r="I32" i="65"/>
  <c r="H32" i="65"/>
  <c r="G32" i="65"/>
  <c r="E32" i="65"/>
  <c r="Y31" i="56"/>
  <c r="K32" i="65" l="1"/>
  <c r="H68" i="56"/>
  <c r="R68" i="56" s="1"/>
  <c r="J31" i="65"/>
  <c r="I31" i="65"/>
  <c r="H31" i="65"/>
  <c r="G31" i="65"/>
  <c r="F31" i="65"/>
  <c r="E31" i="65"/>
  <c r="C133" i="56" l="1"/>
  <c r="K133" i="56" s="1"/>
  <c r="K31" i="65"/>
  <c r="M31" i="65"/>
  <c r="L31" i="65"/>
  <c r="K137" i="56" l="1"/>
  <c r="C137" i="56"/>
  <c r="V133" i="56"/>
  <c r="Z31" i="56" s="1"/>
  <c r="C68" i="56"/>
  <c r="I68" i="56"/>
  <c r="J68" i="56"/>
  <c r="K68" i="56" l="1"/>
  <c r="M68" i="56" s="1"/>
  <c r="V68" i="56"/>
  <c r="E68" i="56"/>
  <c r="D68" i="56"/>
  <c r="L68" i="56" l="1"/>
  <c r="R47" i="41"/>
  <c r="B373" i="68" l="1"/>
  <c r="C7" i="68"/>
  <c r="D7" i="68" s="1"/>
  <c r="E7" i="68" s="1"/>
  <c r="L45" i="43" l="1"/>
  <c r="C9" i="68"/>
  <c r="D9" i="68" s="1"/>
  <c r="E9" i="68" s="1"/>
  <c r="C8" i="68"/>
  <c r="D8" i="68" s="1"/>
  <c r="E8" i="68" s="1"/>
  <c r="M45" i="43" l="1"/>
  <c r="C10" i="68"/>
  <c r="D10" i="68" s="1"/>
  <c r="E10" i="68" s="1"/>
  <c r="A2" i="33"/>
  <c r="C5" i="33"/>
  <c r="F31" i="56"/>
  <c r="H31" i="56" s="1"/>
  <c r="R31" i="56" s="1"/>
  <c r="J30" i="65"/>
  <c r="I30" i="65"/>
  <c r="H30" i="65"/>
  <c r="G30" i="65"/>
  <c r="F30" i="65"/>
  <c r="E30" i="65"/>
  <c r="H49" i="33" l="1"/>
  <c r="J49" i="33" s="1"/>
  <c r="H51" i="33"/>
  <c r="J51" i="33" s="1"/>
  <c r="H50" i="33"/>
  <c r="J50" i="33" s="1"/>
  <c r="H40" i="33"/>
  <c r="J40" i="33" s="1"/>
  <c r="H47" i="33"/>
  <c r="J47" i="33" s="1"/>
  <c r="J48" i="33"/>
  <c r="H45" i="33"/>
  <c r="J45" i="33" s="1"/>
  <c r="H43" i="33"/>
  <c r="J43" i="33" s="1"/>
  <c r="J39" i="33"/>
  <c r="H42" i="33"/>
  <c r="H41" i="33"/>
  <c r="J41" i="33" s="1"/>
  <c r="H38" i="33"/>
  <c r="J37" i="33"/>
  <c r="J35" i="33"/>
  <c r="J33" i="33"/>
  <c r="J31" i="33"/>
  <c r="J29" i="33"/>
  <c r="J27" i="33"/>
  <c r="J28" i="33"/>
  <c r="J24" i="33"/>
  <c r="J12" i="33"/>
  <c r="J23" i="33"/>
  <c r="J22" i="33"/>
  <c r="J20" i="33"/>
  <c r="J19" i="33"/>
  <c r="J17" i="33"/>
  <c r="J15" i="33"/>
  <c r="J16" i="33"/>
  <c r="J13" i="33"/>
  <c r="J14" i="33"/>
  <c r="K30" i="65"/>
  <c r="M30" i="65"/>
  <c r="C11" i="68"/>
  <c r="D11" i="68" s="1"/>
  <c r="E11" i="68" s="1"/>
  <c r="L30" i="65"/>
  <c r="J46" i="33" l="1"/>
  <c r="J44" i="33"/>
  <c r="J42" i="33"/>
  <c r="J38" i="33"/>
  <c r="J36" i="33"/>
  <c r="J34" i="33"/>
  <c r="J32" i="33"/>
  <c r="J30" i="33"/>
  <c r="J26" i="33"/>
  <c r="J21" i="33"/>
  <c r="J18" i="33"/>
  <c r="I31" i="56"/>
  <c r="J31" i="56"/>
  <c r="C31" i="56"/>
  <c r="C14" i="68"/>
  <c r="D14" i="68" s="1"/>
  <c r="E14" i="68" s="1"/>
  <c r="J29" i="65"/>
  <c r="I29" i="65"/>
  <c r="H29" i="65"/>
  <c r="G29" i="65"/>
  <c r="F29" i="65"/>
  <c r="E29" i="65"/>
  <c r="Y30" i="56"/>
  <c r="K31" i="56" l="1"/>
  <c r="M31" i="56" s="1"/>
  <c r="V31" i="56"/>
  <c r="E31" i="56"/>
  <c r="D31" i="56"/>
  <c r="C15" i="68"/>
  <c r="D15" i="68" s="1"/>
  <c r="E15" i="68" s="1"/>
  <c r="K29" i="65"/>
  <c r="M29" i="65"/>
  <c r="J127" i="56" s="1"/>
  <c r="J130" i="56" s="1"/>
  <c r="L29" i="65"/>
  <c r="I127" i="56" s="1"/>
  <c r="I130" i="56" s="1"/>
  <c r="L31" i="56" l="1"/>
  <c r="C127" i="56"/>
  <c r="K127" i="56" s="1"/>
  <c r="C16" i="68"/>
  <c r="D16" i="68" s="1"/>
  <c r="E16" i="68" s="1"/>
  <c r="J23" i="20"/>
  <c r="J28" i="65"/>
  <c r="I28" i="65"/>
  <c r="H28" i="65"/>
  <c r="G28" i="65"/>
  <c r="F28" i="65"/>
  <c r="E28" i="65"/>
  <c r="L127" i="56" l="1"/>
  <c r="L130" i="56" s="1"/>
  <c r="M127" i="56"/>
  <c r="M130" i="56" s="1"/>
  <c r="K130" i="56"/>
  <c r="C130" i="56"/>
  <c r="V127" i="56"/>
  <c r="Z30" i="56" s="1"/>
  <c r="E127" i="56"/>
  <c r="D127" i="56"/>
  <c r="C17" i="68"/>
  <c r="D17" i="68" s="1"/>
  <c r="E17" i="68" s="1"/>
  <c r="K28" i="65"/>
  <c r="M28" i="65"/>
  <c r="J118" i="56" s="1"/>
  <c r="J124" i="56" s="1"/>
  <c r="L28" i="65"/>
  <c r="I118" i="56" s="1"/>
  <c r="I124" i="56" s="1"/>
  <c r="Y29" i="56"/>
  <c r="C118" i="56" l="1"/>
  <c r="K118" i="56" s="1"/>
  <c r="C18" i="68"/>
  <c r="D18" i="68" s="1"/>
  <c r="E18" i="68" s="1"/>
  <c r="K124" i="56" l="1"/>
  <c r="M118" i="56"/>
  <c r="M124" i="56" s="1"/>
  <c r="L118" i="56"/>
  <c r="L124" i="56" s="1"/>
  <c r="C124" i="56"/>
  <c r="V118" i="56"/>
  <c r="Z29" i="56" s="1"/>
  <c r="D118" i="56"/>
  <c r="E118" i="56"/>
  <c r="C19" i="68"/>
  <c r="D19" i="68" s="1"/>
  <c r="E19" i="68" s="1"/>
  <c r="C20" i="68" l="1"/>
  <c r="D20" i="68" s="1"/>
  <c r="E20" i="68" s="1"/>
  <c r="C21" i="68" l="1"/>
  <c r="D21" i="68" s="1"/>
  <c r="E21" i="68" s="1"/>
  <c r="C22" i="68" l="1"/>
  <c r="D22" i="68" s="1"/>
  <c r="E22" i="68" s="1"/>
  <c r="C23" i="68" l="1"/>
  <c r="D23" i="68" s="1"/>
  <c r="E23" i="68" s="1"/>
  <c r="C24" i="68" l="1"/>
  <c r="D24" i="68" s="1"/>
  <c r="E24" i="68" s="1"/>
  <c r="C25" i="68" l="1"/>
  <c r="D25" i="68" s="1"/>
  <c r="E25" i="68" s="1"/>
  <c r="E48" i="67"/>
  <c r="E47" i="67"/>
  <c r="E42" i="67"/>
  <c r="E41" i="67"/>
  <c r="E36" i="67"/>
  <c r="E35" i="67"/>
  <c r="D17" i="67"/>
  <c r="E13" i="67"/>
  <c r="D13" i="67"/>
  <c r="A13" i="67"/>
  <c r="L8" i="67"/>
  <c r="N9" i="67" s="1"/>
  <c r="L7" i="67"/>
  <c r="M9" i="67" s="1"/>
  <c r="C26" i="68" l="1"/>
  <c r="D26" i="68" s="1"/>
  <c r="E26" i="68" s="1"/>
  <c r="M8" i="67"/>
  <c r="M10" i="67"/>
  <c r="N10" i="67"/>
  <c r="D21" i="67"/>
  <c r="G7" i="67" s="1"/>
  <c r="N8" i="67"/>
  <c r="M7" i="67"/>
  <c r="N7" i="67"/>
  <c r="L9" i="67"/>
  <c r="D19" i="67"/>
  <c r="D30" i="67" s="1"/>
  <c r="G9" i="67" l="1"/>
  <c r="H9" i="67" s="1"/>
  <c r="C27" i="68"/>
  <c r="D27" i="68" s="1"/>
  <c r="E27" i="68" s="1"/>
  <c r="G8" i="67"/>
  <c r="H8" i="67" s="1"/>
  <c r="G10" i="67"/>
  <c r="E49" i="67" s="1"/>
  <c r="M12" i="67"/>
  <c r="M13" i="67" s="1"/>
  <c r="M14" i="67" s="1"/>
  <c r="H7" i="67"/>
  <c r="D20" i="67"/>
  <c r="E43" i="67" l="1"/>
  <c r="H10" i="67"/>
  <c r="H13" i="67" s="1"/>
  <c r="H14" i="67" s="1"/>
  <c r="G13" i="67"/>
  <c r="E37" i="67"/>
  <c r="C28" i="68"/>
  <c r="D28" i="68" s="1"/>
  <c r="E28" i="68" s="1"/>
  <c r="E40" i="67"/>
  <c r="D28" i="67"/>
  <c r="E34" i="67"/>
  <c r="D27" i="67"/>
  <c r="S6" i="62"/>
  <c r="D29" i="67" l="1"/>
  <c r="E46" i="67"/>
  <c r="C29" i="68"/>
  <c r="D29" i="68" s="1"/>
  <c r="E29" i="68" s="1"/>
  <c r="C30" i="68" l="1"/>
  <c r="D30" i="68" s="1"/>
  <c r="E30" i="68" s="1"/>
  <c r="C31" i="68" l="1"/>
  <c r="D31" i="68" s="1"/>
  <c r="E31" i="68" s="1"/>
  <c r="C32" i="68" l="1"/>
  <c r="D32" i="68" s="1"/>
  <c r="E32" i="68" s="1"/>
  <c r="C33" i="68" l="1"/>
  <c r="D33" i="68" s="1"/>
  <c r="E33" i="68" s="1"/>
  <c r="C34" i="68" l="1"/>
  <c r="D34" i="68" s="1"/>
  <c r="E34" i="68" s="1"/>
  <c r="C35" i="68" l="1"/>
  <c r="D35" i="68" s="1"/>
  <c r="E35" i="68" s="1"/>
  <c r="C36" i="68" l="1"/>
  <c r="D36" i="68" s="1"/>
  <c r="E36" i="68" s="1"/>
  <c r="C37" i="68" l="1"/>
  <c r="D37" i="68" s="1"/>
  <c r="E37" i="68" s="1"/>
  <c r="C38" i="68" l="1"/>
  <c r="D38" i="68" s="1"/>
  <c r="E38" i="68" s="1"/>
  <c r="C39" i="68" l="1"/>
  <c r="D39" i="68" s="1"/>
  <c r="E39" i="68" s="1"/>
  <c r="C40" i="68" l="1"/>
  <c r="D40" i="68" s="1"/>
  <c r="E40" i="68" s="1"/>
  <c r="K43" i="40" l="1"/>
  <c r="C41" i="68"/>
  <c r="D41" i="68" s="1"/>
  <c r="E41" i="68" s="1"/>
  <c r="F9" i="48"/>
  <c r="C42" i="68" l="1"/>
  <c r="D42" i="68" s="1"/>
  <c r="E42" i="68" s="1"/>
  <c r="C43" i="68" l="1"/>
  <c r="D43" i="68" s="1"/>
  <c r="E43" i="68" s="1"/>
  <c r="C44" i="68" l="1"/>
  <c r="D44" i="68" s="1"/>
  <c r="E44" i="68" s="1"/>
  <c r="C45" i="68" l="1"/>
  <c r="D45" i="68" s="1"/>
  <c r="E45" i="68" s="1"/>
  <c r="C46" i="68" l="1"/>
  <c r="D46" i="68" s="1"/>
  <c r="E46" i="68" s="1"/>
  <c r="C47" i="68" l="1"/>
  <c r="D47" i="68" s="1"/>
  <c r="E47" i="68" s="1"/>
  <c r="B372" i="66"/>
  <c r="A7" i="66"/>
  <c r="C48" i="68" l="1"/>
  <c r="D48" i="68" s="1"/>
  <c r="E48" i="68" s="1"/>
  <c r="A8" i="66"/>
  <c r="C49" i="68" l="1"/>
  <c r="D49" i="68" s="1"/>
  <c r="E49" i="68" s="1"/>
  <c r="A9" i="66"/>
  <c r="C50" i="68" l="1"/>
  <c r="D50" i="68" s="1"/>
  <c r="E50" i="68" s="1"/>
  <c r="A10" i="66"/>
  <c r="N84" i="46"/>
  <c r="K84" i="46"/>
  <c r="H84" i="46"/>
  <c r="F84" i="46"/>
  <c r="D84" i="46"/>
  <c r="C51" i="68" l="1"/>
  <c r="D51" i="68" s="1"/>
  <c r="E51" i="68" s="1"/>
  <c r="A11" i="66"/>
  <c r="C52" i="68" l="1"/>
  <c r="D52" i="68" s="1"/>
  <c r="E52" i="68" s="1"/>
  <c r="A12" i="66"/>
  <c r="A13" i="66" s="1"/>
  <c r="A14" i="66" s="1"/>
  <c r="J34" i="65"/>
  <c r="J27" i="65"/>
  <c r="J26" i="65"/>
  <c r="J25" i="65"/>
  <c r="J24" i="65"/>
  <c r="J23" i="65"/>
  <c r="J22" i="65"/>
  <c r="J21" i="65"/>
  <c r="J20" i="65"/>
  <c r="J19" i="65"/>
  <c r="J18" i="65"/>
  <c r="J17" i="65"/>
  <c r="J16" i="65"/>
  <c r="J15" i="65"/>
  <c r="J14" i="65"/>
  <c r="J13" i="65"/>
  <c r="J12" i="65"/>
  <c r="J11" i="65"/>
  <c r="J10" i="65"/>
  <c r="J9" i="65"/>
  <c r="J8" i="65"/>
  <c r="J7" i="65"/>
  <c r="J6" i="65"/>
  <c r="I34" i="65"/>
  <c r="I27" i="65"/>
  <c r="I26" i="65"/>
  <c r="I25" i="65"/>
  <c r="I24" i="65"/>
  <c r="I23" i="65"/>
  <c r="I22" i="65"/>
  <c r="I21" i="65"/>
  <c r="I20" i="65"/>
  <c r="I19" i="65"/>
  <c r="I18" i="65"/>
  <c r="I17" i="65"/>
  <c r="I16" i="65"/>
  <c r="I15" i="65"/>
  <c r="I14" i="65"/>
  <c r="I13" i="65"/>
  <c r="I12" i="65"/>
  <c r="I11" i="65"/>
  <c r="I10" i="65"/>
  <c r="I9" i="65"/>
  <c r="I8" i="65"/>
  <c r="I7" i="65"/>
  <c r="I6" i="65"/>
  <c r="H34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G34" i="65"/>
  <c r="G27" i="65"/>
  <c r="G26" i="65"/>
  <c r="G25" i="65"/>
  <c r="G24" i="65"/>
  <c r="G23" i="65"/>
  <c r="G22" i="65"/>
  <c r="G21" i="65"/>
  <c r="G20" i="65"/>
  <c r="G19" i="65"/>
  <c r="G18" i="65"/>
  <c r="G17" i="65"/>
  <c r="G16" i="65"/>
  <c r="G15" i="65"/>
  <c r="G14" i="65"/>
  <c r="G13" i="65"/>
  <c r="G12" i="65"/>
  <c r="G11" i="65"/>
  <c r="G10" i="65"/>
  <c r="G9" i="65"/>
  <c r="G8" i="65"/>
  <c r="G7" i="65"/>
  <c r="G6" i="65"/>
  <c r="F34" i="65"/>
  <c r="F27" i="65"/>
  <c r="F26" i="65"/>
  <c r="F25" i="65"/>
  <c r="F24" i="65"/>
  <c r="F23" i="65"/>
  <c r="F22" i="65"/>
  <c r="F21" i="65"/>
  <c r="F20" i="65"/>
  <c r="F19" i="65"/>
  <c r="F17" i="65"/>
  <c r="F16" i="65"/>
  <c r="F15" i="65"/>
  <c r="F13" i="65"/>
  <c r="F12" i="65"/>
  <c r="F11" i="65"/>
  <c r="F10" i="65"/>
  <c r="F9" i="65"/>
  <c r="F8" i="65"/>
  <c r="F7" i="65"/>
  <c r="F6" i="65"/>
  <c r="E34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M22" i="65" l="1"/>
  <c r="M15" i="65"/>
  <c r="M19" i="65"/>
  <c r="C53" i="68"/>
  <c r="A15" i="66"/>
  <c r="K26" i="65"/>
  <c r="M23" i="65"/>
  <c r="M25" i="65"/>
  <c r="L26" i="65"/>
  <c r="I87" i="56" s="1"/>
  <c r="I90" i="56" s="1"/>
  <c r="M34" i="65"/>
  <c r="J112" i="56" s="1"/>
  <c r="J115" i="56" s="1"/>
  <c r="K18" i="65"/>
  <c r="L23" i="65"/>
  <c r="K34" i="65"/>
  <c r="K11" i="65"/>
  <c r="K25" i="65"/>
  <c r="K8" i="65"/>
  <c r="K14" i="65"/>
  <c r="K22" i="65"/>
  <c r="M11" i="65"/>
  <c r="H65" i="65"/>
  <c r="L8" i="65"/>
  <c r="L22" i="65"/>
  <c r="L34" i="65"/>
  <c r="I112" i="56" s="1"/>
  <c r="I115" i="56" s="1"/>
  <c r="M26" i="65"/>
  <c r="J87" i="56" s="1"/>
  <c r="J90" i="56" s="1"/>
  <c r="L11" i="65"/>
  <c r="M8" i="65"/>
  <c r="L15" i="65"/>
  <c r="L25" i="65"/>
  <c r="L19" i="65"/>
  <c r="M16" i="65"/>
  <c r="M20" i="65"/>
  <c r="M27" i="65"/>
  <c r="J93" i="56" s="1"/>
  <c r="J96" i="56" s="1"/>
  <c r="K24" i="65"/>
  <c r="L7" i="65"/>
  <c r="L13" i="65"/>
  <c r="L17" i="65"/>
  <c r="L21" i="65"/>
  <c r="L24" i="65"/>
  <c r="M7" i="65"/>
  <c r="M13" i="65"/>
  <c r="M17" i="65"/>
  <c r="M21" i="65"/>
  <c r="M24" i="65"/>
  <c r="K7" i="65"/>
  <c r="K13" i="65"/>
  <c r="K17" i="65"/>
  <c r="K21" i="65"/>
  <c r="K10" i="65"/>
  <c r="K16" i="65"/>
  <c r="K20" i="65"/>
  <c r="K27" i="65"/>
  <c r="L6" i="65"/>
  <c r="M10" i="65"/>
  <c r="L9" i="65"/>
  <c r="M9" i="65"/>
  <c r="M12" i="65"/>
  <c r="K12" i="65"/>
  <c r="K19" i="65"/>
  <c r="K23" i="65"/>
  <c r="C65" i="65"/>
  <c r="C66" i="65" s="1"/>
  <c r="D65" i="65"/>
  <c r="D66" i="65" s="1"/>
  <c r="L12" i="65"/>
  <c r="K9" i="65"/>
  <c r="K15" i="65"/>
  <c r="L20" i="65"/>
  <c r="M6" i="65"/>
  <c r="L10" i="65"/>
  <c r="L16" i="65"/>
  <c r="L27" i="65"/>
  <c r="I93" i="56" s="1"/>
  <c r="I96" i="56" s="1"/>
  <c r="J67" i="56" l="1"/>
  <c r="J70" i="56" s="1"/>
  <c r="J44" i="56"/>
  <c r="I58" i="56"/>
  <c r="C57" i="56"/>
  <c r="C93" i="56"/>
  <c r="J14" i="56"/>
  <c r="I80" i="56"/>
  <c r="I67" i="56"/>
  <c r="I70" i="56" s="1"/>
  <c r="C15" i="56"/>
  <c r="C29" i="56"/>
  <c r="C58" i="56"/>
  <c r="C14" i="56"/>
  <c r="C79" i="56"/>
  <c r="I44" i="56"/>
  <c r="I15" i="56"/>
  <c r="C44" i="56"/>
  <c r="I79" i="56"/>
  <c r="J15" i="56"/>
  <c r="C80" i="56"/>
  <c r="J80" i="56"/>
  <c r="C16" i="56"/>
  <c r="J16" i="56"/>
  <c r="J79" i="56"/>
  <c r="I59" i="56"/>
  <c r="C23" i="56"/>
  <c r="J73" i="56"/>
  <c r="J76" i="56" s="1"/>
  <c r="J57" i="56"/>
  <c r="C45" i="56"/>
  <c r="I29" i="56"/>
  <c r="I34" i="56" s="1"/>
  <c r="I16" i="56"/>
  <c r="C17" i="56"/>
  <c r="J59" i="56"/>
  <c r="I46" i="56"/>
  <c r="J58" i="56"/>
  <c r="I23" i="56"/>
  <c r="I26" i="56" s="1"/>
  <c r="J23" i="56"/>
  <c r="J26" i="56" s="1"/>
  <c r="C112" i="56"/>
  <c r="C87" i="56"/>
  <c r="J29" i="56"/>
  <c r="J34" i="56" s="1"/>
  <c r="I45" i="56"/>
  <c r="I17" i="56"/>
  <c r="C59" i="56"/>
  <c r="J46" i="56"/>
  <c r="I38" i="56"/>
  <c r="J45" i="56"/>
  <c r="C107" i="56"/>
  <c r="C67" i="56"/>
  <c r="I73" i="56"/>
  <c r="I76" i="56" s="1"/>
  <c r="J17" i="56"/>
  <c r="C46" i="56"/>
  <c r="J38" i="56"/>
  <c r="C73" i="56"/>
  <c r="C38" i="56"/>
  <c r="I14" i="56"/>
  <c r="I57" i="56"/>
  <c r="C43" i="56"/>
  <c r="C51" i="56"/>
  <c r="D53" i="68"/>
  <c r="E53" i="68" s="1"/>
  <c r="C54" i="68"/>
  <c r="D54" i="68" s="1"/>
  <c r="E54" i="68" s="1"/>
  <c r="A16" i="66"/>
  <c r="I13" i="56"/>
  <c r="J13" i="56"/>
  <c r="P107" i="56" l="1"/>
  <c r="P109" i="56" s="1"/>
  <c r="K107" i="56"/>
  <c r="P87" i="56"/>
  <c r="P88" i="56" s="1"/>
  <c r="K87" i="56"/>
  <c r="P112" i="56"/>
  <c r="P115" i="56" s="1"/>
  <c r="K112" i="56"/>
  <c r="P93" i="56"/>
  <c r="P96" i="56" s="1"/>
  <c r="K93" i="56"/>
  <c r="C26" i="56"/>
  <c r="C96" i="56"/>
  <c r="C76" i="56"/>
  <c r="C90" i="56"/>
  <c r="C34" i="56"/>
  <c r="C70" i="56"/>
  <c r="C115" i="56"/>
  <c r="C109" i="56"/>
  <c r="C54" i="56"/>
  <c r="I84" i="56"/>
  <c r="J84" i="56"/>
  <c r="C84" i="56"/>
  <c r="J64" i="56"/>
  <c r="I64" i="56"/>
  <c r="C64" i="56"/>
  <c r="J40" i="56"/>
  <c r="C40" i="56"/>
  <c r="I40" i="56"/>
  <c r="J20" i="56"/>
  <c r="C48" i="56"/>
  <c r="I20" i="56"/>
  <c r="I65" i="65"/>
  <c r="C55" i="68"/>
  <c r="D55" i="68" s="1"/>
  <c r="E55" i="68" s="1"/>
  <c r="A17" i="66"/>
  <c r="M112" i="56" l="1"/>
  <c r="M115" i="56" s="1"/>
  <c r="K115" i="56"/>
  <c r="L112" i="56"/>
  <c r="L115" i="56" s="1"/>
  <c r="K90" i="56"/>
  <c r="L87" i="56"/>
  <c r="L90" i="56" s="1"/>
  <c r="M87" i="56"/>
  <c r="M90" i="56" s="1"/>
  <c r="L107" i="56"/>
  <c r="L109" i="56" s="1"/>
  <c r="K109" i="56"/>
  <c r="M107" i="56"/>
  <c r="M109" i="56" s="1"/>
  <c r="L93" i="56"/>
  <c r="L96" i="56" s="1"/>
  <c r="M93" i="56"/>
  <c r="M96" i="56" s="1"/>
  <c r="K96" i="56"/>
  <c r="C56" i="68"/>
  <c r="D56" i="68" s="1"/>
  <c r="E56" i="68" s="1"/>
  <c r="A18" i="66"/>
  <c r="C57" i="68" l="1"/>
  <c r="D57" i="68" s="1"/>
  <c r="E57" i="68" s="1"/>
  <c r="A19" i="66"/>
  <c r="C58" i="68" l="1"/>
  <c r="D58" i="68" s="1"/>
  <c r="E58" i="68" s="1"/>
  <c r="A20" i="66"/>
  <c r="C59" i="68" l="1"/>
  <c r="D59" i="68" s="1"/>
  <c r="E59" i="68" s="1"/>
  <c r="A21" i="66"/>
  <c r="C60" i="68" l="1"/>
  <c r="D60" i="68" s="1"/>
  <c r="E60" i="68" s="1"/>
  <c r="A22" i="66"/>
  <c r="C61" i="68" l="1"/>
  <c r="D61" i="68" s="1"/>
  <c r="E61" i="68" s="1"/>
  <c r="A23" i="66"/>
  <c r="C62" i="68" l="1"/>
  <c r="D62" i="68" s="1"/>
  <c r="E62" i="68" s="1"/>
  <c r="A24" i="66"/>
  <c r="C63" i="68" l="1"/>
  <c r="D63" i="68" s="1"/>
  <c r="E63" i="68" s="1"/>
  <c r="A25" i="66"/>
  <c r="C64" i="68" l="1"/>
  <c r="D64" i="68" s="1"/>
  <c r="E64" i="68" s="1"/>
  <c r="A26" i="66"/>
  <c r="Y6" i="62"/>
  <c r="C65" i="68" l="1"/>
  <c r="D65" i="68" s="1"/>
  <c r="E65" i="68" s="1"/>
  <c r="A27" i="66"/>
  <c r="C66" i="68" l="1"/>
  <c r="D66" i="68" s="1"/>
  <c r="E66" i="68" s="1"/>
  <c r="A28" i="66"/>
  <c r="C67" i="68" l="1"/>
  <c r="D67" i="68" s="1"/>
  <c r="E67" i="68" s="1"/>
  <c r="A29" i="66"/>
  <c r="C68" i="68" l="1"/>
  <c r="D68" i="68" s="1"/>
  <c r="E68" i="68" s="1"/>
  <c r="A30" i="66"/>
  <c r="L50" i="43"/>
  <c r="C69" i="68" l="1"/>
  <c r="D69" i="68" s="1"/>
  <c r="E69" i="68" s="1"/>
  <c r="A31" i="66"/>
  <c r="S42" i="43"/>
  <c r="C70" i="68" l="1"/>
  <c r="D70" i="68" s="1"/>
  <c r="E70" i="68" s="1"/>
  <c r="A32" i="66"/>
  <c r="D7" i="64" l="1"/>
  <c r="C8" i="64"/>
  <c r="C71" i="68"/>
  <c r="D71" i="68" s="1"/>
  <c r="E71" i="68" s="1"/>
  <c r="A33" i="66"/>
  <c r="D8" i="64" l="1"/>
  <c r="C9" i="64"/>
  <c r="C72" i="68"/>
  <c r="D72" i="68" s="1"/>
  <c r="E72" i="68" s="1"/>
  <c r="A34" i="66"/>
  <c r="D9" i="64" l="1"/>
  <c r="C10" i="64"/>
  <c r="C73" i="68"/>
  <c r="D73" i="68" s="1"/>
  <c r="E73" i="68" s="1"/>
  <c r="A35" i="66"/>
  <c r="D10" i="64" l="1"/>
  <c r="C11" i="64"/>
  <c r="C74" i="68"/>
  <c r="D74" i="68" s="1"/>
  <c r="E74" i="68" s="1"/>
  <c r="A36" i="66"/>
  <c r="D11" i="64" l="1"/>
  <c r="C12" i="64"/>
  <c r="C75" i="68"/>
  <c r="D75" i="68" s="1"/>
  <c r="E75" i="68" s="1"/>
  <c r="A37" i="66"/>
  <c r="D12" i="64" l="1"/>
  <c r="C13" i="64"/>
  <c r="C76" i="68"/>
  <c r="D76" i="68" s="1"/>
  <c r="E76" i="68" s="1"/>
  <c r="A38" i="66"/>
  <c r="D13" i="64" l="1"/>
  <c r="C14" i="64"/>
  <c r="C77" i="68"/>
  <c r="D77" i="68" s="1"/>
  <c r="E77" i="68" s="1"/>
  <c r="A39" i="66"/>
  <c r="D14" i="64" l="1"/>
  <c r="C15" i="64"/>
  <c r="C78" i="68"/>
  <c r="D78" i="68" s="1"/>
  <c r="E78" i="68" s="1"/>
  <c r="A40" i="66"/>
  <c r="D15" i="64" l="1"/>
  <c r="C16" i="64"/>
  <c r="A41" i="66"/>
  <c r="C17" i="64" l="1"/>
  <c r="D16" i="64"/>
  <c r="C80" i="68"/>
  <c r="D80" i="68" s="1"/>
  <c r="E80" i="68" s="1"/>
  <c r="A42" i="66"/>
  <c r="D17" i="64" l="1"/>
  <c r="C18" i="64"/>
  <c r="C81" i="68"/>
  <c r="D81" i="68" s="1"/>
  <c r="E81" i="68" s="1"/>
  <c r="A43" i="66"/>
  <c r="D18" i="64" l="1"/>
  <c r="C19" i="64"/>
  <c r="C82" i="68"/>
  <c r="D82" i="68" s="1"/>
  <c r="E82" i="68" s="1"/>
  <c r="A44" i="66"/>
  <c r="D19" i="64" l="1"/>
  <c r="C20" i="64"/>
  <c r="C83" i="68"/>
  <c r="D83" i="68" s="1"/>
  <c r="E83" i="68" s="1"/>
  <c r="A45" i="66"/>
  <c r="D20" i="64" l="1"/>
  <c r="C21" i="64"/>
  <c r="C84" i="68"/>
  <c r="D84" i="68" s="1"/>
  <c r="E84" i="68" s="1"/>
  <c r="A46" i="66"/>
  <c r="D21" i="64" l="1"/>
  <c r="C22" i="64"/>
  <c r="C85" i="68"/>
  <c r="D85" i="68" s="1"/>
  <c r="E85" i="68" s="1"/>
  <c r="A47" i="66"/>
  <c r="H45" i="41"/>
  <c r="I45" i="41" s="1"/>
  <c r="K45" i="41"/>
  <c r="L45" i="41" s="1"/>
  <c r="H34" i="41"/>
  <c r="I34" i="41" s="1"/>
  <c r="D22" i="64" l="1"/>
  <c r="C23" i="64"/>
  <c r="C86" i="68"/>
  <c r="D86" i="68" s="1"/>
  <c r="E86" i="68" s="1"/>
  <c r="A48" i="66"/>
  <c r="O45" i="41"/>
  <c r="D23" i="64" l="1"/>
  <c r="C24" i="64"/>
  <c r="C87" i="68"/>
  <c r="D87" i="68" s="1"/>
  <c r="E87" i="68" s="1"/>
  <c r="A49" i="66"/>
  <c r="F38" i="56"/>
  <c r="D24" i="64" l="1"/>
  <c r="C25" i="64"/>
  <c r="C88" i="68"/>
  <c r="D88" i="68" s="1"/>
  <c r="E88" i="68" s="1"/>
  <c r="A50" i="66"/>
  <c r="F58" i="56"/>
  <c r="F59" i="56"/>
  <c r="D25" i="64" l="1"/>
  <c r="C26" i="64"/>
  <c r="C89" i="68"/>
  <c r="D89" i="68" s="1"/>
  <c r="E89" i="68" s="1"/>
  <c r="A51" i="66"/>
  <c r="D26" i="64" l="1"/>
  <c r="C27" i="64"/>
  <c r="C90" i="68"/>
  <c r="D90" i="68" s="1"/>
  <c r="E90" i="68" s="1"/>
  <c r="A52" i="66"/>
  <c r="D27" i="64" l="1"/>
  <c r="C28" i="64"/>
  <c r="D28" i="64" s="1"/>
  <c r="C91" i="68"/>
  <c r="D91" i="68" s="1"/>
  <c r="E91" i="68" s="1"/>
  <c r="A53" i="66"/>
  <c r="C92" i="68" l="1"/>
  <c r="D92" i="68" s="1"/>
  <c r="E92" i="68" s="1"/>
  <c r="A54" i="66"/>
  <c r="C93" i="68" l="1"/>
  <c r="D93" i="68" s="1"/>
  <c r="E93" i="68" s="1"/>
  <c r="A55" i="66"/>
  <c r="C94" i="68" l="1"/>
  <c r="D94" i="68" s="1"/>
  <c r="E94" i="68" s="1"/>
  <c r="A56" i="66"/>
  <c r="C95" i="68" l="1"/>
  <c r="A57" i="66"/>
  <c r="D95" i="68" l="1"/>
  <c r="E95" i="68" s="1"/>
  <c r="C96" i="68"/>
  <c r="D96" i="68" s="1"/>
  <c r="E96" i="68" s="1"/>
  <c r="A58" i="66"/>
  <c r="H51" i="41"/>
  <c r="K50" i="41"/>
  <c r="L50" i="41" s="1"/>
  <c r="H50" i="41"/>
  <c r="I50" i="41" s="1"/>
  <c r="K49" i="41"/>
  <c r="H49" i="41"/>
  <c r="I49" i="41" s="1"/>
  <c r="K48" i="41"/>
  <c r="L48" i="41" s="1"/>
  <c r="H48" i="41"/>
  <c r="I48" i="41" s="1"/>
  <c r="K47" i="41"/>
  <c r="L47" i="41" s="1"/>
  <c r="H47" i="41"/>
  <c r="I47" i="41" s="1"/>
  <c r="K46" i="41"/>
  <c r="L46" i="41" s="1"/>
  <c r="H46" i="41"/>
  <c r="I46" i="41" s="1"/>
  <c r="O48" i="41" l="1"/>
  <c r="O47" i="41"/>
  <c r="O46" i="41"/>
  <c r="C97" i="68"/>
  <c r="D97" i="68" s="1"/>
  <c r="E97" i="68" s="1"/>
  <c r="A59" i="66"/>
  <c r="L49" i="41"/>
  <c r="C98" i="68" l="1"/>
  <c r="D98" i="68" s="1"/>
  <c r="E98" i="68" s="1"/>
  <c r="A60" i="66"/>
  <c r="K51" i="41"/>
  <c r="L51" i="41" s="1"/>
  <c r="I51" i="41"/>
  <c r="C99" i="68" l="1"/>
  <c r="D99" i="68" s="1"/>
  <c r="E99" i="68" s="1"/>
  <c r="A61" i="66"/>
  <c r="O51" i="41"/>
  <c r="C100" i="68" l="1"/>
  <c r="D100" i="68" s="1"/>
  <c r="E100" i="68" s="1"/>
  <c r="A62" i="66"/>
  <c r="C101" i="68" l="1"/>
  <c r="D101" i="68" s="1"/>
  <c r="E101" i="68" s="1"/>
  <c r="A63" i="66"/>
  <c r="C102" i="68" l="1"/>
  <c r="D102" i="68" s="1"/>
  <c r="E102" i="68" s="1"/>
  <c r="A64" i="66"/>
  <c r="P50" i="56"/>
  <c r="F51" i="56"/>
  <c r="C103" i="68" l="1"/>
  <c r="D103" i="68" s="1"/>
  <c r="E103" i="68" s="1"/>
  <c r="A65" i="66"/>
  <c r="K51" i="56"/>
  <c r="K54" i="56" s="1"/>
  <c r="H51" i="56"/>
  <c r="R51" i="56" l="1"/>
  <c r="Y19" i="56" s="1"/>
  <c r="V51" i="56"/>
  <c r="Z19" i="56" s="1"/>
  <c r="C104" i="68"/>
  <c r="D104" i="68" s="1"/>
  <c r="E104" i="68" s="1"/>
  <c r="A66" i="66"/>
  <c r="C105" i="68" l="1"/>
  <c r="D105" i="68" s="1"/>
  <c r="E105" i="68" s="1"/>
  <c r="A67" i="66"/>
  <c r="C106" i="68" l="1"/>
  <c r="D106" i="68" s="1"/>
  <c r="E106" i="68" s="1"/>
  <c r="A68" i="66"/>
  <c r="C107" i="68" l="1"/>
  <c r="D107" i="68" s="1"/>
  <c r="E107" i="68" s="1"/>
  <c r="A69" i="66"/>
  <c r="E107" i="56"/>
  <c r="Y27" i="56" l="1"/>
  <c r="V107" i="56"/>
  <c r="Z27" i="56" s="1"/>
  <c r="Y28" i="56"/>
  <c r="V112" i="56"/>
  <c r="Z28" i="56" s="1"/>
  <c r="C108" i="68"/>
  <c r="D108" i="68" s="1"/>
  <c r="E108" i="68" s="1"/>
  <c r="A70" i="66"/>
  <c r="D112" i="56"/>
  <c r="E112" i="56"/>
  <c r="D107" i="56"/>
  <c r="C109" i="68" l="1"/>
  <c r="D109" i="68" s="1"/>
  <c r="E109" i="68" s="1"/>
  <c r="A71" i="66"/>
  <c r="C110" i="68" l="1"/>
  <c r="D110" i="68" s="1"/>
  <c r="E110" i="68" s="1"/>
  <c r="A72" i="66"/>
  <c r="H80" i="56"/>
  <c r="P80" i="56"/>
  <c r="R80" i="56" l="1"/>
  <c r="V80" i="56"/>
  <c r="C111" i="68"/>
  <c r="D111" i="68" s="1"/>
  <c r="E111" i="68" s="1"/>
  <c r="A73" i="66"/>
  <c r="K80" i="56"/>
  <c r="D80" i="56"/>
  <c r="E80" i="56"/>
  <c r="L80" i="56" l="1"/>
  <c r="C112" i="68"/>
  <c r="D112" i="68" s="1"/>
  <c r="E112" i="68" s="1"/>
  <c r="A74" i="66"/>
  <c r="M80" i="56"/>
  <c r="C113" i="68" l="1"/>
  <c r="D113" i="68" s="1"/>
  <c r="E113" i="68" s="1"/>
  <c r="A75" i="66"/>
  <c r="Y24" i="56" l="1"/>
  <c r="V87" i="56"/>
  <c r="Z24" i="56" s="1"/>
  <c r="C114" i="68"/>
  <c r="D114" i="68" s="1"/>
  <c r="E114" i="68" s="1"/>
  <c r="A76" i="66"/>
  <c r="D87" i="56"/>
  <c r="E87" i="56"/>
  <c r="C115" i="68" l="1"/>
  <c r="D115" i="68" s="1"/>
  <c r="E115" i="68" s="1"/>
  <c r="A77" i="66"/>
  <c r="C116" i="68" l="1"/>
  <c r="D116" i="68" s="1"/>
  <c r="E116" i="68" s="1"/>
  <c r="A78" i="66"/>
  <c r="C117" i="68" l="1"/>
  <c r="D117" i="68" s="1"/>
  <c r="E117" i="68" s="1"/>
  <c r="A79" i="66"/>
  <c r="C118" i="68" l="1"/>
  <c r="D118" i="68" s="1"/>
  <c r="E118" i="68" s="1"/>
  <c r="A80" i="66"/>
  <c r="C119" i="68" l="1"/>
  <c r="D119" i="68" s="1"/>
  <c r="E119" i="68" s="1"/>
  <c r="A81" i="66"/>
  <c r="C120" i="68" l="1"/>
  <c r="D120" i="68" s="1"/>
  <c r="E120" i="68" s="1"/>
  <c r="A82" i="66"/>
  <c r="C121" i="68" l="1"/>
  <c r="D121" i="68" s="1"/>
  <c r="E121" i="68" s="1"/>
  <c r="O17" i="49"/>
  <c r="A83" i="66"/>
  <c r="C122" i="68" l="1"/>
  <c r="D122" i="68" s="1"/>
  <c r="E122" i="68" s="1"/>
  <c r="A84" i="66"/>
  <c r="C123" i="68" l="1"/>
  <c r="D123" i="68" s="1"/>
  <c r="E123" i="68" s="1"/>
  <c r="A85" i="66"/>
  <c r="J16" i="47"/>
  <c r="L16" i="47" s="1"/>
  <c r="C124" i="68" l="1"/>
  <c r="D124" i="68" s="1"/>
  <c r="E124" i="68" s="1"/>
  <c r="A86" i="66"/>
  <c r="C125" i="68" l="1"/>
  <c r="D125" i="68" s="1"/>
  <c r="E125" i="68" s="1"/>
  <c r="A87" i="66"/>
  <c r="H58" i="56"/>
  <c r="R58" i="56" l="1"/>
  <c r="V58" i="56"/>
  <c r="C126" i="68"/>
  <c r="D126" i="68" s="1"/>
  <c r="E126" i="68" s="1"/>
  <c r="A88" i="66"/>
  <c r="K58" i="56"/>
  <c r="E58" i="56"/>
  <c r="D58" i="56"/>
  <c r="P58" i="56"/>
  <c r="C127" i="68" l="1"/>
  <c r="D127" i="68" s="1"/>
  <c r="E127" i="68" s="1"/>
  <c r="A89" i="66"/>
  <c r="M58" i="56"/>
  <c r="L58" i="56"/>
  <c r="C128" i="68" l="1"/>
  <c r="D128" i="68" s="1"/>
  <c r="E128" i="68" s="1"/>
  <c r="A90" i="66"/>
  <c r="C129" i="68" l="1"/>
  <c r="D129" i="68" s="1"/>
  <c r="E129" i="68" s="1"/>
  <c r="A91" i="66"/>
  <c r="C130" i="68" l="1"/>
  <c r="D130" i="68" s="1"/>
  <c r="E130" i="68" s="1"/>
  <c r="A92" i="66"/>
  <c r="C131" i="68" l="1"/>
  <c r="D131" i="68" s="1"/>
  <c r="E131" i="68" s="1"/>
  <c r="A93" i="66"/>
  <c r="C132" i="68" l="1"/>
  <c r="D132" i="68" s="1"/>
  <c r="E132" i="68" s="1"/>
  <c r="A94" i="66"/>
  <c r="C133" i="68" l="1"/>
  <c r="D133" i="68" s="1"/>
  <c r="E133" i="68" s="1"/>
  <c r="A95" i="66"/>
  <c r="C134" i="68" l="1"/>
  <c r="D134" i="68" s="1"/>
  <c r="E134" i="68" s="1"/>
  <c r="A96" i="66"/>
  <c r="C135" i="68" l="1"/>
  <c r="D135" i="68" s="1"/>
  <c r="E135" i="68" s="1"/>
  <c r="A97" i="66"/>
  <c r="C136" i="68" l="1"/>
  <c r="D136" i="68" s="1"/>
  <c r="E136" i="68" s="1"/>
  <c r="A98" i="66"/>
  <c r="G39" i="20"/>
  <c r="C137" i="68" l="1"/>
  <c r="D137" i="68" s="1"/>
  <c r="E137" i="68" s="1"/>
  <c r="A99" i="66"/>
  <c r="C138" i="68" l="1"/>
  <c r="D138" i="68" s="1"/>
  <c r="E138" i="68" s="1"/>
  <c r="A100" i="66"/>
  <c r="C139" i="68" l="1"/>
  <c r="D139" i="68" s="1"/>
  <c r="E139" i="68" s="1"/>
  <c r="A101" i="66"/>
  <c r="C140" i="68" l="1"/>
  <c r="D140" i="68" s="1"/>
  <c r="E140" i="68" s="1"/>
  <c r="A102" i="66"/>
  <c r="C141" i="68" l="1"/>
  <c r="D141" i="68" s="1"/>
  <c r="E141" i="68" s="1"/>
  <c r="A103" i="66"/>
  <c r="C142" i="68" l="1"/>
  <c r="D142" i="68" s="1"/>
  <c r="E142" i="68" s="1"/>
  <c r="A104" i="66"/>
  <c r="C143" i="68" l="1"/>
  <c r="D143" i="68" s="1"/>
  <c r="E143" i="68" s="1"/>
  <c r="A105" i="66"/>
  <c r="A106" i="66" l="1"/>
  <c r="C145" i="68" l="1"/>
  <c r="D145" i="68" s="1"/>
  <c r="E145" i="68" s="1"/>
  <c r="A107" i="66"/>
  <c r="A3" i="64"/>
  <c r="A1" i="64"/>
  <c r="C146" i="68" l="1"/>
  <c r="D146" i="68" s="1"/>
  <c r="E146" i="68" s="1"/>
  <c r="A108" i="66"/>
  <c r="C147" i="68" l="1"/>
  <c r="D147" i="68" s="1"/>
  <c r="E147" i="68" s="1"/>
  <c r="A109" i="66"/>
  <c r="C148" i="68" l="1"/>
  <c r="D148" i="68" s="1"/>
  <c r="E148" i="68" s="1"/>
  <c r="A110" i="66"/>
  <c r="D38" i="56"/>
  <c r="P40" i="41" s="1"/>
  <c r="C149" i="68" l="1"/>
  <c r="D149" i="68" s="1"/>
  <c r="E149" i="68" s="1"/>
  <c r="A111" i="66"/>
  <c r="C150" i="68" l="1"/>
  <c r="D150" i="68" s="1"/>
  <c r="E150" i="68" s="1"/>
  <c r="A112" i="66"/>
  <c r="C151" i="68" l="1"/>
  <c r="D151" i="68" s="1"/>
  <c r="E151" i="68" s="1"/>
  <c r="A113" i="66"/>
  <c r="C152" i="68" l="1"/>
  <c r="D152" i="68" s="1"/>
  <c r="E152" i="68" s="1"/>
  <c r="A114" i="66"/>
  <c r="N17" i="48"/>
  <c r="C153" i="68" l="1"/>
  <c r="D153" i="68" s="1"/>
  <c r="E153" i="68" s="1"/>
  <c r="A115" i="66"/>
  <c r="C154" i="68" l="1"/>
  <c r="D154" i="68" s="1"/>
  <c r="E154" i="68" s="1"/>
  <c r="A116" i="66"/>
  <c r="Y17" i="59"/>
  <c r="C155" i="68" l="1"/>
  <c r="D155" i="68" s="1"/>
  <c r="E155" i="68" s="1"/>
  <c r="S49" i="43"/>
  <c r="A117" i="66"/>
  <c r="C156" i="68" l="1"/>
  <c r="D156" i="68" s="1"/>
  <c r="E156" i="68" s="1"/>
  <c r="A118" i="66"/>
  <c r="P59" i="56"/>
  <c r="H59" i="56"/>
  <c r="R59" i="56" l="1"/>
  <c r="V59" i="56"/>
  <c r="C157" i="68"/>
  <c r="D157" i="68" s="1"/>
  <c r="E157" i="68" s="1"/>
  <c r="A119" i="66"/>
  <c r="E59" i="56"/>
  <c r="K59" i="56"/>
  <c r="D59" i="56"/>
  <c r="C158" i="68" l="1"/>
  <c r="D158" i="68" s="1"/>
  <c r="E158" i="68" s="1"/>
  <c r="A120" i="66"/>
  <c r="L59" i="56"/>
  <c r="M59" i="56"/>
  <c r="P57" i="56"/>
  <c r="P64" i="56" s="1"/>
  <c r="F57" i="56"/>
  <c r="H57" i="56" s="1"/>
  <c r="R57" i="56" l="1"/>
  <c r="Y20" i="56" s="1"/>
  <c r="V57" i="56"/>
  <c r="Z20" i="56" s="1"/>
  <c r="C159" i="68"/>
  <c r="D159" i="68" s="1"/>
  <c r="E159" i="68" s="1"/>
  <c r="A121" i="66"/>
  <c r="K17" i="61"/>
  <c r="K57" i="56"/>
  <c r="K64" i="56" s="1"/>
  <c r="D57" i="56"/>
  <c r="E57" i="56"/>
  <c r="R45" i="41" l="1"/>
  <c r="C160" i="68"/>
  <c r="D160" i="68" s="1"/>
  <c r="E160" i="68" s="1"/>
  <c r="A122" i="66"/>
  <c r="L57" i="56"/>
  <c r="L64" i="56" s="1"/>
  <c r="M57" i="56"/>
  <c r="M64" i="56" s="1"/>
  <c r="C161" i="68" l="1"/>
  <c r="D161" i="68" s="1"/>
  <c r="E161" i="68" s="1"/>
  <c r="A123" i="66"/>
  <c r="C162" i="68" l="1"/>
  <c r="D162" i="68" s="1"/>
  <c r="E162" i="68" s="1"/>
  <c r="A124" i="66"/>
  <c r="N15" i="46"/>
  <c r="N20" i="46" s="1"/>
  <c r="K15" i="46"/>
  <c r="K20" i="46" s="1"/>
  <c r="H15" i="46"/>
  <c r="H20" i="46" s="1"/>
  <c r="F15" i="46"/>
  <c r="F20" i="46" s="1"/>
  <c r="D15" i="46"/>
  <c r="D20" i="46" s="1"/>
  <c r="N29" i="46" l="1"/>
  <c r="K29" i="46"/>
  <c r="D29" i="46"/>
  <c r="F29" i="46"/>
  <c r="H29" i="46"/>
  <c r="C163" i="68"/>
  <c r="D163" i="68" s="1"/>
  <c r="E163" i="68" s="1"/>
  <c r="A125" i="66"/>
  <c r="C164" i="68" l="1"/>
  <c r="D164" i="68" s="1"/>
  <c r="E164" i="68" s="1"/>
  <c r="A126" i="66"/>
  <c r="E41" i="20"/>
  <c r="C165" i="68" l="1"/>
  <c r="D165" i="68" s="1"/>
  <c r="E165" i="68" s="1"/>
  <c r="A127" i="66"/>
  <c r="C166" i="68" l="1"/>
  <c r="D166" i="68" s="1"/>
  <c r="E166" i="68" s="1"/>
  <c r="A128" i="66"/>
  <c r="O50" i="34"/>
  <c r="C167" i="68" l="1"/>
  <c r="D167" i="68" s="1"/>
  <c r="E167" i="68" s="1"/>
  <c r="A129" i="66"/>
  <c r="C168" i="68" l="1"/>
  <c r="D168" i="68" s="1"/>
  <c r="E168" i="68" s="1"/>
  <c r="A130" i="66"/>
  <c r="C169" i="68" l="1"/>
  <c r="D169" i="68" s="1"/>
  <c r="E169" i="68" s="1"/>
  <c r="A131" i="66"/>
  <c r="C170" i="68" l="1"/>
  <c r="D170" i="68" s="1"/>
  <c r="E170" i="68" s="1"/>
  <c r="A132" i="66"/>
  <c r="W14" i="61"/>
  <c r="C171" i="68" l="1"/>
  <c r="D171" i="68" s="1"/>
  <c r="E171" i="68" s="1"/>
  <c r="A133" i="66"/>
  <c r="B7" i="62"/>
  <c r="AC7" i="62" l="1"/>
  <c r="AF7" i="62"/>
  <c r="AE7" i="62"/>
  <c r="AD7" i="62"/>
  <c r="AB7" i="62"/>
  <c r="AA7" i="62"/>
  <c r="X7" i="62"/>
  <c r="Z7" i="62"/>
  <c r="V7" i="62"/>
  <c r="W7" i="62"/>
  <c r="U7" i="62"/>
  <c r="T7" i="62"/>
  <c r="C172" i="68"/>
  <c r="D172" i="68" s="1"/>
  <c r="E172" i="68" s="1"/>
  <c r="A134" i="66"/>
  <c r="S7" i="62"/>
  <c r="Y7" i="62"/>
  <c r="B8" i="62"/>
  <c r="AC8" i="62" s="1"/>
  <c r="AD8" i="62" l="1"/>
  <c r="AF8" i="62"/>
  <c r="AE8" i="62"/>
  <c r="AA8" i="62"/>
  <c r="AB8" i="62"/>
  <c r="X8" i="62"/>
  <c r="Z8" i="62"/>
  <c r="V8" i="62"/>
  <c r="W8" i="62"/>
  <c r="U8" i="62"/>
  <c r="T8" i="62"/>
  <c r="C173" i="68"/>
  <c r="D173" i="68" s="1"/>
  <c r="E173" i="68" s="1"/>
  <c r="A135" i="66"/>
  <c r="Y8" i="62"/>
  <c r="S8" i="62"/>
  <c r="B9" i="62"/>
  <c r="AC9" i="62" l="1"/>
  <c r="AB9" i="62"/>
  <c r="AE9" i="62"/>
  <c r="AF9" i="62"/>
  <c r="AD9" i="62"/>
  <c r="Z9" i="62"/>
  <c r="AA9" i="62"/>
  <c r="W9" i="62"/>
  <c r="X9" i="62"/>
  <c r="T9" i="62"/>
  <c r="V9" i="62"/>
  <c r="S9" i="62"/>
  <c r="U9" i="62"/>
  <c r="C174" i="68"/>
  <c r="D174" i="68" s="1"/>
  <c r="E174" i="68" s="1"/>
  <c r="A136" i="66"/>
  <c r="Y9" i="62"/>
  <c r="B10" i="62"/>
  <c r="AC10" i="62" s="1"/>
  <c r="AF10" i="62" l="1"/>
  <c r="AE10" i="62"/>
  <c r="AD10" i="62"/>
  <c r="AA10" i="62"/>
  <c r="AB10" i="62"/>
  <c r="X10" i="62"/>
  <c r="Z10" i="62"/>
  <c r="V10" i="62"/>
  <c r="W10" i="62"/>
  <c r="U10" i="62"/>
  <c r="T10" i="62"/>
  <c r="C175" i="68"/>
  <c r="D175" i="68" s="1"/>
  <c r="E175" i="68" s="1"/>
  <c r="A137" i="66"/>
  <c r="S10" i="62"/>
  <c r="Y10" i="62"/>
  <c r="B11" i="62"/>
  <c r="AC11" i="62" s="1"/>
  <c r="AE11" i="62" l="1"/>
  <c r="AD11" i="62"/>
  <c r="AF11" i="62"/>
  <c r="AA11" i="62"/>
  <c r="AB11" i="62"/>
  <c r="X11" i="62"/>
  <c r="Z11" i="62"/>
  <c r="V11" i="62"/>
  <c r="W11" i="62"/>
  <c r="U11" i="62"/>
  <c r="T11" i="62"/>
  <c r="C176" i="68"/>
  <c r="D176" i="68" s="1"/>
  <c r="E176" i="68" s="1"/>
  <c r="A138" i="66"/>
  <c r="Y11" i="62"/>
  <c r="S11" i="62"/>
  <c r="B12" i="62"/>
  <c r="AC12" i="62" s="1"/>
  <c r="AF12" i="62" l="1"/>
  <c r="AD12" i="62"/>
  <c r="AE12" i="62"/>
  <c r="AA12" i="62"/>
  <c r="AB12" i="62"/>
  <c r="X12" i="62"/>
  <c r="Z12" i="62"/>
  <c r="V12" i="62"/>
  <c r="W12" i="62"/>
  <c r="U12" i="62"/>
  <c r="T12" i="62"/>
  <c r="C177" i="68"/>
  <c r="D177" i="68" s="1"/>
  <c r="E177" i="68" s="1"/>
  <c r="A139" i="66"/>
  <c r="S12" i="62"/>
  <c r="Y12" i="62"/>
  <c r="B13" i="62"/>
  <c r="AC13" i="62" s="1"/>
  <c r="AE13" i="62" l="1"/>
  <c r="AD13" i="62"/>
  <c r="AF13" i="62"/>
  <c r="AA13" i="62"/>
  <c r="AB13" i="62"/>
  <c r="X13" i="62"/>
  <c r="Z13" i="62"/>
  <c r="V13" i="62"/>
  <c r="W13" i="62"/>
  <c r="U13" i="62"/>
  <c r="T13" i="62"/>
  <c r="C178" i="68"/>
  <c r="D178" i="68" s="1"/>
  <c r="E178" i="68" s="1"/>
  <c r="A140" i="66"/>
  <c r="Y13" i="62"/>
  <c r="S13" i="62"/>
  <c r="B14" i="62"/>
  <c r="AC14" i="62" s="1"/>
  <c r="AF14" i="62" l="1"/>
  <c r="AE14" i="62"/>
  <c r="AD14" i="62"/>
  <c r="AA14" i="62"/>
  <c r="AB14" i="62"/>
  <c r="X14" i="62"/>
  <c r="Z14" i="62"/>
  <c r="V14" i="62"/>
  <c r="W14" i="62"/>
  <c r="U14" i="62"/>
  <c r="T14" i="62"/>
  <c r="C179" i="68"/>
  <c r="D179" i="68" s="1"/>
  <c r="E179" i="68" s="1"/>
  <c r="A141" i="66"/>
  <c r="S14" i="62"/>
  <c r="Y14" i="62"/>
  <c r="B15" i="62"/>
  <c r="AC15" i="62" s="1"/>
  <c r="AF15" i="62" l="1"/>
  <c r="AE15" i="62"/>
  <c r="AD15" i="62"/>
  <c r="AA15" i="62"/>
  <c r="AB15" i="62"/>
  <c r="X15" i="62"/>
  <c r="Z15" i="62"/>
  <c r="V15" i="62"/>
  <c r="W15" i="62"/>
  <c r="U15" i="62"/>
  <c r="T15" i="62"/>
  <c r="C180" i="68"/>
  <c r="D180" i="68" s="1"/>
  <c r="E180" i="68" s="1"/>
  <c r="A142" i="66"/>
  <c r="Y15" i="62"/>
  <c r="S15" i="62"/>
  <c r="B16" i="62"/>
  <c r="AC16" i="62" s="1"/>
  <c r="AD16" i="62" l="1"/>
  <c r="AF16" i="62"/>
  <c r="AE16" i="62"/>
  <c r="AA16" i="62"/>
  <c r="AB16" i="62"/>
  <c r="X16" i="62"/>
  <c r="Z16" i="62"/>
  <c r="V16" i="62"/>
  <c r="W16" i="62"/>
  <c r="U16" i="62"/>
  <c r="T16" i="62"/>
  <c r="C181" i="68"/>
  <c r="D181" i="68" s="1"/>
  <c r="E181" i="68" s="1"/>
  <c r="A143" i="66"/>
  <c r="Y16" i="62"/>
  <c r="S16" i="62"/>
  <c r="B17" i="62"/>
  <c r="AC17" i="62" s="1"/>
  <c r="AE17" i="62" l="1"/>
  <c r="AF17" i="62"/>
  <c r="AD17" i="62"/>
  <c r="AA17" i="62"/>
  <c r="AB17" i="62"/>
  <c r="X17" i="62"/>
  <c r="Z17" i="62"/>
  <c r="V17" i="62"/>
  <c r="W17" i="62"/>
  <c r="U17" i="62"/>
  <c r="T17" i="62"/>
  <c r="C182" i="68"/>
  <c r="D182" i="68" s="1"/>
  <c r="E182" i="68" s="1"/>
  <c r="A144" i="66"/>
  <c r="Y17" i="62"/>
  <c r="S17" i="62"/>
  <c r="B18" i="62"/>
  <c r="AC18" i="62" s="1"/>
  <c r="AF18" i="62" l="1"/>
  <c r="AE18" i="62"/>
  <c r="AD18" i="62"/>
  <c r="AA18" i="62"/>
  <c r="AB18" i="62"/>
  <c r="X18" i="62"/>
  <c r="Z18" i="62"/>
  <c r="V18" i="62"/>
  <c r="W18" i="62"/>
  <c r="U18" i="62"/>
  <c r="T18" i="62"/>
  <c r="C183" i="68"/>
  <c r="D183" i="68" s="1"/>
  <c r="E183" i="68" s="1"/>
  <c r="A145" i="66"/>
  <c r="Y18" i="62"/>
  <c r="S18" i="62"/>
  <c r="B19" i="62"/>
  <c r="AC19" i="62" s="1"/>
  <c r="K67" i="20"/>
  <c r="AE19" i="62" l="1"/>
  <c r="AF19" i="62"/>
  <c r="AD19" i="62"/>
  <c r="AA19" i="62"/>
  <c r="AB19" i="62"/>
  <c r="X19" i="62"/>
  <c r="Z19" i="62"/>
  <c r="V19" i="62"/>
  <c r="W19" i="62"/>
  <c r="U19" i="62"/>
  <c r="T19" i="62"/>
  <c r="C184" i="68"/>
  <c r="D184" i="68" s="1"/>
  <c r="E184" i="68" s="1"/>
  <c r="A146" i="66"/>
  <c r="Y19" i="62"/>
  <c r="S19" i="62"/>
  <c r="B20" i="62"/>
  <c r="AC20" i="62" s="1"/>
  <c r="D12" i="2"/>
  <c r="E12" i="2"/>
  <c r="D13" i="2"/>
  <c r="Q46" i="33" s="1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K49" i="33" l="1"/>
  <c r="Q49" i="33" s="1"/>
  <c r="R49" i="33" s="1"/>
  <c r="K40" i="33"/>
  <c r="Q40" i="33" s="1"/>
  <c r="R40" i="33" s="1"/>
  <c r="K50" i="33"/>
  <c r="Q50" i="33" s="1"/>
  <c r="R50" i="33" s="1"/>
  <c r="R46" i="33"/>
  <c r="X46" i="33"/>
  <c r="Q48" i="33"/>
  <c r="K38" i="33"/>
  <c r="Q38" i="33" s="1"/>
  <c r="R38" i="33" s="1"/>
  <c r="K45" i="33"/>
  <c r="Q45" i="33" s="1"/>
  <c r="R45" i="33" s="1"/>
  <c r="K41" i="33"/>
  <c r="Q41" i="33" s="1"/>
  <c r="R41" i="33" s="1"/>
  <c r="K43" i="33"/>
  <c r="Q43" i="33" s="1"/>
  <c r="R43" i="33" s="1"/>
  <c r="K42" i="33"/>
  <c r="Q42" i="33" s="1"/>
  <c r="R42" i="33" s="1"/>
  <c r="Q39" i="33"/>
  <c r="Q37" i="33"/>
  <c r="Q33" i="33"/>
  <c r="Q36" i="33"/>
  <c r="Q23" i="33"/>
  <c r="X23" i="33" s="1"/>
  <c r="Q34" i="33"/>
  <c r="Q30" i="33"/>
  <c r="Q31" i="33"/>
  <c r="AB20" i="62"/>
  <c r="AE20" i="62"/>
  <c r="AF20" i="62"/>
  <c r="AD20" i="62"/>
  <c r="Q24" i="33"/>
  <c r="Q22" i="33"/>
  <c r="Q20" i="33"/>
  <c r="Q17" i="33"/>
  <c r="Q18" i="33"/>
  <c r="Q15" i="33"/>
  <c r="Q16" i="33"/>
  <c r="Q14" i="33"/>
  <c r="Q13" i="33"/>
  <c r="Z20" i="62"/>
  <c r="AA20" i="62"/>
  <c r="W20" i="62"/>
  <c r="X20" i="62"/>
  <c r="T20" i="62"/>
  <c r="V20" i="62"/>
  <c r="B21" i="62"/>
  <c r="AC21" i="62" s="1"/>
  <c r="U20" i="62"/>
  <c r="C185" i="68"/>
  <c r="D185" i="68" s="1"/>
  <c r="E185" i="68" s="1"/>
  <c r="A147" i="66"/>
  <c r="Y20" i="62"/>
  <c r="S20" i="62"/>
  <c r="R48" i="33" l="1"/>
  <c r="X48" i="33"/>
  <c r="R39" i="33"/>
  <c r="X39" i="33"/>
  <c r="R23" i="33"/>
  <c r="R36" i="33"/>
  <c r="X36" i="33"/>
  <c r="R33" i="33"/>
  <c r="X33" i="33"/>
  <c r="R37" i="33"/>
  <c r="X37" i="33"/>
  <c r="R31" i="33"/>
  <c r="X31" i="33"/>
  <c r="R30" i="33"/>
  <c r="X30" i="33"/>
  <c r="R34" i="33"/>
  <c r="X34" i="33"/>
  <c r="R24" i="33"/>
  <c r="X24" i="33"/>
  <c r="R18" i="33"/>
  <c r="X18" i="33"/>
  <c r="R17" i="33"/>
  <c r="X17" i="33"/>
  <c r="Y25" i="56"/>
  <c r="V93" i="56"/>
  <c r="AB21" i="62"/>
  <c r="AF21" i="62"/>
  <c r="AE21" i="62"/>
  <c r="AD21" i="62"/>
  <c r="R22" i="33"/>
  <c r="X22" i="33"/>
  <c r="R20" i="33"/>
  <c r="X20" i="33"/>
  <c r="R16" i="33"/>
  <c r="X16" i="33"/>
  <c r="R15" i="33"/>
  <c r="X15" i="33"/>
  <c r="R14" i="33"/>
  <c r="X14" i="33"/>
  <c r="R13" i="33"/>
  <c r="X13" i="33"/>
  <c r="Z21" i="62"/>
  <c r="AA21" i="62"/>
  <c r="Y21" i="62"/>
  <c r="X21" i="62"/>
  <c r="B22" i="62"/>
  <c r="AC22" i="62" s="1"/>
  <c r="S21" i="62"/>
  <c r="V21" i="62"/>
  <c r="W21" i="62"/>
  <c r="U21" i="62"/>
  <c r="T21" i="62"/>
  <c r="C186" i="68"/>
  <c r="D186" i="68" s="1"/>
  <c r="E186" i="68" s="1"/>
  <c r="A148" i="66"/>
  <c r="E93" i="56"/>
  <c r="D93" i="56"/>
  <c r="Z25" i="56" l="1"/>
  <c r="Z9" i="56"/>
  <c r="AB22" i="62"/>
  <c r="AE22" i="62"/>
  <c r="AD22" i="62"/>
  <c r="AF22" i="62"/>
  <c r="V22" i="62"/>
  <c r="AA22" i="62"/>
  <c r="S22" i="62"/>
  <c r="Y22" i="62"/>
  <c r="B23" i="62"/>
  <c r="AC23" i="62" s="1"/>
  <c r="T22" i="62"/>
  <c r="W22" i="62"/>
  <c r="U22" i="62"/>
  <c r="X22" i="62"/>
  <c r="Z22" i="62"/>
  <c r="C187" i="68"/>
  <c r="D187" i="68" s="1"/>
  <c r="E187" i="68" s="1"/>
  <c r="A149" i="66"/>
  <c r="AF23" i="62" l="1"/>
  <c r="AD23" i="62"/>
  <c r="AE23" i="62"/>
  <c r="S23" i="62"/>
  <c r="AB23" i="62"/>
  <c r="V23" i="62"/>
  <c r="X23" i="62"/>
  <c r="W23" i="62"/>
  <c r="B24" i="62"/>
  <c r="AC24" i="62" s="1"/>
  <c r="Z23" i="62"/>
  <c r="U23" i="62"/>
  <c r="AA23" i="62"/>
  <c r="Y23" i="62"/>
  <c r="T23" i="62"/>
  <c r="C188" i="68"/>
  <c r="D188" i="68" s="1"/>
  <c r="E188" i="68" s="1"/>
  <c r="A150" i="66"/>
  <c r="AE24" i="62" l="1"/>
  <c r="AD24" i="62"/>
  <c r="AF24" i="62"/>
  <c r="AA24" i="62"/>
  <c r="AB24" i="62"/>
  <c r="B25" i="62"/>
  <c r="AC25" i="62" s="1"/>
  <c r="S24" i="62"/>
  <c r="U24" i="62"/>
  <c r="V24" i="62"/>
  <c r="T24" i="62"/>
  <c r="W24" i="62"/>
  <c r="Y24" i="62"/>
  <c r="Z24" i="62"/>
  <c r="X24" i="62"/>
  <c r="C189" i="68"/>
  <c r="D189" i="68" s="1"/>
  <c r="E189" i="68" s="1"/>
  <c r="A151" i="66"/>
  <c r="AF25" i="62" l="1"/>
  <c r="AE25" i="62"/>
  <c r="AD25" i="62"/>
  <c r="AA25" i="62"/>
  <c r="AB25" i="62"/>
  <c r="T25" i="62"/>
  <c r="U25" i="62"/>
  <c r="B26" i="62"/>
  <c r="W25" i="62"/>
  <c r="S25" i="62"/>
  <c r="V25" i="62"/>
  <c r="Y25" i="62"/>
  <c r="Z25" i="62"/>
  <c r="X25" i="62"/>
  <c r="C190" i="68"/>
  <c r="D190" i="68" s="1"/>
  <c r="E190" i="68" s="1"/>
  <c r="A152" i="66"/>
  <c r="B27" i="62" l="1"/>
  <c r="AC27" i="62" s="1"/>
  <c r="AC26" i="62"/>
  <c r="Y26" i="62"/>
  <c r="T26" i="62"/>
  <c r="X26" i="62"/>
  <c r="AF26" i="62"/>
  <c r="AE26" i="62"/>
  <c r="AD26" i="62"/>
  <c r="U26" i="62"/>
  <c r="V26" i="62"/>
  <c r="S26" i="62"/>
  <c r="Z26" i="62"/>
  <c r="W26" i="62"/>
  <c r="AA26" i="62"/>
  <c r="AB26" i="62"/>
  <c r="V27" i="62"/>
  <c r="U27" i="62"/>
  <c r="T27" i="62"/>
  <c r="C191" i="68"/>
  <c r="D191" i="68" s="1"/>
  <c r="E191" i="68" s="1"/>
  <c r="A153" i="66"/>
  <c r="S27" i="62"/>
  <c r="Z27" i="62" l="1"/>
  <c r="B28" i="62"/>
  <c r="AC28" i="62" s="1"/>
  <c r="X27" i="62"/>
  <c r="AF27" i="62"/>
  <c r="Y27" i="62"/>
  <c r="AA27" i="62"/>
  <c r="AD27" i="62"/>
  <c r="W27" i="62"/>
  <c r="AB27" i="62"/>
  <c r="AE27" i="62"/>
  <c r="AE28" i="62"/>
  <c r="AD28" i="62"/>
  <c r="AA28" i="62"/>
  <c r="AB28" i="62"/>
  <c r="X28" i="62"/>
  <c r="Z28" i="62"/>
  <c r="V28" i="62"/>
  <c r="W28" i="62"/>
  <c r="U28" i="62"/>
  <c r="T28" i="62"/>
  <c r="C192" i="68"/>
  <c r="D192" i="68" s="1"/>
  <c r="E192" i="68" s="1"/>
  <c r="A154" i="66"/>
  <c r="Y28" i="62"/>
  <c r="S28" i="62"/>
  <c r="B29" i="62"/>
  <c r="AC29" i="62" s="1"/>
  <c r="F23" i="41"/>
  <c r="D23" i="41"/>
  <c r="AF28" i="62" l="1"/>
  <c r="AF29" i="62"/>
  <c r="AE29" i="62"/>
  <c r="AD29" i="62"/>
  <c r="AA29" i="62"/>
  <c r="AB29" i="62"/>
  <c r="X29" i="62"/>
  <c r="Z29" i="62"/>
  <c r="V29" i="62"/>
  <c r="W29" i="62"/>
  <c r="U29" i="62"/>
  <c r="T29" i="62"/>
  <c r="C193" i="68"/>
  <c r="D193" i="68" s="1"/>
  <c r="E193" i="68" s="1"/>
  <c r="A155" i="66"/>
  <c r="Y29" i="62"/>
  <c r="S29" i="62"/>
  <c r="B30" i="62"/>
  <c r="AC30" i="62" s="1"/>
  <c r="I26" i="40"/>
  <c r="AF30" i="62" l="1"/>
  <c r="AE30" i="62"/>
  <c r="AD30" i="62"/>
  <c r="AA30" i="62"/>
  <c r="AB30" i="62"/>
  <c r="X30" i="62"/>
  <c r="Z30" i="62"/>
  <c r="V30" i="62"/>
  <c r="W30" i="62"/>
  <c r="U30" i="62"/>
  <c r="T30" i="62"/>
  <c r="C194" i="68"/>
  <c r="D194" i="68" s="1"/>
  <c r="E194" i="68" s="1"/>
  <c r="A156" i="66"/>
  <c r="Y30" i="62"/>
  <c r="S30" i="62"/>
  <c r="B31" i="62"/>
  <c r="AC31" i="62" s="1"/>
  <c r="N17" i="59"/>
  <c r="AF31" i="62" l="1"/>
  <c r="AD31" i="62"/>
  <c r="AE31" i="62"/>
  <c r="AA31" i="62"/>
  <c r="AB31" i="62"/>
  <c r="X31" i="62"/>
  <c r="Z31" i="62"/>
  <c r="V31" i="62"/>
  <c r="W31" i="62"/>
  <c r="U31" i="62"/>
  <c r="T31" i="62"/>
  <c r="C195" i="68"/>
  <c r="D195" i="68" s="1"/>
  <c r="E195" i="68" s="1"/>
  <c r="A157" i="66"/>
  <c r="Y31" i="62"/>
  <c r="S31" i="62"/>
  <c r="B32" i="62"/>
  <c r="AC32" i="62" s="1"/>
  <c r="AE32" i="62" l="1"/>
  <c r="AD32" i="62"/>
  <c r="AF32" i="62"/>
  <c r="AA32" i="62"/>
  <c r="AB32" i="62"/>
  <c r="X32" i="62"/>
  <c r="Z32" i="62"/>
  <c r="V32" i="62"/>
  <c r="W32" i="62"/>
  <c r="U32" i="62"/>
  <c r="T32" i="62"/>
  <c r="C196" i="68"/>
  <c r="D196" i="68" s="1"/>
  <c r="E196" i="68" s="1"/>
  <c r="A158" i="66"/>
  <c r="Y32" i="62"/>
  <c r="S32" i="62"/>
  <c r="B33" i="62"/>
  <c r="AC33" i="62" s="1"/>
  <c r="AF33" i="62" l="1"/>
  <c r="AD33" i="62"/>
  <c r="AE33" i="62"/>
  <c r="AA33" i="62"/>
  <c r="AB33" i="62"/>
  <c r="X33" i="62"/>
  <c r="Z33" i="62"/>
  <c r="V33" i="62"/>
  <c r="W33" i="62"/>
  <c r="U33" i="62"/>
  <c r="T33" i="62"/>
  <c r="C197" i="68"/>
  <c r="D197" i="68" s="1"/>
  <c r="E197" i="68" s="1"/>
  <c r="A159" i="66"/>
  <c r="Y33" i="62"/>
  <c r="S33" i="62"/>
  <c r="B34" i="62"/>
  <c r="AC34" i="62" s="1"/>
  <c r="AF34" i="62" l="1"/>
  <c r="AE34" i="62"/>
  <c r="AD34" i="62"/>
  <c r="AA34" i="62"/>
  <c r="AB34" i="62"/>
  <c r="X34" i="62"/>
  <c r="Z34" i="62"/>
  <c r="V34" i="62"/>
  <c r="W34" i="62"/>
  <c r="U34" i="62"/>
  <c r="T34" i="62"/>
  <c r="C198" i="68"/>
  <c r="D198" i="68" s="1"/>
  <c r="E198" i="68" s="1"/>
  <c r="A160" i="66"/>
  <c r="Y34" i="62"/>
  <c r="S34" i="62"/>
  <c r="B35" i="62"/>
  <c r="AC35" i="62" s="1"/>
  <c r="AD35" i="62" l="1"/>
  <c r="AF35" i="62"/>
  <c r="AE35" i="62"/>
  <c r="AA35" i="62"/>
  <c r="AB35" i="62"/>
  <c r="X35" i="62"/>
  <c r="Z35" i="62"/>
  <c r="V35" i="62"/>
  <c r="W35" i="62"/>
  <c r="U35" i="62"/>
  <c r="T35" i="62"/>
  <c r="C199" i="68"/>
  <c r="D199" i="68" s="1"/>
  <c r="E199" i="68" s="1"/>
  <c r="A161" i="66"/>
  <c r="Y35" i="62"/>
  <c r="S35" i="62"/>
  <c r="B36" i="62"/>
  <c r="AC36" i="62" s="1"/>
  <c r="AE36" i="62" l="1"/>
  <c r="AF36" i="62"/>
  <c r="AD36" i="62"/>
  <c r="AA36" i="62"/>
  <c r="AB36" i="62"/>
  <c r="X36" i="62"/>
  <c r="Z36" i="62"/>
  <c r="V36" i="62"/>
  <c r="W36" i="62"/>
  <c r="U36" i="62"/>
  <c r="T36" i="62"/>
  <c r="C200" i="68"/>
  <c r="D200" i="68" s="1"/>
  <c r="E200" i="68" s="1"/>
  <c r="A162" i="66"/>
  <c r="Y36" i="62"/>
  <c r="S36" i="62"/>
  <c r="B37" i="62"/>
  <c r="AC37" i="62" s="1"/>
  <c r="AF37" i="62" l="1"/>
  <c r="AE37" i="62"/>
  <c r="AD37" i="62"/>
  <c r="AA37" i="62"/>
  <c r="AB37" i="62"/>
  <c r="X37" i="62"/>
  <c r="Z37" i="62"/>
  <c r="V37" i="62"/>
  <c r="W37" i="62"/>
  <c r="U37" i="62"/>
  <c r="T37" i="62"/>
  <c r="C201" i="68"/>
  <c r="D201" i="68" s="1"/>
  <c r="E201" i="68" s="1"/>
  <c r="A163" i="66"/>
  <c r="Y37" i="62"/>
  <c r="S37" i="62"/>
  <c r="B38" i="62"/>
  <c r="AC38" i="62" s="1"/>
  <c r="AE38" i="62" l="1"/>
  <c r="AD38" i="62"/>
  <c r="AF38" i="62"/>
  <c r="AA38" i="62"/>
  <c r="AB38" i="62"/>
  <c r="X38" i="62"/>
  <c r="Z38" i="62"/>
  <c r="V38" i="62"/>
  <c r="W38" i="62"/>
  <c r="U38" i="62"/>
  <c r="T38" i="62"/>
  <c r="C202" i="68"/>
  <c r="D202" i="68" s="1"/>
  <c r="E202" i="68" s="1"/>
  <c r="A164" i="66"/>
  <c r="Y38" i="62"/>
  <c r="S38" i="62"/>
  <c r="E42" i="20"/>
  <c r="B39" i="62"/>
  <c r="AC39" i="62" s="1"/>
  <c r="AF39" i="62" l="1"/>
  <c r="AD39" i="62"/>
  <c r="AE39" i="62"/>
  <c r="AA39" i="62"/>
  <c r="AB39" i="62"/>
  <c r="X39" i="62"/>
  <c r="Z39" i="62"/>
  <c r="V39" i="62"/>
  <c r="W39" i="62"/>
  <c r="U39" i="62"/>
  <c r="T39" i="62"/>
  <c r="C203" i="68"/>
  <c r="D203" i="68" s="1"/>
  <c r="E203" i="68" s="1"/>
  <c r="A165" i="66"/>
  <c r="Y39" i="62"/>
  <c r="S39" i="62"/>
  <c r="B40" i="62"/>
  <c r="AC40" i="62" s="1"/>
  <c r="AE40" i="62" l="1"/>
  <c r="AD40" i="62"/>
  <c r="AF40" i="62"/>
  <c r="AA40" i="62"/>
  <c r="AB40" i="62"/>
  <c r="X40" i="62"/>
  <c r="Z40" i="62"/>
  <c r="V40" i="62"/>
  <c r="W40" i="62"/>
  <c r="U40" i="62"/>
  <c r="T40" i="62"/>
  <c r="C204" i="68"/>
  <c r="D204" i="68" s="1"/>
  <c r="E204" i="68" s="1"/>
  <c r="A166" i="66"/>
  <c r="Y40" i="62"/>
  <c r="S40" i="62"/>
  <c r="B41" i="62"/>
  <c r="AC41" i="62" s="1"/>
  <c r="K33" i="41"/>
  <c r="H33" i="41"/>
  <c r="AF41" i="62" l="1"/>
  <c r="AE41" i="62"/>
  <c r="AD41" i="62"/>
  <c r="AA41" i="62"/>
  <c r="AB41" i="62"/>
  <c r="X41" i="62"/>
  <c r="Z41" i="62"/>
  <c r="V41" i="62"/>
  <c r="W41" i="62"/>
  <c r="U41" i="62"/>
  <c r="T41" i="62"/>
  <c r="C205" i="68"/>
  <c r="D205" i="68" s="1"/>
  <c r="E205" i="68" s="1"/>
  <c r="A167" i="66"/>
  <c r="Y41" i="62"/>
  <c r="S41" i="62"/>
  <c r="B42" i="62"/>
  <c r="AC42" i="62" s="1"/>
  <c r="I33" i="41"/>
  <c r="L33" i="41"/>
  <c r="AF42" i="62" l="1"/>
  <c r="AE42" i="62"/>
  <c r="AD42" i="62"/>
  <c r="AA42" i="62"/>
  <c r="AB42" i="62"/>
  <c r="X42" i="62"/>
  <c r="Z42" i="62"/>
  <c r="V42" i="62"/>
  <c r="W42" i="62"/>
  <c r="U42" i="62"/>
  <c r="T42" i="62"/>
  <c r="C206" i="68"/>
  <c r="D206" i="68" s="1"/>
  <c r="E206" i="68" s="1"/>
  <c r="A168" i="66"/>
  <c r="Y42" i="62"/>
  <c r="S42" i="62"/>
  <c r="B43" i="62"/>
  <c r="AC43" i="62" s="1"/>
  <c r="C16" i="40"/>
  <c r="AD43" i="62" l="1"/>
  <c r="AF43" i="62"/>
  <c r="AE43" i="62"/>
  <c r="AA43" i="62"/>
  <c r="AB43" i="62"/>
  <c r="X43" i="62"/>
  <c r="Z43" i="62"/>
  <c r="V43" i="62"/>
  <c r="W43" i="62"/>
  <c r="U43" i="62"/>
  <c r="T43" i="62"/>
  <c r="C207" i="68"/>
  <c r="D207" i="68" s="1"/>
  <c r="E207" i="68" s="1"/>
  <c r="A169" i="66"/>
  <c r="Y43" i="62"/>
  <c r="S43" i="62"/>
  <c r="B44" i="62"/>
  <c r="AC44" i="62" s="1"/>
  <c r="AE44" i="62" l="1"/>
  <c r="AD44" i="62"/>
  <c r="AF44" i="62"/>
  <c r="AA44" i="62"/>
  <c r="AB44" i="62"/>
  <c r="X44" i="62"/>
  <c r="Z44" i="62"/>
  <c r="V44" i="62"/>
  <c r="W44" i="62"/>
  <c r="U44" i="62"/>
  <c r="T44" i="62"/>
  <c r="C208" i="68"/>
  <c r="D208" i="68" s="1"/>
  <c r="E208" i="68" s="1"/>
  <c r="A170" i="66"/>
  <c r="Y44" i="62"/>
  <c r="S44" i="62"/>
  <c r="B45" i="62"/>
  <c r="AC45" i="62" s="1"/>
  <c r="AF45" i="62" l="1"/>
  <c r="AE45" i="62"/>
  <c r="AD45" i="62"/>
  <c r="AA45" i="62"/>
  <c r="AB45" i="62"/>
  <c r="X45" i="62"/>
  <c r="Z45" i="62"/>
  <c r="V45" i="62"/>
  <c r="W45" i="62"/>
  <c r="U45" i="62"/>
  <c r="T45" i="62"/>
  <c r="C209" i="68"/>
  <c r="D209" i="68" s="1"/>
  <c r="E209" i="68" s="1"/>
  <c r="A171" i="66"/>
  <c r="Y45" i="62"/>
  <c r="S45" i="62"/>
  <c r="B46" i="62"/>
  <c r="AC46" i="62" s="1"/>
  <c r="AF46" i="62" l="1"/>
  <c r="AE46" i="62"/>
  <c r="AD46" i="62"/>
  <c r="AA46" i="62"/>
  <c r="AB46" i="62"/>
  <c r="X46" i="62"/>
  <c r="Z46" i="62"/>
  <c r="V46" i="62"/>
  <c r="W46" i="62"/>
  <c r="U46" i="62"/>
  <c r="T46" i="62"/>
  <c r="C210" i="68"/>
  <c r="D210" i="68" s="1"/>
  <c r="E210" i="68" s="1"/>
  <c r="A172" i="66"/>
  <c r="Y46" i="62"/>
  <c r="S46" i="62"/>
  <c r="B47" i="62"/>
  <c r="AC47" i="62" s="1"/>
  <c r="C100" i="40"/>
  <c r="AF47" i="62" l="1"/>
  <c r="AD47" i="62"/>
  <c r="AE47" i="62"/>
  <c r="AA47" i="62"/>
  <c r="AB47" i="62"/>
  <c r="X47" i="62"/>
  <c r="Z47" i="62"/>
  <c r="V47" i="62"/>
  <c r="W47" i="62"/>
  <c r="U47" i="62"/>
  <c r="T47" i="62"/>
  <c r="C211" i="68"/>
  <c r="D211" i="68" s="1"/>
  <c r="E211" i="68" s="1"/>
  <c r="A173" i="66"/>
  <c r="Y47" i="62"/>
  <c r="S47" i="62"/>
  <c r="B48" i="62"/>
  <c r="AC48" i="62" s="1"/>
  <c r="AE48" i="62" l="1"/>
  <c r="AD48" i="62"/>
  <c r="AF48" i="62"/>
  <c r="AA48" i="62"/>
  <c r="AB48" i="62"/>
  <c r="X48" i="62"/>
  <c r="Z48" i="62"/>
  <c r="V48" i="62"/>
  <c r="W48" i="62"/>
  <c r="U48" i="62"/>
  <c r="T48" i="62"/>
  <c r="C212" i="68"/>
  <c r="D212" i="68" s="1"/>
  <c r="E212" i="68" s="1"/>
  <c r="A174" i="66"/>
  <c r="Y48" i="62"/>
  <c r="S48" i="62"/>
  <c r="B49" i="62"/>
  <c r="AC49" i="62" s="1"/>
  <c r="AF49" i="62" l="1"/>
  <c r="AD49" i="62"/>
  <c r="AE49" i="62"/>
  <c r="AA49" i="62"/>
  <c r="AB49" i="62"/>
  <c r="X49" i="62"/>
  <c r="Z49" i="62"/>
  <c r="V49" i="62"/>
  <c r="W49" i="62"/>
  <c r="U49" i="62"/>
  <c r="T49" i="62"/>
  <c r="C213" i="68"/>
  <c r="D213" i="68" s="1"/>
  <c r="E213" i="68" s="1"/>
  <c r="A175" i="66"/>
  <c r="Y49" i="62"/>
  <c r="S49" i="62"/>
  <c r="B50" i="62"/>
  <c r="AC50" i="62" s="1"/>
  <c r="M17" i="59"/>
  <c r="K17" i="59"/>
  <c r="AF50" i="62" l="1"/>
  <c r="AE50" i="62"/>
  <c r="AD50" i="62"/>
  <c r="AA50" i="62"/>
  <c r="AB50" i="62"/>
  <c r="X50" i="62"/>
  <c r="Z50" i="62"/>
  <c r="V50" i="62"/>
  <c r="W50" i="62"/>
  <c r="U50" i="62"/>
  <c r="T50" i="62"/>
  <c r="C214" i="68"/>
  <c r="D214" i="68" s="1"/>
  <c r="E214" i="68" s="1"/>
  <c r="A176" i="66"/>
  <c r="Y50" i="62"/>
  <c r="S50" i="62"/>
  <c r="B51" i="62"/>
  <c r="AC51" i="62" s="1"/>
  <c r="A2" i="59"/>
  <c r="A1" i="20" s="1"/>
  <c r="AD51" i="62" l="1"/>
  <c r="AF51" i="62"/>
  <c r="AE51" i="62"/>
  <c r="AA51" i="62"/>
  <c r="AB51" i="62"/>
  <c r="X51" i="62"/>
  <c r="Z51" i="62"/>
  <c r="V51" i="62"/>
  <c r="W51" i="62"/>
  <c r="U51" i="62"/>
  <c r="T51" i="62"/>
  <c r="C215" i="68"/>
  <c r="D215" i="68" s="1"/>
  <c r="E215" i="68" s="1"/>
  <c r="A177" i="66"/>
  <c r="Y51" i="62"/>
  <c r="S51" i="62"/>
  <c r="B52" i="62"/>
  <c r="AC52" i="62" s="1"/>
  <c r="AE52" i="62" l="1"/>
  <c r="AF52" i="62"/>
  <c r="AD52" i="62"/>
  <c r="AA52" i="62"/>
  <c r="AB52" i="62"/>
  <c r="X52" i="62"/>
  <c r="Z52" i="62"/>
  <c r="V52" i="62"/>
  <c r="W52" i="62"/>
  <c r="U52" i="62"/>
  <c r="T52" i="62"/>
  <c r="C216" i="68"/>
  <c r="D216" i="68" s="1"/>
  <c r="E216" i="68" s="1"/>
  <c r="A178" i="66"/>
  <c r="Y52" i="62"/>
  <c r="S52" i="62"/>
  <c r="B53" i="62"/>
  <c r="AC53" i="62" s="1"/>
  <c r="G14" i="61"/>
  <c r="A1" i="60"/>
  <c r="D58" i="60"/>
  <c r="M16" i="60"/>
  <c r="E41" i="40" s="1"/>
  <c r="AE17" i="59"/>
  <c r="S17" i="59"/>
  <c r="AF53" i="62" l="1"/>
  <c r="AE53" i="62"/>
  <c r="AD53" i="62"/>
  <c r="AA53" i="62"/>
  <c r="AB53" i="62"/>
  <c r="X53" i="62"/>
  <c r="Z53" i="62"/>
  <c r="V53" i="62"/>
  <c r="W53" i="62"/>
  <c r="U53" i="62"/>
  <c r="T53" i="62"/>
  <c r="C217" i="68"/>
  <c r="D217" i="68" s="1"/>
  <c r="E217" i="68" s="1"/>
  <c r="A179" i="66"/>
  <c r="Y53" i="62"/>
  <c r="S53" i="62"/>
  <c r="L2" i="61"/>
  <c r="AC17" i="59"/>
  <c r="B54" i="62"/>
  <c r="AC54" i="62" s="1"/>
  <c r="M18" i="60"/>
  <c r="E39" i="20"/>
  <c r="L17" i="59"/>
  <c r="I11" i="20" s="1"/>
  <c r="J14" i="61"/>
  <c r="AE54" i="62" l="1"/>
  <c r="AD54" i="62"/>
  <c r="AF54" i="62"/>
  <c r="AA54" i="62"/>
  <c r="AB54" i="62"/>
  <c r="X54" i="62"/>
  <c r="Z54" i="62"/>
  <c r="V54" i="62"/>
  <c r="W54" i="62"/>
  <c r="U54" i="62"/>
  <c r="T54" i="62"/>
  <c r="C218" i="68"/>
  <c r="D218" i="68" s="1"/>
  <c r="E218" i="68" s="1"/>
  <c r="A180" i="66"/>
  <c r="Y54" i="62"/>
  <c r="S54" i="62"/>
  <c r="K14" i="61"/>
  <c r="K16" i="61" s="1"/>
  <c r="K18" i="61" s="1"/>
  <c r="B55" i="62"/>
  <c r="AC55" i="62" s="1"/>
  <c r="H14" i="61"/>
  <c r="D14" i="20"/>
  <c r="V14" i="61"/>
  <c r="AF55" i="62" l="1"/>
  <c r="AD55" i="62"/>
  <c r="AE55" i="62"/>
  <c r="AA55" i="62"/>
  <c r="AB55" i="62"/>
  <c r="X55" i="62"/>
  <c r="Z55" i="62"/>
  <c r="V55" i="62"/>
  <c r="W55" i="62"/>
  <c r="U55" i="62"/>
  <c r="T55" i="62"/>
  <c r="C219" i="68"/>
  <c r="D219" i="68" s="1"/>
  <c r="E219" i="68" s="1"/>
  <c r="A181" i="66"/>
  <c r="Y55" i="62"/>
  <c r="S55" i="62"/>
  <c r="B56" i="62"/>
  <c r="AC56" i="62" s="1"/>
  <c r="AE56" i="62" l="1"/>
  <c r="AD56" i="62"/>
  <c r="AF56" i="62"/>
  <c r="AA56" i="62"/>
  <c r="AB56" i="62"/>
  <c r="X56" i="62"/>
  <c r="Z56" i="62"/>
  <c r="V56" i="62"/>
  <c r="W56" i="62"/>
  <c r="U56" i="62"/>
  <c r="T56" i="62"/>
  <c r="C220" i="68"/>
  <c r="D220" i="68" s="1"/>
  <c r="E220" i="68" s="1"/>
  <c r="A182" i="66"/>
  <c r="Y56" i="62"/>
  <c r="S56" i="62"/>
  <c r="B57" i="62"/>
  <c r="AC57" i="62" s="1"/>
  <c r="M60" i="20"/>
  <c r="E75" i="20"/>
  <c r="AF57" i="62" l="1"/>
  <c r="AE57" i="62"/>
  <c r="AD57" i="62"/>
  <c r="AA57" i="62"/>
  <c r="AB57" i="62"/>
  <c r="X57" i="62"/>
  <c r="Z57" i="62"/>
  <c r="V57" i="62"/>
  <c r="W57" i="62"/>
  <c r="U57" i="62"/>
  <c r="T57" i="62"/>
  <c r="C221" i="68"/>
  <c r="D221" i="68" s="1"/>
  <c r="E221" i="68" s="1"/>
  <c r="A183" i="66"/>
  <c r="Y57" i="62"/>
  <c r="S57" i="62"/>
  <c r="B58" i="62"/>
  <c r="AC58" i="62" s="1"/>
  <c r="AF58" i="62" l="1"/>
  <c r="AE58" i="62"/>
  <c r="AD58" i="62"/>
  <c r="AA58" i="62"/>
  <c r="AB58" i="62"/>
  <c r="X58" i="62"/>
  <c r="Z58" i="62"/>
  <c r="V58" i="62"/>
  <c r="W58" i="62"/>
  <c r="U58" i="62"/>
  <c r="T58" i="62"/>
  <c r="C222" i="68"/>
  <c r="D222" i="68" s="1"/>
  <c r="E222" i="68" s="1"/>
  <c r="A184" i="66"/>
  <c r="Y58" i="62"/>
  <c r="S58" i="62"/>
  <c r="B59" i="62"/>
  <c r="AC59" i="62" s="1"/>
  <c r="AD59" i="62" l="1"/>
  <c r="AF59" i="62"/>
  <c r="AE59" i="62"/>
  <c r="AA59" i="62"/>
  <c r="AB59" i="62"/>
  <c r="X59" i="62"/>
  <c r="Z59" i="62"/>
  <c r="V59" i="62"/>
  <c r="W59" i="62"/>
  <c r="U59" i="62"/>
  <c r="T59" i="62"/>
  <c r="C223" i="68"/>
  <c r="D223" i="68" s="1"/>
  <c r="E223" i="68" s="1"/>
  <c r="A185" i="66"/>
  <c r="Y59" i="62"/>
  <c r="S59" i="62"/>
  <c r="B60" i="62"/>
  <c r="AC60" i="62" s="1"/>
  <c r="AE60" i="62" l="1"/>
  <c r="AF60" i="62"/>
  <c r="AD60" i="62"/>
  <c r="AA60" i="62"/>
  <c r="AB60" i="62"/>
  <c r="X60" i="62"/>
  <c r="Z60" i="62"/>
  <c r="V60" i="62"/>
  <c r="W60" i="62"/>
  <c r="U60" i="62"/>
  <c r="T60" i="62"/>
  <c r="C224" i="68"/>
  <c r="D224" i="68" s="1"/>
  <c r="E224" i="68" s="1"/>
  <c r="A186" i="66"/>
  <c r="Y60" i="62"/>
  <c r="S60" i="62"/>
  <c r="B61" i="62"/>
  <c r="AC61" i="62" s="1"/>
  <c r="AF61" i="62" l="1"/>
  <c r="AE61" i="62"/>
  <c r="AD61" i="62"/>
  <c r="AA61" i="62"/>
  <c r="AB61" i="62"/>
  <c r="X61" i="62"/>
  <c r="Z61" i="62"/>
  <c r="V61" i="62"/>
  <c r="W61" i="62"/>
  <c r="U61" i="62"/>
  <c r="T61" i="62"/>
  <c r="C225" i="68"/>
  <c r="D225" i="68" s="1"/>
  <c r="E225" i="68" s="1"/>
  <c r="A187" i="66"/>
  <c r="Y61" i="62"/>
  <c r="S61" i="62"/>
  <c r="B62" i="62"/>
  <c r="AC62" i="62" s="1"/>
  <c r="AF62" i="62" l="1"/>
  <c r="AE62" i="62"/>
  <c r="AD62" i="62"/>
  <c r="AA62" i="62"/>
  <c r="AB62" i="62"/>
  <c r="X62" i="62"/>
  <c r="Z62" i="62"/>
  <c r="V62" i="62"/>
  <c r="W62" i="62"/>
  <c r="U62" i="62"/>
  <c r="T62" i="62"/>
  <c r="C226" i="68"/>
  <c r="D226" i="68" s="1"/>
  <c r="E226" i="68" s="1"/>
  <c r="A188" i="66"/>
  <c r="Y62" i="62"/>
  <c r="S62" i="62"/>
  <c r="B63" i="62"/>
  <c r="AC63" i="62" s="1"/>
  <c r="AF63" i="62" l="1"/>
  <c r="AD63" i="62"/>
  <c r="AE63" i="62"/>
  <c r="AA63" i="62"/>
  <c r="AB63" i="62"/>
  <c r="X63" i="62"/>
  <c r="Z63" i="62"/>
  <c r="V63" i="62"/>
  <c r="W63" i="62"/>
  <c r="U63" i="62"/>
  <c r="T63" i="62"/>
  <c r="C227" i="68"/>
  <c r="D227" i="68" s="1"/>
  <c r="E227" i="68" s="1"/>
  <c r="A189" i="66"/>
  <c r="Y63" i="62"/>
  <c r="S63" i="62"/>
  <c r="B64" i="62"/>
  <c r="AC64" i="62" s="1"/>
  <c r="AE64" i="62" l="1"/>
  <c r="AD64" i="62"/>
  <c r="AF64" i="62"/>
  <c r="AA64" i="62"/>
  <c r="AB64" i="62"/>
  <c r="X64" i="62"/>
  <c r="Z64" i="62"/>
  <c r="V64" i="62"/>
  <c r="W64" i="62"/>
  <c r="U64" i="62"/>
  <c r="T64" i="62"/>
  <c r="C228" i="68"/>
  <c r="D228" i="68" s="1"/>
  <c r="E228" i="68" s="1"/>
  <c r="A190" i="66"/>
  <c r="Y64" i="62"/>
  <c r="S64" i="62"/>
  <c r="B65" i="62"/>
  <c r="AC65" i="62" s="1"/>
  <c r="AF65" i="62" l="1"/>
  <c r="AD65" i="62"/>
  <c r="AE65" i="62"/>
  <c r="AA65" i="62"/>
  <c r="AB65" i="62"/>
  <c r="X65" i="62"/>
  <c r="Z65" i="62"/>
  <c r="V65" i="62"/>
  <c r="W65" i="62"/>
  <c r="U65" i="62"/>
  <c r="T65" i="62"/>
  <c r="C229" i="68"/>
  <c r="D229" i="68" s="1"/>
  <c r="E229" i="68" s="1"/>
  <c r="A191" i="66"/>
  <c r="Y65" i="62"/>
  <c r="S65" i="62"/>
  <c r="B66" i="62"/>
  <c r="AC66" i="62" s="1"/>
  <c r="AF66" i="62" l="1"/>
  <c r="AE66" i="62"/>
  <c r="AD66" i="62"/>
  <c r="AA66" i="62"/>
  <c r="AB66" i="62"/>
  <c r="X66" i="62"/>
  <c r="Z66" i="62"/>
  <c r="V66" i="62"/>
  <c r="W66" i="62"/>
  <c r="U66" i="62"/>
  <c r="T66" i="62"/>
  <c r="C230" i="68"/>
  <c r="D230" i="68" s="1"/>
  <c r="E230" i="68" s="1"/>
  <c r="A192" i="66"/>
  <c r="Y66" i="62"/>
  <c r="S66" i="62"/>
  <c r="B67" i="62"/>
  <c r="AC67" i="62" s="1"/>
  <c r="AD67" i="62" l="1"/>
  <c r="AF67" i="62"/>
  <c r="AE67" i="62"/>
  <c r="AA67" i="62"/>
  <c r="AB67" i="62"/>
  <c r="X67" i="62"/>
  <c r="Z67" i="62"/>
  <c r="V67" i="62"/>
  <c r="W67" i="62"/>
  <c r="U67" i="62"/>
  <c r="T67" i="62"/>
  <c r="C231" i="68"/>
  <c r="D231" i="68" s="1"/>
  <c r="E231" i="68" s="1"/>
  <c r="A193" i="66"/>
  <c r="Y67" i="62"/>
  <c r="S67" i="62"/>
  <c r="C3" i="34"/>
  <c r="B68" i="62"/>
  <c r="AC68" i="62" s="1"/>
  <c r="P40" i="34" l="1"/>
  <c r="Q40" i="34" s="1"/>
  <c r="G40" i="34"/>
  <c r="P38" i="34"/>
  <c r="Q38" i="34" s="1"/>
  <c r="G38" i="34"/>
  <c r="G31" i="34"/>
  <c r="P31" i="34"/>
  <c r="Q31" i="34" s="1"/>
  <c r="P39" i="34"/>
  <c r="Q39" i="34" s="1"/>
  <c r="G39" i="34"/>
  <c r="G36" i="34"/>
  <c r="P36" i="34"/>
  <c r="Q36" i="34" s="1"/>
  <c r="P35" i="34"/>
  <c r="Q35" i="34" s="1"/>
  <c r="G35" i="34"/>
  <c r="G33" i="34"/>
  <c r="P34" i="34"/>
  <c r="Q34" i="34" s="1"/>
  <c r="P32" i="34"/>
  <c r="Q32" i="34" s="1"/>
  <c r="G34" i="34"/>
  <c r="G32" i="34"/>
  <c r="P33" i="34"/>
  <c r="Q33" i="34" s="1"/>
  <c r="G29" i="34"/>
  <c r="P29" i="34"/>
  <c r="Q29" i="34" s="1"/>
  <c r="AE68" i="62"/>
  <c r="AF68" i="62"/>
  <c r="AD68" i="62"/>
  <c r="S23" i="33"/>
  <c r="Z23" i="33" s="1"/>
  <c r="S13" i="33"/>
  <c r="Z13" i="33" s="1"/>
  <c r="S20" i="33"/>
  <c r="Z20" i="33" s="1"/>
  <c r="S16" i="33"/>
  <c r="Z16" i="33" s="1"/>
  <c r="S18" i="33"/>
  <c r="Z18" i="33" s="1"/>
  <c r="S14" i="33"/>
  <c r="Z14" i="33" s="1"/>
  <c r="AA68" i="62"/>
  <c r="AB68" i="62"/>
  <c r="S22" i="33"/>
  <c r="Z22" i="33" s="1"/>
  <c r="S15" i="33"/>
  <c r="Z15" i="33" s="1"/>
  <c r="X68" i="62"/>
  <c r="Z68" i="62"/>
  <c r="V68" i="62"/>
  <c r="W68" i="62"/>
  <c r="U68" i="62"/>
  <c r="T68" i="62"/>
  <c r="C232" i="68"/>
  <c r="D232" i="68" s="1"/>
  <c r="E232" i="68" s="1"/>
  <c r="A194" i="66"/>
  <c r="Y68" i="62"/>
  <c r="S68" i="62"/>
  <c r="B69" i="62"/>
  <c r="AC69" i="62" s="1"/>
  <c r="Q41" i="34" l="1"/>
  <c r="R40" i="34"/>
  <c r="N51" i="33"/>
  <c r="O51" i="33" s="1"/>
  <c r="N49" i="33"/>
  <c r="O49" i="33" s="1"/>
  <c r="R38" i="34"/>
  <c r="S49" i="33"/>
  <c r="U49" i="33" s="1"/>
  <c r="N40" i="33"/>
  <c r="O40" i="33" s="1"/>
  <c r="R31" i="34"/>
  <c r="S40" i="33"/>
  <c r="U40" i="33" s="1"/>
  <c r="N50" i="33"/>
  <c r="O50" i="33" s="1"/>
  <c r="R39" i="34"/>
  <c r="S50" i="33"/>
  <c r="U50" i="33" s="1"/>
  <c r="N48" i="33"/>
  <c r="O48" i="33" s="1"/>
  <c r="S48" i="33"/>
  <c r="N47" i="33"/>
  <c r="O47" i="33" s="1"/>
  <c r="R36" i="34"/>
  <c r="N46" i="33"/>
  <c r="O46" i="33" s="1"/>
  <c r="S46" i="33"/>
  <c r="N45" i="33"/>
  <c r="O45" i="33" s="1"/>
  <c r="R35" i="34"/>
  <c r="S45" i="33"/>
  <c r="U45" i="33" s="1"/>
  <c r="N44" i="33"/>
  <c r="O44" i="33" s="1"/>
  <c r="N41" i="33"/>
  <c r="O41" i="33" s="1"/>
  <c r="R32" i="34"/>
  <c r="S41" i="33"/>
  <c r="U41" i="33" s="1"/>
  <c r="R33" i="34"/>
  <c r="N42" i="33"/>
  <c r="O42" i="33" s="1"/>
  <c r="S42" i="33"/>
  <c r="U42" i="33" s="1"/>
  <c r="N43" i="33"/>
  <c r="O43" i="33" s="1"/>
  <c r="R34" i="34"/>
  <c r="S43" i="33"/>
  <c r="U43" i="33" s="1"/>
  <c r="N39" i="33"/>
  <c r="O39" i="33" s="1"/>
  <c r="S39" i="33"/>
  <c r="N38" i="33"/>
  <c r="O38" i="33" s="1"/>
  <c r="S38" i="33"/>
  <c r="U38" i="33" s="1"/>
  <c r="R29" i="34"/>
  <c r="N37" i="33"/>
  <c r="O37" i="33" s="1"/>
  <c r="S37" i="33"/>
  <c r="N36" i="33"/>
  <c r="O36" i="33" s="1"/>
  <c r="S36" i="33"/>
  <c r="N35" i="33"/>
  <c r="O35" i="33" s="1"/>
  <c r="N34" i="33"/>
  <c r="O34" i="33" s="1"/>
  <c r="S34" i="33"/>
  <c r="N33" i="33"/>
  <c r="O33" i="33" s="1"/>
  <c r="S33" i="33"/>
  <c r="N32" i="33"/>
  <c r="O32" i="33" s="1"/>
  <c r="N31" i="33"/>
  <c r="O31" i="33" s="1"/>
  <c r="S31" i="33"/>
  <c r="N30" i="33"/>
  <c r="O30" i="33" s="1"/>
  <c r="S30" i="33"/>
  <c r="N29" i="33"/>
  <c r="O29" i="33" s="1"/>
  <c r="N28" i="33"/>
  <c r="O28" i="33" s="1"/>
  <c r="S17" i="33"/>
  <c r="Z17" i="33" s="1"/>
  <c r="N27" i="33"/>
  <c r="O27" i="33" s="1"/>
  <c r="AF69" i="62"/>
  <c r="AE69" i="62"/>
  <c r="AD69" i="62"/>
  <c r="N26" i="33"/>
  <c r="O26" i="33" s="1"/>
  <c r="N24" i="33"/>
  <c r="O24" i="33" s="1"/>
  <c r="S24" i="33"/>
  <c r="N23" i="33"/>
  <c r="O23" i="33" s="1"/>
  <c r="U23" i="33" s="1"/>
  <c r="N12" i="33"/>
  <c r="O12" i="33" s="1"/>
  <c r="AA69" i="62"/>
  <c r="AB69" i="62"/>
  <c r="N22" i="33"/>
  <c r="O22" i="33" s="1"/>
  <c r="N21" i="33"/>
  <c r="N20" i="33"/>
  <c r="O20" i="33" s="1"/>
  <c r="U20" i="33" s="1"/>
  <c r="N19" i="33"/>
  <c r="O19" i="33" s="1"/>
  <c r="N18" i="33"/>
  <c r="O18" i="33" s="1"/>
  <c r="U18" i="33" s="1"/>
  <c r="N17" i="33"/>
  <c r="N16" i="33"/>
  <c r="O16" i="33" s="1"/>
  <c r="U16" i="33" s="1"/>
  <c r="N15" i="33"/>
  <c r="O15" i="33" s="1"/>
  <c r="U15" i="33" s="1"/>
  <c r="N14" i="33"/>
  <c r="O14" i="33" s="1"/>
  <c r="U14" i="33" s="1"/>
  <c r="N13" i="33"/>
  <c r="O13" i="33" s="1"/>
  <c r="U13" i="33" s="1"/>
  <c r="X69" i="62"/>
  <c r="Z69" i="62"/>
  <c r="V69" i="62"/>
  <c r="W69" i="62"/>
  <c r="U69" i="62"/>
  <c r="T69" i="62"/>
  <c r="C233" i="68"/>
  <c r="D233" i="68" s="1"/>
  <c r="E233" i="68" s="1"/>
  <c r="A195" i="66"/>
  <c r="Y69" i="62"/>
  <c r="S69" i="62"/>
  <c r="B70" i="62"/>
  <c r="AC70" i="62" s="1"/>
  <c r="F29" i="56"/>
  <c r="U48" i="33" l="1"/>
  <c r="Z48" i="33"/>
  <c r="U39" i="33"/>
  <c r="Z39" i="33"/>
  <c r="U46" i="33"/>
  <c r="Z46" i="33"/>
  <c r="U36" i="33"/>
  <c r="Z36" i="33"/>
  <c r="U33" i="33"/>
  <c r="Z33" i="33"/>
  <c r="U37" i="33"/>
  <c r="Z37" i="33"/>
  <c r="U31" i="33"/>
  <c r="Z31" i="33"/>
  <c r="U30" i="33"/>
  <c r="Z30" i="33"/>
  <c r="U34" i="33"/>
  <c r="Z34" i="33"/>
  <c r="U24" i="33"/>
  <c r="Z24" i="33"/>
  <c r="O17" i="33"/>
  <c r="AE70" i="62"/>
  <c r="AD70" i="62"/>
  <c r="AF70" i="62"/>
  <c r="AA70" i="62"/>
  <c r="AB70" i="62"/>
  <c r="U22" i="33"/>
  <c r="O21" i="33"/>
  <c r="X70" i="62"/>
  <c r="Z70" i="62"/>
  <c r="V70" i="62"/>
  <c r="W70" i="62"/>
  <c r="U70" i="62"/>
  <c r="T70" i="62"/>
  <c r="C234" i="68"/>
  <c r="D234" i="68" s="1"/>
  <c r="E234" i="68" s="1"/>
  <c r="A196" i="66"/>
  <c r="Y70" i="62"/>
  <c r="S70" i="62"/>
  <c r="B71" i="62"/>
  <c r="AC71" i="62" s="1"/>
  <c r="H29" i="56"/>
  <c r="R29" i="56" l="1"/>
  <c r="Y15" i="56" s="1"/>
  <c r="V29" i="56"/>
  <c r="Z15" i="56" s="1"/>
  <c r="U17" i="33"/>
  <c r="AF71" i="62"/>
  <c r="AD71" i="62"/>
  <c r="AE71" i="62"/>
  <c r="AA71" i="62"/>
  <c r="AB71" i="62"/>
  <c r="X71" i="62"/>
  <c r="Z71" i="62"/>
  <c r="V71" i="62"/>
  <c r="W71" i="62"/>
  <c r="U71" i="62"/>
  <c r="T71" i="62"/>
  <c r="C235" i="68"/>
  <c r="D235" i="68" s="1"/>
  <c r="E235" i="68" s="1"/>
  <c r="A197" i="66"/>
  <c r="Y71" i="62"/>
  <c r="S71" i="62"/>
  <c r="B72" i="62"/>
  <c r="AC72" i="62" s="1"/>
  <c r="E29" i="56"/>
  <c r="D29" i="56"/>
  <c r="P29" i="56"/>
  <c r="K29" i="56"/>
  <c r="K34" i="56" s="1"/>
  <c r="AE72" i="62" l="1"/>
  <c r="AD72" i="62"/>
  <c r="AF72" i="62"/>
  <c r="AA72" i="62"/>
  <c r="AB72" i="62"/>
  <c r="X72" i="62"/>
  <c r="Z72" i="62"/>
  <c r="V72" i="62"/>
  <c r="W72" i="62"/>
  <c r="U72" i="62"/>
  <c r="T72" i="62"/>
  <c r="C236" i="68"/>
  <c r="D236" i="68" s="1"/>
  <c r="E236" i="68" s="1"/>
  <c r="A198" i="66"/>
  <c r="Y72" i="62"/>
  <c r="S72" i="62"/>
  <c r="B73" i="62"/>
  <c r="AC73" i="62" s="1"/>
  <c r="L29" i="56"/>
  <c r="L34" i="56" s="1"/>
  <c r="M29" i="56"/>
  <c r="M34" i="56" s="1"/>
  <c r="AB73" i="62" l="1"/>
  <c r="AF73" i="62"/>
  <c r="AE73" i="62"/>
  <c r="AD73" i="62"/>
  <c r="Z73" i="62"/>
  <c r="AA73" i="62"/>
  <c r="W73" i="62"/>
  <c r="X73" i="62"/>
  <c r="T73" i="62"/>
  <c r="V73" i="62"/>
  <c r="S73" i="62"/>
  <c r="U73" i="62"/>
  <c r="C237" i="68"/>
  <c r="D237" i="68" s="1"/>
  <c r="E237" i="68" s="1"/>
  <c r="A199" i="66"/>
  <c r="B74" i="62"/>
  <c r="AC74" i="62" s="1"/>
  <c r="Y73" i="62"/>
  <c r="AF74" i="62" l="1"/>
  <c r="AE74" i="62"/>
  <c r="AD74" i="62"/>
  <c r="AA74" i="62"/>
  <c r="AB74" i="62"/>
  <c r="X74" i="62"/>
  <c r="Z74" i="62"/>
  <c r="V74" i="62"/>
  <c r="W74" i="62"/>
  <c r="U74" i="62"/>
  <c r="T74" i="62"/>
  <c r="C238" i="68"/>
  <c r="D238" i="68" s="1"/>
  <c r="E238" i="68" s="1"/>
  <c r="A200" i="66"/>
  <c r="Y74" i="62"/>
  <c r="S74" i="62"/>
  <c r="B75" i="62"/>
  <c r="AC75" i="62" s="1"/>
  <c r="AB75" i="62" l="1"/>
  <c r="AD75" i="62"/>
  <c r="AF75" i="62"/>
  <c r="AE75" i="62"/>
  <c r="Z75" i="62"/>
  <c r="AA75" i="62"/>
  <c r="W75" i="62"/>
  <c r="X75" i="62"/>
  <c r="T75" i="62"/>
  <c r="V75" i="62"/>
  <c r="Y75" i="62"/>
  <c r="U75" i="62"/>
  <c r="C239" i="68"/>
  <c r="D239" i="68" s="1"/>
  <c r="E239" i="68" s="1"/>
  <c r="A201" i="66"/>
  <c r="B76" i="62"/>
  <c r="AC76" i="62" s="1"/>
  <c r="S75" i="62"/>
  <c r="J85" i="34"/>
  <c r="I85" i="34"/>
  <c r="AB76" i="62" l="1"/>
  <c r="AE76" i="62"/>
  <c r="AF76" i="62"/>
  <c r="AD76" i="62"/>
  <c r="Z76" i="62"/>
  <c r="AA76" i="62"/>
  <c r="W76" i="62"/>
  <c r="X76" i="62"/>
  <c r="Y76" i="62"/>
  <c r="T76" i="62"/>
  <c r="V76" i="62"/>
  <c r="S76" i="62"/>
  <c r="U76" i="62"/>
  <c r="C240" i="68"/>
  <c r="D240" i="68" s="1"/>
  <c r="E240" i="68" s="1"/>
  <c r="B77" i="62"/>
  <c r="AC77" i="62" s="1"/>
  <c r="A202" i="66"/>
  <c r="K85" i="34"/>
  <c r="AF77" i="62" l="1"/>
  <c r="AE77" i="62"/>
  <c r="AD77" i="62"/>
  <c r="AA77" i="62"/>
  <c r="AB77" i="62"/>
  <c r="X77" i="62"/>
  <c r="Z77" i="62"/>
  <c r="V77" i="62"/>
  <c r="W77" i="62"/>
  <c r="B78" i="62"/>
  <c r="AC78" i="62" s="1"/>
  <c r="T77" i="62"/>
  <c r="S77" i="62"/>
  <c r="U77" i="62"/>
  <c r="C241" i="68"/>
  <c r="D241" i="68" s="1"/>
  <c r="E241" i="68" s="1"/>
  <c r="Y77" i="62"/>
  <c r="A203" i="66"/>
  <c r="AB78" i="62" l="1"/>
  <c r="AF78" i="62"/>
  <c r="AE78" i="62"/>
  <c r="AD78" i="62"/>
  <c r="Z78" i="62"/>
  <c r="AA78" i="62"/>
  <c r="W78" i="62"/>
  <c r="X78" i="62"/>
  <c r="U78" i="62"/>
  <c r="B79" i="62"/>
  <c r="AC79" i="62" s="1"/>
  <c r="Y78" i="62"/>
  <c r="S78" i="62"/>
  <c r="T78" i="62"/>
  <c r="V78" i="62"/>
  <c r="C242" i="68"/>
  <c r="D242" i="68" s="1"/>
  <c r="E242" i="68" s="1"/>
  <c r="A204" i="66"/>
  <c r="O85" i="34"/>
  <c r="B80" i="62" l="1"/>
  <c r="U80" i="62" s="1"/>
  <c r="AF79" i="62"/>
  <c r="AD79" i="62"/>
  <c r="AE79" i="62"/>
  <c r="AA79" i="62"/>
  <c r="AB79" i="62"/>
  <c r="Y79" i="62"/>
  <c r="Z79" i="62"/>
  <c r="W79" i="62"/>
  <c r="X79" i="62"/>
  <c r="U79" i="62"/>
  <c r="V79" i="62"/>
  <c r="S79" i="62"/>
  <c r="T79" i="62"/>
  <c r="C243" i="68"/>
  <c r="D243" i="68" s="1"/>
  <c r="E243" i="68" s="1"/>
  <c r="A205" i="66"/>
  <c r="Y80" i="62"/>
  <c r="B81" i="62" l="1"/>
  <c r="AC81" i="62" s="1"/>
  <c r="X80" i="62"/>
  <c r="AC80" i="62"/>
  <c r="T80" i="62"/>
  <c r="AA80" i="62"/>
  <c r="S80" i="62"/>
  <c r="W80" i="62"/>
  <c r="Z80" i="62"/>
  <c r="V80" i="62"/>
  <c r="AB80" i="62"/>
  <c r="AE80" i="62"/>
  <c r="AD80" i="62"/>
  <c r="AF80" i="62"/>
  <c r="W81" i="62"/>
  <c r="T81" i="62"/>
  <c r="C244" i="68"/>
  <c r="D244" i="68" s="1"/>
  <c r="E244" i="68" s="1"/>
  <c r="A206" i="66"/>
  <c r="Y81" i="62"/>
  <c r="U81" i="62" l="1"/>
  <c r="S81" i="62"/>
  <c r="V81" i="62"/>
  <c r="B82" i="62"/>
  <c r="AC82" i="62" s="1"/>
  <c r="X81" i="62"/>
  <c r="AD81" i="62"/>
  <c r="AA81" i="62"/>
  <c r="AF81" i="62"/>
  <c r="Z81" i="62"/>
  <c r="AB81" i="62"/>
  <c r="AE82" i="62"/>
  <c r="T82" i="62"/>
  <c r="C245" i="68"/>
  <c r="D245" i="68" s="1"/>
  <c r="E245" i="68" s="1"/>
  <c r="A207" i="66"/>
  <c r="Y82" i="62"/>
  <c r="X82" i="62" l="1"/>
  <c r="W82" i="62"/>
  <c r="B83" i="62"/>
  <c r="AC83" i="62" s="1"/>
  <c r="AF82" i="62"/>
  <c r="AB82" i="62"/>
  <c r="S82" i="62"/>
  <c r="V82" i="62"/>
  <c r="AA82" i="62"/>
  <c r="Z82" i="62"/>
  <c r="U82" i="62"/>
  <c r="AD82" i="62"/>
  <c r="AB83" i="62"/>
  <c r="AD83" i="62"/>
  <c r="AF83" i="62"/>
  <c r="AE83" i="62"/>
  <c r="Z83" i="62"/>
  <c r="AA83" i="62"/>
  <c r="W83" i="62"/>
  <c r="X83" i="62"/>
  <c r="T83" i="62"/>
  <c r="V83" i="62"/>
  <c r="S83" i="62"/>
  <c r="U83" i="62"/>
  <c r="C246" i="68"/>
  <c r="D246" i="68" s="1"/>
  <c r="E246" i="68" s="1"/>
  <c r="A208" i="66"/>
  <c r="Y83" i="62"/>
  <c r="B84" i="62"/>
  <c r="AC84" i="62" s="1"/>
  <c r="AB84" i="62" l="1"/>
  <c r="AE84" i="62"/>
  <c r="AF84" i="62"/>
  <c r="AD84" i="62"/>
  <c r="Z84" i="62"/>
  <c r="AA84" i="62"/>
  <c r="W84" i="62"/>
  <c r="X84" i="62"/>
  <c r="T84" i="62"/>
  <c r="V84" i="62"/>
  <c r="S84" i="62"/>
  <c r="U84" i="62"/>
  <c r="C247" i="68"/>
  <c r="D247" i="68" s="1"/>
  <c r="E247" i="68" s="1"/>
  <c r="A209" i="66"/>
  <c r="Y84" i="62"/>
  <c r="B85" i="62"/>
  <c r="AC85" i="62" s="1"/>
  <c r="AB85" i="62" l="1"/>
  <c r="AF85" i="62"/>
  <c r="AE85" i="62"/>
  <c r="AD85" i="62"/>
  <c r="Z85" i="62"/>
  <c r="AA85" i="62"/>
  <c r="W85" i="62"/>
  <c r="X85" i="62"/>
  <c r="T85" i="62"/>
  <c r="V85" i="62"/>
  <c r="S85" i="62"/>
  <c r="U85" i="62"/>
  <c r="C248" i="68"/>
  <c r="D248" i="68" s="1"/>
  <c r="E248" i="68" s="1"/>
  <c r="A210" i="66"/>
  <c r="Y85" i="62"/>
  <c r="B86" i="62"/>
  <c r="AC86" i="62" s="1"/>
  <c r="AB86" i="62" l="1"/>
  <c r="AE86" i="62"/>
  <c r="AD86" i="62"/>
  <c r="AF86" i="62"/>
  <c r="Z86" i="62"/>
  <c r="AA86" i="62"/>
  <c r="W86" i="62"/>
  <c r="X86" i="62"/>
  <c r="T86" i="62"/>
  <c r="V86" i="62"/>
  <c r="S86" i="62"/>
  <c r="U86" i="62"/>
  <c r="C249" i="68"/>
  <c r="D249" i="68" s="1"/>
  <c r="E249" i="68" s="1"/>
  <c r="A211" i="66"/>
  <c r="Y86" i="62"/>
  <c r="B87" i="62"/>
  <c r="AC87" i="62" s="1"/>
  <c r="AB87" i="62" l="1"/>
  <c r="AF87" i="62"/>
  <c r="AD87" i="62"/>
  <c r="AE87" i="62"/>
  <c r="Z87" i="62"/>
  <c r="AA87" i="62"/>
  <c r="W87" i="62"/>
  <c r="X87" i="62"/>
  <c r="T87" i="62"/>
  <c r="V87" i="62"/>
  <c r="S87" i="62"/>
  <c r="U87" i="62"/>
  <c r="C250" i="68"/>
  <c r="D250" i="68" s="1"/>
  <c r="E250" i="68" s="1"/>
  <c r="A212" i="66"/>
  <c r="Y87" i="62"/>
  <c r="B88" i="62"/>
  <c r="AC88" i="62" s="1"/>
  <c r="AB88" i="62" l="1"/>
  <c r="AE88" i="62"/>
  <c r="AD88" i="62"/>
  <c r="AF88" i="62"/>
  <c r="Z88" i="62"/>
  <c r="AA88" i="62"/>
  <c r="W88" i="62"/>
  <c r="X88" i="62"/>
  <c r="T88" i="62"/>
  <c r="V88" i="62"/>
  <c r="S88" i="62"/>
  <c r="U88" i="62"/>
  <c r="C251" i="68"/>
  <c r="D251" i="68" s="1"/>
  <c r="E251" i="68" s="1"/>
  <c r="A213" i="66"/>
  <c r="Y88" i="62"/>
  <c r="B89" i="62"/>
  <c r="AC89" i="62" s="1"/>
  <c r="F203" i="41"/>
  <c r="D203" i="41"/>
  <c r="AB89" i="62" l="1"/>
  <c r="AF89" i="62"/>
  <c r="AE89" i="62"/>
  <c r="AD89" i="62"/>
  <c r="Z89" i="62"/>
  <c r="AA89" i="62"/>
  <c r="W89" i="62"/>
  <c r="X89" i="62"/>
  <c r="T89" i="62"/>
  <c r="V89" i="62"/>
  <c r="S89" i="62"/>
  <c r="U89" i="62"/>
  <c r="C252" i="68"/>
  <c r="D252" i="68" s="1"/>
  <c r="E252" i="68" s="1"/>
  <c r="A214" i="66"/>
  <c r="Y89" i="62"/>
  <c r="B90" i="62"/>
  <c r="AC90" i="62" s="1"/>
  <c r="H19" i="49"/>
  <c r="AB90" i="62" l="1"/>
  <c r="AF90" i="62"/>
  <c r="AE90" i="62"/>
  <c r="AD90" i="62"/>
  <c r="Z90" i="62"/>
  <c r="AA90" i="62"/>
  <c r="W90" i="62"/>
  <c r="X90" i="62"/>
  <c r="T90" i="62"/>
  <c r="V90" i="62"/>
  <c r="S90" i="62"/>
  <c r="U90" i="62"/>
  <c r="C253" i="68"/>
  <c r="D253" i="68" s="1"/>
  <c r="E253" i="68" s="1"/>
  <c r="A215" i="66"/>
  <c r="Y90" i="62"/>
  <c r="B91" i="62"/>
  <c r="AC91" i="62" s="1"/>
  <c r="O15" i="49"/>
  <c r="M51" i="43"/>
  <c r="AB91" i="62" l="1"/>
  <c r="AD91" i="62"/>
  <c r="AF91" i="62"/>
  <c r="AE91" i="62"/>
  <c r="Z91" i="62"/>
  <c r="AA91" i="62"/>
  <c r="W91" i="62"/>
  <c r="X91" i="62"/>
  <c r="T91" i="62"/>
  <c r="V91" i="62"/>
  <c r="S91" i="62"/>
  <c r="U91" i="62"/>
  <c r="C254" i="68"/>
  <c r="D254" i="68" s="1"/>
  <c r="E254" i="68" s="1"/>
  <c r="A216" i="66"/>
  <c r="Y91" i="62"/>
  <c r="B92" i="62"/>
  <c r="AC92" i="62" s="1"/>
  <c r="AB92" i="62" l="1"/>
  <c r="AE92" i="62"/>
  <c r="AF92" i="62"/>
  <c r="AD92" i="62"/>
  <c r="Z92" i="62"/>
  <c r="AA92" i="62"/>
  <c r="W92" i="62"/>
  <c r="X92" i="62"/>
  <c r="T92" i="62"/>
  <c r="V92" i="62"/>
  <c r="S92" i="62"/>
  <c r="U92" i="62"/>
  <c r="C255" i="68"/>
  <c r="D255" i="68" s="1"/>
  <c r="E255" i="68" s="1"/>
  <c r="A217" i="66"/>
  <c r="Y92" i="62"/>
  <c r="B93" i="62"/>
  <c r="AC93" i="62" s="1"/>
  <c r="AB93" i="62" l="1"/>
  <c r="AF93" i="62"/>
  <c r="AE93" i="62"/>
  <c r="AD93" i="62"/>
  <c r="Z93" i="62"/>
  <c r="AA93" i="62"/>
  <c r="W93" i="62"/>
  <c r="X93" i="62"/>
  <c r="T93" i="62"/>
  <c r="V93" i="62"/>
  <c r="S93" i="62"/>
  <c r="U93" i="62"/>
  <c r="C256" i="68"/>
  <c r="D256" i="68" s="1"/>
  <c r="E256" i="68" s="1"/>
  <c r="A218" i="66"/>
  <c r="Y93" i="62"/>
  <c r="B94" i="62"/>
  <c r="AC94" i="62" s="1"/>
  <c r="AB94" i="62" l="1"/>
  <c r="AF94" i="62"/>
  <c r="AE94" i="62"/>
  <c r="AD94" i="62"/>
  <c r="Z94" i="62"/>
  <c r="AA94" i="62"/>
  <c r="W94" i="62"/>
  <c r="X94" i="62"/>
  <c r="T94" i="62"/>
  <c r="V94" i="62"/>
  <c r="S94" i="62"/>
  <c r="U94" i="62"/>
  <c r="C257" i="68"/>
  <c r="D257" i="68" s="1"/>
  <c r="E257" i="68" s="1"/>
  <c r="A219" i="66"/>
  <c r="Y94" i="62"/>
  <c r="B95" i="62"/>
  <c r="AC95" i="62" s="1"/>
  <c r="AB95" i="62" l="1"/>
  <c r="AF95" i="62"/>
  <c r="AD95" i="62"/>
  <c r="AE95" i="62"/>
  <c r="Z95" i="62"/>
  <c r="AA95" i="62"/>
  <c r="W95" i="62"/>
  <c r="X95" i="62"/>
  <c r="T95" i="62"/>
  <c r="V95" i="62"/>
  <c r="S95" i="62"/>
  <c r="U95" i="62"/>
  <c r="C258" i="68"/>
  <c r="D258" i="68" s="1"/>
  <c r="E258" i="68" s="1"/>
  <c r="A220" i="66"/>
  <c r="Y95" i="62"/>
  <c r="B96" i="62"/>
  <c r="AC96" i="62" s="1"/>
  <c r="AB96" i="62" l="1"/>
  <c r="AE96" i="62"/>
  <c r="AD96" i="62"/>
  <c r="AF96" i="62"/>
  <c r="Z96" i="62"/>
  <c r="AA96" i="62"/>
  <c r="W96" i="62"/>
  <c r="X96" i="62"/>
  <c r="T96" i="62"/>
  <c r="V96" i="62"/>
  <c r="S96" i="62"/>
  <c r="U96" i="62"/>
  <c r="C259" i="68"/>
  <c r="D259" i="68" s="1"/>
  <c r="E259" i="68" s="1"/>
  <c r="A221" i="66"/>
  <c r="Y96" i="62"/>
  <c r="B97" i="62"/>
  <c r="AC97" i="62" s="1"/>
  <c r="AB97" i="62" l="1"/>
  <c r="AF97" i="62"/>
  <c r="AD97" i="62"/>
  <c r="AE97" i="62"/>
  <c r="Z97" i="62"/>
  <c r="AA97" i="62"/>
  <c r="W97" i="62"/>
  <c r="X97" i="62"/>
  <c r="T97" i="62"/>
  <c r="V97" i="62"/>
  <c r="S97" i="62"/>
  <c r="U97" i="62"/>
  <c r="C260" i="68"/>
  <c r="D260" i="68" s="1"/>
  <c r="E260" i="68" s="1"/>
  <c r="A222" i="66"/>
  <c r="Y97" i="62"/>
  <c r="B98" i="62"/>
  <c r="AC98" i="62" s="1"/>
  <c r="D3" i="41"/>
  <c r="AB98" i="62" l="1"/>
  <c r="AF98" i="62"/>
  <c r="AE98" i="62"/>
  <c r="AD98" i="62"/>
  <c r="Z98" i="62"/>
  <c r="AA98" i="62"/>
  <c r="W98" i="62"/>
  <c r="X98" i="62"/>
  <c r="T98" i="62"/>
  <c r="V98" i="62"/>
  <c r="S98" i="62"/>
  <c r="U98" i="62"/>
  <c r="C261" i="68"/>
  <c r="D261" i="68" s="1"/>
  <c r="E261" i="68" s="1"/>
  <c r="A223" i="66"/>
  <c r="Y98" i="62"/>
  <c r="B99" i="62"/>
  <c r="AC99" i="62" s="1"/>
  <c r="AB99" i="62" l="1"/>
  <c r="AD99" i="62"/>
  <c r="AF99" i="62"/>
  <c r="AE99" i="62"/>
  <c r="Z99" i="62"/>
  <c r="AA99" i="62"/>
  <c r="W99" i="62"/>
  <c r="X99" i="62"/>
  <c r="T99" i="62"/>
  <c r="V99" i="62"/>
  <c r="S99" i="62"/>
  <c r="U99" i="62"/>
  <c r="C262" i="68"/>
  <c r="D262" i="68" s="1"/>
  <c r="E262" i="68" s="1"/>
  <c r="A224" i="66"/>
  <c r="Y99" i="62"/>
  <c r="B100" i="62"/>
  <c r="AC100" i="62" s="1"/>
  <c r="P36" i="56"/>
  <c r="AB100" i="62" l="1"/>
  <c r="AE100" i="62"/>
  <c r="AF100" i="62"/>
  <c r="AD100" i="62"/>
  <c r="Z100" i="62"/>
  <c r="AA100" i="62"/>
  <c r="W100" i="62"/>
  <c r="X100" i="62"/>
  <c r="T100" i="62"/>
  <c r="V100" i="62"/>
  <c r="S100" i="62"/>
  <c r="U100" i="62"/>
  <c r="C263" i="68"/>
  <c r="D263" i="68" s="1"/>
  <c r="E263" i="68" s="1"/>
  <c r="A225" i="66"/>
  <c r="Y100" i="62"/>
  <c r="B101" i="62"/>
  <c r="AC101" i="62" s="1"/>
  <c r="AB101" i="62" l="1"/>
  <c r="AF101" i="62"/>
  <c r="AE101" i="62"/>
  <c r="AD101" i="62"/>
  <c r="Z101" i="62"/>
  <c r="AA101" i="62"/>
  <c r="W101" i="62"/>
  <c r="X101" i="62"/>
  <c r="T101" i="62"/>
  <c r="V101" i="62"/>
  <c r="S101" i="62"/>
  <c r="U101" i="62"/>
  <c r="C264" i="68"/>
  <c r="D264" i="68" s="1"/>
  <c r="E264" i="68" s="1"/>
  <c r="A226" i="66"/>
  <c r="Y101" i="62"/>
  <c r="B102" i="62"/>
  <c r="AC102" i="62" s="1"/>
  <c r="C3" i="56"/>
  <c r="C3" i="64" s="1"/>
  <c r="AB102" i="62" l="1"/>
  <c r="AE102" i="62"/>
  <c r="AD102" i="62"/>
  <c r="AF102" i="62"/>
  <c r="Z102" i="62"/>
  <c r="AA102" i="62"/>
  <c r="W102" i="62"/>
  <c r="X102" i="62"/>
  <c r="T102" i="62"/>
  <c r="V102" i="62"/>
  <c r="S102" i="62"/>
  <c r="U102" i="62"/>
  <c r="C266" i="68"/>
  <c r="C265" i="68"/>
  <c r="D265" i="68" s="1"/>
  <c r="E265" i="68" s="1"/>
  <c r="A227" i="66"/>
  <c r="Y102" i="62"/>
  <c r="B103" i="62"/>
  <c r="AC103" i="62" s="1"/>
  <c r="AB103" i="62" l="1"/>
  <c r="AF103" i="62"/>
  <c r="AD103" i="62"/>
  <c r="AE103" i="62"/>
  <c r="Z103" i="62"/>
  <c r="AA103" i="62"/>
  <c r="W103" i="62"/>
  <c r="X103" i="62"/>
  <c r="T103" i="62"/>
  <c r="V103" i="62"/>
  <c r="S103" i="62"/>
  <c r="U103" i="62"/>
  <c r="D266" i="68"/>
  <c r="E266" i="68" s="1"/>
  <c r="A228" i="66"/>
  <c r="Y103" i="62"/>
  <c r="B104" i="62"/>
  <c r="AC104" i="62" s="1"/>
  <c r="AE104" i="62" l="1"/>
  <c r="AD104" i="62"/>
  <c r="AF104" i="62"/>
  <c r="AA104" i="62"/>
  <c r="AB104" i="62"/>
  <c r="Y104" i="62"/>
  <c r="Z104" i="62"/>
  <c r="W104" i="62"/>
  <c r="X104" i="62"/>
  <c r="T104" i="62"/>
  <c r="V104" i="62"/>
  <c r="S104" i="62"/>
  <c r="U104" i="62"/>
  <c r="C267" i="68"/>
  <c r="D267" i="68" s="1"/>
  <c r="E267" i="68" s="1"/>
  <c r="A229" i="66"/>
  <c r="B105" i="62"/>
  <c r="AC105" i="62" s="1"/>
  <c r="H79" i="56"/>
  <c r="F73" i="56"/>
  <c r="H73" i="56" s="1"/>
  <c r="H67" i="56"/>
  <c r="F46" i="56"/>
  <c r="K46" i="56" s="1"/>
  <c r="L46" i="56" s="1"/>
  <c r="F45" i="56"/>
  <c r="H45" i="56" s="1"/>
  <c r="F44" i="56"/>
  <c r="H44" i="56" s="1"/>
  <c r="F43" i="56"/>
  <c r="H43" i="56" s="1"/>
  <c r="F23" i="56"/>
  <c r="F17" i="56"/>
  <c r="H17" i="56" s="1"/>
  <c r="F16" i="56"/>
  <c r="H16" i="56" s="1"/>
  <c r="F15" i="56"/>
  <c r="H15" i="56" s="1"/>
  <c r="F14" i="56"/>
  <c r="F13" i="56"/>
  <c r="H13" i="56" s="1"/>
  <c r="R13" i="56" s="1"/>
  <c r="P79" i="56"/>
  <c r="E79" i="56"/>
  <c r="D79" i="56"/>
  <c r="P45" i="56"/>
  <c r="E46" i="56"/>
  <c r="D46" i="56"/>
  <c r="P42" i="56"/>
  <c r="K2" i="56"/>
  <c r="R43" i="56" l="1"/>
  <c r="V43" i="56"/>
  <c r="R44" i="56"/>
  <c r="V44" i="56"/>
  <c r="R45" i="56"/>
  <c r="V45" i="56"/>
  <c r="R15" i="56"/>
  <c r="V15" i="56"/>
  <c r="R67" i="56"/>
  <c r="Y21" i="56" s="1"/>
  <c r="V67" i="56"/>
  <c r="Z21" i="56" s="1"/>
  <c r="R73" i="56"/>
  <c r="V73" i="56"/>
  <c r="R16" i="56"/>
  <c r="V16" i="56"/>
  <c r="R17" i="56"/>
  <c r="V17" i="56"/>
  <c r="R79" i="56"/>
  <c r="V79" i="56"/>
  <c r="AB105" i="62"/>
  <c r="AF105" i="62"/>
  <c r="AE105" i="62"/>
  <c r="AD105" i="62"/>
  <c r="Z105" i="62"/>
  <c r="AA105" i="62"/>
  <c r="W105" i="62"/>
  <c r="X105" i="62"/>
  <c r="T105" i="62"/>
  <c r="V105" i="62"/>
  <c r="S105" i="62"/>
  <c r="U105" i="62"/>
  <c r="C268" i="68"/>
  <c r="D268" i="68" s="1"/>
  <c r="E268" i="68" s="1"/>
  <c r="A230" i="66"/>
  <c r="Y105" i="62"/>
  <c r="B106" i="62"/>
  <c r="AC106" i="62" s="1"/>
  <c r="H23" i="56"/>
  <c r="K43" i="56"/>
  <c r="K15" i="56"/>
  <c r="K14" i="56"/>
  <c r="E14" i="56"/>
  <c r="P67" i="56"/>
  <c r="P70" i="56" s="1"/>
  <c r="E17" i="56"/>
  <c r="K44" i="56"/>
  <c r="K79" i="56"/>
  <c r="K84" i="56" s="1"/>
  <c r="D17" i="56"/>
  <c r="D16" i="56"/>
  <c r="E23" i="56"/>
  <c r="P16" i="56"/>
  <c r="E67" i="56"/>
  <c r="D67" i="56"/>
  <c r="P31" i="56"/>
  <c r="D45" i="56"/>
  <c r="P35" i="41" s="1"/>
  <c r="P73" i="56"/>
  <c r="P76" i="56" s="1"/>
  <c r="K38" i="56"/>
  <c r="K40" i="56" s="1"/>
  <c r="P23" i="56"/>
  <c r="P26" i="56" s="1"/>
  <c r="P43" i="56"/>
  <c r="K23" i="56"/>
  <c r="K26" i="56" s="1"/>
  <c r="K17" i="56"/>
  <c r="E16" i="56"/>
  <c r="H38" i="56"/>
  <c r="K73" i="56"/>
  <c r="K76" i="56" s="1"/>
  <c r="E73" i="56"/>
  <c r="D73" i="56"/>
  <c r="E44" i="56"/>
  <c r="D44" i="56"/>
  <c r="H14" i="56"/>
  <c r="P14" i="56"/>
  <c r="D15" i="56"/>
  <c r="P17" i="56"/>
  <c r="D14" i="56"/>
  <c r="E15" i="56"/>
  <c r="K16" i="56"/>
  <c r="D23" i="56"/>
  <c r="K45" i="56"/>
  <c r="E45" i="56"/>
  <c r="Q35" i="41" s="1"/>
  <c r="P44" i="56"/>
  <c r="M46" i="56"/>
  <c r="P15" i="56"/>
  <c r="E38" i="56"/>
  <c r="Q40" i="41" s="1"/>
  <c r="P38" i="56"/>
  <c r="H46" i="56"/>
  <c r="P54" i="56"/>
  <c r="K67" i="56"/>
  <c r="K70" i="56" s="1"/>
  <c r="P84" i="56"/>
  <c r="E85" i="55"/>
  <c r="L90" i="55" s="1"/>
  <c r="C85" i="55"/>
  <c r="L88" i="55" s="1"/>
  <c r="U74" i="55"/>
  <c r="J74" i="55"/>
  <c r="I74" i="55"/>
  <c r="F74" i="55"/>
  <c r="H74" i="55" s="1"/>
  <c r="C74" i="55"/>
  <c r="U73" i="55"/>
  <c r="J73" i="55"/>
  <c r="I73" i="55"/>
  <c r="F73" i="55"/>
  <c r="H73" i="55" s="1"/>
  <c r="C73" i="55"/>
  <c r="U69" i="55"/>
  <c r="J69" i="55"/>
  <c r="J70" i="55" s="1"/>
  <c r="I69" i="55"/>
  <c r="I70" i="55" s="1"/>
  <c r="F69" i="55"/>
  <c r="H69" i="55" s="1"/>
  <c r="C69" i="55"/>
  <c r="U68" i="55"/>
  <c r="P68" i="55" s="1"/>
  <c r="F68" i="55"/>
  <c r="K68" i="55" s="1"/>
  <c r="E68" i="55"/>
  <c r="D68" i="55"/>
  <c r="U67" i="55"/>
  <c r="P67" i="55" s="1"/>
  <c r="F67" i="55"/>
  <c r="H67" i="55" s="1"/>
  <c r="E67" i="55"/>
  <c r="D67" i="55"/>
  <c r="S63" i="55"/>
  <c r="U63" i="55" s="1"/>
  <c r="P63" i="55" s="1"/>
  <c r="F63" i="55"/>
  <c r="K63" i="55" s="1"/>
  <c r="E63" i="55"/>
  <c r="D63" i="55"/>
  <c r="S62" i="55"/>
  <c r="U62" i="55" s="1"/>
  <c r="J62" i="55"/>
  <c r="I62" i="55"/>
  <c r="F62" i="55"/>
  <c r="H62" i="55" s="1"/>
  <c r="C62" i="55"/>
  <c r="U61" i="55"/>
  <c r="J61" i="55"/>
  <c r="I61" i="55"/>
  <c r="F61" i="55"/>
  <c r="H61" i="55" s="1"/>
  <c r="C61" i="55"/>
  <c r="U57" i="55"/>
  <c r="J57" i="55"/>
  <c r="J58" i="55" s="1"/>
  <c r="I57" i="55"/>
  <c r="F57" i="55"/>
  <c r="H57" i="55" s="1"/>
  <c r="C57" i="55"/>
  <c r="S53" i="55"/>
  <c r="U53" i="55" s="1"/>
  <c r="J53" i="55"/>
  <c r="J54" i="55" s="1"/>
  <c r="I53" i="55"/>
  <c r="I54" i="55" s="1"/>
  <c r="F53" i="55"/>
  <c r="H53" i="55" s="1"/>
  <c r="C53" i="55"/>
  <c r="U52" i="55"/>
  <c r="P52" i="55" s="1"/>
  <c r="F52" i="55"/>
  <c r="H52" i="55" s="1"/>
  <c r="E52" i="55"/>
  <c r="D52" i="55"/>
  <c r="U48" i="55"/>
  <c r="P48" i="55" s="1"/>
  <c r="F48" i="55"/>
  <c r="H48" i="55" s="1"/>
  <c r="E48" i="55"/>
  <c r="D48" i="55"/>
  <c r="U47" i="55"/>
  <c r="J47" i="55"/>
  <c r="I47" i="55"/>
  <c r="F47" i="55"/>
  <c r="H47" i="55" s="1"/>
  <c r="C47" i="55"/>
  <c r="U46" i="55"/>
  <c r="J46" i="55"/>
  <c r="I46" i="55"/>
  <c r="F46" i="55"/>
  <c r="H46" i="55" s="1"/>
  <c r="C46" i="55"/>
  <c r="S42" i="55"/>
  <c r="U42" i="55" s="1"/>
  <c r="P42" i="55" s="1"/>
  <c r="F42" i="55"/>
  <c r="K42" i="55" s="1"/>
  <c r="E42" i="55"/>
  <c r="D42" i="55"/>
  <c r="S41" i="55"/>
  <c r="U41" i="55" s="1"/>
  <c r="J41" i="55"/>
  <c r="I41" i="55"/>
  <c r="F41" i="55"/>
  <c r="C41" i="55"/>
  <c r="S40" i="55"/>
  <c r="U40" i="55" s="1"/>
  <c r="J40" i="55"/>
  <c r="I40" i="55"/>
  <c r="F40" i="55"/>
  <c r="H40" i="55" s="1"/>
  <c r="C40" i="55"/>
  <c r="S39" i="55"/>
  <c r="U39" i="55" s="1"/>
  <c r="P39" i="55" s="1"/>
  <c r="F39" i="55"/>
  <c r="H39" i="55" s="1"/>
  <c r="E39" i="55"/>
  <c r="D39" i="55"/>
  <c r="S35" i="55"/>
  <c r="U35" i="55" s="1"/>
  <c r="J35" i="55"/>
  <c r="J36" i="55" s="1"/>
  <c r="I35" i="55"/>
  <c r="I36" i="55" s="1"/>
  <c r="F35" i="55"/>
  <c r="H35" i="55" s="1"/>
  <c r="C35" i="55"/>
  <c r="S34" i="55"/>
  <c r="U34" i="55" s="1"/>
  <c r="P34" i="55" s="1"/>
  <c r="F34" i="55"/>
  <c r="H34" i="55" s="1"/>
  <c r="E34" i="55"/>
  <c r="D34" i="55"/>
  <c r="S33" i="55"/>
  <c r="U33" i="55" s="1"/>
  <c r="P33" i="55" s="1"/>
  <c r="F33" i="55"/>
  <c r="H33" i="55" s="1"/>
  <c r="E33" i="55"/>
  <c r="D33" i="55"/>
  <c r="U29" i="55"/>
  <c r="P29" i="55" s="1"/>
  <c r="F29" i="55"/>
  <c r="H29" i="55" s="1"/>
  <c r="E29" i="55"/>
  <c r="D29" i="55"/>
  <c r="U28" i="55"/>
  <c r="J28" i="55"/>
  <c r="J30" i="55" s="1"/>
  <c r="I28" i="55"/>
  <c r="I30" i="55" s="1"/>
  <c r="F28" i="55"/>
  <c r="C28" i="55"/>
  <c r="U24" i="55"/>
  <c r="P24" i="55" s="1"/>
  <c r="F24" i="55"/>
  <c r="K24" i="55" s="1"/>
  <c r="E24" i="55"/>
  <c r="D24" i="55"/>
  <c r="S23" i="55"/>
  <c r="U23" i="55" s="1"/>
  <c r="J23" i="55"/>
  <c r="J25" i="55" s="1"/>
  <c r="I23" i="55"/>
  <c r="I25" i="55" s="1"/>
  <c r="F23" i="55"/>
  <c r="H23" i="55" s="1"/>
  <c r="C23" i="55"/>
  <c r="C25" i="55" s="1"/>
  <c r="S19" i="55"/>
  <c r="U19" i="55" s="1"/>
  <c r="J19" i="55"/>
  <c r="I19" i="55"/>
  <c r="F19" i="55"/>
  <c r="H19" i="55" s="1"/>
  <c r="C19" i="55"/>
  <c r="U18" i="55"/>
  <c r="J18" i="55"/>
  <c r="I18" i="55"/>
  <c r="F18" i="55"/>
  <c r="H18" i="55" s="1"/>
  <c r="C18" i="55"/>
  <c r="S17" i="55"/>
  <c r="U17" i="55" s="1"/>
  <c r="J17" i="55"/>
  <c r="I17" i="55"/>
  <c r="F17" i="55"/>
  <c r="H17" i="55" s="1"/>
  <c r="C17" i="55"/>
  <c r="S13" i="55"/>
  <c r="U13" i="55" s="1"/>
  <c r="J13" i="55"/>
  <c r="I13" i="55"/>
  <c r="F13" i="55"/>
  <c r="H13" i="55" s="1"/>
  <c r="C13" i="55"/>
  <c r="U12" i="55"/>
  <c r="J12" i="55"/>
  <c r="I12" i="55"/>
  <c r="F12" i="55"/>
  <c r="C12" i="55"/>
  <c r="S11" i="55"/>
  <c r="U11" i="55" s="1"/>
  <c r="J11" i="55"/>
  <c r="I11" i="55"/>
  <c r="F11" i="55"/>
  <c r="H11" i="55" s="1"/>
  <c r="C11" i="55"/>
  <c r="S10" i="55"/>
  <c r="U10" i="55" s="1"/>
  <c r="J10" i="55"/>
  <c r="I10" i="55"/>
  <c r="F10" i="55"/>
  <c r="H10" i="55" s="1"/>
  <c r="C10" i="55"/>
  <c r="U9" i="55"/>
  <c r="P9" i="55" s="1"/>
  <c r="F9" i="55"/>
  <c r="H9" i="55" s="1"/>
  <c r="E9" i="55"/>
  <c r="D9" i="55"/>
  <c r="U8" i="55"/>
  <c r="P8" i="55" s="1"/>
  <c r="P77" i="55" s="1"/>
  <c r="F8" i="55"/>
  <c r="H8" i="55" s="1"/>
  <c r="E8" i="55"/>
  <c r="D8" i="55"/>
  <c r="O2" i="55"/>
  <c r="K2" i="55"/>
  <c r="Z22" i="56" l="1"/>
  <c r="Z7" i="56"/>
  <c r="Y22" i="56"/>
  <c r="Y7" i="56"/>
  <c r="Z23" i="56"/>
  <c r="Z8" i="56"/>
  <c r="Y23" i="56"/>
  <c r="Y8" i="56"/>
  <c r="P43" i="41"/>
  <c r="P42" i="41"/>
  <c r="Q43" i="41"/>
  <c r="Q42" i="41"/>
  <c r="R35" i="41"/>
  <c r="R38" i="56"/>
  <c r="Y16" i="56" s="1"/>
  <c r="V38" i="56"/>
  <c r="Z16" i="56" s="1"/>
  <c r="R23" i="56"/>
  <c r="Y14" i="56" s="1"/>
  <c r="V23" i="56"/>
  <c r="Z14" i="56" s="1"/>
  <c r="R14" i="56"/>
  <c r="Y13" i="56" s="1"/>
  <c r="V14" i="56"/>
  <c r="R46" i="56"/>
  <c r="Y17" i="56" s="1"/>
  <c r="V46" i="56"/>
  <c r="Z17" i="56" s="1"/>
  <c r="AB106" i="62"/>
  <c r="AF106" i="62"/>
  <c r="AE106" i="62"/>
  <c r="AD106" i="62"/>
  <c r="K48" i="56"/>
  <c r="E65" i="65"/>
  <c r="Z106" i="62"/>
  <c r="AA106" i="62"/>
  <c r="M79" i="56"/>
  <c r="M84" i="56" s="1"/>
  <c r="W106" i="62"/>
  <c r="X106" i="62"/>
  <c r="T106" i="62"/>
  <c r="V106" i="62"/>
  <c r="S106" i="62"/>
  <c r="U106" i="62"/>
  <c r="C269" i="68"/>
  <c r="D269" i="68" s="1"/>
  <c r="E269" i="68" s="1"/>
  <c r="A231" i="66"/>
  <c r="Y106" i="62"/>
  <c r="B107" i="62"/>
  <c r="AC107" i="62" s="1"/>
  <c r="L23" i="56"/>
  <c r="L26" i="56" s="1"/>
  <c r="P57" i="55"/>
  <c r="P58" i="55" s="1"/>
  <c r="P13" i="55"/>
  <c r="L15" i="56"/>
  <c r="M15" i="56"/>
  <c r="P46" i="56"/>
  <c r="P28" i="55"/>
  <c r="P30" i="55" s="1"/>
  <c r="D40" i="55"/>
  <c r="D62" i="55"/>
  <c r="L14" i="56"/>
  <c r="E62" i="55"/>
  <c r="E73" i="55"/>
  <c r="L38" i="56"/>
  <c r="L40" i="56" s="1"/>
  <c r="M14" i="56"/>
  <c r="L79" i="56"/>
  <c r="L84" i="56" s="1"/>
  <c r="M38" i="56"/>
  <c r="M40" i="56" s="1"/>
  <c r="L44" i="56"/>
  <c r="M44" i="56"/>
  <c r="J43" i="55"/>
  <c r="D46" i="55"/>
  <c r="E17" i="55"/>
  <c r="J64" i="55"/>
  <c r="J75" i="55"/>
  <c r="D13" i="55"/>
  <c r="J20" i="55"/>
  <c r="D19" i="55"/>
  <c r="D10" i="55"/>
  <c r="D18" i="55"/>
  <c r="D53" i="55"/>
  <c r="E74" i="55"/>
  <c r="K9" i="55"/>
  <c r="N9" i="55" s="1"/>
  <c r="E12" i="55"/>
  <c r="E13" i="55"/>
  <c r="C64" i="55"/>
  <c r="D73" i="55"/>
  <c r="D74" i="55"/>
  <c r="E10" i="55"/>
  <c r="D57" i="55"/>
  <c r="D69" i="55"/>
  <c r="K12" i="55"/>
  <c r="L12" i="55" s="1"/>
  <c r="K33" i="55"/>
  <c r="L33" i="55" s="1"/>
  <c r="I58" i="55"/>
  <c r="P74" i="55"/>
  <c r="J14" i="55"/>
  <c r="E23" i="55"/>
  <c r="K23" i="55"/>
  <c r="L23" i="55" s="1"/>
  <c r="E19" i="55"/>
  <c r="K28" i="55"/>
  <c r="N28" i="55" s="1"/>
  <c r="K34" i="55"/>
  <c r="L34" i="55" s="1"/>
  <c r="K41" i="55"/>
  <c r="M41" i="55" s="1"/>
  <c r="I49" i="55"/>
  <c r="E53" i="55"/>
  <c r="I75" i="55"/>
  <c r="K8" i="55"/>
  <c r="N8" i="55" s="1"/>
  <c r="D11" i="55"/>
  <c r="I20" i="55"/>
  <c r="C20" i="55"/>
  <c r="D23" i="55"/>
  <c r="D41" i="55"/>
  <c r="J49" i="55"/>
  <c r="E57" i="55"/>
  <c r="I64" i="55"/>
  <c r="P53" i="55"/>
  <c r="P54" i="55" s="1"/>
  <c r="C54" i="55"/>
  <c r="C58" i="55"/>
  <c r="M23" i="56"/>
  <c r="M26" i="56" s="1"/>
  <c r="L67" i="56"/>
  <c r="L70" i="56" s="1"/>
  <c r="M67" i="56"/>
  <c r="M70" i="56" s="1"/>
  <c r="L45" i="56"/>
  <c r="M45" i="56"/>
  <c r="M73" i="56"/>
  <c r="M76" i="56" s="1"/>
  <c r="L73" i="56"/>
  <c r="L76" i="56" s="1"/>
  <c r="M17" i="56"/>
  <c r="L17" i="56"/>
  <c r="L16" i="56"/>
  <c r="M16" i="56"/>
  <c r="K19" i="55"/>
  <c r="L19" i="55" s="1"/>
  <c r="K47" i="55"/>
  <c r="M47" i="55" s="1"/>
  <c r="K39" i="55"/>
  <c r="M39" i="55" s="1"/>
  <c r="K62" i="55"/>
  <c r="M62" i="55" s="1"/>
  <c r="L24" i="55"/>
  <c r="N24" i="55"/>
  <c r="M24" i="55"/>
  <c r="E11" i="55"/>
  <c r="D17" i="55"/>
  <c r="K11" i="55"/>
  <c r="H12" i="55"/>
  <c r="P12" i="55"/>
  <c r="K18" i="55"/>
  <c r="P18" i="55"/>
  <c r="H24" i="55"/>
  <c r="H28" i="55"/>
  <c r="K29" i="55"/>
  <c r="E35" i="55"/>
  <c r="C36" i="55"/>
  <c r="K35" i="55"/>
  <c r="P35" i="55"/>
  <c r="P36" i="55" s="1"/>
  <c r="P41" i="55"/>
  <c r="L42" i="55"/>
  <c r="E46" i="55"/>
  <c r="N68" i="55"/>
  <c r="M68" i="55"/>
  <c r="L68" i="55"/>
  <c r="K10" i="55"/>
  <c r="P11" i="55"/>
  <c r="D12" i="55"/>
  <c r="K13" i="55"/>
  <c r="K17" i="55"/>
  <c r="P23" i="55"/>
  <c r="P25" i="55" s="1"/>
  <c r="C30" i="55"/>
  <c r="D28" i="55"/>
  <c r="D35" i="55"/>
  <c r="H42" i="55"/>
  <c r="C14" i="55"/>
  <c r="P14" i="55"/>
  <c r="P10" i="55"/>
  <c r="I14" i="55"/>
  <c r="P17" i="55"/>
  <c r="P19" i="55"/>
  <c r="E28" i="55"/>
  <c r="C43" i="55"/>
  <c r="E40" i="55"/>
  <c r="K40" i="55"/>
  <c r="I43" i="55"/>
  <c r="P40" i="55"/>
  <c r="E41" i="55"/>
  <c r="M42" i="55"/>
  <c r="C49" i="55"/>
  <c r="N63" i="55"/>
  <c r="M63" i="55"/>
  <c r="L63" i="55"/>
  <c r="E18" i="55"/>
  <c r="N42" i="55"/>
  <c r="D47" i="55"/>
  <c r="E47" i="55"/>
  <c r="P47" i="55"/>
  <c r="H41" i="55"/>
  <c r="P46" i="55"/>
  <c r="K48" i="55"/>
  <c r="K52" i="55"/>
  <c r="E61" i="55"/>
  <c r="P62" i="55"/>
  <c r="K67" i="55"/>
  <c r="E69" i="55"/>
  <c r="C70" i="55"/>
  <c r="K73" i="55"/>
  <c r="K61" i="55"/>
  <c r="K69" i="55"/>
  <c r="P73" i="55"/>
  <c r="C75" i="55"/>
  <c r="K53" i="55"/>
  <c r="K57" i="55"/>
  <c r="P61" i="55"/>
  <c r="H63" i="55"/>
  <c r="H68" i="55"/>
  <c r="P69" i="55"/>
  <c r="P70" i="55" s="1"/>
  <c r="K74" i="55"/>
  <c r="K46" i="55"/>
  <c r="D61" i="55"/>
  <c r="R42" i="41" l="1"/>
  <c r="AB107" i="62"/>
  <c r="AD107" i="62"/>
  <c r="AF107" i="62"/>
  <c r="AE107" i="62"/>
  <c r="G65" i="65"/>
  <c r="R43" i="41"/>
  <c r="R46" i="41"/>
  <c r="Z107" i="62"/>
  <c r="AA107" i="62"/>
  <c r="W107" i="62"/>
  <c r="X107" i="62"/>
  <c r="T107" i="62"/>
  <c r="V107" i="62"/>
  <c r="S107" i="62"/>
  <c r="U107" i="62"/>
  <c r="C270" i="68"/>
  <c r="D270" i="68" s="1"/>
  <c r="E270" i="68" s="1"/>
  <c r="A232" i="66"/>
  <c r="Y107" i="62"/>
  <c r="B108" i="62"/>
  <c r="AC108" i="62" s="1"/>
  <c r="L28" i="55"/>
  <c r="N33" i="55"/>
  <c r="M28" i="55"/>
  <c r="M33" i="55"/>
  <c r="M19" i="55"/>
  <c r="L9" i="55"/>
  <c r="M23" i="55"/>
  <c r="M25" i="55" s="1"/>
  <c r="N41" i="55"/>
  <c r="N34" i="55"/>
  <c r="M9" i="55"/>
  <c r="K36" i="55"/>
  <c r="M34" i="55"/>
  <c r="N39" i="55"/>
  <c r="L39" i="55"/>
  <c r="L47" i="55"/>
  <c r="J77" i="55"/>
  <c r="K43" i="55"/>
  <c r="L25" i="55"/>
  <c r="N62" i="55"/>
  <c r="P43" i="55"/>
  <c r="I77" i="55"/>
  <c r="N47" i="55"/>
  <c r="N19" i="55"/>
  <c r="L62" i="55"/>
  <c r="K25" i="55"/>
  <c r="M12" i="55"/>
  <c r="L41" i="55"/>
  <c r="P64" i="55"/>
  <c r="P75" i="55"/>
  <c r="C77" i="55"/>
  <c r="M8" i="55"/>
  <c r="L8" i="55"/>
  <c r="N23" i="55"/>
  <c r="N25" i="55" s="1"/>
  <c r="N12" i="55"/>
  <c r="M69" i="55"/>
  <c r="L69" i="55"/>
  <c r="N69" i="55"/>
  <c r="L53" i="55"/>
  <c r="M53" i="55"/>
  <c r="N53" i="55"/>
  <c r="M61" i="55"/>
  <c r="M64" i="55" s="1"/>
  <c r="K64" i="55"/>
  <c r="L61" i="55"/>
  <c r="N61" i="55"/>
  <c r="K70" i="55"/>
  <c r="N67" i="55"/>
  <c r="M67" i="55"/>
  <c r="L67" i="55"/>
  <c r="N48" i="55"/>
  <c r="M48" i="55"/>
  <c r="L48" i="55"/>
  <c r="N40" i="55"/>
  <c r="M40" i="55"/>
  <c r="M43" i="55" s="1"/>
  <c r="L40" i="55"/>
  <c r="P20" i="55"/>
  <c r="K49" i="55"/>
  <c r="L46" i="55"/>
  <c r="N46" i="55"/>
  <c r="M46" i="55"/>
  <c r="N73" i="55"/>
  <c r="M73" i="55"/>
  <c r="L73" i="55"/>
  <c r="K75" i="55"/>
  <c r="P49" i="55"/>
  <c r="M17" i="55"/>
  <c r="L17" i="55"/>
  <c r="K20" i="55"/>
  <c r="N17" i="55"/>
  <c r="M10" i="55"/>
  <c r="L10" i="55"/>
  <c r="N10" i="55"/>
  <c r="N35" i="55"/>
  <c r="M35" i="55"/>
  <c r="L35" i="55"/>
  <c r="L36" i="55" s="1"/>
  <c r="N29" i="55"/>
  <c r="N30" i="55" s="1"/>
  <c r="M29" i="55"/>
  <c r="L29" i="55"/>
  <c r="K14" i="55"/>
  <c r="M13" i="55"/>
  <c r="L13" i="55"/>
  <c r="N13" i="55"/>
  <c r="M11" i="55"/>
  <c r="L11" i="55"/>
  <c r="N11" i="55"/>
  <c r="L74" i="55"/>
  <c r="N74" i="55"/>
  <c r="M74" i="55"/>
  <c r="L57" i="55"/>
  <c r="L58" i="55" s="1"/>
  <c r="K58" i="55"/>
  <c r="M57" i="55"/>
  <c r="M58" i="55" s="1"/>
  <c r="N57" i="55"/>
  <c r="N58" i="55" s="1"/>
  <c r="N52" i="55"/>
  <c r="M52" i="55"/>
  <c r="K54" i="55"/>
  <c r="L52" i="55"/>
  <c r="N18" i="55"/>
  <c r="M18" i="55"/>
  <c r="L18" i="55"/>
  <c r="K30" i="55"/>
  <c r="AB108" i="62" l="1"/>
  <c r="AE108" i="62"/>
  <c r="AF108" i="62"/>
  <c r="AD108" i="62"/>
  <c r="J65" i="65"/>
  <c r="Z108" i="62"/>
  <c r="AA108" i="62"/>
  <c r="W108" i="62"/>
  <c r="X108" i="62"/>
  <c r="T108" i="62"/>
  <c r="V108" i="62"/>
  <c r="S108" i="62"/>
  <c r="U108" i="62"/>
  <c r="C271" i="68"/>
  <c r="D271" i="68" s="1"/>
  <c r="E271" i="68" s="1"/>
  <c r="A233" i="66"/>
  <c r="Y108" i="62"/>
  <c r="B109" i="62"/>
  <c r="AC109" i="62" s="1"/>
  <c r="L70" i="55"/>
  <c r="M30" i="55"/>
  <c r="L30" i="55"/>
  <c r="N36" i="55"/>
  <c r="N64" i="55"/>
  <c r="M36" i="55"/>
  <c r="L43" i="55"/>
  <c r="N70" i="55"/>
  <c r="M54" i="55"/>
  <c r="N43" i="55"/>
  <c r="M49" i="55"/>
  <c r="L64" i="55"/>
  <c r="M14" i="55"/>
  <c r="N54" i="55"/>
  <c r="L49" i="55"/>
  <c r="M75" i="55"/>
  <c r="N14" i="55"/>
  <c r="N20" i="55"/>
  <c r="M20" i="55"/>
  <c r="L54" i="55"/>
  <c r="L75" i="55"/>
  <c r="N49" i="55"/>
  <c r="M70" i="55"/>
  <c r="L14" i="55"/>
  <c r="K77" i="55"/>
  <c r="L20" i="55"/>
  <c r="N75" i="55"/>
  <c r="AB109" i="62" l="1"/>
  <c r="AF109" i="62"/>
  <c r="AE109" i="62"/>
  <c r="AD109" i="62"/>
  <c r="Z109" i="62"/>
  <c r="AA109" i="62"/>
  <c r="W109" i="62"/>
  <c r="X109" i="62"/>
  <c r="T109" i="62"/>
  <c r="V109" i="62"/>
  <c r="S109" i="62"/>
  <c r="U109" i="62"/>
  <c r="C272" i="68"/>
  <c r="D272" i="68" s="1"/>
  <c r="E272" i="68" s="1"/>
  <c r="A234" i="66"/>
  <c r="Y109" i="62"/>
  <c r="B110" i="62"/>
  <c r="AC110" i="62" s="1"/>
  <c r="N77" i="55"/>
  <c r="L77" i="55"/>
  <c r="K89" i="55" s="1"/>
  <c r="M77" i="55"/>
  <c r="M80" i="55" s="1"/>
  <c r="O19" i="55"/>
  <c r="O33" i="55"/>
  <c r="O47" i="55"/>
  <c r="O9" i="55"/>
  <c r="O62" i="55"/>
  <c r="O63" i="55"/>
  <c r="O41" i="55"/>
  <c r="O28" i="55"/>
  <c r="O42" i="55"/>
  <c r="O68" i="55"/>
  <c r="O23" i="55"/>
  <c r="O24" i="55"/>
  <c r="O34" i="55"/>
  <c r="O12" i="55"/>
  <c r="O8" i="55"/>
  <c r="O39" i="55"/>
  <c r="O53" i="55"/>
  <c r="O67" i="55"/>
  <c r="O73" i="55"/>
  <c r="O52" i="55"/>
  <c r="O69" i="55"/>
  <c r="O17" i="55"/>
  <c r="O35" i="55"/>
  <c r="O29" i="55"/>
  <c r="O13" i="55"/>
  <c r="O11" i="55"/>
  <c r="O61" i="55"/>
  <c r="O40" i="55"/>
  <c r="O10" i="55"/>
  <c r="O74" i="55"/>
  <c r="O57" i="55"/>
  <c r="O58" i="55" s="1"/>
  <c r="O18" i="55"/>
  <c r="O48" i="55"/>
  <c r="O46" i="55"/>
  <c r="AB110" i="62" l="1"/>
  <c r="AF110" i="62"/>
  <c r="AE110" i="62"/>
  <c r="AD110" i="62"/>
  <c r="Z110" i="62"/>
  <c r="AA110" i="62"/>
  <c r="W110" i="62"/>
  <c r="X110" i="62"/>
  <c r="T110" i="62"/>
  <c r="V110" i="62"/>
  <c r="S110" i="62"/>
  <c r="U110" i="62"/>
  <c r="C273" i="68"/>
  <c r="D273" i="68" s="1"/>
  <c r="E273" i="68" s="1"/>
  <c r="A235" i="66"/>
  <c r="Y110" i="62"/>
  <c r="B111" i="62"/>
  <c r="AC111" i="62" s="1"/>
  <c r="L89" i="55"/>
  <c r="L91" i="55" s="1"/>
  <c r="L92" i="55" s="1"/>
  <c r="O64" i="55"/>
  <c r="O75" i="55"/>
  <c r="O25" i="55"/>
  <c r="O49" i="55"/>
  <c r="O20" i="55"/>
  <c r="O70" i="55"/>
  <c r="O36" i="55"/>
  <c r="O54" i="55"/>
  <c r="O43" i="55"/>
  <c r="O30" i="55"/>
  <c r="O14" i="55"/>
  <c r="AB111" i="62" l="1"/>
  <c r="AF111" i="62"/>
  <c r="AD111" i="62"/>
  <c r="AE111" i="62"/>
  <c r="Z111" i="62"/>
  <c r="AA111" i="62"/>
  <c r="W111" i="62"/>
  <c r="X111" i="62"/>
  <c r="T111" i="62"/>
  <c r="V111" i="62"/>
  <c r="S111" i="62"/>
  <c r="U111" i="62"/>
  <c r="C274" i="68"/>
  <c r="D274" i="68" s="1"/>
  <c r="E274" i="68" s="1"/>
  <c r="A236" i="66"/>
  <c r="Y111" i="62"/>
  <c r="B112" i="62"/>
  <c r="AC112" i="62" s="1"/>
  <c r="O77" i="55"/>
  <c r="AB112" i="62" l="1"/>
  <c r="AE112" i="62"/>
  <c r="AD112" i="62"/>
  <c r="AF112" i="62"/>
  <c r="Z112" i="62"/>
  <c r="AA112" i="62"/>
  <c r="W112" i="62"/>
  <c r="X112" i="62"/>
  <c r="T112" i="62"/>
  <c r="V112" i="62"/>
  <c r="S112" i="62"/>
  <c r="U112" i="62"/>
  <c r="C275" i="68"/>
  <c r="D275" i="68" s="1"/>
  <c r="E275" i="68" s="1"/>
  <c r="A237" i="66"/>
  <c r="Y112" i="62"/>
  <c r="B113" i="62"/>
  <c r="AC113" i="62" s="1"/>
  <c r="M50" i="43"/>
  <c r="M52" i="43" s="1"/>
  <c r="AB113" i="62" l="1"/>
  <c r="AF113" i="62"/>
  <c r="AD113" i="62"/>
  <c r="AE113" i="62"/>
  <c r="Z113" i="62"/>
  <c r="AA113" i="62"/>
  <c r="W113" i="62"/>
  <c r="X113" i="62"/>
  <c r="T113" i="62"/>
  <c r="V113" i="62"/>
  <c r="S113" i="62"/>
  <c r="U113" i="62"/>
  <c r="C276" i="68"/>
  <c r="D276" i="68" s="1"/>
  <c r="E276" i="68" s="1"/>
  <c r="A238" i="66"/>
  <c r="Y113" i="62"/>
  <c r="B114" i="62"/>
  <c r="AC114" i="62" s="1"/>
  <c r="L52" i="43"/>
  <c r="AB114" i="62" l="1"/>
  <c r="AF114" i="62"/>
  <c r="AE114" i="62"/>
  <c r="AD114" i="62"/>
  <c r="Z114" i="62"/>
  <c r="AA114" i="62"/>
  <c r="W114" i="62"/>
  <c r="X114" i="62"/>
  <c r="T114" i="62"/>
  <c r="V114" i="62"/>
  <c r="S114" i="62"/>
  <c r="U114" i="62"/>
  <c r="C277" i="68"/>
  <c r="D277" i="68" s="1"/>
  <c r="E277" i="68" s="1"/>
  <c r="A239" i="66"/>
  <c r="Y114" i="62"/>
  <c r="B115" i="62"/>
  <c r="AC115" i="62" s="1"/>
  <c r="F25" i="47"/>
  <c r="AB115" i="62" l="1"/>
  <c r="AD115" i="62"/>
  <c r="AF115" i="62"/>
  <c r="AE115" i="62"/>
  <c r="Z115" i="62"/>
  <c r="AA115" i="62"/>
  <c r="W115" i="62"/>
  <c r="X115" i="62"/>
  <c r="T115" i="62"/>
  <c r="V115" i="62"/>
  <c r="S115" i="62"/>
  <c r="U115" i="62"/>
  <c r="C278" i="68"/>
  <c r="D278" i="68" s="1"/>
  <c r="E278" i="68" s="1"/>
  <c r="A240" i="66"/>
  <c r="Y115" i="62"/>
  <c r="B116" i="62"/>
  <c r="AC116" i="62" s="1"/>
  <c r="E74" i="20"/>
  <c r="E76" i="20" s="1"/>
  <c r="AB116" i="62" l="1"/>
  <c r="AE116" i="62"/>
  <c r="AF116" i="62"/>
  <c r="AD116" i="62"/>
  <c r="Z116" i="62"/>
  <c r="AA116" i="62"/>
  <c r="W116" i="62"/>
  <c r="X116" i="62"/>
  <c r="T116" i="62"/>
  <c r="V116" i="62"/>
  <c r="S116" i="62"/>
  <c r="U116" i="62"/>
  <c r="C279" i="68"/>
  <c r="D279" i="68" s="1"/>
  <c r="E279" i="68" s="1"/>
  <c r="A241" i="66"/>
  <c r="Y116" i="62"/>
  <c r="B117" i="62"/>
  <c r="B3" i="47"/>
  <c r="L22" i="47" l="1"/>
  <c r="AC117" i="62"/>
  <c r="AE117" i="62"/>
  <c r="AB117" i="62"/>
  <c r="AF117" i="62"/>
  <c r="AD117" i="62"/>
  <c r="L21" i="47"/>
  <c r="Z117" i="62"/>
  <c r="AA117" i="62"/>
  <c r="W117" i="62"/>
  <c r="X117" i="62"/>
  <c r="T117" i="62"/>
  <c r="V117" i="62"/>
  <c r="S117" i="62"/>
  <c r="U117" i="62"/>
  <c r="C280" i="68"/>
  <c r="D280" i="68" s="1"/>
  <c r="E280" i="68" s="1"/>
  <c r="A242" i="66"/>
  <c r="Y117" i="62"/>
  <c r="B118" i="62"/>
  <c r="AC118" i="62" s="1"/>
  <c r="E6" i="59"/>
  <c r="AB118" i="62" l="1"/>
  <c r="AE118" i="62"/>
  <c r="AD118" i="62"/>
  <c r="AF118" i="62"/>
  <c r="J23" i="47"/>
  <c r="Z118" i="62"/>
  <c r="AA118" i="62"/>
  <c r="W118" i="62"/>
  <c r="X118" i="62"/>
  <c r="T118" i="62"/>
  <c r="V118" i="62"/>
  <c r="S118" i="62"/>
  <c r="U118" i="62"/>
  <c r="C281" i="68"/>
  <c r="D281" i="68" s="1"/>
  <c r="E281" i="68" s="1"/>
  <c r="A243" i="66"/>
  <c r="Y118" i="62"/>
  <c r="B119" i="62"/>
  <c r="AC119" i="62" s="1"/>
  <c r="C5" i="60"/>
  <c r="C3" i="61"/>
  <c r="AB119" i="62" l="1"/>
  <c r="AF119" i="62"/>
  <c r="AD119" i="62"/>
  <c r="AE119" i="62"/>
  <c r="Z119" i="62"/>
  <c r="AA119" i="62"/>
  <c r="W119" i="62"/>
  <c r="X119" i="62"/>
  <c r="T119" i="62"/>
  <c r="V119" i="62"/>
  <c r="S119" i="62"/>
  <c r="U119" i="62"/>
  <c r="C282" i="68"/>
  <c r="D282" i="68" s="1"/>
  <c r="E282" i="68" s="1"/>
  <c r="A244" i="66"/>
  <c r="Y119" i="62"/>
  <c r="B120" i="62"/>
  <c r="AC120" i="62" s="1"/>
  <c r="AB17" i="59"/>
  <c r="N16" i="60"/>
  <c r="D26" i="20" s="1"/>
  <c r="H26" i="20" s="1"/>
  <c r="AB120" i="62" l="1"/>
  <c r="AE120" i="62"/>
  <c r="AD120" i="62"/>
  <c r="AF120" i="62"/>
  <c r="L23" i="47"/>
  <c r="Z120" i="62"/>
  <c r="AA120" i="62"/>
  <c r="W120" i="62"/>
  <c r="X120" i="62"/>
  <c r="T120" i="62"/>
  <c r="V120" i="62"/>
  <c r="S120" i="62"/>
  <c r="U120" i="62"/>
  <c r="C283" i="68"/>
  <c r="D283" i="68" s="1"/>
  <c r="E283" i="68" s="1"/>
  <c r="A245" i="66"/>
  <c r="Y120" i="62"/>
  <c r="B121" i="62"/>
  <c r="AC121" i="62" s="1"/>
  <c r="P16" i="60"/>
  <c r="P19" i="60" s="1"/>
  <c r="T14" i="61"/>
  <c r="AB121" i="62" l="1"/>
  <c r="AF121" i="62"/>
  <c r="AE121" i="62"/>
  <c r="AD121" i="62"/>
  <c r="Z121" i="62"/>
  <c r="AA121" i="62"/>
  <c r="W121" i="62"/>
  <c r="X121" i="62"/>
  <c r="T121" i="62"/>
  <c r="V121" i="62"/>
  <c r="S121" i="62"/>
  <c r="U121" i="62"/>
  <c r="C284" i="68"/>
  <c r="D284" i="68" s="1"/>
  <c r="E284" i="68" s="1"/>
  <c r="A246" i="66"/>
  <c r="Y121" i="62"/>
  <c r="B122" i="62"/>
  <c r="AC122" i="62" s="1"/>
  <c r="O17" i="59"/>
  <c r="X14" i="61"/>
  <c r="X16" i="61" s="1"/>
  <c r="Q15" i="20" s="1"/>
  <c r="U14" i="61"/>
  <c r="I50" i="40"/>
  <c r="I49" i="40"/>
  <c r="I45" i="40"/>
  <c r="AB122" i="62" l="1"/>
  <c r="AF122" i="62"/>
  <c r="AE122" i="62"/>
  <c r="AD122" i="62"/>
  <c r="Z122" i="62"/>
  <c r="AA122" i="62"/>
  <c r="W122" i="62"/>
  <c r="X122" i="62"/>
  <c r="T122" i="62"/>
  <c r="V122" i="62"/>
  <c r="S122" i="62"/>
  <c r="U122" i="62"/>
  <c r="C285" i="68"/>
  <c r="D285" i="68" s="1"/>
  <c r="E285" i="68" s="1"/>
  <c r="A247" i="66"/>
  <c r="Y122" i="62"/>
  <c r="B123" i="62"/>
  <c r="AC123" i="62" s="1"/>
  <c r="D13" i="20"/>
  <c r="H13" i="20" s="1"/>
  <c r="AB123" i="62" l="1"/>
  <c r="AD123" i="62"/>
  <c r="AF123" i="62"/>
  <c r="AE123" i="62"/>
  <c r="Z123" i="62"/>
  <c r="AA123" i="62"/>
  <c r="W123" i="62"/>
  <c r="X123" i="62"/>
  <c r="T123" i="62"/>
  <c r="V123" i="62"/>
  <c r="S123" i="62"/>
  <c r="U123" i="62"/>
  <c r="C286" i="68"/>
  <c r="D286" i="68" s="1"/>
  <c r="E286" i="68" s="1"/>
  <c r="A248" i="66"/>
  <c r="Y123" i="62"/>
  <c r="B124" i="62"/>
  <c r="AC124" i="62" s="1"/>
  <c r="I13" i="20"/>
  <c r="I9" i="40"/>
  <c r="E75" i="40" s="1"/>
  <c r="AB124" i="62" l="1"/>
  <c r="AE124" i="62"/>
  <c r="AF124" i="62"/>
  <c r="AD124" i="62"/>
  <c r="Z124" i="62"/>
  <c r="AA124" i="62"/>
  <c r="W124" i="62"/>
  <c r="X124" i="62"/>
  <c r="T124" i="62"/>
  <c r="V124" i="62"/>
  <c r="S124" i="62"/>
  <c r="U124" i="62"/>
  <c r="C287" i="68"/>
  <c r="D287" i="68" s="1"/>
  <c r="E287" i="68" s="1"/>
  <c r="A249" i="66"/>
  <c r="Y124" i="62"/>
  <c r="B125" i="62"/>
  <c r="AC125" i="62" s="1"/>
  <c r="G66" i="40"/>
  <c r="G64" i="40"/>
  <c r="B2" i="53"/>
  <c r="G20" i="53"/>
  <c r="G18" i="53"/>
  <c r="K13" i="53"/>
  <c r="K14" i="53" s="1"/>
  <c r="L12" i="53"/>
  <c r="M12" i="53" s="1"/>
  <c r="L11" i="53"/>
  <c r="M11" i="53" s="1"/>
  <c r="L10" i="53"/>
  <c r="M10" i="53" s="1"/>
  <c r="L9" i="53"/>
  <c r="G9" i="53"/>
  <c r="G11" i="53" s="1"/>
  <c r="G26" i="53" s="1"/>
  <c r="L8" i="53"/>
  <c r="M8" i="53" s="1"/>
  <c r="L7" i="53"/>
  <c r="M7" i="53" s="1"/>
  <c r="AB125" i="62" l="1"/>
  <c r="AF125" i="62"/>
  <c r="AE125" i="62"/>
  <c r="AD125" i="62"/>
  <c r="Z125" i="62"/>
  <c r="AA125" i="62"/>
  <c r="W125" i="62"/>
  <c r="X125" i="62"/>
  <c r="T125" i="62"/>
  <c r="V125" i="62"/>
  <c r="S125" i="62"/>
  <c r="U125" i="62"/>
  <c r="C288" i="68"/>
  <c r="D288" i="68" s="1"/>
  <c r="E288" i="68" s="1"/>
  <c r="A250" i="66"/>
  <c r="Y125" i="62"/>
  <c r="B126" i="62"/>
  <c r="AC126" i="62" s="1"/>
  <c r="L13" i="53"/>
  <c r="M13" i="53" s="1"/>
  <c r="G22" i="53"/>
  <c r="G24" i="53" s="1"/>
  <c r="G29" i="53" s="1"/>
  <c r="G33" i="53" s="1"/>
  <c r="G35" i="53" s="1"/>
  <c r="M9" i="53"/>
  <c r="M14" i="53" s="1"/>
  <c r="AB126" i="62" l="1"/>
  <c r="AF126" i="62"/>
  <c r="AE126" i="62"/>
  <c r="AD126" i="62"/>
  <c r="Z126" i="62"/>
  <c r="AA126" i="62"/>
  <c r="W126" i="62"/>
  <c r="X126" i="62"/>
  <c r="T126" i="62"/>
  <c r="V126" i="62"/>
  <c r="S126" i="62"/>
  <c r="U126" i="62"/>
  <c r="C289" i="68"/>
  <c r="D289" i="68" s="1"/>
  <c r="E289" i="68" s="1"/>
  <c r="A251" i="66"/>
  <c r="Y126" i="62"/>
  <c r="B127" i="62"/>
  <c r="AC127" i="62" s="1"/>
  <c r="L14" i="53"/>
  <c r="M15" i="53"/>
  <c r="AB127" i="62" l="1"/>
  <c r="AF127" i="62"/>
  <c r="AD127" i="62"/>
  <c r="AE127" i="62"/>
  <c r="Z127" i="62"/>
  <c r="AA127" i="62"/>
  <c r="W127" i="62"/>
  <c r="X127" i="62"/>
  <c r="T127" i="62"/>
  <c r="V127" i="62"/>
  <c r="S127" i="62"/>
  <c r="U127" i="62"/>
  <c r="C290" i="68"/>
  <c r="D290" i="68" s="1"/>
  <c r="E290" i="68" s="1"/>
  <c r="A252" i="66"/>
  <c r="Y127" i="62"/>
  <c r="B128" i="62"/>
  <c r="AC128" i="62" s="1"/>
  <c r="C25" i="47"/>
  <c r="AB128" i="62" l="1"/>
  <c r="AE128" i="62"/>
  <c r="AD128" i="62"/>
  <c r="AF128" i="62"/>
  <c r="Z128" i="62"/>
  <c r="AA128" i="62"/>
  <c r="W128" i="62"/>
  <c r="X128" i="62"/>
  <c r="T128" i="62"/>
  <c r="V128" i="62"/>
  <c r="S128" i="62"/>
  <c r="U128" i="62"/>
  <c r="C291" i="68"/>
  <c r="D291" i="68" s="1"/>
  <c r="E291" i="68" s="1"/>
  <c r="A253" i="66"/>
  <c r="Y128" i="62"/>
  <c r="B129" i="62"/>
  <c r="AC129" i="62" s="1"/>
  <c r="I41" i="40"/>
  <c r="AB129" i="62" l="1"/>
  <c r="AF129" i="62"/>
  <c r="AD129" i="62"/>
  <c r="AE129" i="62"/>
  <c r="Z129" i="62"/>
  <c r="AA129" i="62"/>
  <c r="W129" i="62"/>
  <c r="X129" i="62"/>
  <c r="T129" i="62"/>
  <c r="V129" i="62"/>
  <c r="S129" i="62"/>
  <c r="U129" i="62"/>
  <c r="C292" i="68"/>
  <c r="D292" i="68" s="1"/>
  <c r="E292" i="68" s="1"/>
  <c r="A254" i="66"/>
  <c r="Y129" i="62"/>
  <c r="B130" i="62"/>
  <c r="AC130" i="62" s="1"/>
  <c r="C16" i="20"/>
  <c r="AB130" i="62" l="1"/>
  <c r="AF130" i="62"/>
  <c r="AE130" i="62"/>
  <c r="AD130" i="62"/>
  <c r="Z130" i="62"/>
  <c r="AA130" i="62"/>
  <c r="W130" i="62"/>
  <c r="X130" i="62"/>
  <c r="T130" i="62"/>
  <c r="V130" i="62"/>
  <c r="S130" i="62"/>
  <c r="U130" i="62"/>
  <c r="C293" i="68"/>
  <c r="D293" i="68" s="1"/>
  <c r="E293" i="68" s="1"/>
  <c r="A255" i="66"/>
  <c r="Y130" i="62"/>
  <c r="B131" i="62"/>
  <c r="AC131" i="62" s="1"/>
  <c r="G63" i="20"/>
  <c r="G65" i="20" s="1"/>
  <c r="AB131" i="62" l="1"/>
  <c r="AD131" i="62"/>
  <c r="AF131" i="62"/>
  <c r="AE131" i="62"/>
  <c r="Z131" i="62"/>
  <c r="AA131" i="62"/>
  <c r="W131" i="62"/>
  <c r="X131" i="62"/>
  <c r="T131" i="62"/>
  <c r="V131" i="62"/>
  <c r="S131" i="62"/>
  <c r="U131" i="62"/>
  <c r="C294" i="68"/>
  <c r="D294" i="68" s="1"/>
  <c r="E294" i="68" s="1"/>
  <c r="A256" i="66"/>
  <c r="Y131" i="62"/>
  <c r="B132" i="62"/>
  <c r="AC132" i="62" s="1"/>
  <c r="AB132" i="62" l="1"/>
  <c r="AE132" i="62"/>
  <c r="AF132" i="62"/>
  <c r="AD132" i="62"/>
  <c r="Z132" i="62"/>
  <c r="AA132" i="62"/>
  <c r="W132" i="62"/>
  <c r="X132" i="62"/>
  <c r="T132" i="62"/>
  <c r="V132" i="62"/>
  <c r="S132" i="62"/>
  <c r="U132" i="62"/>
  <c r="C295" i="68"/>
  <c r="D295" i="68" s="1"/>
  <c r="E295" i="68" s="1"/>
  <c r="A257" i="66"/>
  <c r="Y132" i="62"/>
  <c r="B133" i="62"/>
  <c r="AC133" i="62" s="1"/>
  <c r="C26" i="47"/>
  <c r="AB133" i="62" l="1"/>
  <c r="AF133" i="62"/>
  <c r="AE133" i="62"/>
  <c r="AD133" i="62"/>
  <c r="Z133" i="62"/>
  <c r="AA133" i="62"/>
  <c r="W133" i="62"/>
  <c r="X133" i="62"/>
  <c r="T133" i="62"/>
  <c r="V133" i="62"/>
  <c r="S133" i="62"/>
  <c r="U133" i="62"/>
  <c r="C296" i="68"/>
  <c r="D296" i="68" s="1"/>
  <c r="E296" i="68" s="1"/>
  <c r="A258" i="66"/>
  <c r="Y133" i="62"/>
  <c r="B134" i="62"/>
  <c r="AC134" i="62" s="1"/>
  <c r="M16" i="50"/>
  <c r="L13" i="50" s="1"/>
  <c r="AB134" i="62" l="1"/>
  <c r="AE134" i="62"/>
  <c r="AD134" i="62"/>
  <c r="AF134" i="62"/>
  <c r="Z134" i="62"/>
  <c r="AA134" i="62"/>
  <c r="W134" i="62"/>
  <c r="X134" i="62"/>
  <c r="T134" i="62"/>
  <c r="V134" i="62"/>
  <c r="S134" i="62"/>
  <c r="U134" i="62"/>
  <c r="C297" i="68"/>
  <c r="D297" i="68" s="1"/>
  <c r="E297" i="68" s="1"/>
  <c r="A259" i="66"/>
  <c r="Y134" i="62"/>
  <c r="B135" i="62"/>
  <c r="AC135" i="62" s="1"/>
  <c r="L14" i="50"/>
  <c r="L15" i="50"/>
  <c r="AB135" i="62" l="1"/>
  <c r="AF135" i="62"/>
  <c r="AD135" i="62"/>
  <c r="AE135" i="62"/>
  <c r="Z135" i="62"/>
  <c r="AA135" i="62"/>
  <c r="W135" i="62"/>
  <c r="X135" i="62"/>
  <c r="T135" i="62"/>
  <c r="V135" i="62"/>
  <c r="S135" i="62"/>
  <c r="U135" i="62"/>
  <c r="C298" i="68"/>
  <c r="D298" i="68" s="1"/>
  <c r="E298" i="68" s="1"/>
  <c r="A260" i="66"/>
  <c r="Y135" i="62"/>
  <c r="B136" i="62"/>
  <c r="AC136" i="62" s="1"/>
  <c r="H9" i="51"/>
  <c r="AB136" i="62" l="1"/>
  <c r="AE136" i="62"/>
  <c r="AD136" i="62"/>
  <c r="AF136" i="62"/>
  <c r="Z136" i="62"/>
  <c r="AA136" i="62"/>
  <c r="W136" i="62"/>
  <c r="X136" i="62"/>
  <c r="T136" i="62"/>
  <c r="V136" i="62"/>
  <c r="S136" i="62"/>
  <c r="U136" i="62"/>
  <c r="C299" i="68"/>
  <c r="D299" i="68" s="1"/>
  <c r="E299" i="68" s="1"/>
  <c r="A261" i="66"/>
  <c r="Y136" i="62"/>
  <c r="B137" i="62"/>
  <c r="AC137" i="62" s="1"/>
  <c r="G9" i="51"/>
  <c r="G20" i="51" s="1"/>
  <c r="G18" i="51"/>
  <c r="AB137" i="62" l="1"/>
  <c r="AF137" i="62"/>
  <c r="AE137" i="62"/>
  <c r="AD137" i="62"/>
  <c r="Z137" i="62"/>
  <c r="AA137" i="62"/>
  <c r="W137" i="62"/>
  <c r="X137" i="62"/>
  <c r="T137" i="62"/>
  <c r="V137" i="62"/>
  <c r="S137" i="62"/>
  <c r="U137" i="62"/>
  <c r="C300" i="68"/>
  <c r="D300" i="68" s="1"/>
  <c r="E300" i="68" s="1"/>
  <c r="A262" i="66"/>
  <c r="Y137" i="62"/>
  <c r="B138" i="62"/>
  <c r="AC138" i="62" s="1"/>
  <c r="G22" i="51"/>
  <c r="G11" i="51"/>
  <c r="G24" i="51" s="1"/>
  <c r="AB138" i="62" l="1"/>
  <c r="AF138" i="62"/>
  <c r="AE138" i="62"/>
  <c r="AD138" i="62"/>
  <c r="Z138" i="62"/>
  <c r="AA138" i="62"/>
  <c r="W138" i="62"/>
  <c r="X138" i="62"/>
  <c r="T138" i="62"/>
  <c r="V138" i="62"/>
  <c r="S138" i="62"/>
  <c r="U138" i="62"/>
  <c r="C301" i="68"/>
  <c r="D301" i="68" s="1"/>
  <c r="E301" i="68" s="1"/>
  <c r="A263" i="66"/>
  <c r="Y138" i="62"/>
  <c r="B139" i="62"/>
  <c r="AC139" i="62" s="1"/>
  <c r="G26" i="51"/>
  <c r="G30" i="51" s="1"/>
  <c r="G32" i="51" s="1"/>
  <c r="AB139" i="62" l="1"/>
  <c r="AD139" i="62"/>
  <c r="AF139" i="62"/>
  <c r="AE139" i="62"/>
  <c r="Z139" i="62"/>
  <c r="AA139" i="62"/>
  <c r="W139" i="62"/>
  <c r="X139" i="62"/>
  <c r="T139" i="62"/>
  <c r="V139" i="62"/>
  <c r="S139" i="62"/>
  <c r="U139" i="62"/>
  <c r="C302" i="68"/>
  <c r="D302" i="68" s="1"/>
  <c r="E302" i="68" s="1"/>
  <c r="A264" i="66"/>
  <c r="Y139" i="62"/>
  <c r="B140" i="62"/>
  <c r="AC140" i="62" s="1"/>
  <c r="G9" i="50"/>
  <c r="K9" i="50"/>
  <c r="L7" i="50" s="1"/>
  <c r="AB140" i="62" l="1"/>
  <c r="AE140" i="62"/>
  <c r="AF140" i="62"/>
  <c r="AD140" i="62"/>
  <c r="Z140" i="62"/>
  <c r="AA140" i="62"/>
  <c r="W140" i="62"/>
  <c r="X140" i="62"/>
  <c r="T140" i="62"/>
  <c r="V140" i="62"/>
  <c r="S140" i="62"/>
  <c r="U140" i="62"/>
  <c r="C303" i="68"/>
  <c r="D303" i="68" s="1"/>
  <c r="E303" i="68" s="1"/>
  <c r="A265" i="66"/>
  <c r="Y140" i="62"/>
  <c r="B141" i="62"/>
  <c r="AC141" i="62" s="1"/>
  <c r="L6" i="50"/>
  <c r="L8" i="50"/>
  <c r="AB141" i="62" l="1"/>
  <c r="AF141" i="62"/>
  <c r="AE141" i="62"/>
  <c r="AD141" i="62"/>
  <c r="Z141" i="62"/>
  <c r="AA141" i="62"/>
  <c r="W141" i="62"/>
  <c r="X141" i="62"/>
  <c r="T141" i="62"/>
  <c r="V141" i="62"/>
  <c r="S141" i="62"/>
  <c r="U141" i="62"/>
  <c r="C304" i="68"/>
  <c r="D304" i="68" s="1"/>
  <c r="E304" i="68" s="1"/>
  <c r="A266" i="66"/>
  <c r="Y141" i="62"/>
  <c r="B142" i="62"/>
  <c r="AC142" i="62" s="1"/>
  <c r="H9" i="50"/>
  <c r="AB142" i="62" l="1"/>
  <c r="AF142" i="62"/>
  <c r="AE142" i="62"/>
  <c r="AD142" i="62"/>
  <c r="Z142" i="62"/>
  <c r="AA142" i="62"/>
  <c r="W142" i="62"/>
  <c r="X142" i="62"/>
  <c r="T142" i="62"/>
  <c r="V142" i="62"/>
  <c r="S142" i="62"/>
  <c r="U142" i="62"/>
  <c r="C305" i="68"/>
  <c r="D305" i="68" s="1"/>
  <c r="E305" i="68" s="1"/>
  <c r="A267" i="66"/>
  <c r="Y142" i="62"/>
  <c r="B143" i="62"/>
  <c r="AC143" i="62" s="1"/>
  <c r="G11" i="50"/>
  <c r="G24" i="50" s="1"/>
  <c r="G18" i="50"/>
  <c r="AB143" i="62" l="1"/>
  <c r="AF143" i="62"/>
  <c r="AD143" i="62"/>
  <c r="AE143" i="62"/>
  <c r="Z143" i="62"/>
  <c r="AA143" i="62"/>
  <c r="W143" i="62"/>
  <c r="X143" i="62"/>
  <c r="T143" i="62"/>
  <c r="V143" i="62"/>
  <c r="S143" i="62"/>
  <c r="U143" i="62"/>
  <c r="C306" i="68"/>
  <c r="D306" i="68" s="1"/>
  <c r="E306" i="68" s="1"/>
  <c r="A268" i="66"/>
  <c r="Y143" i="62"/>
  <c r="B144" i="62"/>
  <c r="AC144" i="62" s="1"/>
  <c r="F20" i="50"/>
  <c r="AB144" i="62" l="1"/>
  <c r="AE144" i="62"/>
  <c r="AD144" i="62"/>
  <c r="AF144" i="62"/>
  <c r="Z144" i="62"/>
  <c r="AA144" i="62"/>
  <c r="W144" i="62"/>
  <c r="X144" i="62"/>
  <c r="T144" i="62"/>
  <c r="V144" i="62"/>
  <c r="S144" i="62"/>
  <c r="U144" i="62"/>
  <c r="C307" i="68"/>
  <c r="D307" i="68" s="1"/>
  <c r="E307" i="68" s="1"/>
  <c r="A269" i="66"/>
  <c r="Y144" i="62"/>
  <c r="B145" i="62"/>
  <c r="AC145" i="62" s="1"/>
  <c r="G20" i="50"/>
  <c r="G22" i="50" s="1"/>
  <c r="G26" i="50" s="1"/>
  <c r="AB145" i="62" l="1"/>
  <c r="AF145" i="62"/>
  <c r="AE145" i="62"/>
  <c r="AD145" i="62"/>
  <c r="Z145" i="62"/>
  <c r="AA145" i="62"/>
  <c r="W145" i="62"/>
  <c r="X145" i="62"/>
  <c r="T145" i="62"/>
  <c r="V145" i="62"/>
  <c r="S145" i="62"/>
  <c r="U145" i="62"/>
  <c r="C308" i="68"/>
  <c r="D308" i="68" s="1"/>
  <c r="E308" i="68" s="1"/>
  <c r="A270" i="66"/>
  <c r="Y145" i="62"/>
  <c r="B146" i="62"/>
  <c r="AC146" i="62" s="1"/>
  <c r="G30" i="50"/>
  <c r="G32" i="50" s="1"/>
  <c r="AB146" i="62" l="1"/>
  <c r="AF146" i="62"/>
  <c r="AE146" i="62"/>
  <c r="AD146" i="62"/>
  <c r="Z146" i="62"/>
  <c r="AA146" i="62"/>
  <c r="W146" i="62"/>
  <c r="X146" i="62"/>
  <c r="T146" i="62"/>
  <c r="V146" i="62"/>
  <c r="S146" i="62"/>
  <c r="U146" i="62"/>
  <c r="C309" i="68"/>
  <c r="D309" i="68" s="1"/>
  <c r="E309" i="68" s="1"/>
  <c r="A271" i="66"/>
  <c r="Y146" i="62"/>
  <c r="B147" i="62"/>
  <c r="AC147" i="62" s="1"/>
  <c r="G9" i="48"/>
  <c r="H9" i="48" s="1"/>
  <c r="H13" i="48" s="1"/>
  <c r="AB147" i="62" l="1"/>
  <c r="AD147" i="62"/>
  <c r="AF147" i="62"/>
  <c r="AE147" i="62"/>
  <c r="Z147" i="62"/>
  <c r="AA147" i="62"/>
  <c r="W147" i="62"/>
  <c r="X147" i="62"/>
  <c r="T147" i="62"/>
  <c r="V147" i="62"/>
  <c r="S147" i="62"/>
  <c r="U147" i="62"/>
  <c r="C310" i="68"/>
  <c r="D310" i="68" s="1"/>
  <c r="E310" i="68" s="1"/>
  <c r="A272" i="66"/>
  <c r="Y147" i="62"/>
  <c r="B148" i="62"/>
  <c r="AC148" i="62" s="1"/>
  <c r="N9" i="48"/>
  <c r="N13" i="48" s="1"/>
  <c r="J9" i="48"/>
  <c r="J13" i="48" s="1"/>
  <c r="AB148" i="62" l="1"/>
  <c r="AE148" i="62"/>
  <c r="AD148" i="62"/>
  <c r="AF148" i="62"/>
  <c r="Z148" i="62"/>
  <c r="AA148" i="62"/>
  <c r="K9" i="48"/>
  <c r="Q9" i="48"/>
  <c r="Q13" i="48" s="1"/>
  <c r="C99" i="40"/>
  <c r="W148" i="62"/>
  <c r="X148" i="62"/>
  <c r="T148" i="62"/>
  <c r="V148" i="62"/>
  <c r="S148" i="62"/>
  <c r="U148" i="62"/>
  <c r="C311" i="68"/>
  <c r="D311" i="68" s="1"/>
  <c r="E311" i="68" s="1"/>
  <c r="A273" i="66"/>
  <c r="Y148" i="62"/>
  <c r="B149" i="62"/>
  <c r="AC149" i="62" s="1"/>
  <c r="O9" i="48"/>
  <c r="AB149" i="62" l="1"/>
  <c r="AF149" i="62"/>
  <c r="AE149" i="62"/>
  <c r="AD149" i="62"/>
  <c r="Z149" i="62"/>
  <c r="AA149" i="62"/>
  <c r="S9" i="48"/>
  <c r="S13" i="48" s="1"/>
  <c r="S15" i="48" s="1"/>
  <c r="O13" i="48"/>
  <c r="O15" i="48" s="1"/>
  <c r="S19" i="48" s="1"/>
  <c r="S20" i="48" s="1"/>
  <c r="S21" i="48" s="1"/>
  <c r="S22" i="48" s="1"/>
  <c r="W149" i="62"/>
  <c r="X149" i="62"/>
  <c r="T149" i="62"/>
  <c r="V149" i="62"/>
  <c r="S149" i="62"/>
  <c r="U149" i="62"/>
  <c r="C312" i="68"/>
  <c r="D312" i="68" s="1"/>
  <c r="E312" i="68" s="1"/>
  <c r="A274" i="66"/>
  <c r="Y149" i="62"/>
  <c r="B150" i="62"/>
  <c r="AC150" i="62" s="1"/>
  <c r="D20" i="20"/>
  <c r="H20" i="20" s="1"/>
  <c r="N18" i="48"/>
  <c r="AB150" i="62" l="1"/>
  <c r="AF150" i="62"/>
  <c r="AE150" i="62"/>
  <c r="AD150" i="62"/>
  <c r="Z150" i="62"/>
  <c r="AA150" i="62"/>
  <c r="C37" i="40"/>
  <c r="D21" i="20"/>
  <c r="H21" i="20" s="1"/>
  <c r="W150" i="62"/>
  <c r="X150" i="62"/>
  <c r="T150" i="62"/>
  <c r="V150" i="62"/>
  <c r="S150" i="62"/>
  <c r="U150" i="62"/>
  <c r="C313" i="68"/>
  <c r="D313" i="68" s="1"/>
  <c r="E313" i="68" s="1"/>
  <c r="A275" i="66"/>
  <c r="Y150" i="62"/>
  <c r="B151" i="62"/>
  <c r="AC151" i="62" s="1"/>
  <c r="F15" i="20"/>
  <c r="AB151" i="62" l="1"/>
  <c r="AD151" i="62"/>
  <c r="AF151" i="62"/>
  <c r="AE151" i="62"/>
  <c r="E37" i="40"/>
  <c r="Z151" i="62"/>
  <c r="AA151" i="62"/>
  <c r="W151" i="62"/>
  <c r="X151" i="62"/>
  <c r="T151" i="62"/>
  <c r="V151" i="62"/>
  <c r="S151" i="62"/>
  <c r="U151" i="62"/>
  <c r="C314" i="68"/>
  <c r="D314" i="68" s="1"/>
  <c r="E314" i="68" s="1"/>
  <c r="A276" i="66"/>
  <c r="Y151" i="62"/>
  <c r="B152" i="62"/>
  <c r="AC152" i="62" s="1"/>
  <c r="I18" i="50"/>
  <c r="I37" i="40" l="1"/>
  <c r="AB152" i="62"/>
  <c r="AE152" i="62"/>
  <c r="AD152" i="62"/>
  <c r="AF152" i="62"/>
  <c r="Z152" i="62"/>
  <c r="AA152" i="62"/>
  <c r="W152" i="62"/>
  <c r="X152" i="62"/>
  <c r="T152" i="62"/>
  <c r="V152" i="62"/>
  <c r="S152" i="62"/>
  <c r="U152" i="62"/>
  <c r="C315" i="68"/>
  <c r="D315" i="68" s="1"/>
  <c r="E315" i="68" s="1"/>
  <c r="A277" i="66"/>
  <c r="Y152" i="62"/>
  <c r="B153" i="62"/>
  <c r="AC153" i="62" s="1"/>
  <c r="Q50" i="34"/>
  <c r="AB153" i="62" l="1"/>
  <c r="AF153" i="62"/>
  <c r="AE153" i="62"/>
  <c r="AD153" i="62"/>
  <c r="Z153" i="62"/>
  <c r="AA153" i="62"/>
  <c r="W153" i="62"/>
  <c r="X153" i="62"/>
  <c r="T153" i="62"/>
  <c r="V153" i="62"/>
  <c r="S153" i="62"/>
  <c r="U153" i="62"/>
  <c r="C316" i="68"/>
  <c r="D316" i="68" s="1"/>
  <c r="E316" i="68" s="1"/>
  <c r="A278" i="66"/>
  <c r="Y153" i="62"/>
  <c r="B154" i="62"/>
  <c r="AC154" i="62" s="1"/>
  <c r="AB154" i="62" l="1"/>
  <c r="AF154" i="62"/>
  <c r="AE154" i="62"/>
  <c r="AD154" i="62"/>
  <c r="Z154" i="62"/>
  <c r="AA154" i="62"/>
  <c r="W154" i="62"/>
  <c r="X154" i="62"/>
  <c r="T154" i="62"/>
  <c r="V154" i="62"/>
  <c r="S154" i="62"/>
  <c r="U154" i="62"/>
  <c r="C317" i="68"/>
  <c r="D317" i="68" s="1"/>
  <c r="E317" i="68" s="1"/>
  <c r="A279" i="66"/>
  <c r="Y154" i="62"/>
  <c r="B155" i="62"/>
  <c r="AC155" i="62" s="1"/>
  <c r="R85" i="34"/>
  <c r="AB155" i="62" l="1"/>
  <c r="AD155" i="62"/>
  <c r="AF155" i="62"/>
  <c r="AE155" i="62"/>
  <c r="Z155" i="62"/>
  <c r="AA155" i="62"/>
  <c r="W155" i="62"/>
  <c r="X155" i="62"/>
  <c r="T155" i="62"/>
  <c r="V155" i="62"/>
  <c r="S155" i="62"/>
  <c r="U155" i="62"/>
  <c r="C318" i="68"/>
  <c r="D318" i="68" s="1"/>
  <c r="E318" i="68" s="1"/>
  <c r="A280" i="66"/>
  <c r="Y155" i="62"/>
  <c r="B156" i="62"/>
  <c r="AC156" i="62" s="1"/>
  <c r="G69" i="40"/>
  <c r="G71" i="40" s="1"/>
  <c r="Y12" i="45"/>
  <c r="X12" i="45"/>
  <c r="P12" i="45"/>
  <c r="O12" i="45" s="1"/>
  <c r="K12" i="45"/>
  <c r="AB156" i="62" l="1"/>
  <c r="AE156" i="62"/>
  <c r="AD156" i="62"/>
  <c r="AF156" i="62"/>
  <c r="Z156" i="62"/>
  <c r="AA156" i="62"/>
  <c r="W156" i="62"/>
  <c r="X156" i="62"/>
  <c r="T156" i="62"/>
  <c r="V156" i="62"/>
  <c r="S156" i="62"/>
  <c r="U156" i="62"/>
  <c r="C319" i="68"/>
  <c r="D319" i="68" s="1"/>
  <c r="E319" i="68" s="1"/>
  <c r="A281" i="66"/>
  <c r="Y156" i="62"/>
  <c r="B157" i="62"/>
  <c r="AC157" i="62" s="1"/>
  <c r="Z12" i="45"/>
  <c r="N12" i="45"/>
  <c r="AB157" i="62" l="1"/>
  <c r="AF157" i="62"/>
  <c r="AE157" i="62"/>
  <c r="AD157" i="62"/>
  <c r="Z157" i="62"/>
  <c r="AA157" i="62"/>
  <c r="W157" i="62"/>
  <c r="X157" i="62"/>
  <c r="T157" i="62"/>
  <c r="V157" i="62"/>
  <c r="S157" i="62"/>
  <c r="U157" i="62"/>
  <c r="C320" i="68"/>
  <c r="D320" i="68" s="1"/>
  <c r="E320" i="68" s="1"/>
  <c r="A282" i="66"/>
  <c r="Y157" i="62"/>
  <c r="B158" i="62"/>
  <c r="AC158" i="62" s="1"/>
  <c r="AA12" i="45"/>
  <c r="S12" i="45"/>
  <c r="T12" i="45"/>
  <c r="AB158" i="62" l="1"/>
  <c r="AF158" i="62"/>
  <c r="AE158" i="62"/>
  <c r="AD158" i="62"/>
  <c r="Z158" i="62"/>
  <c r="AA158" i="62"/>
  <c r="W158" i="62"/>
  <c r="X158" i="62"/>
  <c r="T158" i="62"/>
  <c r="V158" i="62"/>
  <c r="S158" i="62"/>
  <c r="U158" i="62"/>
  <c r="C321" i="68"/>
  <c r="D321" i="68" s="1"/>
  <c r="E321" i="68" s="1"/>
  <c r="A283" i="66"/>
  <c r="Y158" i="62"/>
  <c r="B159" i="62"/>
  <c r="AC159" i="62" s="1"/>
  <c r="U12" i="45"/>
  <c r="AB159" i="62" l="1"/>
  <c r="AD159" i="62"/>
  <c r="AF159" i="62"/>
  <c r="AE159" i="62"/>
  <c r="Z159" i="62"/>
  <c r="AA159" i="62"/>
  <c r="W159" i="62"/>
  <c r="X159" i="62"/>
  <c r="T159" i="62"/>
  <c r="V159" i="62"/>
  <c r="S159" i="62"/>
  <c r="U159" i="62"/>
  <c r="C322" i="68"/>
  <c r="D322" i="68" s="1"/>
  <c r="E322" i="68" s="1"/>
  <c r="A284" i="66"/>
  <c r="Y159" i="62"/>
  <c r="B160" i="62"/>
  <c r="AC160" i="62" s="1"/>
  <c r="D18" i="20"/>
  <c r="H18" i="20" s="1"/>
  <c r="A1" i="47"/>
  <c r="AB160" i="62" l="1"/>
  <c r="AE160" i="62"/>
  <c r="AD160" i="62"/>
  <c r="AF160" i="62"/>
  <c r="Z160" i="62"/>
  <c r="AA160" i="62"/>
  <c r="W160" i="62"/>
  <c r="X160" i="62"/>
  <c r="T160" i="62"/>
  <c r="V160" i="62"/>
  <c r="S160" i="62"/>
  <c r="U160" i="62"/>
  <c r="C323" i="68"/>
  <c r="D323" i="68" s="1"/>
  <c r="E323" i="68" s="1"/>
  <c r="A285" i="66"/>
  <c r="Y160" i="62"/>
  <c r="B161" i="62"/>
  <c r="AC161" i="62" s="1"/>
  <c r="M11" i="45"/>
  <c r="AB161" i="62" l="1"/>
  <c r="AF161" i="62"/>
  <c r="AE161" i="62"/>
  <c r="AD161" i="62"/>
  <c r="Z161" i="62"/>
  <c r="AA161" i="62"/>
  <c r="W161" i="62"/>
  <c r="X161" i="62"/>
  <c r="T161" i="62"/>
  <c r="V161" i="62"/>
  <c r="S161" i="62"/>
  <c r="U161" i="62"/>
  <c r="C324" i="68"/>
  <c r="D324" i="68" s="1"/>
  <c r="E324" i="68" s="1"/>
  <c r="A286" i="66"/>
  <c r="Y161" i="62"/>
  <c r="B162" i="62"/>
  <c r="AC162" i="62" s="1"/>
  <c r="Y11" i="45"/>
  <c r="X11" i="45"/>
  <c r="T19" i="45"/>
  <c r="L19" i="45"/>
  <c r="J19" i="45"/>
  <c r="P11" i="45"/>
  <c r="O11" i="45" s="1"/>
  <c r="K11" i="45"/>
  <c r="K19" i="45" s="1"/>
  <c r="AB162" i="62" l="1"/>
  <c r="AF162" i="62"/>
  <c r="AE162" i="62"/>
  <c r="AD162" i="62"/>
  <c r="Z162" i="62"/>
  <c r="AA162" i="62"/>
  <c r="W162" i="62"/>
  <c r="X162" i="62"/>
  <c r="T162" i="62"/>
  <c r="V162" i="62"/>
  <c r="S162" i="62"/>
  <c r="U162" i="62"/>
  <c r="C325" i="68"/>
  <c r="D325" i="68" s="1"/>
  <c r="E325" i="68" s="1"/>
  <c r="A287" i="66"/>
  <c r="Y162" i="62"/>
  <c r="B163" i="62"/>
  <c r="AC163" i="62" s="1"/>
  <c r="Z11" i="45"/>
  <c r="Z19" i="45" s="1"/>
  <c r="N11" i="45"/>
  <c r="AB163" i="62" l="1"/>
  <c r="AD163" i="62"/>
  <c r="AF163" i="62"/>
  <c r="AE163" i="62"/>
  <c r="Z163" i="62"/>
  <c r="AA163" i="62"/>
  <c r="W163" i="62"/>
  <c r="X163" i="62"/>
  <c r="T163" i="62"/>
  <c r="V163" i="62"/>
  <c r="S163" i="62"/>
  <c r="U163" i="62"/>
  <c r="C326" i="68"/>
  <c r="D326" i="68" s="1"/>
  <c r="E326" i="68" s="1"/>
  <c r="A288" i="66"/>
  <c r="Y163" i="62"/>
  <c r="B164" i="62"/>
  <c r="S11" i="45"/>
  <c r="AA11" i="45"/>
  <c r="AA19" i="45" s="1"/>
  <c r="T11" i="45"/>
  <c r="N19" i="45"/>
  <c r="AC164" i="62" l="1"/>
  <c r="AE164" i="62"/>
  <c r="AB164" i="62"/>
  <c r="AD164" i="62"/>
  <c r="AF164" i="62"/>
  <c r="Z164" i="62"/>
  <c r="AA164" i="62"/>
  <c r="W164" i="62"/>
  <c r="X164" i="62"/>
  <c r="T164" i="62"/>
  <c r="V164" i="62"/>
  <c r="S164" i="62"/>
  <c r="U164" i="62"/>
  <c r="C327" i="68"/>
  <c r="D327" i="68" s="1"/>
  <c r="E327" i="68" s="1"/>
  <c r="A289" i="66"/>
  <c r="Y164" i="62"/>
  <c r="B165" i="62"/>
  <c r="AC165" i="62" s="1"/>
  <c r="U11" i="45"/>
  <c r="S19" i="45"/>
  <c r="U19" i="45"/>
  <c r="AB165" i="62" l="1"/>
  <c r="AF165" i="62"/>
  <c r="AE165" i="62"/>
  <c r="AD165" i="62"/>
  <c r="Z165" i="62"/>
  <c r="AA165" i="62"/>
  <c r="W165" i="62"/>
  <c r="X165" i="62"/>
  <c r="T165" i="62"/>
  <c r="V165" i="62"/>
  <c r="S165" i="62"/>
  <c r="U165" i="62"/>
  <c r="C328" i="68"/>
  <c r="D328" i="68" s="1"/>
  <c r="E328" i="68" s="1"/>
  <c r="A290" i="66"/>
  <c r="Y165" i="62"/>
  <c r="B166" i="62"/>
  <c r="AC166" i="62" s="1"/>
  <c r="F4" i="2"/>
  <c r="AB166" i="62" l="1"/>
  <c r="AF166" i="62"/>
  <c r="AE166" i="62"/>
  <c r="AD166" i="62"/>
  <c r="Z166" i="62"/>
  <c r="AA166" i="62"/>
  <c r="W166" i="62"/>
  <c r="X166" i="62"/>
  <c r="T166" i="62"/>
  <c r="V166" i="62"/>
  <c r="S166" i="62"/>
  <c r="U166" i="62"/>
  <c r="C329" i="68"/>
  <c r="D329" i="68" s="1"/>
  <c r="E329" i="68" s="1"/>
  <c r="A291" i="66"/>
  <c r="Y166" i="62"/>
  <c r="B167" i="62"/>
  <c r="AC167" i="62" s="1"/>
  <c r="C6" i="45"/>
  <c r="AB167" i="62" l="1"/>
  <c r="AD167" i="62"/>
  <c r="AF167" i="62"/>
  <c r="AE167" i="62"/>
  <c r="Z167" i="62"/>
  <c r="AA167" i="62"/>
  <c r="W167" i="62"/>
  <c r="X167" i="62"/>
  <c r="T167" i="62"/>
  <c r="V167" i="62"/>
  <c r="S167" i="62"/>
  <c r="U167" i="62"/>
  <c r="C330" i="68"/>
  <c r="D330" i="68" s="1"/>
  <c r="E330" i="68" s="1"/>
  <c r="A292" i="66"/>
  <c r="Y167" i="62"/>
  <c r="B168" i="62"/>
  <c r="AC168" i="62" s="1"/>
  <c r="D3" i="48"/>
  <c r="C3" i="49" s="1"/>
  <c r="AB168" i="62" l="1"/>
  <c r="AE168" i="62"/>
  <c r="AD168" i="62"/>
  <c r="AF168" i="62"/>
  <c r="Z168" i="62"/>
  <c r="AA168" i="62"/>
  <c r="P13" i="49"/>
  <c r="Q11" i="49"/>
  <c r="W168" i="62"/>
  <c r="X168" i="62"/>
  <c r="T168" i="62"/>
  <c r="V168" i="62"/>
  <c r="S168" i="62"/>
  <c r="U168" i="62"/>
  <c r="C331" i="68"/>
  <c r="D331" i="68" s="1"/>
  <c r="E331" i="68" s="1"/>
  <c r="A293" i="66"/>
  <c r="Y168" i="62"/>
  <c r="B169" i="62"/>
  <c r="AC169" i="62" s="1"/>
  <c r="L26" i="47"/>
  <c r="AB169" i="62" l="1"/>
  <c r="AF169" i="62"/>
  <c r="AE169" i="62"/>
  <c r="AD169" i="62"/>
  <c r="Z169" i="62"/>
  <c r="AA169" i="62"/>
  <c r="Q13" i="49"/>
  <c r="W169" i="62"/>
  <c r="X169" i="62"/>
  <c r="T169" i="62"/>
  <c r="V169" i="62"/>
  <c r="S169" i="62"/>
  <c r="U169" i="62"/>
  <c r="C332" i="68"/>
  <c r="D332" i="68" s="1"/>
  <c r="E332" i="68" s="1"/>
  <c r="A294" i="66"/>
  <c r="B170" i="62"/>
  <c r="AC170" i="62" s="1"/>
  <c r="Y169" i="62"/>
  <c r="P15" i="49"/>
  <c r="AB170" i="62" l="1"/>
  <c r="AF170" i="62"/>
  <c r="AE170" i="62"/>
  <c r="AD170" i="62"/>
  <c r="Z170" i="62"/>
  <c r="AA170" i="62"/>
  <c r="W170" i="62"/>
  <c r="X170" i="62"/>
  <c r="T170" i="62"/>
  <c r="V170" i="62"/>
  <c r="S170" i="62"/>
  <c r="U170" i="62"/>
  <c r="C333" i="68"/>
  <c r="D333" i="68" s="1"/>
  <c r="E333" i="68" s="1"/>
  <c r="A295" i="66"/>
  <c r="Y170" i="62"/>
  <c r="B171" i="62"/>
  <c r="AC171" i="62" s="1"/>
  <c r="D25" i="20"/>
  <c r="H25" i="20" s="1"/>
  <c r="AB171" i="62" l="1"/>
  <c r="AD171" i="62"/>
  <c r="AF171" i="62"/>
  <c r="AE171" i="62"/>
  <c r="Z171" i="62"/>
  <c r="AA171" i="62"/>
  <c r="W171" i="62"/>
  <c r="X171" i="62"/>
  <c r="T171" i="62"/>
  <c r="V171" i="62"/>
  <c r="S171" i="62"/>
  <c r="U171" i="62"/>
  <c r="I27" i="20"/>
  <c r="C334" i="68"/>
  <c r="D334" i="68" s="1"/>
  <c r="E334" i="68" s="1"/>
  <c r="A296" i="66"/>
  <c r="Y171" i="62"/>
  <c r="B172" i="62"/>
  <c r="AC172" i="62" s="1"/>
  <c r="Q15" i="49"/>
  <c r="G41" i="20"/>
  <c r="E11" i="2"/>
  <c r="E10" i="2"/>
  <c r="D11" i="2"/>
  <c r="Q44" i="33" l="1"/>
  <c r="R44" i="33" s="1"/>
  <c r="S44" i="33" s="1"/>
  <c r="K51" i="33"/>
  <c r="Q51" i="33" s="1"/>
  <c r="R51" i="33" s="1"/>
  <c r="S51" i="33" s="1"/>
  <c r="U51" i="33" s="1"/>
  <c r="K47" i="33"/>
  <c r="Q47" i="33" s="1"/>
  <c r="R47" i="33" s="1"/>
  <c r="S47" i="33" s="1"/>
  <c r="U47" i="33" s="1"/>
  <c r="X44" i="33"/>
  <c r="Q32" i="33"/>
  <c r="Q29" i="33"/>
  <c r="Q21" i="33"/>
  <c r="R21" i="33" s="1"/>
  <c r="S21" i="33" s="1"/>
  <c r="Z21" i="33" s="1"/>
  <c r="Q35" i="33"/>
  <c r="Q28" i="33"/>
  <c r="Q26" i="33"/>
  <c r="Q27" i="33"/>
  <c r="AB172" i="62"/>
  <c r="AE172" i="62"/>
  <c r="AD172" i="62"/>
  <c r="AF172" i="62"/>
  <c r="Q12" i="33"/>
  <c r="Q19" i="33"/>
  <c r="Z172" i="62"/>
  <c r="AA172" i="62"/>
  <c r="W172" i="62"/>
  <c r="X172" i="62"/>
  <c r="T172" i="62"/>
  <c r="V172" i="62"/>
  <c r="S172" i="62"/>
  <c r="U172" i="62"/>
  <c r="C335" i="68"/>
  <c r="D335" i="68" s="1"/>
  <c r="E335" i="68" s="1"/>
  <c r="A297" i="66"/>
  <c r="Y172" i="62"/>
  <c r="B173" i="62"/>
  <c r="AC173" i="62" s="1"/>
  <c r="U44" i="33" l="1"/>
  <c r="Z44" i="33"/>
  <c r="R32" i="33"/>
  <c r="S32" i="33" s="1"/>
  <c r="X32" i="33"/>
  <c r="R29" i="33"/>
  <c r="S29" i="33" s="1"/>
  <c r="X29" i="33"/>
  <c r="R53" i="33"/>
  <c r="C97" i="40" s="1"/>
  <c r="X21" i="33"/>
  <c r="R35" i="33"/>
  <c r="S35" i="33" s="1"/>
  <c r="X35" i="33"/>
  <c r="R28" i="33"/>
  <c r="S28" i="33" s="1"/>
  <c r="X28" i="33"/>
  <c r="R27" i="33"/>
  <c r="S27" i="33" s="1"/>
  <c r="X27" i="33"/>
  <c r="R26" i="33"/>
  <c r="S26" i="33" s="1"/>
  <c r="X26" i="33"/>
  <c r="S53" i="33"/>
  <c r="U21" i="33"/>
  <c r="AB173" i="62"/>
  <c r="AF173" i="62"/>
  <c r="AE173" i="62"/>
  <c r="AD173" i="62"/>
  <c r="R19" i="33"/>
  <c r="S19" i="33" s="1"/>
  <c r="X19" i="33"/>
  <c r="R12" i="33"/>
  <c r="S12" i="33" s="1"/>
  <c r="U12" i="33" s="1"/>
  <c r="X12" i="33"/>
  <c r="Z173" i="62"/>
  <c r="AA173" i="62"/>
  <c r="W173" i="62"/>
  <c r="X173" i="62"/>
  <c r="T173" i="62"/>
  <c r="V173" i="62"/>
  <c r="S173" i="62"/>
  <c r="U173" i="62"/>
  <c r="C336" i="68"/>
  <c r="D336" i="68" s="1"/>
  <c r="E336" i="68" s="1"/>
  <c r="A298" i="66"/>
  <c r="Y173" i="62"/>
  <c r="B174" i="62"/>
  <c r="AC174" i="62" s="1"/>
  <c r="X17" i="59"/>
  <c r="Z17" i="59"/>
  <c r="Q17" i="59"/>
  <c r="C96" i="40" s="1"/>
  <c r="U32" i="33" l="1"/>
  <c r="Z32" i="33"/>
  <c r="U29" i="33"/>
  <c r="Z29" i="33"/>
  <c r="U35" i="33"/>
  <c r="Z35" i="33"/>
  <c r="U28" i="33"/>
  <c r="Z28" i="33"/>
  <c r="U27" i="33"/>
  <c r="Z27" i="33"/>
  <c r="U26" i="33"/>
  <c r="Z26" i="33"/>
  <c r="Z12" i="33"/>
  <c r="AB174" i="62"/>
  <c r="AF174" i="62"/>
  <c r="AE174" i="62"/>
  <c r="AD174" i="62"/>
  <c r="U19" i="33"/>
  <c r="Z19" i="33"/>
  <c r="Z174" i="62"/>
  <c r="AA174" i="62"/>
  <c r="W174" i="62"/>
  <c r="X174" i="62"/>
  <c r="T174" i="62"/>
  <c r="V174" i="62"/>
  <c r="S174" i="62"/>
  <c r="U174" i="62"/>
  <c r="C337" i="68"/>
  <c r="D337" i="68" s="1"/>
  <c r="E337" i="68" s="1"/>
  <c r="A299" i="66"/>
  <c r="C31" i="40"/>
  <c r="J12" i="20"/>
  <c r="Y174" i="62"/>
  <c r="B175" i="62"/>
  <c r="AC175" i="62" s="1"/>
  <c r="AD17" i="59"/>
  <c r="C24" i="40"/>
  <c r="E25" i="40" s="1"/>
  <c r="I12" i="20"/>
  <c r="M11" i="20"/>
  <c r="M13" i="20" s="1"/>
  <c r="A1" i="2"/>
  <c r="U53" i="33" l="1"/>
  <c r="Z53" i="33"/>
  <c r="AD19" i="59" s="1"/>
  <c r="AB175" i="62"/>
  <c r="AD175" i="62"/>
  <c r="AF175" i="62"/>
  <c r="AE175" i="62"/>
  <c r="E31" i="40"/>
  <c r="Z175" i="62"/>
  <c r="AA175" i="62"/>
  <c r="W175" i="62"/>
  <c r="X175" i="62"/>
  <c r="T175" i="62"/>
  <c r="V175" i="62"/>
  <c r="S175" i="62"/>
  <c r="U175" i="62"/>
  <c r="C338" i="68"/>
  <c r="D338" i="68" s="1"/>
  <c r="E338" i="68" s="1"/>
  <c r="A300" i="66"/>
  <c r="Y175" i="62"/>
  <c r="B176" i="62"/>
  <c r="AC176" i="62" s="1"/>
  <c r="D12" i="20"/>
  <c r="AD18" i="59"/>
  <c r="K31" i="40" l="1"/>
  <c r="AB176" i="62"/>
  <c r="AE176" i="62"/>
  <c r="AD176" i="62"/>
  <c r="AF176" i="62"/>
  <c r="H12" i="20"/>
  <c r="Z176" i="62"/>
  <c r="AA176" i="62"/>
  <c r="W176" i="62"/>
  <c r="X176" i="62"/>
  <c r="T176" i="62"/>
  <c r="V176" i="62"/>
  <c r="S176" i="62"/>
  <c r="U176" i="62"/>
  <c r="C339" i="68"/>
  <c r="D339" i="68" s="1"/>
  <c r="E339" i="68" s="1"/>
  <c r="A301" i="66"/>
  <c r="Y176" i="62"/>
  <c r="B177" i="62"/>
  <c r="AC177" i="62" s="1"/>
  <c r="AB177" i="62" l="1"/>
  <c r="AF177" i="62"/>
  <c r="AE177" i="62"/>
  <c r="AD177" i="62"/>
  <c r="J25" i="20"/>
  <c r="Z177" i="62"/>
  <c r="AA177" i="62"/>
  <c r="W177" i="62"/>
  <c r="X177" i="62"/>
  <c r="T177" i="62"/>
  <c r="V177" i="62"/>
  <c r="S177" i="62"/>
  <c r="U177" i="62"/>
  <c r="C340" i="68"/>
  <c r="D340" i="68" s="1"/>
  <c r="E340" i="68" s="1"/>
  <c r="A302" i="66"/>
  <c r="Y177" i="62"/>
  <c r="B178" i="62"/>
  <c r="AC178" i="62" s="1"/>
  <c r="A1" i="34"/>
  <c r="AB178" i="62" l="1"/>
  <c r="AF178" i="62"/>
  <c r="AE178" i="62"/>
  <c r="AD178" i="62"/>
  <c r="Z178" i="62"/>
  <c r="AA178" i="62"/>
  <c r="W178" i="62"/>
  <c r="X178" i="62"/>
  <c r="T178" i="62"/>
  <c r="V178" i="62"/>
  <c r="S178" i="62"/>
  <c r="U178" i="62"/>
  <c r="C341" i="68"/>
  <c r="D341" i="68" s="1"/>
  <c r="E341" i="68" s="1"/>
  <c r="A303" i="66"/>
  <c r="Y178" i="62"/>
  <c r="B179" i="62"/>
  <c r="AC179" i="62" s="1"/>
  <c r="AB179" i="62" l="1"/>
  <c r="AD179" i="62"/>
  <c r="AF179" i="62"/>
  <c r="AE179" i="62"/>
  <c r="Z179" i="62"/>
  <c r="AA179" i="62"/>
  <c r="W179" i="62"/>
  <c r="X179" i="62"/>
  <c r="T179" i="62"/>
  <c r="V179" i="62"/>
  <c r="S179" i="62"/>
  <c r="U179" i="62"/>
  <c r="C342" i="68"/>
  <c r="D342" i="68" s="1"/>
  <c r="E342" i="68" s="1"/>
  <c r="A304" i="66"/>
  <c r="Y179" i="62"/>
  <c r="B180" i="62"/>
  <c r="AC180" i="62" s="1"/>
  <c r="AB180" i="62" l="1"/>
  <c r="AE180" i="62"/>
  <c r="AD180" i="62"/>
  <c r="AF180" i="62"/>
  <c r="Z180" i="62"/>
  <c r="AA180" i="62"/>
  <c r="W180" i="62"/>
  <c r="X180" i="62"/>
  <c r="T180" i="62"/>
  <c r="V180" i="62"/>
  <c r="S180" i="62"/>
  <c r="U180" i="62"/>
  <c r="C343" i="68"/>
  <c r="D343" i="68" s="1"/>
  <c r="E343" i="68" s="1"/>
  <c r="A305" i="66"/>
  <c r="Y180" i="62"/>
  <c r="B181" i="62"/>
  <c r="AC181" i="62" s="1"/>
  <c r="AB181" i="62" l="1"/>
  <c r="AF181" i="62"/>
  <c r="AE181" i="62"/>
  <c r="AD181" i="62"/>
  <c r="Z181" i="62"/>
  <c r="AA181" i="62"/>
  <c r="W181" i="62"/>
  <c r="X181" i="62"/>
  <c r="T181" i="62"/>
  <c r="V181" i="62"/>
  <c r="S181" i="62"/>
  <c r="U181" i="62"/>
  <c r="C344" i="68"/>
  <c r="D344" i="68" s="1"/>
  <c r="E344" i="68" s="1"/>
  <c r="A306" i="66"/>
  <c r="Y181" i="62"/>
  <c r="B182" i="62"/>
  <c r="AC182" i="62" s="1"/>
  <c r="AB182" i="62" l="1"/>
  <c r="AF182" i="62"/>
  <c r="AD182" i="62"/>
  <c r="AE182" i="62"/>
  <c r="Z182" i="62"/>
  <c r="AA182" i="62"/>
  <c r="W182" i="62"/>
  <c r="X182" i="62"/>
  <c r="T182" i="62"/>
  <c r="V182" i="62"/>
  <c r="S182" i="62"/>
  <c r="U182" i="62"/>
  <c r="C345" i="68"/>
  <c r="D345" i="68" s="1"/>
  <c r="E345" i="68" s="1"/>
  <c r="A307" i="66"/>
  <c r="Y182" i="62"/>
  <c r="B183" i="62"/>
  <c r="AC183" i="62" s="1"/>
  <c r="F35" i="20"/>
  <c r="D35" i="20"/>
  <c r="AB183" i="62" l="1"/>
  <c r="AD183" i="62"/>
  <c r="AF183" i="62"/>
  <c r="AE183" i="62"/>
  <c r="Z183" i="62"/>
  <c r="AA183" i="62"/>
  <c r="W183" i="62"/>
  <c r="X183" i="62"/>
  <c r="T183" i="62"/>
  <c r="V183" i="62"/>
  <c r="S183" i="62"/>
  <c r="U183" i="62"/>
  <c r="C346" i="68"/>
  <c r="D346" i="68" s="1"/>
  <c r="E346" i="68" s="1"/>
  <c r="A308" i="66"/>
  <c r="Y183" i="62"/>
  <c r="B184" i="62"/>
  <c r="AC184" i="62" s="1"/>
  <c r="H34" i="20"/>
  <c r="H35" i="20" s="1"/>
  <c r="AB184" i="62" l="1"/>
  <c r="AE184" i="62"/>
  <c r="AD184" i="62"/>
  <c r="AF184" i="62"/>
  <c r="Z184" i="62"/>
  <c r="AA184" i="62"/>
  <c r="W184" i="62"/>
  <c r="X184" i="62"/>
  <c r="T184" i="62"/>
  <c r="V184" i="62"/>
  <c r="S184" i="62"/>
  <c r="U184" i="62"/>
  <c r="C347" i="68"/>
  <c r="D347" i="68" s="1"/>
  <c r="E347" i="68" s="1"/>
  <c r="A309" i="66"/>
  <c r="Y184" i="62"/>
  <c r="B185" i="62"/>
  <c r="AC185" i="62" s="1"/>
  <c r="F51" i="20"/>
  <c r="AB185" i="62" l="1"/>
  <c r="AF185" i="62"/>
  <c r="AE185" i="62"/>
  <c r="AD185" i="62"/>
  <c r="Z185" i="62"/>
  <c r="AA185" i="62"/>
  <c r="W185" i="62"/>
  <c r="X185" i="62"/>
  <c r="T185" i="62"/>
  <c r="V185" i="62"/>
  <c r="S185" i="62"/>
  <c r="U185" i="62"/>
  <c r="C348" i="68"/>
  <c r="D348" i="68" s="1"/>
  <c r="E348" i="68" s="1"/>
  <c r="A310" i="66"/>
  <c r="Y185" i="62"/>
  <c r="B186" i="62"/>
  <c r="AC186" i="62" s="1"/>
  <c r="F32" i="20"/>
  <c r="D32" i="20"/>
  <c r="AB186" i="62" l="1"/>
  <c r="AF186" i="62"/>
  <c r="AE186" i="62"/>
  <c r="AD186" i="62"/>
  <c r="Z186" i="62"/>
  <c r="AA186" i="62"/>
  <c r="W186" i="62"/>
  <c r="X186" i="62"/>
  <c r="T186" i="62"/>
  <c r="V186" i="62"/>
  <c r="S186" i="62"/>
  <c r="U186" i="62"/>
  <c r="C349" i="68"/>
  <c r="D349" i="68" s="1"/>
  <c r="E349" i="68" s="1"/>
  <c r="A311" i="66"/>
  <c r="Y186" i="62"/>
  <c r="B187" i="62"/>
  <c r="AC187" i="62" s="1"/>
  <c r="H31" i="20"/>
  <c r="H32" i="20" s="1"/>
  <c r="AB187" i="62" l="1"/>
  <c r="AD187" i="62"/>
  <c r="AF187" i="62"/>
  <c r="AE187" i="62"/>
  <c r="Z187" i="62"/>
  <c r="AA187" i="62"/>
  <c r="W187" i="62"/>
  <c r="X187" i="62"/>
  <c r="T187" i="62"/>
  <c r="V187" i="62"/>
  <c r="S187" i="62"/>
  <c r="U187" i="62"/>
  <c r="C350" i="68"/>
  <c r="D350" i="68" s="1"/>
  <c r="E350" i="68" s="1"/>
  <c r="A312" i="66"/>
  <c r="Y187" i="62"/>
  <c r="B188" i="62"/>
  <c r="AC188" i="62" s="1"/>
  <c r="H50" i="20"/>
  <c r="AB188" i="62" l="1"/>
  <c r="AF188" i="62"/>
  <c r="AE188" i="62"/>
  <c r="AD188" i="62"/>
  <c r="Z188" i="62"/>
  <c r="AA188" i="62"/>
  <c r="W188" i="62"/>
  <c r="X188" i="62"/>
  <c r="T188" i="62"/>
  <c r="V188" i="62"/>
  <c r="S188" i="62"/>
  <c r="U188" i="62"/>
  <c r="C351" i="68"/>
  <c r="D351" i="68" s="1"/>
  <c r="E351" i="68" s="1"/>
  <c r="A313" i="66"/>
  <c r="Y188" i="62"/>
  <c r="B189" i="62"/>
  <c r="AC189" i="62" s="1"/>
  <c r="F39" i="20"/>
  <c r="F46" i="20"/>
  <c r="AB189" i="62" l="1"/>
  <c r="AF189" i="62"/>
  <c r="AE189" i="62"/>
  <c r="AD189" i="62"/>
  <c r="Z189" i="62"/>
  <c r="AA189" i="62"/>
  <c r="W189" i="62"/>
  <c r="X189" i="62"/>
  <c r="T189" i="62"/>
  <c r="V189" i="62"/>
  <c r="S189" i="62"/>
  <c r="U189" i="62"/>
  <c r="C352" i="68"/>
  <c r="D352" i="68" s="1"/>
  <c r="E352" i="68" s="1"/>
  <c r="A314" i="66"/>
  <c r="Y189" i="62"/>
  <c r="B190" i="62"/>
  <c r="AC190" i="62" s="1"/>
  <c r="AB190" i="62" l="1"/>
  <c r="AF190" i="62"/>
  <c r="AE190" i="62"/>
  <c r="AD190" i="62"/>
  <c r="Z190" i="62"/>
  <c r="AA190" i="62"/>
  <c r="W190" i="62"/>
  <c r="X190" i="62"/>
  <c r="T190" i="62"/>
  <c r="V190" i="62"/>
  <c r="S190" i="62"/>
  <c r="U190" i="62"/>
  <c r="C353" i="68"/>
  <c r="D353" i="68" s="1"/>
  <c r="E353" i="68" s="1"/>
  <c r="A315" i="66"/>
  <c r="Y190" i="62"/>
  <c r="B191" i="62"/>
  <c r="AC191" i="62" s="1"/>
  <c r="AB191" i="62" l="1"/>
  <c r="AF191" i="62"/>
  <c r="AE191" i="62"/>
  <c r="AD191" i="62"/>
  <c r="Z191" i="62"/>
  <c r="AA191" i="62"/>
  <c r="W191" i="62"/>
  <c r="X191" i="62"/>
  <c r="T191" i="62"/>
  <c r="V191" i="62"/>
  <c r="S191" i="62"/>
  <c r="U191" i="62"/>
  <c r="C354" i="68"/>
  <c r="D354" i="68" s="1"/>
  <c r="E354" i="68" s="1"/>
  <c r="A316" i="66"/>
  <c r="Y191" i="62"/>
  <c r="B192" i="62"/>
  <c r="AC192" i="62" s="1"/>
  <c r="H55" i="20"/>
  <c r="AB192" i="62" l="1"/>
  <c r="AE192" i="62"/>
  <c r="AD192" i="62"/>
  <c r="AF192" i="62"/>
  <c r="Z192" i="62"/>
  <c r="AA192" i="62"/>
  <c r="W192" i="62"/>
  <c r="X192" i="62"/>
  <c r="T192" i="62"/>
  <c r="V192" i="62"/>
  <c r="S192" i="62"/>
  <c r="U192" i="62"/>
  <c r="C355" i="68"/>
  <c r="D355" i="68" s="1"/>
  <c r="E355" i="68" s="1"/>
  <c r="A317" i="66"/>
  <c r="Y192" i="62"/>
  <c r="B193" i="62"/>
  <c r="AC193" i="62" s="1"/>
  <c r="F58" i="20"/>
  <c r="AB193" i="62" l="1"/>
  <c r="AF193" i="62"/>
  <c r="AE193" i="62"/>
  <c r="AD193" i="62"/>
  <c r="Z193" i="62"/>
  <c r="AA193" i="62"/>
  <c r="W193" i="62"/>
  <c r="X193" i="62"/>
  <c r="T193" i="62"/>
  <c r="V193" i="62"/>
  <c r="S193" i="62"/>
  <c r="U193" i="62"/>
  <c r="C356" i="68"/>
  <c r="D356" i="68" s="1"/>
  <c r="E356" i="68" s="1"/>
  <c r="A318" i="66"/>
  <c r="Y193" i="62"/>
  <c r="B194" i="62"/>
  <c r="AC194" i="62" s="1"/>
  <c r="I31" i="40"/>
  <c r="AB194" i="62" l="1"/>
  <c r="AF194" i="62"/>
  <c r="AE194" i="62"/>
  <c r="AD194" i="62"/>
  <c r="Z194" i="62"/>
  <c r="AA194" i="62"/>
  <c r="W194" i="62"/>
  <c r="X194" i="62"/>
  <c r="T194" i="62"/>
  <c r="V194" i="62"/>
  <c r="S194" i="62"/>
  <c r="U194" i="62"/>
  <c r="C357" i="68"/>
  <c r="D357" i="68" s="1"/>
  <c r="E357" i="68" s="1"/>
  <c r="A319" i="66"/>
  <c r="Y194" i="62"/>
  <c r="B195" i="62"/>
  <c r="AC195" i="62" s="1"/>
  <c r="H44" i="20"/>
  <c r="AB195" i="62" l="1"/>
  <c r="AD195" i="62"/>
  <c r="AF195" i="62"/>
  <c r="AE195" i="62"/>
  <c r="Z195" i="62"/>
  <c r="AA195" i="62"/>
  <c r="W195" i="62"/>
  <c r="X195" i="62"/>
  <c r="T195" i="62"/>
  <c r="V195" i="62"/>
  <c r="S195" i="62"/>
  <c r="U195" i="62"/>
  <c r="C358" i="68"/>
  <c r="D358" i="68" s="1"/>
  <c r="E358" i="68" s="1"/>
  <c r="A320" i="66"/>
  <c r="Y195" i="62"/>
  <c r="B196" i="62"/>
  <c r="AC196" i="62" s="1"/>
  <c r="AB196" i="62" l="1"/>
  <c r="AF196" i="62"/>
  <c r="AE196" i="62"/>
  <c r="AD196" i="62"/>
  <c r="Z196" i="62"/>
  <c r="AA196" i="62"/>
  <c r="W196" i="62"/>
  <c r="X196" i="62"/>
  <c r="T196" i="62"/>
  <c r="V196" i="62"/>
  <c r="S196" i="62"/>
  <c r="U196" i="62"/>
  <c r="C359" i="68"/>
  <c r="D359" i="68" s="1"/>
  <c r="E359" i="68" s="1"/>
  <c r="A321" i="66"/>
  <c r="Y196" i="62"/>
  <c r="B197" i="62"/>
  <c r="AC197" i="62" s="1"/>
  <c r="I25" i="40"/>
  <c r="H38" i="20"/>
  <c r="H39" i="20" s="1"/>
  <c r="H53" i="20"/>
  <c r="AB197" i="62" l="1"/>
  <c r="AF197" i="62"/>
  <c r="AE197" i="62"/>
  <c r="AD197" i="62"/>
  <c r="Z197" i="62"/>
  <c r="AA197" i="62"/>
  <c r="W197" i="62"/>
  <c r="X197" i="62"/>
  <c r="T197" i="62"/>
  <c r="V197" i="62"/>
  <c r="S197" i="62"/>
  <c r="U197" i="62"/>
  <c r="C360" i="68"/>
  <c r="D360" i="68" s="1"/>
  <c r="E360" i="68" s="1"/>
  <c r="A322" i="66"/>
  <c r="Y197" i="62"/>
  <c r="B198" i="62"/>
  <c r="AC198" i="62" s="1"/>
  <c r="D39" i="20"/>
  <c r="AB198" i="62" l="1"/>
  <c r="AF198" i="62"/>
  <c r="AE198" i="62"/>
  <c r="AD198" i="62"/>
  <c r="Z198" i="62"/>
  <c r="AA198" i="62"/>
  <c r="W198" i="62"/>
  <c r="X198" i="62"/>
  <c r="T198" i="62"/>
  <c r="V198" i="62"/>
  <c r="S198" i="62"/>
  <c r="U198" i="62"/>
  <c r="C361" i="68"/>
  <c r="D361" i="68" s="1"/>
  <c r="E361" i="68" s="1"/>
  <c r="A323" i="66"/>
  <c r="Y198" i="62"/>
  <c r="B199" i="62"/>
  <c r="AC199" i="62" s="1"/>
  <c r="H45" i="20"/>
  <c r="AB199" i="62" l="1"/>
  <c r="AF199" i="62"/>
  <c r="AE199" i="62"/>
  <c r="AD199" i="62"/>
  <c r="Z199" i="62"/>
  <c r="AA199" i="62"/>
  <c r="W199" i="62"/>
  <c r="X199" i="62"/>
  <c r="T199" i="62"/>
  <c r="V199" i="62"/>
  <c r="S199" i="62"/>
  <c r="U199" i="62"/>
  <c r="C362" i="68"/>
  <c r="D362" i="68" s="1"/>
  <c r="E362" i="68" s="1"/>
  <c r="A324" i="66"/>
  <c r="Y199" i="62"/>
  <c r="B200" i="62"/>
  <c r="AC200" i="62" s="1"/>
  <c r="H14" i="20"/>
  <c r="AB200" i="62" l="1"/>
  <c r="AE200" i="62"/>
  <c r="AD200" i="62"/>
  <c r="AF200" i="62"/>
  <c r="Z200" i="62"/>
  <c r="AA200" i="62"/>
  <c r="W200" i="62"/>
  <c r="X200" i="62"/>
  <c r="T200" i="62"/>
  <c r="V200" i="62"/>
  <c r="S200" i="62"/>
  <c r="U200" i="62"/>
  <c r="C363" i="68"/>
  <c r="D363" i="68" s="1"/>
  <c r="E363" i="68" s="1"/>
  <c r="A325" i="66"/>
  <c r="Y200" i="62"/>
  <c r="B201" i="62"/>
  <c r="AC201" i="62" s="1"/>
  <c r="Q13" i="20"/>
  <c r="D51" i="20"/>
  <c r="H49" i="20"/>
  <c r="H51" i="20" s="1"/>
  <c r="AB201" i="62" l="1"/>
  <c r="AF201" i="62"/>
  <c r="AE201" i="62"/>
  <c r="AD201" i="62"/>
  <c r="Z201" i="62"/>
  <c r="AA201" i="62"/>
  <c r="W201" i="62"/>
  <c r="X201" i="62"/>
  <c r="T201" i="62"/>
  <c r="V201" i="62"/>
  <c r="S201" i="62"/>
  <c r="U201" i="62"/>
  <c r="C364" i="68"/>
  <c r="D364" i="68" s="1"/>
  <c r="E364" i="68" s="1"/>
  <c r="A326" i="66"/>
  <c r="Y201" i="62"/>
  <c r="B202" i="62"/>
  <c r="AC202" i="62" s="1"/>
  <c r="H42" i="20"/>
  <c r="D46" i="20"/>
  <c r="D58" i="20" s="1"/>
  <c r="AB202" i="62" l="1"/>
  <c r="AF202" i="62"/>
  <c r="AE202" i="62"/>
  <c r="AD202" i="62"/>
  <c r="Z202" i="62"/>
  <c r="AA202" i="62"/>
  <c r="W202" i="62"/>
  <c r="X202" i="62"/>
  <c r="T202" i="62"/>
  <c r="V202" i="62"/>
  <c r="S202" i="62"/>
  <c r="U202" i="62"/>
  <c r="C365" i="68"/>
  <c r="D365" i="68" s="1"/>
  <c r="E365" i="68" s="1"/>
  <c r="A327" i="66"/>
  <c r="B203" i="62"/>
  <c r="AC203" i="62" s="1"/>
  <c r="Y202" i="62"/>
  <c r="Y372" i="62" s="1"/>
  <c r="H46" i="20"/>
  <c r="H58" i="20" s="1"/>
  <c r="AB203" i="62" l="1"/>
  <c r="AD203" i="62"/>
  <c r="AF203" i="62"/>
  <c r="AE203" i="62"/>
  <c r="Z203" i="62"/>
  <c r="AA203" i="62"/>
  <c r="W203" i="62"/>
  <c r="X203" i="62"/>
  <c r="T203" i="62"/>
  <c r="V203" i="62"/>
  <c r="S203" i="62"/>
  <c r="U203" i="62"/>
  <c r="C366" i="68"/>
  <c r="D366" i="68" s="1"/>
  <c r="E366" i="68" s="1"/>
  <c r="A328" i="66"/>
  <c r="Y203" i="62"/>
  <c r="B204" i="62"/>
  <c r="AC204" i="62" s="1"/>
  <c r="AB204" i="62" l="1"/>
  <c r="AF204" i="62"/>
  <c r="AE204" i="62"/>
  <c r="AD204" i="62"/>
  <c r="Z204" i="62"/>
  <c r="AA204" i="62"/>
  <c r="W204" i="62"/>
  <c r="X204" i="62"/>
  <c r="T204" i="62"/>
  <c r="V204" i="62"/>
  <c r="S204" i="62"/>
  <c r="U204" i="62"/>
  <c r="C368" i="68"/>
  <c r="D368" i="68" s="1"/>
  <c r="E368" i="68" s="1"/>
  <c r="C367" i="68"/>
  <c r="D367" i="68" s="1"/>
  <c r="E367" i="68" s="1"/>
  <c r="A329" i="66"/>
  <c r="Y204" i="62"/>
  <c r="B205" i="62"/>
  <c r="AC205" i="62" s="1"/>
  <c r="AB205" i="62" l="1"/>
  <c r="AF205" i="62"/>
  <c r="AE205" i="62"/>
  <c r="AD205" i="62"/>
  <c r="Z205" i="62"/>
  <c r="AA205" i="62"/>
  <c r="W205" i="62"/>
  <c r="X205" i="62"/>
  <c r="T205" i="62"/>
  <c r="V205" i="62"/>
  <c r="S205" i="62"/>
  <c r="U205" i="62"/>
  <c r="A330" i="66"/>
  <c r="Y205" i="62"/>
  <c r="B206" i="62"/>
  <c r="AC206" i="62" s="1"/>
  <c r="AB206" i="62" l="1"/>
  <c r="AF206" i="62"/>
  <c r="AE206" i="62"/>
  <c r="AD206" i="62"/>
  <c r="Z206" i="62"/>
  <c r="AA206" i="62"/>
  <c r="W206" i="62"/>
  <c r="X206" i="62"/>
  <c r="T206" i="62"/>
  <c r="V206" i="62"/>
  <c r="S206" i="62"/>
  <c r="U206" i="62"/>
  <c r="A331" i="66"/>
  <c r="Y206" i="62"/>
  <c r="B207" i="62"/>
  <c r="AC207" i="62" s="1"/>
  <c r="C17" i="20"/>
  <c r="AB207" i="62" l="1"/>
  <c r="AF207" i="62"/>
  <c r="AE207" i="62"/>
  <c r="AD207" i="62"/>
  <c r="Z207" i="62"/>
  <c r="AA207" i="62"/>
  <c r="W207" i="62"/>
  <c r="X207" i="62"/>
  <c r="T207" i="62"/>
  <c r="V207" i="62"/>
  <c r="S207" i="62"/>
  <c r="U207" i="62"/>
  <c r="A332" i="66"/>
  <c r="Y207" i="62"/>
  <c r="B208" i="62"/>
  <c r="AC208" i="62" s="1"/>
  <c r="I43" i="40"/>
  <c r="AB208" i="62" l="1"/>
  <c r="AE208" i="62"/>
  <c r="AD208" i="62"/>
  <c r="AF208" i="62"/>
  <c r="Z208" i="62"/>
  <c r="AA208" i="62"/>
  <c r="W208" i="62"/>
  <c r="X208" i="62"/>
  <c r="T208" i="62"/>
  <c r="V208" i="62"/>
  <c r="S208" i="62"/>
  <c r="U208" i="62"/>
  <c r="A333" i="66"/>
  <c r="Y208" i="62"/>
  <c r="B209" i="62"/>
  <c r="AC209" i="62" s="1"/>
  <c r="AB209" i="62" l="1"/>
  <c r="AF209" i="62"/>
  <c r="AE209" i="62"/>
  <c r="AD209" i="62"/>
  <c r="Z209" i="62"/>
  <c r="AA209" i="62"/>
  <c r="W209" i="62"/>
  <c r="X209" i="62"/>
  <c r="T209" i="62"/>
  <c r="V209" i="62"/>
  <c r="S209" i="62"/>
  <c r="U209" i="62"/>
  <c r="A334" i="66"/>
  <c r="Y209" i="62"/>
  <c r="B210" i="62"/>
  <c r="AC210" i="62" s="1"/>
  <c r="AB210" i="62" l="1"/>
  <c r="AF210" i="62"/>
  <c r="AE210" i="62"/>
  <c r="AD210" i="62"/>
  <c r="Z210" i="62"/>
  <c r="AA210" i="62"/>
  <c r="W210" i="62"/>
  <c r="X210" i="62"/>
  <c r="T210" i="62"/>
  <c r="V210" i="62"/>
  <c r="S210" i="62"/>
  <c r="U210" i="62"/>
  <c r="A335" i="66"/>
  <c r="Y210" i="62"/>
  <c r="B211" i="62"/>
  <c r="AC211" i="62" s="1"/>
  <c r="AB211" i="62" l="1"/>
  <c r="AD211" i="62"/>
  <c r="AF211" i="62"/>
  <c r="AE211" i="62"/>
  <c r="Z211" i="62"/>
  <c r="AA211" i="62"/>
  <c r="W211" i="62"/>
  <c r="X211" i="62"/>
  <c r="T211" i="62"/>
  <c r="V211" i="62"/>
  <c r="S211" i="62"/>
  <c r="U211" i="62"/>
  <c r="A336" i="66"/>
  <c r="Y211" i="62"/>
  <c r="B212" i="62"/>
  <c r="AC212" i="62" s="1"/>
  <c r="AB212" i="62" l="1"/>
  <c r="AF212" i="62"/>
  <c r="AE212" i="62"/>
  <c r="AD212" i="62"/>
  <c r="Z212" i="62"/>
  <c r="AA212" i="62"/>
  <c r="W212" i="62"/>
  <c r="X212" i="62"/>
  <c r="T212" i="62"/>
  <c r="V212" i="62"/>
  <c r="S212" i="62"/>
  <c r="U212" i="62"/>
  <c r="A337" i="66"/>
  <c r="Y212" i="62"/>
  <c r="B213" i="62"/>
  <c r="AC213" i="62" s="1"/>
  <c r="AB213" i="62" l="1"/>
  <c r="AF213" i="62"/>
  <c r="AE213" i="62"/>
  <c r="AD213" i="62"/>
  <c r="Z213" i="62"/>
  <c r="AA213" i="62"/>
  <c r="W213" i="62"/>
  <c r="X213" i="62"/>
  <c r="T213" i="62"/>
  <c r="V213" i="62"/>
  <c r="S213" i="62"/>
  <c r="U213" i="62"/>
  <c r="A338" i="66"/>
  <c r="Y213" i="62"/>
  <c r="B214" i="62"/>
  <c r="AC214" i="62" s="1"/>
  <c r="AB214" i="62" l="1"/>
  <c r="AF214" i="62"/>
  <c r="AE214" i="62"/>
  <c r="AD214" i="62"/>
  <c r="Z214" i="62"/>
  <c r="AA214" i="62"/>
  <c r="W214" i="62"/>
  <c r="X214" i="62"/>
  <c r="T214" i="62"/>
  <c r="V214" i="62"/>
  <c r="S214" i="62"/>
  <c r="U214" i="62"/>
  <c r="A339" i="66"/>
  <c r="Y214" i="62"/>
  <c r="B215" i="62"/>
  <c r="AC215" i="62" s="1"/>
  <c r="AB215" i="62" l="1"/>
  <c r="AF215" i="62"/>
  <c r="AE215" i="62"/>
  <c r="AD215" i="62"/>
  <c r="Z215" i="62"/>
  <c r="AA215" i="62"/>
  <c r="W215" i="62"/>
  <c r="X215" i="62"/>
  <c r="T215" i="62"/>
  <c r="V215" i="62"/>
  <c r="S215" i="62"/>
  <c r="U215" i="62"/>
  <c r="A340" i="66"/>
  <c r="Y215" i="62"/>
  <c r="B216" i="62"/>
  <c r="AC216" i="62" s="1"/>
  <c r="AB216" i="62" l="1"/>
  <c r="AE216" i="62"/>
  <c r="AD216" i="62"/>
  <c r="AF216" i="62"/>
  <c r="Z216" i="62"/>
  <c r="AA216" i="62"/>
  <c r="W216" i="62"/>
  <c r="X216" i="62"/>
  <c r="T216" i="62"/>
  <c r="V216" i="62"/>
  <c r="S216" i="62"/>
  <c r="U216" i="62"/>
  <c r="A341" i="66"/>
  <c r="Y216" i="62"/>
  <c r="B217" i="62"/>
  <c r="AC217" i="62" s="1"/>
  <c r="AB217" i="62" l="1"/>
  <c r="AF217" i="62"/>
  <c r="AE217" i="62"/>
  <c r="AD217" i="62"/>
  <c r="Z217" i="62"/>
  <c r="AA217" i="62"/>
  <c r="W217" i="62"/>
  <c r="X217" i="62"/>
  <c r="T217" i="62"/>
  <c r="V217" i="62"/>
  <c r="S217" i="62"/>
  <c r="U217" i="62"/>
  <c r="A342" i="66"/>
  <c r="Y217" i="62"/>
  <c r="B218" i="62"/>
  <c r="AC218" i="62" s="1"/>
  <c r="AB218" i="62" l="1"/>
  <c r="AF218" i="62"/>
  <c r="AE218" i="62"/>
  <c r="AD218" i="62"/>
  <c r="Z218" i="62"/>
  <c r="AA218" i="62"/>
  <c r="W218" i="62"/>
  <c r="X218" i="62"/>
  <c r="T218" i="62"/>
  <c r="V218" i="62"/>
  <c r="S218" i="62"/>
  <c r="U218" i="62"/>
  <c r="A343" i="66"/>
  <c r="Y218" i="62"/>
  <c r="B219" i="62"/>
  <c r="AC219" i="62" s="1"/>
  <c r="AB219" i="62" l="1"/>
  <c r="AD219" i="62"/>
  <c r="AF219" i="62"/>
  <c r="AE219" i="62"/>
  <c r="Z219" i="62"/>
  <c r="AA219" i="62"/>
  <c r="W219" i="62"/>
  <c r="X219" i="62"/>
  <c r="T219" i="62"/>
  <c r="V219" i="62"/>
  <c r="S219" i="62"/>
  <c r="U219" i="62"/>
  <c r="A344" i="66"/>
  <c r="Y219" i="62"/>
  <c r="B220" i="62"/>
  <c r="AC220" i="62" s="1"/>
  <c r="G42" i="20"/>
  <c r="D24" i="20"/>
  <c r="H24" i="20" s="1"/>
  <c r="K24" i="20" s="1"/>
  <c r="AB220" i="62" l="1"/>
  <c r="AF220" i="62"/>
  <c r="AE220" i="62"/>
  <c r="AD220" i="62"/>
  <c r="Z220" i="62"/>
  <c r="AA220" i="62"/>
  <c r="W220" i="62"/>
  <c r="X220" i="62"/>
  <c r="T220" i="62"/>
  <c r="V220" i="62"/>
  <c r="S220" i="62"/>
  <c r="U220" i="62"/>
  <c r="A345" i="66"/>
  <c r="Y220" i="62"/>
  <c r="B221" i="62"/>
  <c r="AC221" i="62" s="1"/>
  <c r="J26" i="47"/>
  <c r="M26" i="47" s="1"/>
  <c r="D27" i="20"/>
  <c r="AB221" i="62" l="1"/>
  <c r="AF221" i="62"/>
  <c r="AE221" i="62"/>
  <c r="AD221" i="62"/>
  <c r="H27" i="20"/>
  <c r="I25" i="20"/>
  <c r="Z221" i="62"/>
  <c r="AA221" i="62"/>
  <c r="W221" i="62"/>
  <c r="X221" i="62"/>
  <c r="T221" i="62"/>
  <c r="V221" i="62"/>
  <c r="S221" i="62"/>
  <c r="U221" i="62"/>
  <c r="A346" i="66"/>
  <c r="Y221" i="62"/>
  <c r="B222" i="62"/>
  <c r="AC222" i="62" s="1"/>
  <c r="AB222" i="62" l="1"/>
  <c r="AF222" i="62"/>
  <c r="AE222" i="62"/>
  <c r="AD222" i="62"/>
  <c r="Z222" i="62"/>
  <c r="AA222" i="62"/>
  <c r="W222" i="62"/>
  <c r="X222" i="62"/>
  <c r="T222" i="62"/>
  <c r="V222" i="62"/>
  <c r="S222" i="62"/>
  <c r="U222" i="62"/>
  <c r="A347" i="66"/>
  <c r="Y222" i="62"/>
  <c r="B223" i="62"/>
  <c r="AC223" i="62" s="1"/>
  <c r="AB223" i="62" l="1"/>
  <c r="AF223" i="62"/>
  <c r="AE223" i="62"/>
  <c r="AD223" i="62"/>
  <c r="Z223" i="62"/>
  <c r="AA223" i="62"/>
  <c r="W223" i="62"/>
  <c r="X223" i="62"/>
  <c r="T223" i="62"/>
  <c r="V223" i="62"/>
  <c r="S223" i="62"/>
  <c r="U223" i="62"/>
  <c r="A348" i="66"/>
  <c r="Y223" i="62"/>
  <c r="B224" i="62"/>
  <c r="AC224" i="62" s="1"/>
  <c r="AB224" i="62" l="1"/>
  <c r="AE224" i="62"/>
  <c r="AD224" i="62"/>
  <c r="AF224" i="62"/>
  <c r="Z224" i="62"/>
  <c r="AA224" i="62"/>
  <c r="W224" i="62"/>
  <c r="X224" i="62"/>
  <c r="T224" i="62"/>
  <c r="V224" i="62"/>
  <c r="S224" i="62"/>
  <c r="U224" i="62"/>
  <c r="A349" i="66"/>
  <c r="Y224" i="62"/>
  <c r="B225" i="62"/>
  <c r="AC225" i="62" s="1"/>
  <c r="AB225" i="62" l="1"/>
  <c r="AF225" i="62"/>
  <c r="AE225" i="62"/>
  <c r="AD225" i="62"/>
  <c r="Z225" i="62"/>
  <c r="AA225" i="62"/>
  <c r="W225" i="62"/>
  <c r="X225" i="62"/>
  <c r="T225" i="62"/>
  <c r="V225" i="62"/>
  <c r="S225" i="62"/>
  <c r="U225" i="62"/>
  <c r="A350" i="66"/>
  <c r="Y225" i="62"/>
  <c r="B226" i="62"/>
  <c r="AC226" i="62" s="1"/>
  <c r="AB226" i="62" l="1"/>
  <c r="AF226" i="62"/>
  <c r="AE226" i="62"/>
  <c r="AD226" i="62"/>
  <c r="Z226" i="62"/>
  <c r="AA226" i="62"/>
  <c r="W226" i="62"/>
  <c r="X226" i="62"/>
  <c r="T226" i="62"/>
  <c r="V226" i="62"/>
  <c r="S226" i="62"/>
  <c r="U226" i="62"/>
  <c r="A351" i="66"/>
  <c r="Y226" i="62"/>
  <c r="B227" i="62"/>
  <c r="AC227" i="62" s="1"/>
  <c r="AB227" i="62" l="1"/>
  <c r="AD227" i="62"/>
  <c r="AE227" i="62"/>
  <c r="AF227" i="62"/>
  <c r="Z227" i="62"/>
  <c r="AA227" i="62"/>
  <c r="W227" i="62"/>
  <c r="X227" i="62"/>
  <c r="T227" i="62"/>
  <c r="V227" i="62"/>
  <c r="S227" i="62"/>
  <c r="U227" i="62"/>
  <c r="A352" i="66"/>
  <c r="Y227" i="62"/>
  <c r="B228" i="62"/>
  <c r="AC228" i="62" s="1"/>
  <c r="AB228" i="62" l="1"/>
  <c r="AF228" i="62"/>
  <c r="AE228" i="62"/>
  <c r="AD228" i="62"/>
  <c r="Z228" i="62"/>
  <c r="AA228" i="62"/>
  <c r="W228" i="62"/>
  <c r="X228" i="62"/>
  <c r="T228" i="62"/>
  <c r="V228" i="62"/>
  <c r="S228" i="62"/>
  <c r="U228" i="62"/>
  <c r="A353" i="66"/>
  <c r="Y228" i="62"/>
  <c r="B229" i="62"/>
  <c r="AC229" i="62" s="1"/>
  <c r="AB229" i="62" l="1"/>
  <c r="AF229" i="62"/>
  <c r="AE229" i="62"/>
  <c r="AD229" i="62"/>
  <c r="Z229" i="62"/>
  <c r="AA229" i="62"/>
  <c r="W229" i="62"/>
  <c r="X229" i="62"/>
  <c r="T229" i="62"/>
  <c r="V229" i="62"/>
  <c r="S229" i="62"/>
  <c r="U229" i="62"/>
  <c r="A354" i="66"/>
  <c r="Y229" i="62"/>
  <c r="B230" i="62"/>
  <c r="AC230" i="62" s="1"/>
  <c r="AB230" i="62" l="1"/>
  <c r="AF230" i="62"/>
  <c r="AE230" i="62"/>
  <c r="AD230" i="62"/>
  <c r="Z230" i="62"/>
  <c r="AA230" i="62"/>
  <c r="W230" i="62"/>
  <c r="X230" i="62"/>
  <c r="T230" i="62"/>
  <c r="V230" i="62"/>
  <c r="S230" i="62"/>
  <c r="U230" i="62"/>
  <c r="A355" i="66"/>
  <c r="Y230" i="62"/>
  <c r="B231" i="62"/>
  <c r="AC231" i="62" s="1"/>
  <c r="AB231" i="62" l="1"/>
  <c r="AF231" i="62"/>
  <c r="AE231" i="62"/>
  <c r="AD231" i="62"/>
  <c r="Z231" i="62"/>
  <c r="AA231" i="62"/>
  <c r="W231" i="62"/>
  <c r="X231" i="62"/>
  <c r="T231" i="62"/>
  <c r="V231" i="62"/>
  <c r="S231" i="62"/>
  <c r="U231" i="62"/>
  <c r="A356" i="66"/>
  <c r="Y231" i="62"/>
  <c r="B232" i="62"/>
  <c r="AC232" i="62" s="1"/>
  <c r="AB232" i="62" l="1"/>
  <c r="AE232" i="62"/>
  <c r="AD232" i="62"/>
  <c r="AF232" i="62"/>
  <c r="Z232" i="62"/>
  <c r="AA232" i="62"/>
  <c r="W232" i="62"/>
  <c r="X232" i="62"/>
  <c r="T232" i="62"/>
  <c r="V232" i="62"/>
  <c r="S232" i="62"/>
  <c r="U232" i="62"/>
  <c r="A357" i="66"/>
  <c r="Y232" i="62"/>
  <c r="B233" i="62"/>
  <c r="AC233" i="62" s="1"/>
  <c r="AB233" i="62" l="1"/>
  <c r="AF233" i="62"/>
  <c r="AE233" i="62"/>
  <c r="AD233" i="62"/>
  <c r="Z233" i="62"/>
  <c r="AA233" i="62"/>
  <c r="W233" i="62"/>
  <c r="X233" i="62"/>
  <c r="T233" i="62"/>
  <c r="V233" i="62"/>
  <c r="S233" i="62"/>
  <c r="U233" i="62"/>
  <c r="A358" i="66"/>
  <c r="Y233" i="62"/>
  <c r="B234" i="62"/>
  <c r="AC234" i="62" s="1"/>
  <c r="AB234" i="62" l="1"/>
  <c r="AF234" i="62"/>
  <c r="AE234" i="62"/>
  <c r="AD234" i="62"/>
  <c r="Z234" i="62"/>
  <c r="AA234" i="62"/>
  <c r="W234" i="62"/>
  <c r="X234" i="62"/>
  <c r="T234" i="62"/>
  <c r="V234" i="62"/>
  <c r="S234" i="62"/>
  <c r="U234" i="62"/>
  <c r="A359" i="66"/>
  <c r="Y234" i="62"/>
  <c r="B235" i="62"/>
  <c r="AC235" i="62" s="1"/>
  <c r="AB235" i="62" l="1"/>
  <c r="AD235" i="62"/>
  <c r="AF235" i="62"/>
  <c r="AE235" i="62"/>
  <c r="Z235" i="62"/>
  <c r="AA235" i="62"/>
  <c r="W235" i="62"/>
  <c r="X235" i="62"/>
  <c r="T235" i="62"/>
  <c r="V235" i="62"/>
  <c r="S235" i="62"/>
  <c r="U235" i="62"/>
  <c r="A360" i="66"/>
  <c r="Y235" i="62"/>
  <c r="B236" i="62"/>
  <c r="AC236" i="62" s="1"/>
  <c r="AB236" i="62" l="1"/>
  <c r="AF236" i="62"/>
  <c r="AE236" i="62"/>
  <c r="AD236" i="62"/>
  <c r="Z236" i="62"/>
  <c r="AA236" i="62"/>
  <c r="W236" i="62"/>
  <c r="X236" i="62"/>
  <c r="T236" i="62"/>
  <c r="V236" i="62"/>
  <c r="S236" i="62"/>
  <c r="U236" i="62"/>
  <c r="A361" i="66"/>
  <c r="Y236" i="62"/>
  <c r="B237" i="62"/>
  <c r="AC237" i="62" s="1"/>
  <c r="AB237" i="62" l="1"/>
  <c r="AF237" i="62"/>
  <c r="AE237" i="62"/>
  <c r="AD237" i="62"/>
  <c r="Z237" i="62"/>
  <c r="AA237" i="62"/>
  <c r="W237" i="62"/>
  <c r="X237" i="62"/>
  <c r="T237" i="62"/>
  <c r="V237" i="62"/>
  <c r="S237" i="62"/>
  <c r="U237" i="62"/>
  <c r="A362" i="66"/>
  <c r="Y237" i="62"/>
  <c r="B238" i="62"/>
  <c r="AC238" i="62" s="1"/>
  <c r="AB238" i="62" l="1"/>
  <c r="AF238" i="62"/>
  <c r="AE238" i="62"/>
  <c r="AD238" i="62"/>
  <c r="Z238" i="62"/>
  <c r="AA238" i="62"/>
  <c r="W238" i="62"/>
  <c r="X238" i="62"/>
  <c r="T238" i="62"/>
  <c r="V238" i="62"/>
  <c r="S238" i="62"/>
  <c r="U238" i="62"/>
  <c r="A363" i="66"/>
  <c r="Y238" i="62"/>
  <c r="B239" i="62"/>
  <c r="AC239" i="62" s="1"/>
  <c r="AB239" i="62" l="1"/>
  <c r="AF239" i="62"/>
  <c r="AE239" i="62"/>
  <c r="AD239" i="62"/>
  <c r="Z239" i="62"/>
  <c r="AA239" i="62"/>
  <c r="W239" i="62"/>
  <c r="X239" i="62"/>
  <c r="T239" i="62"/>
  <c r="V239" i="62"/>
  <c r="S239" i="62"/>
  <c r="U239" i="62"/>
  <c r="A364" i="66"/>
  <c r="Y239" i="62"/>
  <c r="B240" i="62"/>
  <c r="AC240" i="62" s="1"/>
  <c r="AB240" i="62" l="1"/>
  <c r="AE240" i="62"/>
  <c r="AD240" i="62"/>
  <c r="AF240" i="62"/>
  <c r="Z240" i="62"/>
  <c r="AA240" i="62"/>
  <c r="W240" i="62"/>
  <c r="X240" i="62"/>
  <c r="T240" i="62"/>
  <c r="V240" i="62"/>
  <c r="S240" i="62"/>
  <c r="U240" i="62"/>
  <c r="A365" i="66"/>
  <c r="Y240" i="62"/>
  <c r="B241" i="62"/>
  <c r="AC241" i="62" s="1"/>
  <c r="AB241" i="62" l="1"/>
  <c r="AF241" i="62"/>
  <c r="AE241" i="62"/>
  <c r="AD241" i="62"/>
  <c r="Z241" i="62"/>
  <c r="AA241" i="62"/>
  <c r="W241" i="62"/>
  <c r="X241" i="62"/>
  <c r="T241" i="62"/>
  <c r="V241" i="62"/>
  <c r="S241" i="62"/>
  <c r="U241" i="62"/>
  <c r="A366" i="66"/>
  <c r="Y241" i="62"/>
  <c r="B242" i="62"/>
  <c r="AC242" i="62" s="1"/>
  <c r="AB242" i="62" l="1"/>
  <c r="AF242" i="62"/>
  <c r="AE242" i="62"/>
  <c r="AD242" i="62"/>
  <c r="Z242" i="62"/>
  <c r="AA242" i="62"/>
  <c r="W242" i="62"/>
  <c r="X242" i="62"/>
  <c r="T242" i="62"/>
  <c r="V242" i="62"/>
  <c r="S242" i="62"/>
  <c r="U242" i="62"/>
  <c r="A367" i="66"/>
  <c r="Y242" i="62"/>
  <c r="B243" i="62"/>
  <c r="AC243" i="62" s="1"/>
  <c r="AB243" i="62" l="1"/>
  <c r="AD243" i="62"/>
  <c r="AF243" i="62"/>
  <c r="AE243" i="62"/>
  <c r="A368" i="66"/>
  <c r="A369" i="66" s="1"/>
  <c r="A370" i="66" s="1"/>
  <c r="E52" i="40" s="1"/>
  <c r="I52" i="40" s="1"/>
  <c r="Z243" i="62"/>
  <c r="AA243" i="62"/>
  <c r="W243" i="62"/>
  <c r="X243" i="62"/>
  <c r="T243" i="62"/>
  <c r="V243" i="62"/>
  <c r="S243" i="62"/>
  <c r="U243" i="62"/>
  <c r="Y243" i="62"/>
  <c r="B244" i="62"/>
  <c r="AC244" i="62" s="1"/>
  <c r="AB244" i="62" l="1"/>
  <c r="AF244" i="62"/>
  <c r="AE244" i="62"/>
  <c r="AD244" i="62"/>
  <c r="J52" i="40"/>
  <c r="Z244" i="62"/>
  <c r="AA244" i="62"/>
  <c r="W244" i="62"/>
  <c r="X244" i="62"/>
  <c r="T244" i="62"/>
  <c r="V244" i="62"/>
  <c r="S244" i="62"/>
  <c r="U244" i="62"/>
  <c r="Y244" i="62"/>
  <c r="B245" i="62"/>
  <c r="AC245" i="62" s="1"/>
  <c r="AB245" i="62" l="1"/>
  <c r="AF245" i="62"/>
  <c r="AE245" i="62"/>
  <c r="AD245" i="62"/>
  <c r="Z245" i="62"/>
  <c r="AA245" i="62"/>
  <c r="W245" i="62"/>
  <c r="X245" i="62"/>
  <c r="T245" i="62"/>
  <c r="V245" i="62"/>
  <c r="S245" i="62"/>
  <c r="U245" i="62"/>
  <c r="Y245" i="62"/>
  <c r="B246" i="62"/>
  <c r="AC246" i="62" s="1"/>
  <c r="AB246" i="62" l="1"/>
  <c r="AF246" i="62"/>
  <c r="AE246" i="62"/>
  <c r="AD246" i="62"/>
  <c r="Z246" i="62"/>
  <c r="AA246" i="62"/>
  <c r="W246" i="62"/>
  <c r="X246" i="62"/>
  <c r="T246" i="62"/>
  <c r="V246" i="62"/>
  <c r="S246" i="62"/>
  <c r="U246" i="62"/>
  <c r="Y246" i="62"/>
  <c r="B247" i="62"/>
  <c r="AC247" i="62" s="1"/>
  <c r="AB247" i="62" l="1"/>
  <c r="AF247" i="62"/>
  <c r="AE247" i="62"/>
  <c r="AD247" i="62"/>
  <c r="Z247" i="62"/>
  <c r="AA247" i="62"/>
  <c r="W247" i="62"/>
  <c r="X247" i="62"/>
  <c r="T247" i="62"/>
  <c r="V247" i="62"/>
  <c r="S247" i="62"/>
  <c r="U247" i="62"/>
  <c r="Y247" i="62"/>
  <c r="B248" i="62"/>
  <c r="AC248" i="62" s="1"/>
  <c r="AB248" i="62" l="1"/>
  <c r="AE248" i="62"/>
  <c r="AD248" i="62"/>
  <c r="AF248" i="62"/>
  <c r="Z248" i="62"/>
  <c r="AA248" i="62"/>
  <c r="W248" i="62"/>
  <c r="X248" i="62"/>
  <c r="T248" i="62"/>
  <c r="V248" i="62"/>
  <c r="S248" i="62"/>
  <c r="U248" i="62"/>
  <c r="Y248" i="62"/>
  <c r="B249" i="62"/>
  <c r="AC249" i="62" s="1"/>
  <c r="AB249" i="62" l="1"/>
  <c r="AF249" i="62"/>
  <c r="AE249" i="62"/>
  <c r="AD249" i="62"/>
  <c r="Z249" i="62"/>
  <c r="AA249" i="62"/>
  <c r="W249" i="62"/>
  <c r="X249" i="62"/>
  <c r="T249" i="62"/>
  <c r="V249" i="62"/>
  <c r="S249" i="62"/>
  <c r="U249" i="62"/>
  <c r="Y249" i="62"/>
  <c r="B250" i="62"/>
  <c r="AC250" i="62" s="1"/>
  <c r="AB250" i="62" l="1"/>
  <c r="AF250" i="62"/>
  <c r="AE250" i="62"/>
  <c r="AD250" i="62"/>
  <c r="Z250" i="62"/>
  <c r="AA250" i="62"/>
  <c r="W250" i="62"/>
  <c r="X250" i="62"/>
  <c r="T250" i="62"/>
  <c r="V250" i="62"/>
  <c r="S250" i="62"/>
  <c r="U250" i="62"/>
  <c r="Y250" i="62"/>
  <c r="B251" i="62"/>
  <c r="AC251" i="62" s="1"/>
  <c r="AB251" i="62" l="1"/>
  <c r="AD251" i="62"/>
  <c r="AF251" i="62"/>
  <c r="AE251" i="62"/>
  <c r="Z251" i="62"/>
  <c r="AA251" i="62"/>
  <c r="W251" i="62"/>
  <c r="X251" i="62"/>
  <c r="T251" i="62"/>
  <c r="V251" i="62"/>
  <c r="S251" i="62"/>
  <c r="U251" i="62"/>
  <c r="Y251" i="62"/>
  <c r="B252" i="62"/>
  <c r="AC252" i="62" s="1"/>
  <c r="AB252" i="62" l="1"/>
  <c r="AF252" i="62"/>
  <c r="AE252" i="62"/>
  <c r="AD252" i="62"/>
  <c r="Z252" i="62"/>
  <c r="AA252" i="62"/>
  <c r="W252" i="62"/>
  <c r="X252" i="62"/>
  <c r="T252" i="62"/>
  <c r="V252" i="62"/>
  <c r="S252" i="62"/>
  <c r="U252" i="62"/>
  <c r="Y252" i="62"/>
  <c r="B253" i="62"/>
  <c r="AC253" i="62" s="1"/>
  <c r="AB253" i="62" l="1"/>
  <c r="AF253" i="62"/>
  <c r="AE253" i="62"/>
  <c r="AD253" i="62"/>
  <c r="Z253" i="62"/>
  <c r="AA253" i="62"/>
  <c r="W253" i="62"/>
  <c r="X253" i="62"/>
  <c r="T253" i="62"/>
  <c r="V253" i="62"/>
  <c r="S253" i="62"/>
  <c r="U253" i="62"/>
  <c r="Y253" i="62"/>
  <c r="B254" i="62"/>
  <c r="AC254" i="62" s="1"/>
  <c r="AB254" i="62" l="1"/>
  <c r="AF254" i="62"/>
  <c r="AE254" i="62"/>
  <c r="AD254" i="62"/>
  <c r="Z254" i="62"/>
  <c r="AA254" i="62"/>
  <c r="W254" i="62"/>
  <c r="X254" i="62"/>
  <c r="T254" i="62"/>
  <c r="V254" i="62"/>
  <c r="S254" i="62"/>
  <c r="U254" i="62"/>
  <c r="Y254" i="62"/>
  <c r="B255" i="62"/>
  <c r="AC255" i="62" s="1"/>
  <c r="AB255" i="62" l="1"/>
  <c r="AF255" i="62"/>
  <c r="AE255" i="62"/>
  <c r="AD255" i="62"/>
  <c r="Z255" i="62"/>
  <c r="AA255" i="62"/>
  <c r="W255" i="62"/>
  <c r="X255" i="62"/>
  <c r="T255" i="62"/>
  <c r="V255" i="62"/>
  <c r="S255" i="62"/>
  <c r="U255" i="62"/>
  <c r="Y255" i="62"/>
  <c r="B256" i="62"/>
  <c r="AC256" i="62" s="1"/>
  <c r="AB256" i="62" l="1"/>
  <c r="AE256" i="62"/>
  <c r="AD256" i="62"/>
  <c r="AF256" i="62"/>
  <c r="Z256" i="62"/>
  <c r="AA256" i="62"/>
  <c r="W256" i="62"/>
  <c r="X256" i="62"/>
  <c r="T256" i="62"/>
  <c r="V256" i="62"/>
  <c r="S256" i="62"/>
  <c r="U256" i="62"/>
  <c r="Y256" i="62"/>
  <c r="B257" i="62"/>
  <c r="AC257" i="62" s="1"/>
  <c r="AB257" i="62" l="1"/>
  <c r="AF257" i="62"/>
  <c r="AE257" i="62"/>
  <c r="AD257" i="62"/>
  <c r="Z257" i="62"/>
  <c r="AA257" i="62"/>
  <c r="W257" i="62"/>
  <c r="X257" i="62"/>
  <c r="T257" i="62"/>
  <c r="V257" i="62"/>
  <c r="S257" i="62"/>
  <c r="U257" i="62"/>
  <c r="Y257" i="62"/>
  <c r="B258" i="62"/>
  <c r="AC258" i="62" s="1"/>
  <c r="AB258" i="62" l="1"/>
  <c r="AF258" i="62"/>
  <c r="AE258" i="62"/>
  <c r="AD258" i="62"/>
  <c r="Z258" i="62"/>
  <c r="AA258" i="62"/>
  <c r="W258" i="62"/>
  <c r="X258" i="62"/>
  <c r="T258" i="62"/>
  <c r="V258" i="62"/>
  <c r="S258" i="62"/>
  <c r="U258" i="62"/>
  <c r="Y258" i="62"/>
  <c r="B259" i="62"/>
  <c r="AC259" i="62" s="1"/>
  <c r="AB259" i="62" l="1"/>
  <c r="AD259" i="62"/>
  <c r="AE259" i="62"/>
  <c r="AF259" i="62"/>
  <c r="Z259" i="62"/>
  <c r="AA259" i="62"/>
  <c r="W259" i="62"/>
  <c r="X259" i="62"/>
  <c r="T259" i="62"/>
  <c r="V259" i="62"/>
  <c r="S259" i="62"/>
  <c r="U259" i="62"/>
  <c r="Y259" i="62"/>
  <c r="B260" i="62"/>
  <c r="AC260" i="62" s="1"/>
  <c r="AB260" i="62" l="1"/>
  <c r="AF260" i="62"/>
  <c r="AE260" i="62"/>
  <c r="AD260" i="62"/>
  <c r="Z260" i="62"/>
  <c r="AA260" i="62"/>
  <c r="W260" i="62"/>
  <c r="X260" i="62"/>
  <c r="T260" i="62"/>
  <c r="V260" i="62"/>
  <c r="S260" i="62"/>
  <c r="U260" i="62"/>
  <c r="Y260" i="62"/>
  <c r="B261" i="62"/>
  <c r="AC261" i="62" s="1"/>
  <c r="AB261" i="62" l="1"/>
  <c r="AF261" i="62"/>
  <c r="AE261" i="62"/>
  <c r="AD261" i="62"/>
  <c r="Z261" i="62"/>
  <c r="AA261" i="62"/>
  <c r="W261" i="62"/>
  <c r="X261" i="62"/>
  <c r="T261" i="62"/>
  <c r="V261" i="62"/>
  <c r="S261" i="62"/>
  <c r="U261" i="62"/>
  <c r="Y261" i="62"/>
  <c r="B262" i="62"/>
  <c r="AC262" i="62" s="1"/>
  <c r="AB262" i="62" l="1"/>
  <c r="AF262" i="62"/>
  <c r="AE262" i="62"/>
  <c r="AD262" i="62"/>
  <c r="Z262" i="62"/>
  <c r="AA262" i="62"/>
  <c r="W262" i="62"/>
  <c r="X262" i="62"/>
  <c r="T262" i="62"/>
  <c r="V262" i="62"/>
  <c r="S262" i="62"/>
  <c r="U262" i="62"/>
  <c r="Y262" i="62"/>
  <c r="B263" i="62"/>
  <c r="AC263" i="62" s="1"/>
  <c r="AB263" i="62" l="1"/>
  <c r="AF263" i="62"/>
  <c r="AE263" i="62"/>
  <c r="AD263" i="62"/>
  <c r="Z263" i="62"/>
  <c r="AA263" i="62"/>
  <c r="W263" i="62"/>
  <c r="X263" i="62"/>
  <c r="T263" i="62"/>
  <c r="V263" i="62"/>
  <c r="S263" i="62"/>
  <c r="U263" i="62"/>
  <c r="Y263" i="62"/>
  <c r="B264" i="62"/>
  <c r="AC264" i="62" s="1"/>
  <c r="AB264" i="62" l="1"/>
  <c r="AE264" i="62"/>
  <c r="AD264" i="62"/>
  <c r="AF264" i="62"/>
  <c r="Z264" i="62"/>
  <c r="AA264" i="62"/>
  <c r="W264" i="62"/>
  <c r="X264" i="62"/>
  <c r="T264" i="62"/>
  <c r="V264" i="62"/>
  <c r="S264" i="62"/>
  <c r="U264" i="62"/>
  <c r="Y264" i="62"/>
  <c r="B265" i="62"/>
  <c r="AC265" i="62" s="1"/>
  <c r="AB265" i="62" l="1"/>
  <c r="AF265" i="62"/>
  <c r="AE265" i="62"/>
  <c r="AD265" i="62"/>
  <c r="Z265" i="62"/>
  <c r="AA265" i="62"/>
  <c r="W265" i="62"/>
  <c r="X265" i="62"/>
  <c r="T265" i="62"/>
  <c r="V265" i="62"/>
  <c r="S265" i="62"/>
  <c r="U265" i="62"/>
  <c r="Y265" i="62"/>
  <c r="B266" i="62"/>
  <c r="AC266" i="62" s="1"/>
  <c r="AB266" i="62" l="1"/>
  <c r="AF266" i="62"/>
  <c r="AE266" i="62"/>
  <c r="AD266" i="62"/>
  <c r="Z266" i="62"/>
  <c r="AA266" i="62"/>
  <c r="W266" i="62"/>
  <c r="X266" i="62"/>
  <c r="T266" i="62"/>
  <c r="V266" i="62"/>
  <c r="S266" i="62"/>
  <c r="U266" i="62"/>
  <c r="Y266" i="62"/>
  <c r="B267" i="62"/>
  <c r="AC267" i="62" s="1"/>
  <c r="AB267" i="62" l="1"/>
  <c r="AD267" i="62"/>
  <c r="AF267" i="62"/>
  <c r="AE267" i="62"/>
  <c r="Z267" i="62"/>
  <c r="AA267" i="62"/>
  <c r="W267" i="62"/>
  <c r="X267" i="62"/>
  <c r="T267" i="62"/>
  <c r="V267" i="62"/>
  <c r="S267" i="62"/>
  <c r="U267" i="62"/>
  <c r="Y267" i="62"/>
  <c r="B268" i="62"/>
  <c r="AC268" i="62" s="1"/>
  <c r="AB268" i="62" l="1"/>
  <c r="AF268" i="62"/>
  <c r="AE268" i="62"/>
  <c r="AD268" i="62"/>
  <c r="Z268" i="62"/>
  <c r="AA268" i="62"/>
  <c r="W268" i="62"/>
  <c r="X268" i="62"/>
  <c r="T268" i="62"/>
  <c r="V268" i="62"/>
  <c r="S268" i="62"/>
  <c r="U268" i="62"/>
  <c r="Y268" i="62"/>
  <c r="B269" i="62"/>
  <c r="AC269" i="62" s="1"/>
  <c r="AB269" i="62" l="1"/>
  <c r="AF269" i="62"/>
  <c r="AE269" i="62"/>
  <c r="AD269" i="62"/>
  <c r="Z269" i="62"/>
  <c r="AA269" i="62"/>
  <c r="W269" i="62"/>
  <c r="X269" i="62"/>
  <c r="T269" i="62"/>
  <c r="V269" i="62"/>
  <c r="S269" i="62"/>
  <c r="U269" i="62"/>
  <c r="Y269" i="62"/>
  <c r="B270" i="62"/>
  <c r="AC270" i="62" s="1"/>
  <c r="AB270" i="62" l="1"/>
  <c r="AF270" i="62"/>
  <c r="AD270" i="62"/>
  <c r="AE270" i="62"/>
  <c r="Z270" i="62"/>
  <c r="AA270" i="62"/>
  <c r="W270" i="62"/>
  <c r="X270" i="62"/>
  <c r="T270" i="62"/>
  <c r="V270" i="62"/>
  <c r="S270" i="62"/>
  <c r="U270" i="62"/>
  <c r="Y270" i="62"/>
  <c r="B271" i="62"/>
  <c r="AC271" i="62" s="1"/>
  <c r="AB271" i="62" l="1"/>
  <c r="AF271" i="62"/>
  <c r="AE271" i="62"/>
  <c r="AD271" i="62"/>
  <c r="Z271" i="62"/>
  <c r="AA271" i="62"/>
  <c r="W271" i="62"/>
  <c r="X271" i="62"/>
  <c r="T271" i="62"/>
  <c r="V271" i="62"/>
  <c r="S271" i="62"/>
  <c r="U271" i="62"/>
  <c r="Y271" i="62"/>
  <c r="B272" i="62"/>
  <c r="AC272" i="62" s="1"/>
  <c r="AB272" i="62" l="1"/>
  <c r="AE272" i="62"/>
  <c r="AD272" i="62"/>
  <c r="AF272" i="62"/>
  <c r="Z272" i="62"/>
  <c r="AA272" i="62"/>
  <c r="W272" i="62"/>
  <c r="X272" i="62"/>
  <c r="T272" i="62"/>
  <c r="V272" i="62"/>
  <c r="S272" i="62"/>
  <c r="U272" i="62"/>
  <c r="Y272" i="62"/>
  <c r="B273" i="62"/>
  <c r="AC273" i="62" s="1"/>
  <c r="AB273" i="62" l="1"/>
  <c r="AF273" i="62"/>
  <c r="AE273" i="62"/>
  <c r="AD273" i="62"/>
  <c r="Z273" i="62"/>
  <c r="AA273" i="62"/>
  <c r="W273" i="62"/>
  <c r="X273" i="62"/>
  <c r="T273" i="62"/>
  <c r="V273" i="62"/>
  <c r="S273" i="62"/>
  <c r="U273" i="62"/>
  <c r="Y273" i="62"/>
  <c r="B274" i="62"/>
  <c r="AC274" i="62" s="1"/>
  <c r="AB274" i="62" l="1"/>
  <c r="AF274" i="62"/>
  <c r="AE274" i="62"/>
  <c r="AD274" i="62"/>
  <c r="Z274" i="62"/>
  <c r="AA274" i="62"/>
  <c r="W274" i="62"/>
  <c r="X274" i="62"/>
  <c r="T274" i="62"/>
  <c r="V274" i="62"/>
  <c r="S274" i="62"/>
  <c r="U274" i="62"/>
  <c r="Y274" i="62"/>
  <c r="B275" i="62"/>
  <c r="AC275" i="62" s="1"/>
  <c r="AB275" i="62" l="1"/>
  <c r="AD275" i="62"/>
  <c r="AF275" i="62"/>
  <c r="AE275" i="62"/>
  <c r="Z275" i="62"/>
  <c r="AA275" i="62"/>
  <c r="W275" i="62"/>
  <c r="X275" i="62"/>
  <c r="T275" i="62"/>
  <c r="V275" i="62"/>
  <c r="S275" i="62"/>
  <c r="U275" i="62"/>
  <c r="Y275" i="62"/>
  <c r="B276" i="62"/>
  <c r="AC276" i="62" s="1"/>
  <c r="AB276" i="62" l="1"/>
  <c r="AF276" i="62"/>
  <c r="AE276" i="62"/>
  <c r="AD276" i="62"/>
  <c r="Z276" i="62"/>
  <c r="AA276" i="62"/>
  <c r="W276" i="62"/>
  <c r="X276" i="62"/>
  <c r="T276" i="62"/>
  <c r="V276" i="62"/>
  <c r="S276" i="62"/>
  <c r="U276" i="62"/>
  <c r="Y276" i="62"/>
  <c r="B277" i="62"/>
  <c r="AC277" i="62" s="1"/>
  <c r="AB277" i="62" l="1"/>
  <c r="AF277" i="62"/>
  <c r="AE277" i="62"/>
  <c r="AD277" i="62"/>
  <c r="Z277" i="62"/>
  <c r="AA277" i="62"/>
  <c r="W277" i="62"/>
  <c r="X277" i="62"/>
  <c r="T277" i="62"/>
  <c r="V277" i="62"/>
  <c r="S277" i="62"/>
  <c r="U277" i="62"/>
  <c r="Y277" i="62"/>
  <c r="B278" i="62"/>
  <c r="AC278" i="62" s="1"/>
  <c r="AB278" i="62" l="1"/>
  <c r="AF278" i="62"/>
  <c r="AE278" i="62"/>
  <c r="AD278" i="62"/>
  <c r="Z278" i="62"/>
  <c r="AA278" i="62"/>
  <c r="W278" i="62"/>
  <c r="X278" i="62"/>
  <c r="T278" i="62"/>
  <c r="V278" i="62"/>
  <c r="S278" i="62"/>
  <c r="U278" i="62"/>
  <c r="Y278" i="62"/>
  <c r="B279" i="62"/>
  <c r="AC279" i="62" s="1"/>
  <c r="AB279" i="62" l="1"/>
  <c r="AF279" i="62"/>
  <c r="AE279" i="62"/>
  <c r="AD279" i="62"/>
  <c r="Z279" i="62"/>
  <c r="AA279" i="62"/>
  <c r="W279" i="62"/>
  <c r="X279" i="62"/>
  <c r="T279" i="62"/>
  <c r="V279" i="62"/>
  <c r="S279" i="62"/>
  <c r="U279" i="62"/>
  <c r="Y279" i="62"/>
  <c r="B280" i="62"/>
  <c r="AC280" i="62" s="1"/>
  <c r="AB280" i="62" l="1"/>
  <c r="AE280" i="62"/>
  <c r="AD280" i="62"/>
  <c r="AF280" i="62"/>
  <c r="Z280" i="62"/>
  <c r="AA280" i="62"/>
  <c r="W280" i="62"/>
  <c r="X280" i="62"/>
  <c r="T280" i="62"/>
  <c r="V280" i="62"/>
  <c r="S280" i="62"/>
  <c r="U280" i="62"/>
  <c r="Y280" i="62"/>
  <c r="B281" i="62"/>
  <c r="AC281" i="62" s="1"/>
  <c r="AB281" i="62" l="1"/>
  <c r="AF281" i="62"/>
  <c r="AE281" i="62"/>
  <c r="AD281" i="62"/>
  <c r="Z281" i="62"/>
  <c r="AA281" i="62"/>
  <c r="W281" i="62"/>
  <c r="X281" i="62"/>
  <c r="T281" i="62"/>
  <c r="V281" i="62"/>
  <c r="S281" i="62"/>
  <c r="U281" i="62"/>
  <c r="Y281" i="62"/>
  <c r="B282" i="62"/>
  <c r="AC282" i="62" s="1"/>
  <c r="AB282" i="62" l="1"/>
  <c r="AF282" i="62"/>
  <c r="AE282" i="62"/>
  <c r="AD282" i="62"/>
  <c r="Z282" i="62"/>
  <c r="AA282" i="62"/>
  <c r="W282" i="62"/>
  <c r="X282" i="62"/>
  <c r="T282" i="62"/>
  <c r="V282" i="62"/>
  <c r="S282" i="62"/>
  <c r="U282" i="62"/>
  <c r="Y282" i="62"/>
  <c r="B283" i="62"/>
  <c r="AC283" i="62" s="1"/>
  <c r="AB283" i="62" l="1"/>
  <c r="AD283" i="62"/>
  <c r="AF283" i="62"/>
  <c r="AE283" i="62"/>
  <c r="Z283" i="62"/>
  <c r="AA283" i="62"/>
  <c r="W283" i="62"/>
  <c r="X283" i="62"/>
  <c r="T283" i="62"/>
  <c r="V283" i="62"/>
  <c r="S283" i="62"/>
  <c r="U283" i="62"/>
  <c r="Y283" i="62"/>
  <c r="B284" i="62"/>
  <c r="AC284" i="62" s="1"/>
  <c r="AB284" i="62" l="1"/>
  <c r="AF284" i="62"/>
  <c r="AE284" i="62"/>
  <c r="AD284" i="62"/>
  <c r="Z284" i="62"/>
  <c r="AA284" i="62"/>
  <c r="W284" i="62"/>
  <c r="X284" i="62"/>
  <c r="T284" i="62"/>
  <c r="V284" i="62"/>
  <c r="S284" i="62"/>
  <c r="U284" i="62"/>
  <c r="Y284" i="62"/>
  <c r="B285" i="62"/>
  <c r="AC285" i="62" s="1"/>
  <c r="AB285" i="62" l="1"/>
  <c r="AF285" i="62"/>
  <c r="AE285" i="62"/>
  <c r="AD285" i="62"/>
  <c r="Z285" i="62"/>
  <c r="AA285" i="62"/>
  <c r="W285" i="62"/>
  <c r="X285" i="62"/>
  <c r="T285" i="62"/>
  <c r="V285" i="62"/>
  <c r="S285" i="62"/>
  <c r="U285" i="62"/>
  <c r="Y285" i="62"/>
  <c r="B286" i="62"/>
  <c r="AC286" i="62" s="1"/>
  <c r="AB286" i="62" l="1"/>
  <c r="AF286" i="62"/>
  <c r="AE286" i="62"/>
  <c r="AD286" i="62"/>
  <c r="Z286" i="62"/>
  <c r="AA286" i="62"/>
  <c r="W286" i="62"/>
  <c r="X286" i="62"/>
  <c r="T286" i="62"/>
  <c r="V286" i="62"/>
  <c r="S286" i="62"/>
  <c r="U286" i="62"/>
  <c r="Y286" i="62"/>
  <c r="B287" i="62"/>
  <c r="AC287" i="62" s="1"/>
  <c r="AB287" i="62" l="1"/>
  <c r="AF287" i="62"/>
  <c r="AE287" i="62"/>
  <c r="AD287" i="62"/>
  <c r="Z287" i="62"/>
  <c r="AA287" i="62"/>
  <c r="W287" i="62"/>
  <c r="X287" i="62"/>
  <c r="T287" i="62"/>
  <c r="V287" i="62"/>
  <c r="S287" i="62"/>
  <c r="U287" i="62"/>
  <c r="Y287" i="62"/>
  <c r="B288" i="62"/>
  <c r="AC288" i="62" s="1"/>
  <c r="AB288" i="62" l="1"/>
  <c r="AE288" i="62"/>
  <c r="AD288" i="62"/>
  <c r="AF288" i="62"/>
  <c r="Z288" i="62"/>
  <c r="AA288" i="62"/>
  <c r="W288" i="62"/>
  <c r="X288" i="62"/>
  <c r="T288" i="62"/>
  <c r="V288" i="62"/>
  <c r="S288" i="62"/>
  <c r="U288" i="62"/>
  <c r="Y288" i="62"/>
  <c r="B289" i="62"/>
  <c r="AC289" i="62" s="1"/>
  <c r="AB289" i="62" l="1"/>
  <c r="AF289" i="62"/>
  <c r="AE289" i="62"/>
  <c r="AD289" i="62"/>
  <c r="Z289" i="62"/>
  <c r="AA289" i="62"/>
  <c r="W289" i="62"/>
  <c r="X289" i="62"/>
  <c r="T289" i="62"/>
  <c r="V289" i="62"/>
  <c r="S289" i="62"/>
  <c r="U289" i="62"/>
  <c r="Y289" i="62"/>
  <c r="B290" i="62"/>
  <c r="AC290" i="62" s="1"/>
  <c r="AB290" i="62" l="1"/>
  <c r="AF290" i="62"/>
  <c r="AE290" i="62"/>
  <c r="AD290" i="62"/>
  <c r="Z290" i="62"/>
  <c r="AA290" i="62"/>
  <c r="W290" i="62"/>
  <c r="X290" i="62"/>
  <c r="T290" i="62"/>
  <c r="V290" i="62"/>
  <c r="S290" i="62"/>
  <c r="U290" i="62"/>
  <c r="F14" i="65"/>
  <c r="Y290" i="62"/>
  <c r="B291" i="62"/>
  <c r="AC291" i="62" s="1"/>
  <c r="AB291" i="62" l="1"/>
  <c r="AD291" i="62"/>
  <c r="AF291" i="62"/>
  <c r="AE291" i="62"/>
  <c r="Z291" i="62"/>
  <c r="AA291" i="62"/>
  <c r="W291" i="62"/>
  <c r="X291" i="62"/>
  <c r="T291" i="62"/>
  <c r="V291" i="62"/>
  <c r="S291" i="62"/>
  <c r="U291" i="62"/>
  <c r="L14" i="65"/>
  <c r="M14" i="65"/>
  <c r="Y291" i="62"/>
  <c r="B292" i="62"/>
  <c r="AC292" i="62" s="1"/>
  <c r="AB292" i="62" l="1"/>
  <c r="AF292" i="62"/>
  <c r="AE292" i="62"/>
  <c r="AD292" i="62"/>
  <c r="Z292" i="62"/>
  <c r="AA292" i="62"/>
  <c r="W292" i="62"/>
  <c r="X292" i="62"/>
  <c r="T292" i="62"/>
  <c r="V292" i="62"/>
  <c r="S292" i="62"/>
  <c r="U292" i="62"/>
  <c r="J43" i="56"/>
  <c r="J48" i="56" s="1"/>
  <c r="I43" i="56"/>
  <c r="I48" i="56" s="1"/>
  <c r="B293" i="62"/>
  <c r="AC293" i="62" s="1"/>
  <c r="Y292" i="62"/>
  <c r="AB293" i="62" l="1"/>
  <c r="AF293" i="62"/>
  <c r="AE293" i="62"/>
  <c r="AD293" i="62"/>
  <c r="Z293" i="62"/>
  <c r="AA293" i="62"/>
  <c r="W293" i="62"/>
  <c r="X293" i="62"/>
  <c r="T293" i="62"/>
  <c r="V293" i="62"/>
  <c r="S293" i="62"/>
  <c r="U293" i="62"/>
  <c r="D43" i="56"/>
  <c r="L43" i="56"/>
  <c r="L48" i="56" s="1"/>
  <c r="E43" i="56"/>
  <c r="M43" i="56"/>
  <c r="M48" i="56" s="1"/>
  <c r="Y293" i="62"/>
  <c r="B294" i="62"/>
  <c r="AC294" i="62" s="1"/>
  <c r="AB294" i="62" l="1"/>
  <c r="AF294" i="62"/>
  <c r="AE294" i="62"/>
  <c r="AD294" i="62"/>
  <c r="Z294" i="62"/>
  <c r="AA294" i="62"/>
  <c r="W294" i="62"/>
  <c r="X294" i="62"/>
  <c r="T294" i="62"/>
  <c r="V294" i="62"/>
  <c r="S294" i="62"/>
  <c r="U294" i="62"/>
  <c r="Y294" i="62"/>
  <c r="B295" i="62"/>
  <c r="AC295" i="62" s="1"/>
  <c r="AB295" i="62" l="1"/>
  <c r="AF295" i="62"/>
  <c r="AE295" i="62"/>
  <c r="AD295" i="62"/>
  <c r="Z295" i="62"/>
  <c r="AA295" i="62"/>
  <c r="W295" i="62"/>
  <c r="X295" i="62"/>
  <c r="T295" i="62"/>
  <c r="V295" i="62"/>
  <c r="S295" i="62"/>
  <c r="U295" i="62"/>
  <c r="Y295" i="62"/>
  <c r="B296" i="62"/>
  <c r="AC296" i="62" s="1"/>
  <c r="AB296" i="62" l="1"/>
  <c r="AE296" i="62"/>
  <c r="AD296" i="62"/>
  <c r="AF296" i="62"/>
  <c r="Z296" i="62"/>
  <c r="AA296" i="62"/>
  <c r="W296" i="62"/>
  <c r="X296" i="62"/>
  <c r="T296" i="62"/>
  <c r="V296" i="62"/>
  <c r="S296" i="62"/>
  <c r="U296" i="62"/>
  <c r="Y296" i="62"/>
  <c r="B297" i="62"/>
  <c r="AC297" i="62" s="1"/>
  <c r="AB297" i="62" l="1"/>
  <c r="AF297" i="62"/>
  <c r="AE297" i="62"/>
  <c r="AD297" i="62"/>
  <c r="Z297" i="62"/>
  <c r="AA297" i="62"/>
  <c r="W297" i="62"/>
  <c r="X297" i="62"/>
  <c r="T297" i="62"/>
  <c r="V297" i="62"/>
  <c r="S297" i="62"/>
  <c r="U297" i="62"/>
  <c r="Y297" i="62"/>
  <c r="B298" i="62"/>
  <c r="AC298" i="62" s="1"/>
  <c r="AB298" i="62" l="1"/>
  <c r="AF298" i="62"/>
  <c r="AE298" i="62"/>
  <c r="AD298" i="62"/>
  <c r="Z298" i="62"/>
  <c r="AA298" i="62"/>
  <c r="W298" i="62"/>
  <c r="X298" i="62"/>
  <c r="T298" i="62"/>
  <c r="V298" i="62"/>
  <c r="S298" i="62"/>
  <c r="U298" i="62"/>
  <c r="Y298" i="62"/>
  <c r="B299" i="62"/>
  <c r="AC299" i="62" s="1"/>
  <c r="AB299" i="62" l="1"/>
  <c r="AD299" i="62"/>
  <c r="AF299" i="62"/>
  <c r="AE299" i="62"/>
  <c r="Z299" i="62"/>
  <c r="AA299" i="62"/>
  <c r="W299" i="62"/>
  <c r="X299" i="62"/>
  <c r="T299" i="62"/>
  <c r="V299" i="62"/>
  <c r="S299" i="62"/>
  <c r="U299" i="62"/>
  <c r="Y299" i="62"/>
  <c r="B300" i="62"/>
  <c r="AC300" i="62" s="1"/>
  <c r="AB300" i="62" l="1"/>
  <c r="AF300" i="62"/>
  <c r="AE300" i="62"/>
  <c r="AD300" i="62"/>
  <c r="Z300" i="62"/>
  <c r="AA300" i="62"/>
  <c r="W300" i="62"/>
  <c r="X300" i="62"/>
  <c r="T300" i="62"/>
  <c r="V300" i="62"/>
  <c r="S300" i="62"/>
  <c r="U300" i="62"/>
  <c r="Y300" i="62"/>
  <c r="B301" i="62"/>
  <c r="AC301" i="62" s="1"/>
  <c r="AB301" i="62" l="1"/>
  <c r="AF301" i="62"/>
  <c r="AE301" i="62"/>
  <c r="AD301" i="62"/>
  <c r="Z301" i="62"/>
  <c r="AA301" i="62"/>
  <c r="W301" i="62"/>
  <c r="X301" i="62"/>
  <c r="T301" i="62"/>
  <c r="V301" i="62"/>
  <c r="S301" i="62"/>
  <c r="U301" i="62"/>
  <c r="Y301" i="62"/>
  <c r="B302" i="62"/>
  <c r="AC302" i="62" s="1"/>
  <c r="AB302" i="62" l="1"/>
  <c r="AF302" i="62"/>
  <c r="AE302" i="62"/>
  <c r="AD302" i="62"/>
  <c r="Z302" i="62"/>
  <c r="AA302" i="62"/>
  <c r="W302" i="62"/>
  <c r="X302" i="62"/>
  <c r="T302" i="62"/>
  <c r="V302" i="62"/>
  <c r="S302" i="62"/>
  <c r="U302" i="62"/>
  <c r="Y302" i="62"/>
  <c r="B303" i="62"/>
  <c r="AC303" i="62" s="1"/>
  <c r="AB303" i="62" l="1"/>
  <c r="AF303" i="62"/>
  <c r="AE303" i="62"/>
  <c r="AD303" i="62"/>
  <c r="Z303" i="62"/>
  <c r="AA303" i="62"/>
  <c r="W303" i="62"/>
  <c r="X303" i="62"/>
  <c r="T303" i="62"/>
  <c r="V303" i="62"/>
  <c r="S303" i="62"/>
  <c r="U303" i="62"/>
  <c r="Y303" i="62"/>
  <c r="B304" i="62"/>
  <c r="AC304" i="62" s="1"/>
  <c r="AB304" i="62" l="1"/>
  <c r="AE304" i="62"/>
  <c r="AD304" i="62"/>
  <c r="AF304" i="62"/>
  <c r="Z304" i="62"/>
  <c r="AA304" i="62"/>
  <c r="W304" i="62"/>
  <c r="X304" i="62"/>
  <c r="T304" i="62"/>
  <c r="V304" i="62"/>
  <c r="S304" i="62"/>
  <c r="U304" i="62"/>
  <c r="Y304" i="62"/>
  <c r="B305" i="62"/>
  <c r="AC305" i="62" s="1"/>
  <c r="AB305" i="62" l="1"/>
  <c r="AF305" i="62"/>
  <c r="AE305" i="62"/>
  <c r="AD305" i="62"/>
  <c r="Z305" i="62"/>
  <c r="AA305" i="62"/>
  <c r="W305" i="62"/>
  <c r="X305" i="62"/>
  <c r="T305" i="62"/>
  <c r="V305" i="62"/>
  <c r="S305" i="62"/>
  <c r="U305" i="62"/>
  <c r="Y305" i="62"/>
  <c r="B306" i="62"/>
  <c r="AC306" i="62" s="1"/>
  <c r="AB306" i="62" l="1"/>
  <c r="AF306" i="62"/>
  <c r="AE306" i="62"/>
  <c r="AD306" i="62"/>
  <c r="Z306" i="62"/>
  <c r="AA306" i="62"/>
  <c r="W306" i="62"/>
  <c r="X306" i="62"/>
  <c r="T306" i="62"/>
  <c r="V306" i="62"/>
  <c r="S306" i="62"/>
  <c r="U306" i="62"/>
  <c r="Y306" i="62"/>
  <c r="B307" i="62"/>
  <c r="AC307" i="62" s="1"/>
  <c r="AB307" i="62" l="1"/>
  <c r="AD307" i="62"/>
  <c r="AF307" i="62"/>
  <c r="AE307" i="62"/>
  <c r="Z307" i="62"/>
  <c r="AA307" i="62"/>
  <c r="W307" i="62"/>
  <c r="X307" i="62"/>
  <c r="T307" i="62"/>
  <c r="V307" i="62"/>
  <c r="S307" i="62"/>
  <c r="U307" i="62"/>
  <c r="Y307" i="62"/>
  <c r="B308" i="62"/>
  <c r="AC308" i="62" s="1"/>
  <c r="AB308" i="62" l="1"/>
  <c r="AF308" i="62"/>
  <c r="AE308" i="62"/>
  <c r="AD308" i="62"/>
  <c r="Z308" i="62"/>
  <c r="AA308" i="62"/>
  <c r="W308" i="62"/>
  <c r="X308" i="62"/>
  <c r="T308" i="62"/>
  <c r="V308" i="62"/>
  <c r="S308" i="62"/>
  <c r="U308" i="62"/>
  <c r="Y308" i="62"/>
  <c r="B309" i="62"/>
  <c r="AC309" i="62" s="1"/>
  <c r="AB309" i="62" l="1"/>
  <c r="AF309" i="62"/>
  <c r="AE309" i="62"/>
  <c r="AD309" i="62"/>
  <c r="Z309" i="62"/>
  <c r="AA309" i="62"/>
  <c r="W309" i="62"/>
  <c r="X309" i="62"/>
  <c r="T309" i="62"/>
  <c r="V309" i="62"/>
  <c r="S309" i="62"/>
  <c r="U309" i="62"/>
  <c r="Y309" i="62"/>
  <c r="B310" i="62"/>
  <c r="AC310" i="62" s="1"/>
  <c r="AB310" i="62" l="1"/>
  <c r="AF310" i="62"/>
  <c r="AE310" i="62"/>
  <c r="AD310" i="62"/>
  <c r="Z310" i="62"/>
  <c r="AA310" i="62"/>
  <c r="W310" i="62"/>
  <c r="X310" i="62"/>
  <c r="T310" i="62"/>
  <c r="V310" i="62"/>
  <c r="S310" i="62"/>
  <c r="U310" i="62"/>
  <c r="Y310" i="62"/>
  <c r="B311" i="62"/>
  <c r="AC311" i="62" s="1"/>
  <c r="AB311" i="62" l="1"/>
  <c r="AF311" i="62"/>
  <c r="AE311" i="62"/>
  <c r="AD311" i="62"/>
  <c r="Z311" i="62"/>
  <c r="AA311" i="62"/>
  <c r="W311" i="62"/>
  <c r="X311" i="62"/>
  <c r="T311" i="62"/>
  <c r="V311" i="62"/>
  <c r="S311" i="62"/>
  <c r="U311" i="62"/>
  <c r="Y311" i="62"/>
  <c r="B312" i="62"/>
  <c r="AC312" i="62" s="1"/>
  <c r="AB312" i="62" l="1"/>
  <c r="AE312" i="62"/>
  <c r="AD312" i="62"/>
  <c r="AF312" i="62"/>
  <c r="Z312" i="62"/>
  <c r="AA312" i="62"/>
  <c r="W312" i="62"/>
  <c r="X312" i="62"/>
  <c r="T312" i="62"/>
  <c r="V312" i="62"/>
  <c r="S312" i="62"/>
  <c r="U312" i="62"/>
  <c r="Y312" i="62"/>
  <c r="B313" i="62"/>
  <c r="AC313" i="62" s="1"/>
  <c r="AB313" i="62" l="1"/>
  <c r="AF313" i="62"/>
  <c r="AE313" i="62"/>
  <c r="AD313" i="62"/>
  <c r="Z313" i="62"/>
  <c r="AA313" i="62"/>
  <c r="W313" i="62"/>
  <c r="X313" i="62"/>
  <c r="T313" i="62"/>
  <c r="V313" i="62"/>
  <c r="S313" i="62"/>
  <c r="U313" i="62"/>
  <c r="Y313" i="62"/>
  <c r="B314" i="62"/>
  <c r="AC314" i="62" s="1"/>
  <c r="AB314" i="62" l="1"/>
  <c r="AF314" i="62"/>
  <c r="AE314" i="62"/>
  <c r="AD314" i="62"/>
  <c r="Z314" i="62"/>
  <c r="AA314" i="62"/>
  <c r="W314" i="62"/>
  <c r="X314" i="62"/>
  <c r="T314" i="62"/>
  <c r="V314" i="62"/>
  <c r="S314" i="62"/>
  <c r="U314" i="62"/>
  <c r="Y314" i="62"/>
  <c r="B315" i="62"/>
  <c r="AC315" i="62" s="1"/>
  <c r="AB315" i="62" l="1"/>
  <c r="AD315" i="62"/>
  <c r="AF315" i="62"/>
  <c r="AE315" i="62"/>
  <c r="Z315" i="62"/>
  <c r="AA315" i="62"/>
  <c r="W315" i="62"/>
  <c r="X315" i="62"/>
  <c r="T315" i="62"/>
  <c r="V315" i="62"/>
  <c r="S315" i="62"/>
  <c r="U315" i="62"/>
  <c r="Y315" i="62"/>
  <c r="B316" i="62"/>
  <c r="AC316" i="62" s="1"/>
  <c r="AB316" i="62" l="1"/>
  <c r="AF316" i="62"/>
  <c r="AE316" i="62"/>
  <c r="AD316" i="62"/>
  <c r="Z316" i="62"/>
  <c r="AA316" i="62"/>
  <c r="W316" i="62"/>
  <c r="X316" i="62"/>
  <c r="T316" i="62"/>
  <c r="V316" i="62"/>
  <c r="S316" i="62"/>
  <c r="U316" i="62"/>
  <c r="Y316" i="62"/>
  <c r="B317" i="62"/>
  <c r="AC317" i="62" s="1"/>
  <c r="AB317" i="62" l="1"/>
  <c r="AF317" i="62"/>
  <c r="AE317" i="62"/>
  <c r="AD317" i="62"/>
  <c r="Z317" i="62"/>
  <c r="AA317" i="62"/>
  <c r="W317" i="62"/>
  <c r="X317" i="62"/>
  <c r="T317" i="62"/>
  <c r="V317" i="62"/>
  <c r="S317" i="62"/>
  <c r="U317" i="62"/>
  <c r="Y317" i="62"/>
  <c r="B318" i="62"/>
  <c r="AC318" i="62" s="1"/>
  <c r="AB318" i="62" l="1"/>
  <c r="AF318" i="62"/>
  <c r="AE318" i="62"/>
  <c r="AD318" i="62"/>
  <c r="Z318" i="62"/>
  <c r="AA318" i="62"/>
  <c r="W318" i="62"/>
  <c r="X318" i="62"/>
  <c r="T318" i="62"/>
  <c r="V318" i="62"/>
  <c r="S318" i="62"/>
  <c r="U318" i="62"/>
  <c r="Y318" i="62"/>
  <c r="B319" i="62"/>
  <c r="AC319" i="62" s="1"/>
  <c r="AB319" i="62" l="1"/>
  <c r="AF319" i="62"/>
  <c r="AE319" i="62"/>
  <c r="AD319" i="62"/>
  <c r="Z319" i="62"/>
  <c r="AA319" i="62"/>
  <c r="W319" i="62"/>
  <c r="X319" i="62"/>
  <c r="T319" i="62"/>
  <c r="V319" i="62"/>
  <c r="S319" i="62"/>
  <c r="U319" i="62"/>
  <c r="Y319" i="62"/>
  <c r="B320" i="62"/>
  <c r="AC320" i="62" s="1"/>
  <c r="AB320" i="62" l="1"/>
  <c r="AE320" i="62"/>
  <c r="AD320" i="62"/>
  <c r="AF320" i="62"/>
  <c r="Z320" i="62"/>
  <c r="AA320" i="62"/>
  <c r="W320" i="62"/>
  <c r="X320" i="62"/>
  <c r="T320" i="62"/>
  <c r="V320" i="62"/>
  <c r="S320" i="62"/>
  <c r="U320" i="62"/>
  <c r="Y320" i="62"/>
  <c r="B321" i="62"/>
  <c r="AC321" i="62" s="1"/>
  <c r="AB321" i="62" l="1"/>
  <c r="AF321" i="62"/>
  <c r="AE321" i="62"/>
  <c r="AD321" i="62"/>
  <c r="Z321" i="62"/>
  <c r="AA321" i="62"/>
  <c r="W321" i="62"/>
  <c r="X321" i="62"/>
  <c r="T321" i="62"/>
  <c r="V321" i="62"/>
  <c r="S321" i="62"/>
  <c r="U321" i="62"/>
  <c r="Y321" i="62"/>
  <c r="B322" i="62"/>
  <c r="AC322" i="62" s="1"/>
  <c r="AB322" i="62" l="1"/>
  <c r="AF322" i="62"/>
  <c r="AE322" i="62"/>
  <c r="AD322" i="62"/>
  <c r="Z322" i="62"/>
  <c r="AA322" i="62"/>
  <c r="W322" i="62"/>
  <c r="X322" i="62"/>
  <c r="T322" i="62"/>
  <c r="V322" i="62"/>
  <c r="S322" i="62"/>
  <c r="U322" i="62"/>
  <c r="Y322" i="62"/>
  <c r="B323" i="62"/>
  <c r="AC323" i="62" s="1"/>
  <c r="AB323" i="62" l="1"/>
  <c r="AD323" i="62"/>
  <c r="AF323" i="62"/>
  <c r="AE323" i="62"/>
  <c r="Z323" i="62"/>
  <c r="AA323" i="62"/>
  <c r="W323" i="62"/>
  <c r="X323" i="62"/>
  <c r="T323" i="62"/>
  <c r="V323" i="62"/>
  <c r="S323" i="62"/>
  <c r="U323" i="62"/>
  <c r="Y323" i="62"/>
  <c r="B324" i="62"/>
  <c r="AC324" i="62" s="1"/>
  <c r="AB324" i="62" l="1"/>
  <c r="AF324" i="62"/>
  <c r="AE324" i="62"/>
  <c r="AD324" i="62"/>
  <c r="Z324" i="62"/>
  <c r="AA324" i="62"/>
  <c r="W324" i="62"/>
  <c r="X324" i="62"/>
  <c r="T324" i="62"/>
  <c r="V324" i="62"/>
  <c r="S324" i="62"/>
  <c r="U324" i="62"/>
  <c r="Y324" i="62"/>
  <c r="B325" i="62"/>
  <c r="AC325" i="62" s="1"/>
  <c r="AB325" i="62" l="1"/>
  <c r="AF325" i="62"/>
  <c r="AE325" i="62"/>
  <c r="AD325" i="62"/>
  <c r="Z325" i="62"/>
  <c r="AA325" i="62"/>
  <c r="W325" i="62"/>
  <c r="X325" i="62"/>
  <c r="T325" i="62"/>
  <c r="V325" i="62"/>
  <c r="S325" i="62"/>
  <c r="U325" i="62"/>
  <c r="Y325" i="62"/>
  <c r="B326" i="62"/>
  <c r="AC326" i="62" s="1"/>
  <c r="AB326" i="62" l="1"/>
  <c r="AF326" i="62"/>
  <c r="AE326" i="62"/>
  <c r="AD326" i="62"/>
  <c r="Z326" i="62"/>
  <c r="AA326" i="62"/>
  <c r="W326" i="62"/>
  <c r="X326" i="62"/>
  <c r="T326" i="62"/>
  <c r="V326" i="62"/>
  <c r="S326" i="62"/>
  <c r="U326" i="62"/>
  <c r="Y326" i="62"/>
  <c r="B327" i="62"/>
  <c r="AC327" i="62" s="1"/>
  <c r="AB327" i="62" l="1"/>
  <c r="AF327" i="62"/>
  <c r="AE327" i="62"/>
  <c r="AD327" i="62"/>
  <c r="Z327" i="62"/>
  <c r="AA327" i="62"/>
  <c r="W327" i="62"/>
  <c r="X327" i="62"/>
  <c r="T327" i="62"/>
  <c r="V327" i="62"/>
  <c r="S327" i="62"/>
  <c r="U327" i="62"/>
  <c r="Y327" i="62"/>
  <c r="B328" i="62"/>
  <c r="AC328" i="62" s="1"/>
  <c r="AB328" i="62" l="1"/>
  <c r="AE328" i="62"/>
  <c r="AD328" i="62"/>
  <c r="AF328" i="62"/>
  <c r="Z328" i="62"/>
  <c r="AA328" i="62"/>
  <c r="W328" i="62"/>
  <c r="X328" i="62"/>
  <c r="T328" i="62"/>
  <c r="V328" i="62"/>
  <c r="S328" i="62"/>
  <c r="U328" i="62"/>
  <c r="Y328" i="62"/>
  <c r="B329" i="62"/>
  <c r="AC329" i="62" s="1"/>
  <c r="AB329" i="62" l="1"/>
  <c r="AF329" i="62"/>
  <c r="AE329" i="62"/>
  <c r="AD329" i="62"/>
  <c r="Z329" i="62"/>
  <c r="AA329" i="62"/>
  <c r="W329" i="62"/>
  <c r="X329" i="62"/>
  <c r="T329" i="62"/>
  <c r="V329" i="62"/>
  <c r="S329" i="62"/>
  <c r="U329" i="62"/>
  <c r="Y329" i="62"/>
  <c r="B330" i="62"/>
  <c r="AC330" i="62" s="1"/>
  <c r="AB330" i="62" l="1"/>
  <c r="AF330" i="62"/>
  <c r="AE330" i="62"/>
  <c r="AD330" i="62"/>
  <c r="Z330" i="62"/>
  <c r="AA330" i="62"/>
  <c r="W330" i="62"/>
  <c r="X330" i="62"/>
  <c r="T330" i="62"/>
  <c r="V330" i="62"/>
  <c r="S330" i="62"/>
  <c r="U330" i="62"/>
  <c r="Y330" i="62"/>
  <c r="B331" i="62"/>
  <c r="AC331" i="62" s="1"/>
  <c r="AB331" i="62" l="1"/>
  <c r="AD331" i="62"/>
  <c r="AF331" i="62"/>
  <c r="AE331" i="62"/>
  <c r="Z331" i="62"/>
  <c r="AA331" i="62"/>
  <c r="W331" i="62"/>
  <c r="X331" i="62"/>
  <c r="T331" i="62"/>
  <c r="V331" i="62"/>
  <c r="S331" i="62"/>
  <c r="U331" i="62"/>
  <c r="Y331" i="62"/>
  <c r="B332" i="62"/>
  <c r="AC332" i="62" s="1"/>
  <c r="AB332" i="62" l="1"/>
  <c r="AF332" i="62"/>
  <c r="AE332" i="62"/>
  <c r="AD332" i="62"/>
  <c r="Z332" i="62"/>
  <c r="AA332" i="62"/>
  <c r="W332" i="62"/>
  <c r="X332" i="62"/>
  <c r="T332" i="62"/>
  <c r="V332" i="62"/>
  <c r="S332" i="62"/>
  <c r="U332" i="62"/>
  <c r="Y332" i="62"/>
  <c r="B333" i="62"/>
  <c r="AC333" i="62" s="1"/>
  <c r="AB333" i="62" l="1"/>
  <c r="AF333" i="62"/>
  <c r="AE333" i="62"/>
  <c r="AD333" i="62"/>
  <c r="Z333" i="62"/>
  <c r="AA333" i="62"/>
  <c r="W333" i="62"/>
  <c r="X333" i="62"/>
  <c r="T333" i="62"/>
  <c r="V333" i="62"/>
  <c r="S333" i="62"/>
  <c r="U333" i="62"/>
  <c r="Y333" i="62"/>
  <c r="B334" i="62"/>
  <c r="AC334" i="62" s="1"/>
  <c r="AB334" i="62" l="1"/>
  <c r="AF334" i="62"/>
  <c r="AE334" i="62"/>
  <c r="AD334" i="62"/>
  <c r="Z334" i="62"/>
  <c r="AA334" i="62"/>
  <c r="W334" i="62"/>
  <c r="X334" i="62"/>
  <c r="T334" i="62"/>
  <c r="V334" i="62"/>
  <c r="S334" i="62"/>
  <c r="U334" i="62"/>
  <c r="Y334" i="62"/>
  <c r="B335" i="62"/>
  <c r="AC335" i="62" s="1"/>
  <c r="AB335" i="62" l="1"/>
  <c r="AF335" i="62"/>
  <c r="AE335" i="62"/>
  <c r="AD335" i="62"/>
  <c r="Z335" i="62"/>
  <c r="AA335" i="62"/>
  <c r="W335" i="62"/>
  <c r="X335" i="62"/>
  <c r="T335" i="62"/>
  <c r="V335" i="62"/>
  <c r="S335" i="62"/>
  <c r="U335" i="62"/>
  <c r="Y335" i="62"/>
  <c r="B336" i="62"/>
  <c r="AC336" i="62" s="1"/>
  <c r="AB336" i="62" l="1"/>
  <c r="AE336" i="62"/>
  <c r="AD336" i="62"/>
  <c r="AF336" i="62"/>
  <c r="Z336" i="62"/>
  <c r="AA336" i="62"/>
  <c r="W336" i="62"/>
  <c r="X336" i="62"/>
  <c r="T336" i="62"/>
  <c r="V336" i="62"/>
  <c r="S336" i="62"/>
  <c r="U336" i="62"/>
  <c r="Y336" i="62"/>
  <c r="B337" i="62"/>
  <c r="AC337" i="62" s="1"/>
  <c r="AB337" i="62" l="1"/>
  <c r="AF337" i="62"/>
  <c r="AE337" i="62"/>
  <c r="AD337" i="62"/>
  <c r="Z337" i="62"/>
  <c r="AA337" i="62"/>
  <c r="W337" i="62"/>
  <c r="X337" i="62"/>
  <c r="T337" i="62"/>
  <c r="V337" i="62"/>
  <c r="S337" i="62"/>
  <c r="U337" i="62"/>
  <c r="Y337" i="62"/>
  <c r="B338" i="62"/>
  <c r="AC338" i="62" s="1"/>
  <c r="AB338" i="62" l="1"/>
  <c r="AF338" i="62"/>
  <c r="AE338" i="62"/>
  <c r="AD338" i="62"/>
  <c r="Z338" i="62"/>
  <c r="AA338" i="62"/>
  <c r="W338" i="62"/>
  <c r="X338" i="62"/>
  <c r="T338" i="62"/>
  <c r="V338" i="62"/>
  <c r="S338" i="62"/>
  <c r="U338" i="62"/>
  <c r="Y338" i="62"/>
  <c r="B339" i="62"/>
  <c r="AC339" i="62" s="1"/>
  <c r="AB339" i="62" l="1"/>
  <c r="AD339" i="62"/>
  <c r="AF339" i="62"/>
  <c r="AE339" i="62"/>
  <c r="Z339" i="62"/>
  <c r="AA339" i="62"/>
  <c r="W339" i="62"/>
  <c r="X339" i="62"/>
  <c r="T339" i="62"/>
  <c r="V339" i="62"/>
  <c r="S339" i="62"/>
  <c r="U339" i="62"/>
  <c r="Y339" i="62"/>
  <c r="B340" i="62"/>
  <c r="AC340" i="62" s="1"/>
  <c r="AB340" i="62" l="1"/>
  <c r="AF340" i="62"/>
  <c r="AE340" i="62"/>
  <c r="AD340" i="62"/>
  <c r="Z340" i="62"/>
  <c r="AA340" i="62"/>
  <c r="W340" i="62"/>
  <c r="X340" i="62"/>
  <c r="T340" i="62"/>
  <c r="V340" i="62"/>
  <c r="S340" i="62"/>
  <c r="U340" i="62"/>
  <c r="Y340" i="62"/>
  <c r="B341" i="62"/>
  <c r="AC341" i="62" s="1"/>
  <c r="AB341" i="62" l="1"/>
  <c r="AF341" i="62"/>
  <c r="AE341" i="62"/>
  <c r="AD341" i="62"/>
  <c r="Z341" i="62"/>
  <c r="AA341" i="62"/>
  <c r="W341" i="62"/>
  <c r="X341" i="62"/>
  <c r="T341" i="62"/>
  <c r="V341" i="62"/>
  <c r="S341" i="62"/>
  <c r="U341" i="62"/>
  <c r="Y341" i="62"/>
  <c r="B342" i="62"/>
  <c r="AC342" i="62" s="1"/>
  <c r="AB342" i="62" l="1"/>
  <c r="AF342" i="62"/>
  <c r="AE342" i="62"/>
  <c r="AD342" i="62"/>
  <c r="Z342" i="62"/>
  <c r="AA342" i="62"/>
  <c r="W342" i="62"/>
  <c r="X342" i="62"/>
  <c r="T342" i="62"/>
  <c r="V342" i="62"/>
  <c r="S342" i="62"/>
  <c r="U342" i="62"/>
  <c r="Y342" i="62"/>
  <c r="B343" i="62"/>
  <c r="AC343" i="62" s="1"/>
  <c r="AB343" i="62" l="1"/>
  <c r="AF343" i="62"/>
  <c r="AE343" i="62"/>
  <c r="AD343" i="62"/>
  <c r="Z343" i="62"/>
  <c r="AA343" i="62"/>
  <c r="W343" i="62"/>
  <c r="X343" i="62"/>
  <c r="T343" i="62"/>
  <c r="V343" i="62"/>
  <c r="S343" i="62"/>
  <c r="U343" i="62"/>
  <c r="Y343" i="62"/>
  <c r="B344" i="62"/>
  <c r="AC344" i="62" s="1"/>
  <c r="AB344" i="62" l="1"/>
  <c r="AE344" i="62"/>
  <c r="AD344" i="62"/>
  <c r="AF344" i="62"/>
  <c r="Z344" i="62"/>
  <c r="AA344" i="62"/>
  <c r="W344" i="62"/>
  <c r="X344" i="62"/>
  <c r="T344" i="62"/>
  <c r="V344" i="62"/>
  <c r="S344" i="62"/>
  <c r="U344" i="62"/>
  <c r="Y344" i="62"/>
  <c r="B345" i="62"/>
  <c r="AC345" i="62" s="1"/>
  <c r="AB345" i="62" l="1"/>
  <c r="AF345" i="62"/>
  <c r="AE345" i="62"/>
  <c r="AD345" i="62"/>
  <c r="Z345" i="62"/>
  <c r="AA345" i="62"/>
  <c r="W345" i="62"/>
  <c r="X345" i="62"/>
  <c r="T345" i="62"/>
  <c r="V345" i="62"/>
  <c r="S345" i="62"/>
  <c r="U345" i="62"/>
  <c r="Y345" i="62"/>
  <c r="B346" i="62"/>
  <c r="AC346" i="62" s="1"/>
  <c r="AB346" i="62" l="1"/>
  <c r="AF346" i="62"/>
  <c r="AE346" i="62"/>
  <c r="AD346" i="62"/>
  <c r="Z346" i="62"/>
  <c r="AA346" i="62"/>
  <c r="W346" i="62"/>
  <c r="X346" i="62"/>
  <c r="T346" i="62"/>
  <c r="V346" i="62"/>
  <c r="S346" i="62"/>
  <c r="U346" i="62"/>
  <c r="Y346" i="62"/>
  <c r="B347" i="62"/>
  <c r="AC347" i="62" s="1"/>
  <c r="AB347" i="62" l="1"/>
  <c r="AD347" i="62"/>
  <c r="AF347" i="62"/>
  <c r="AE347" i="62"/>
  <c r="Z347" i="62"/>
  <c r="AA347" i="62"/>
  <c r="W347" i="62"/>
  <c r="X347" i="62"/>
  <c r="T347" i="62"/>
  <c r="V347" i="62"/>
  <c r="S347" i="62"/>
  <c r="U347" i="62"/>
  <c r="Y347" i="62"/>
  <c r="B348" i="62"/>
  <c r="AC348" i="62" s="1"/>
  <c r="AB348" i="62" l="1"/>
  <c r="AF348" i="62"/>
  <c r="AE348" i="62"/>
  <c r="AD348" i="62"/>
  <c r="Z348" i="62"/>
  <c r="AA348" i="62"/>
  <c r="W348" i="62"/>
  <c r="X348" i="62"/>
  <c r="T348" i="62"/>
  <c r="V348" i="62"/>
  <c r="S348" i="62"/>
  <c r="U348" i="62"/>
  <c r="Y348" i="62"/>
  <c r="B349" i="62"/>
  <c r="AC349" i="62" s="1"/>
  <c r="AB349" i="62" l="1"/>
  <c r="AF349" i="62"/>
  <c r="AE349" i="62"/>
  <c r="AD349" i="62"/>
  <c r="Z349" i="62"/>
  <c r="AA349" i="62"/>
  <c r="W349" i="62"/>
  <c r="X349" i="62"/>
  <c r="T349" i="62"/>
  <c r="V349" i="62"/>
  <c r="S349" i="62"/>
  <c r="U349" i="62"/>
  <c r="Y349" i="62"/>
  <c r="B350" i="62"/>
  <c r="AC350" i="62" s="1"/>
  <c r="AB350" i="62" l="1"/>
  <c r="AF350" i="62"/>
  <c r="AE350" i="62"/>
  <c r="AD350" i="62"/>
  <c r="Z350" i="62"/>
  <c r="AA350" i="62"/>
  <c r="W350" i="62"/>
  <c r="X350" i="62"/>
  <c r="T350" i="62"/>
  <c r="V350" i="62"/>
  <c r="S350" i="62"/>
  <c r="U350" i="62"/>
  <c r="Y350" i="62"/>
  <c r="B351" i="62"/>
  <c r="AC351" i="62" s="1"/>
  <c r="AB351" i="62" l="1"/>
  <c r="AF351" i="62"/>
  <c r="AE351" i="62"/>
  <c r="AD351" i="62"/>
  <c r="Z351" i="62"/>
  <c r="AA351" i="62"/>
  <c r="W351" i="62"/>
  <c r="X351" i="62"/>
  <c r="T351" i="62"/>
  <c r="V351" i="62"/>
  <c r="S351" i="62"/>
  <c r="U351" i="62"/>
  <c r="Y351" i="62"/>
  <c r="B352" i="62"/>
  <c r="AC352" i="62" s="1"/>
  <c r="AB352" i="62" l="1"/>
  <c r="AE352" i="62"/>
  <c r="AD352" i="62"/>
  <c r="AF352" i="62"/>
  <c r="Z352" i="62"/>
  <c r="AA352" i="62"/>
  <c r="W352" i="62"/>
  <c r="X352" i="62"/>
  <c r="T352" i="62"/>
  <c r="V352" i="62"/>
  <c r="S352" i="62"/>
  <c r="U352" i="62"/>
  <c r="Y352" i="62"/>
  <c r="B353" i="62"/>
  <c r="AC353" i="62" s="1"/>
  <c r="AB353" i="62" l="1"/>
  <c r="AF353" i="62"/>
  <c r="AE353" i="62"/>
  <c r="AD353" i="62"/>
  <c r="Z353" i="62"/>
  <c r="AA353" i="62"/>
  <c r="W353" i="62"/>
  <c r="X353" i="62"/>
  <c r="T353" i="62"/>
  <c r="V353" i="62"/>
  <c r="S353" i="62"/>
  <c r="U353" i="62"/>
  <c r="Y353" i="62"/>
  <c r="B354" i="62"/>
  <c r="AC354" i="62" s="1"/>
  <c r="AB354" i="62" l="1"/>
  <c r="AF354" i="62"/>
  <c r="AE354" i="62"/>
  <c r="AD354" i="62"/>
  <c r="Z354" i="62"/>
  <c r="AA354" i="62"/>
  <c r="W354" i="62"/>
  <c r="X354" i="62"/>
  <c r="T354" i="62"/>
  <c r="V354" i="62"/>
  <c r="S354" i="62"/>
  <c r="U354" i="62"/>
  <c r="Y354" i="62"/>
  <c r="B355" i="62"/>
  <c r="AC355" i="62" s="1"/>
  <c r="AB355" i="62" l="1"/>
  <c r="AD355" i="62"/>
  <c r="AE355" i="62"/>
  <c r="AF355" i="62"/>
  <c r="Z355" i="62"/>
  <c r="AA355" i="62"/>
  <c r="W355" i="62"/>
  <c r="X355" i="62"/>
  <c r="T355" i="62"/>
  <c r="V355" i="62"/>
  <c r="S355" i="62"/>
  <c r="U355" i="62"/>
  <c r="Y355" i="62"/>
  <c r="B356" i="62"/>
  <c r="AC356" i="62" s="1"/>
  <c r="AB356" i="62" l="1"/>
  <c r="AF356" i="62"/>
  <c r="AE356" i="62"/>
  <c r="AD356" i="62"/>
  <c r="Z356" i="62"/>
  <c r="AA356" i="62"/>
  <c r="W356" i="62"/>
  <c r="X356" i="62"/>
  <c r="T356" i="62"/>
  <c r="V356" i="62"/>
  <c r="S356" i="62"/>
  <c r="U356" i="62"/>
  <c r="Y356" i="62"/>
  <c r="B357" i="62"/>
  <c r="AC357" i="62" s="1"/>
  <c r="AB357" i="62" l="1"/>
  <c r="AF357" i="62"/>
  <c r="AE357" i="62"/>
  <c r="AD357" i="62"/>
  <c r="Z357" i="62"/>
  <c r="AA357" i="62"/>
  <c r="W357" i="62"/>
  <c r="X357" i="62"/>
  <c r="T357" i="62"/>
  <c r="V357" i="62"/>
  <c r="S357" i="62"/>
  <c r="U357" i="62"/>
  <c r="Y357" i="62"/>
  <c r="B358" i="62"/>
  <c r="AC358" i="62" s="1"/>
  <c r="AB358" i="62" l="1"/>
  <c r="AF358" i="62"/>
  <c r="AE358" i="62"/>
  <c r="AD358" i="62"/>
  <c r="Z358" i="62"/>
  <c r="AA358" i="62"/>
  <c r="W358" i="62"/>
  <c r="X358" i="62"/>
  <c r="T358" i="62"/>
  <c r="V358" i="62"/>
  <c r="S358" i="62"/>
  <c r="U358" i="62"/>
  <c r="Y358" i="62"/>
  <c r="B359" i="62"/>
  <c r="AC359" i="62" s="1"/>
  <c r="AB359" i="62" l="1"/>
  <c r="AF359" i="62"/>
  <c r="AE359" i="62"/>
  <c r="AD359" i="62"/>
  <c r="Z359" i="62"/>
  <c r="AA359" i="62"/>
  <c r="W359" i="62"/>
  <c r="X359" i="62"/>
  <c r="T359" i="62"/>
  <c r="V359" i="62"/>
  <c r="S359" i="62"/>
  <c r="U359" i="62"/>
  <c r="Y359" i="62"/>
  <c r="B360" i="62"/>
  <c r="AC360" i="62" s="1"/>
  <c r="AB360" i="62" l="1"/>
  <c r="AE360" i="62"/>
  <c r="AD360" i="62"/>
  <c r="AF360" i="62"/>
  <c r="Z360" i="62"/>
  <c r="AA360" i="62"/>
  <c r="W360" i="62"/>
  <c r="X360" i="62"/>
  <c r="T360" i="62"/>
  <c r="V360" i="62"/>
  <c r="S360" i="62"/>
  <c r="U360" i="62"/>
  <c r="Y360" i="62"/>
  <c r="B361" i="62"/>
  <c r="AC361" i="62" s="1"/>
  <c r="AB361" i="62" l="1"/>
  <c r="AF361" i="62"/>
  <c r="AE361" i="62"/>
  <c r="AD361" i="62"/>
  <c r="Z361" i="62"/>
  <c r="AA361" i="62"/>
  <c r="W361" i="62"/>
  <c r="X361" i="62"/>
  <c r="T361" i="62"/>
  <c r="V361" i="62"/>
  <c r="S361" i="62"/>
  <c r="U361" i="62"/>
  <c r="Y361" i="62"/>
  <c r="B362" i="62"/>
  <c r="AC362" i="62" s="1"/>
  <c r="AB362" i="62" l="1"/>
  <c r="AF362" i="62"/>
  <c r="AE362" i="62"/>
  <c r="AD362" i="62"/>
  <c r="Z362" i="62"/>
  <c r="AA362" i="62"/>
  <c r="W362" i="62"/>
  <c r="X362" i="62"/>
  <c r="T362" i="62"/>
  <c r="V362" i="62"/>
  <c r="S362" i="62"/>
  <c r="U362" i="62"/>
  <c r="Y362" i="62"/>
  <c r="B363" i="62"/>
  <c r="AC363" i="62" s="1"/>
  <c r="AB363" i="62" l="1"/>
  <c r="AD363" i="62"/>
  <c r="AF363" i="62"/>
  <c r="AE363" i="62"/>
  <c r="Z363" i="62"/>
  <c r="AA363" i="62"/>
  <c r="W363" i="62"/>
  <c r="X363" i="62"/>
  <c r="T363" i="62"/>
  <c r="V363" i="62"/>
  <c r="S363" i="62"/>
  <c r="U363" i="62"/>
  <c r="Y363" i="62"/>
  <c r="B364" i="62"/>
  <c r="AC364" i="62" s="1"/>
  <c r="AB364" i="62" l="1"/>
  <c r="AF364" i="62"/>
  <c r="AE364" i="62"/>
  <c r="AD364" i="62"/>
  <c r="Z364" i="62"/>
  <c r="AA364" i="62"/>
  <c r="W364" i="62"/>
  <c r="X364" i="62"/>
  <c r="T364" i="62"/>
  <c r="V364" i="62"/>
  <c r="S364" i="62"/>
  <c r="U364" i="62"/>
  <c r="Y364" i="62"/>
  <c r="B365" i="62"/>
  <c r="AC365" i="62" s="1"/>
  <c r="AB365" i="62" l="1"/>
  <c r="AF365" i="62"/>
  <c r="AE365" i="62"/>
  <c r="AD365" i="62"/>
  <c r="Z365" i="62"/>
  <c r="AA365" i="62"/>
  <c r="W365" i="62"/>
  <c r="X365" i="62"/>
  <c r="T365" i="62"/>
  <c r="V365" i="62"/>
  <c r="S365" i="62"/>
  <c r="U365" i="62"/>
  <c r="Y365" i="62"/>
  <c r="B366" i="62"/>
  <c r="AC366" i="62" s="1"/>
  <c r="AB366" i="62" l="1"/>
  <c r="AF366" i="62"/>
  <c r="AD366" i="62"/>
  <c r="AE366" i="62"/>
  <c r="Z366" i="62"/>
  <c r="AA366" i="62"/>
  <c r="W366" i="62"/>
  <c r="X366" i="62"/>
  <c r="T366" i="62"/>
  <c r="V366" i="62"/>
  <c r="S366" i="62"/>
  <c r="U366" i="62"/>
  <c r="Y366" i="62"/>
  <c r="B367" i="62"/>
  <c r="AC367" i="62" s="1"/>
  <c r="AB367" i="62" l="1"/>
  <c r="AF367" i="62"/>
  <c r="AE367" i="62"/>
  <c r="AD367" i="62"/>
  <c r="Z367" i="62"/>
  <c r="AA367" i="62"/>
  <c r="W367" i="62"/>
  <c r="X367" i="62"/>
  <c r="T367" i="62"/>
  <c r="V367" i="62"/>
  <c r="S367" i="62"/>
  <c r="U367" i="62"/>
  <c r="Y367" i="62"/>
  <c r="B368" i="62"/>
  <c r="AC368" i="62" s="1"/>
  <c r="AB368" i="62" l="1"/>
  <c r="AE368" i="62"/>
  <c r="AD368" i="62"/>
  <c r="AF368" i="62"/>
  <c r="Z368" i="62"/>
  <c r="AA368" i="62"/>
  <c r="W368" i="62"/>
  <c r="X368" i="62"/>
  <c r="T368" i="62"/>
  <c r="V368" i="62"/>
  <c r="S368" i="62"/>
  <c r="U368" i="62"/>
  <c r="Y368" i="62"/>
  <c r="B369" i="62"/>
  <c r="AC369" i="62" s="1"/>
  <c r="AB369" i="62" l="1"/>
  <c r="AF369" i="62"/>
  <c r="AE369" i="62"/>
  <c r="AD369" i="62"/>
  <c r="Z369" i="62"/>
  <c r="AA369" i="62"/>
  <c r="W369" i="62"/>
  <c r="X369" i="62"/>
  <c r="T369" i="62"/>
  <c r="V369" i="62"/>
  <c r="S369" i="62"/>
  <c r="U369" i="62"/>
  <c r="Y369" i="62"/>
  <c r="B370" i="62"/>
  <c r="AC370" i="62" s="1"/>
  <c r="AB370" i="62" l="1"/>
  <c r="AF370" i="62"/>
  <c r="AE370" i="62"/>
  <c r="AD370" i="62"/>
  <c r="Z370" i="62"/>
  <c r="AA370" i="62"/>
  <c r="W370" i="62"/>
  <c r="X370" i="62"/>
  <c r="T370" i="62"/>
  <c r="V370" i="62"/>
  <c r="S370" i="62"/>
  <c r="U370" i="62"/>
  <c r="Y370" i="62"/>
  <c r="K34" i="41" l="1"/>
  <c r="L34" i="41" s="1"/>
  <c r="O34" i="41" l="1"/>
  <c r="C6" i="62"/>
  <c r="D6" i="62"/>
  <c r="E6" i="62"/>
  <c r="F6" i="62"/>
  <c r="G6" i="62"/>
  <c r="H6" i="62"/>
  <c r="I6" i="62"/>
  <c r="J6" i="62"/>
  <c r="K6" i="62"/>
  <c r="L6" i="62"/>
  <c r="M6" i="62"/>
  <c r="N6" i="62"/>
  <c r="O6" i="62"/>
  <c r="P6" i="62"/>
  <c r="Q6" i="62"/>
  <c r="R6" i="62"/>
  <c r="C7" i="62"/>
  <c r="D7" i="62"/>
  <c r="E7" i="62"/>
  <c r="F7" i="62"/>
  <c r="G7" i="62"/>
  <c r="H7" i="62"/>
  <c r="I7" i="62"/>
  <c r="J7" i="62"/>
  <c r="K7" i="62"/>
  <c r="L7" i="62"/>
  <c r="M7" i="62"/>
  <c r="N7" i="62"/>
  <c r="O7" i="62"/>
  <c r="P7" i="62"/>
  <c r="Q7" i="62"/>
  <c r="R7" i="62"/>
  <c r="C8" i="62"/>
  <c r="D8" i="62"/>
  <c r="E8" i="62"/>
  <c r="F8" i="62"/>
  <c r="G8" i="62"/>
  <c r="H8" i="62"/>
  <c r="I8" i="62"/>
  <c r="J8" i="62"/>
  <c r="K8" i="62"/>
  <c r="L8" i="62"/>
  <c r="M8" i="62"/>
  <c r="N8" i="62"/>
  <c r="O8" i="62"/>
  <c r="P8" i="62"/>
  <c r="Q8" i="62"/>
  <c r="R8" i="62"/>
  <c r="C9" i="62"/>
  <c r="D9" i="62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C10" i="62"/>
  <c r="D10" i="62"/>
  <c r="E10" i="62"/>
  <c r="F10" i="62"/>
  <c r="G10" i="62"/>
  <c r="H10" i="62"/>
  <c r="I10" i="62"/>
  <c r="J10" i="62"/>
  <c r="K10" i="62"/>
  <c r="L10" i="62"/>
  <c r="M10" i="62"/>
  <c r="N10" i="62"/>
  <c r="O10" i="62"/>
  <c r="P10" i="62"/>
  <c r="Q10" i="62"/>
  <c r="R10" i="62"/>
  <c r="C11" i="62"/>
  <c r="D11" i="62"/>
  <c r="E11" i="62"/>
  <c r="F11" i="62"/>
  <c r="G11" i="62"/>
  <c r="H11" i="62"/>
  <c r="I11" i="62"/>
  <c r="J11" i="62"/>
  <c r="K11" i="62"/>
  <c r="L11" i="62"/>
  <c r="M11" i="62"/>
  <c r="N11" i="62"/>
  <c r="O11" i="62"/>
  <c r="P11" i="62"/>
  <c r="Q11" i="62"/>
  <c r="R11" i="62"/>
  <c r="C12" i="62"/>
  <c r="D12" i="62"/>
  <c r="E12" i="62"/>
  <c r="F12" i="62"/>
  <c r="G12" i="62"/>
  <c r="H12" i="62"/>
  <c r="I12" i="62"/>
  <c r="J12" i="62"/>
  <c r="K12" i="62"/>
  <c r="L12" i="62"/>
  <c r="M12" i="62"/>
  <c r="N12" i="62"/>
  <c r="O12" i="62"/>
  <c r="P12" i="62"/>
  <c r="Q12" i="62"/>
  <c r="R12" i="62"/>
  <c r="C13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Q13" i="62"/>
  <c r="R13" i="62"/>
  <c r="C14" i="62"/>
  <c r="D14" i="62"/>
  <c r="E14" i="62"/>
  <c r="F14" i="62"/>
  <c r="G14" i="62"/>
  <c r="H14" i="62"/>
  <c r="I14" i="62"/>
  <c r="J14" i="62"/>
  <c r="K14" i="62"/>
  <c r="L14" i="62"/>
  <c r="M14" i="62"/>
  <c r="N14" i="62"/>
  <c r="O14" i="62"/>
  <c r="P14" i="62"/>
  <c r="Q14" i="62"/>
  <c r="R14" i="62"/>
  <c r="C15" i="62"/>
  <c r="D15" i="62"/>
  <c r="E15" i="62"/>
  <c r="F15" i="62"/>
  <c r="G15" i="62"/>
  <c r="H15" i="62"/>
  <c r="I15" i="62"/>
  <c r="J15" i="62"/>
  <c r="K15" i="62"/>
  <c r="L15" i="62"/>
  <c r="M15" i="62"/>
  <c r="N15" i="62"/>
  <c r="O15" i="62"/>
  <c r="P15" i="62"/>
  <c r="Q15" i="62"/>
  <c r="R15" i="62"/>
  <c r="C16" i="62"/>
  <c r="D16" i="62"/>
  <c r="E16" i="62"/>
  <c r="F16" i="62"/>
  <c r="G16" i="62"/>
  <c r="H16" i="62"/>
  <c r="I16" i="62"/>
  <c r="J16" i="62"/>
  <c r="K16" i="62"/>
  <c r="L16" i="62"/>
  <c r="M16" i="62"/>
  <c r="N16" i="62"/>
  <c r="O16" i="62"/>
  <c r="P16" i="62"/>
  <c r="Q16" i="62"/>
  <c r="R16" i="62"/>
  <c r="C17" i="62"/>
  <c r="D17" i="62"/>
  <c r="E17" i="62"/>
  <c r="F17" i="62"/>
  <c r="G17" i="62"/>
  <c r="H17" i="62"/>
  <c r="I17" i="62"/>
  <c r="J17" i="62"/>
  <c r="K17" i="62"/>
  <c r="L17" i="62"/>
  <c r="M17" i="62"/>
  <c r="N17" i="62"/>
  <c r="O17" i="62"/>
  <c r="P17" i="62"/>
  <c r="Q17" i="62"/>
  <c r="R17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P18" i="62"/>
  <c r="Q18" i="62"/>
  <c r="R18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Q19" i="62"/>
  <c r="R19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C22" i="62"/>
  <c r="D22" i="62"/>
  <c r="E22" i="62"/>
  <c r="F22" i="62"/>
  <c r="G22" i="62"/>
  <c r="H22" i="62"/>
  <c r="I22" i="62"/>
  <c r="J22" i="62"/>
  <c r="K22" i="62"/>
  <c r="L22" i="62"/>
  <c r="M22" i="62"/>
  <c r="N22" i="62"/>
  <c r="O22" i="62"/>
  <c r="P22" i="62"/>
  <c r="Q22" i="62"/>
  <c r="R22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Q23" i="62"/>
  <c r="R23" i="62"/>
  <c r="C24" i="62"/>
  <c r="D24" i="62"/>
  <c r="E24" i="62"/>
  <c r="F24" i="62"/>
  <c r="G24" i="62"/>
  <c r="H24" i="62"/>
  <c r="I24" i="62"/>
  <c r="J24" i="62"/>
  <c r="K24" i="62"/>
  <c r="L24" i="62"/>
  <c r="M24" i="62"/>
  <c r="N24" i="62"/>
  <c r="O24" i="62"/>
  <c r="P24" i="62"/>
  <c r="Q24" i="62"/>
  <c r="R24" i="62"/>
  <c r="C25" i="62"/>
  <c r="D25" i="62"/>
  <c r="E25" i="62"/>
  <c r="F25" i="62"/>
  <c r="G25" i="62"/>
  <c r="H25" i="62"/>
  <c r="I25" i="62"/>
  <c r="J25" i="62"/>
  <c r="K25" i="62"/>
  <c r="L25" i="62"/>
  <c r="M25" i="62"/>
  <c r="N25" i="62"/>
  <c r="O25" i="62"/>
  <c r="P25" i="62"/>
  <c r="Q25" i="62"/>
  <c r="R25" i="62"/>
  <c r="C26" i="62"/>
  <c r="D26" i="62"/>
  <c r="E26" i="62"/>
  <c r="F26" i="62"/>
  <c r="G26" i="62"/>
  <c r="H26" i="62"/>
  <c r="I26" i="62"/>
  <c r="J26" i="62"/>
  <c r="K26" i="62"/>
  <c r="L26" i="62"/>
  <c r="M26" i="62"/>
  <c r="N26" i="62"/>
  <c r="O26" i="62"/>
  <c r="P26" i="62"/>
  <c r="Q26" i="62"/>
  <c r="R26" i="62"/>
  <c r="C27" i="62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Q27" i="62"/>
  <c r="R27" i="62"/>
  <c r="C28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Q28" i="62"/>
  <c r="R28" i="62"/>
  <c r="C29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C30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Q30" i="62"/>
  <c r="R30" i="62"/>
  <c r="C31" i="62"/>
  <c r="D31" i="62"/>
  <c r="E31" i="62"/>
  <c r="F31" i="62"/>
  <c r="G31" i="62"/>
  <c r="H31" i="62"/>
  <c r="I31" i="62"/>
  <c r="J31" i="62"/>
  <c r="K31" i="62"/>
  <c r="L31" i="62"/>
  <c r="M31" i="62"/>
  <c r="N31" i="62"/>
  <c r="O31" i="62"/>
  <c r="P31" i="62"/>
  <c r="Q31" i="62"/>
  <c r="R31" i="62"/>
  <c r="C32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C33" i="62"/>
  <c r="D33" i="62"/>
  <c r="E33" i="62"/>
  <c r="F33" i="62"/>
  <c r="G33" i="62"/>
  <c r="H33" i="62"/>
  <c r="I33" i="62"/>
  <c r="J33" i="62"/>
  <c r="K33" i="62"/>
  <c r="L33" i="62"/>
  <c r="M33" i="62"/>
  <c r="N33" i="62"/>
  <c r="O33" i="62"/>
  <c r="P33" i="62"/>
  <c r="Q33" i="62"/>
  <c r="R33" i="62"/>
  <c r="C34" i="62"/>
  <c r="D34" i="62"/>
  <c r="E34" i="62"/>
  <c r="F34" i="62"/>
  <c r="G34" i="62"/>
  <c r="H34" i="62"/>
  <c r="I34" i="62"/>
  <c r="J34" i="62"/>
  <c r="K34" i="62"/>
  <c r="L34" i="62"/>
  <c r="M34" i="62"/>
  <c r="N34" i="62"/>
  <c r="O34" i="62"/>
  <c r="P34" i="62"/>
  <c r="Q34" i="62"/>
  <c r="R34" i="62"/>
  <c r="C35" i="62"/>
  <c r="D35" i="62"/>
  <c r="E35" i="62"/>
  <c r="F35" i="62"/>
  <c r="G35" i="62"/>
  <c r="H35" i="62"/>
  <c r="I35" i="62"/>
  <c r="J35" i="62"/>
  <c r="K35" i="62"/>
  <c r="L35" i="62"/>
  <c r="M35" i="62"/>
  <c r="N35" i="62"/>
  <c r="O35" i="62"/>
  <c r="P35" i="62"/>
  <c r="Q35" i="62"/>
  <c r="R35" i="62"/>
  <c r="C36" i="62"/>
  <c r="D36" i="62"/>
  <c r="E36" i="62"/>
  <c r="F36" i="62"/>
  <c r="G36" i="62"/>
  <c r="H36" i="62"/>
  <c r="I36" i="62"/>
  <c r="J36" i="62"/>
  <c r="K36" i="62"/>
  <c r="L36" i="62"/>
  <c r="M36" i="62"/>
  <c r="N36" i="62"/>
  <c r="O36" i="62"/>
  <c r="P36" i="62"/>
  <c r="Q36" i="62"/>
  <c r="R36" i="62"/>
  <c r="C37" i="62"/>
  <c r="D37" i="62"/>
  <c r="E37" i="62"/>
  <c r="F37" i="62"/>
  <c r="G37" i="62"/>
  <c r="H37" i="62"/>
  <c r="I37" i="62"/>
  <c r="J37" i="62"/>
  <c r="K37" i="62"/>
  <c r="L37" i="62"/>
  <c r="M37" i="62"/>
  <c r="N37" i="62"/>
  <c r="O37" i="62"/>
  <c r="P37" i="62"/>
  <c r="Q37" i="62"/>
  <c r="R37" i="62"/>
  <c r="C38" i="62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C39" i="62"/>
  <c r="D39" i="62"/>
  <c r="E39" i="62"/>
  <c r="F39" i="62"/>
  <c r="G39" i="62"/>
  <c r="H39" i="62"/>
  <c r="I39" i="62"/>
  <c r="J39" i="62"/>
  <c r="K39" i="62"/>
  <c r="L39" i="62"/>
  <c r="M39" i="62"/>
  <c r="N39" i="62"/>
  <c r="O39" i="62"/>
  <c r="P39" i="62"/>
  <c r="Q39" i="62"/>
  <c r="R39" i="62"/>
  <c r="C40" i="62"/>
  <c r="D40" i="62"/>
  <c r="E40" i="62"/>
  <c r="F40" i="62"/>
  <c r="G40" i="62"/>
  <c r="H40" i="62"/>
  <c r="I40" i="62"/>
  <c r="J40" i="62"/>
  <c r="K40" i="62"/>
  <c r="L40" i="62"/>
  <c r="M40" i="62"/>
  <c r="N40" i="62"/>
  <c r="O40" i="62"/>
  <c r="P40" i="62"/>
  <c r="Q40" i="62"/>
  <c r="R40" i="62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P41" i="62"/>
  <c r="Q41" i="62"/>
  <c r="R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P42" i="62"/>
  <c r="Q42" i="62"/>
  <c r="R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P43" i="62"/>
  <c r="Q43" i="62"/>
  <c r="R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P44" i="62"/>
  <c r="Q44" i="62"/>
  <c r="R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P45" i="62"/>
  <c r="Q45" i="62"/>
  <c r="R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P46" i="62"/>
  <c r="Q46" i="62"/>
  <c r="R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P47" i="62"/>
  <c r="Q47" i="62"/>
  <c r="R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P48" i="62"/>
  <c r="Q48" i="62"/>
  <c r="R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P49" i="62"/>
  <c r="Q49" i="62"/>
  <c r="R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P50" i="62"/>
  <c r="Q50" i="62"/>
  <c r="R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P51" i="62"/>
  <c r="Q51" i="62"/>
  <c r="R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P52" i="62"/>
  <c r="Q52" i="62"/>
  <c r="R52" i="62"/>
  <c r="C53" i="62"/>
  <c r="D53" i="62"/>
  <c r="E53" i="62"/>
  <c r="F53" i="62"/>
  <c r="G53" i="62"/>
  <c r="H53" i="62"/>
  <c r="I53" i="62"/>
  <c r="J53" i="62"/>
  <c r="K53" i="62"/>
  <c r="L53" i="62"/>
  <c r="M53" i="62"/>
  <c r="N53" i="62"/>
  <c r="O53" i="62"/>
  <c r="P53" i="62"/>
  <c r="Q53" i="62"/>
  <c r="R53" i="62"/>
  <c r="C54" i="62"/>
  <c r="D54" i="62"/>
  <c r="E54" i="62"/>
  <c r="F54" i="62"/>
  <c r="G54" i="62"/>
  <c r="H54" i="62"/>
  <c r="I54" i="62"/>
  <c r="J54" i="62"/>
  <c r="K54" i="62"/>
  <c r="L54" i="62"/>
  <c r="M54" i="62"/>
  <c r="N54" i="62"/>
  <c r="O54" i="62"/>
  <c r="P54" i="62"/>
  <c r="Q54" i="62"/>
  <c r="R54" i="62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P55" i="62"/>
  <c r="Q55" i="62"/>
  <c r="R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P56" i="62"/>
  <c r="Q56" i="62"/>
  <c r="R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P57" i="62"/>
  <c r="Q57" i="62"/>
  <c r="R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P58" i="62"/>
  <c r="Q58" i="62"/>
  <c r="R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P59" i="62"/>
  <c r="Q59" i="62"/>
  <c r="R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P60" i="62"/>
  <c r="Q60" i="62"/>
  <c r="R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P61" i="62"/>
  <c r="Q61" i="62"/>
  <c r="R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P62" i="62"/>
  <c r="Q62" i="62"/>
  <c r="R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P63" i="62"/>
  <c r="Q63" i="62"/>
  <c r="R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P64" i="62"/>
  <c r="Q64" i="62"/>
  <c r="R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P65" i="62"/>
  <c r="Q65" i="62"/>
  <c r="R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P66" i="62"/>
  <c r="Q66" i="62"/>
  <c r="R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P67" i="62"/>
  <c r="Q67" i="62"/>
  <c r="R67" i="62"/>
  <c r="C68" i="62"/>
  <c r="D68" i="62"/>
  <c r="E68" i="62"/>
  <c r="F68" i="62"/>
  <c r="G68" i="62"/>
  <c r="H68" i="62"/>
  <c r="I68" i="62"/>
  <c r="J68" i="62"/>
  <c r="K68" i="62"/>
  <c r="L68" i="62"/>
  <c r="M68" i="62"/>
  <c r="N68" i="62"/>
  <c r="O68" i="62"/>
  <c r="P68" i="62"/>
  <c r="Q68" i="62"/>
  <c r="R68" i="62"/>
  <c r="C69" i="62"/>
  <c r="D69" i="62"/>
  <c r="E69" i="62"/>
  <c r="F69" i="62"/>
  <c r="G69" i="62"/>
  <c r="H69" i="62"/>
  <c r="I69" i="62"/>
  <c r="J69" i="62"/>
  <c r="K69" i="62"/>
  <c r="L69" i="62"/>
  <c r="M69" i="62"/>
  <c r="N69" i="62"/>
  <c r="O69" i="62"/>
  <c r="P69" i="62"/>
  <c r="Q69" i="62"/>
  <c r="R69" i="62"/>
  <c r="C70" i="62"/>
  <c r="D70" i="62"/>
  <c r="E70" i="62"/>
  <c r="F70" i="62"/>
  <c r="G70" i="62"/>
  <c r="H70" i="62"/>
  <c r="I70" i="62"/>
  <c r="J70" i="62"/>
  <c r="K70" i="62"/>
  <c r="L70" i="62"/>
  <c r="M70" i="62"/>
  <c r="N70" i="62"/>
  <c r="O70" i="62"/>
  <c r="P70" i="62"/>
  <c r="Q70" i="62"/>
  <c r="R70" i="62"/>
  <c r="C71" i="62"/>
  <c r="D71" i="62"/>
  <c r="E71" i="62"/>
  <c r="F71" i="62"/>
  <c r="G71" i="62"/>
  <c r="H71" i="62"/>
  <c r="I71" i="62"/>
  <c r="J71" i="62"/>
  <c r="K71" i="62"/>
  <c r="L71" i="62"/>
  <c r="M71" i="62"/>
  <c r="N71" i="62"/>
  <c r="O71" i="62"/>
  <c r="P71" i="62"/>
  <c r="Q71" i="62"/>
  <c r="R71" i="62"/>
  <c r="C72" i="62"/>
  <c r="D72" i="62"/>
  <c r="E72" i="62"/>
  <c r="F72" i="62"/>
  <c r="G72" i="62"/>
  <c r="H72" i="62"/>
  <c r="I72" i="62"/>
  <c r="J72" i="62"/>
  <c r="K72" i="62"/>
  <c r="L72" i="62"/>
  <c r="M72" i="62"/>
  <c r="N72" i="62"/>
  <c r="O72" i="62"/>
  <c r="P72" i="62"/>
  <c r="Q72" i="62"/>
  <c r="R72" i="62"/>
  <c r="C73" i="62"/>
  <c r="D73" i="62"/>
  <c r="E73" i="62"/>
  <c r="F73" i="62"/>
  <c r="G73" i="62"/>
  <c r="H73" i="62"/>
  <c r="I73" i="62"/>
  <c r="J73" i="62"/>
  <c r="K73" i="62"/>
  <c r="L73" i="62"/>
  <c r="M73" i="62"/>
  <c r="N73" i="62"/>
  <c r="O73" i="62"/>
  <c r="P73" i="62"/>
  <c r="Q73" i="62"/>
  <c r="R73" i="62"/>
  <c r="C74" i="62"/>
  <c r="D74" i="62"/>
  <c r="E74" i="62"/>
  <c r="F74" i="62"/>
  <c r="G74" i="62"/>
  <c r="H74" i="62"/>
  <c r="I74" i="62"/>
  <c r="J74" i="62"/>
  <c r="K74" i="62"/>
  <c r="L74" i="62"/>
  <c r="M74" i="62"/>
  <c r="N74" i="62"/>
  <c r="O74" i="62"/>
  <c r="P74" i="62"/>
  <c r="Q74" i="62"/>
  <c r="R74" i="62"/>
  <c r="C75" i="62"/>
  <c r="D75" i="62"/>
  <c r="E75" i="62"/>
  <c r="F75" i="62"/>
  <c r="G75" i="62"/>
  <c r="H75" i="62"/>
  <c r="I75" i="62"/>
  <c r="J75" i="62"/>
  <c r="K75" i="62"/>
  <c r="L75" i="62"/>
  <c r="M75" i="62"/>
  <c r="N75" i="62"/>
  <c r="O75" i="62"/>
  <c r="P75" i="62"/>
  <c r="Q75" i="62"/>
  <c r="R75" i="62"/>
  <c r="C76" i="62"/>
  <c r="D76" i="62"/>
  <c r="E76" i="62"/>
  <c r="F76" i="62"/>
  <c r="G76" i="62"/>
  <c r="H76" i="62"/>
  <c r="I76" i="62"/>
  <c r="J76" i="62"/>
  <c r="K76" i="62"/>
  <c r="L76" i="62"/>
  <c r="M76" i="62"/>
  <c r="N76" i="62"/>
  <c r="O76" i="62"/>
  <c r="P76" i="62"/>
  <c r="Q76" i="62"/>
  <c r="R76" i="62"/>
  <c r="C77" i="62"/>
  <c r="D77" i="62"/>
  <c r="E77" i="62"/>
  <c r="F77" i="62"/>
  <c r="G77" i="62"/>
  <c r="H77" i="62"/>
  <c r="I77" i="62"/>
  <c r="J77" i="62"/>
  <c r="K77" i="62"/>
  <c r="L77" i="62"/>
  <c r="M77" i="62"/>
  <c r="N77" i="62"/>
  <c r="O77" i="62"/>
  <c r="P77" i="62"/>
  <c r="Q77" i="62"/>
  <c r="R77" i="62"/>
  <c r="C78" i="62"/>
  <c r="D78" i="62"/>
  <c r="E78" i="62"/>
  <c r="F78" i="62"/>
  <c r="G78" i="62"/>
  <c r="H78" i="62"/>
  <c r="I78" i="62"/>
  <c r="J78" i="62"/>
  <c r="K78" i="62"/>
  <c r="L78" i="62"/>
  <c r="M78" i="62"/>
  <c r="N78" i="62"/>
  <c r="O78" i="62"/>
  <c r="P78" i="62"/>
  <c r="Q78" i="62"/>
  <c r="R78" i="62"/>
  <c r="C79" i="62"/>
  <c r="D79" i="62"/>
  <c r="E79" i="62"/>
  <c r="F79" i="62"/>
  <c r="G79" i="62"/>
  <c r="H79" i="62"/>
  <c r="I79" i="62"/>
  <c r="J79" i="62"/>
  <c r="K79" i="62"/>
  <c r="L79" i="62"/>
  <c r="M79" i="62"/>
  <c r="N79" i="62"/>
  <c r="O79" i="62"/>
  <c r="P79" i="62"/>
  <c r="Q79" i="62"/>
  <c r="R79" i="62"/>
  <c r="C80" i="62"/>
  <c r="D80" i="62"/>
  <c r="E80" i="62"/>
  <c r="F80" i="62"/>
  <c r="G80" i="62"/>
  <c r="H80" i="62"/>
  <c r="I80" i="62"/>
  <c r="J80" i="62"/>
  <c r="K80" i="62"/>
  <c r="L80" i="62"/>
  <c r="M80" i="62"/>
  <c r="N80" i="62"/>
  <c r="O80" i="62"/>
  <c r="P80" i="62"/>
  <c r="Q80" i="62"/>
  <c r="R80" i="62"/>
  <c r="C81" i="62"/>
  <c r="D81" i="62"/>
  <c r="E81" i="62"/>
  <c r="F81" i="62"/>
  <c r="G81" i="62"/>
  <c r="H81" i="62"/>
  <c r="I81" i="62"/>
  <c r="J81" i="62"/>
  <c r="K81" i="62"/>
  <c r="L81" i="62"/>
  <c r="M81" i="62"/>
  <c r="N81" i="62"/>
  <c r="O81" i="62"/>
  <c r="P81" i="62"/>
  <c r="Q81" i="62"/>
  <c r="R81" i="62"/>
  <c r="C82" i="62"/>
  <c r="D82" i="62"/>
  <c r="E82" i="62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C83" i="62"/>
  <c r="D83" i="62"/>
  <c r="E83" i="62"/>
  <c r="F83" i="62"/>
  <c r="G83" i="62"/>
  <c r="H83" i="62"/>
  <c r="I83" i="62"/>
  <c r="J83" i="62"/>
  <c r="K83" i="62"/>
  <c r="L83" i="62"/>
  <c r="M83" i="62"/>
  <c r="N83" i="62"/>
  <c r="O83" i="62"/>
  <c r="P83" i="62"/>
  <c r="Q83" i="62"/>
  <c r="R83" i="62"/>
  <c r="C84" i="62"/>
  <c r="D84" i="62"/>
  <c r="E84" i="62"/>
  <c r="F84" i="62"/>
  <c r="G84" i="62"/>
  <c r="H84" i="62"/>
  <c r="I84" i="62"/>
  <c r="J84" i="62"/>
  <c r="K84" i="62"/>
  <c r="L84" i="62"/>
  <c r="M84" i="62"/>
  <c r="N84" i="62"/>
  <c r="O84" i="62"/>
  <c r="P84" i="62"/>
  <c r="Q84" i="62"/>
  <c r="R84" i="62"/>
  <c r="C85" i="62"/>
  <c r="D85" i="62"/>
  <c r="E85" i="62"/>
  <c r="F85" i="62"/>
  <c r="G85" i="62"/>
  <c r="H85" i="62"/>
  <c r="I85" i="62"/>
  <c r="J85" i="62"/>
  <c r="K85" i="62"/>
  <c r="L85" i="62"/>
  <c r="M85" i="62"/>
  <c r="N85" i="62"/>
  <c r="O85" i="62"/>
  <c r="P85" i="62"/>
  <c r="Q85" i="62"/>
  <c r="R85" i="62"/>
  <c r="C86" i="62"/>
  <c r="D86" i="62"/>
  <c r="E86" i="62"/>
  <c r="F86" i="62"/>
  <c r="G86" i="62"/>
  <c r="H86" i="62"/>
  <c r="I86" i="62"/>
  <c r="J86" i="62"/>
  <c r="K86" i="62"/>
  <c r="L86" i="62"/>
  <c r="M86" i="62"/>
  <c r="N86" i="62"/>
  <c r="O86" i="62"/>
  <c r="P86" i="62"/>
  <c r="Q86" i="62"/>
  <c r="R86" i="62"/>
  <c r="C87" i="62"/>
  <c r="D87" i="62"/>
  <c r="E87" i="62"/>
  <c r="F87" i="62"/>
  <c r="G87" i="62"/>
  <c r="H87" i="62"/>
  <c r="I87" i="62"/>
  <c r="J87" i="62"/>
  <c r="K87" i="62"/>
  <c r="L87" i="62"/>
  <c r="M87" i="62"/>
  <c r="N87" i="62"/>
  <c r="O87" i="62"/>
  <c r="P87" i="62"/>
  <c r="Q87" i="62"/>
  <c r="R87" i="62"/>
  <c r="C88" i="62"/>
  <c r="D88" i="62"/>
  <c r="E88" i="62"/>
  <c r="F88" i="62"/>
  <c r="G88" i="62"/>
  <c r="H88" i="62"/>
  <c r="I88" i="62"/>
  <c r="J88" i="62"/>
  <c r="K88" i="62"/>
  <c r="L88" i="62"/>
  <c r="M88" i="62"/>
  <c r="N88" i="62"/>
  <c r="O88" i="62"/>
  <c r="P88" i="62"/>
  <c r="Q88" i="62"/>
  <c r="R88" i="62"/>
  <c r="C89" i="62"/>
  <c r="D89" i="62"/>
  <c r="E89" i="62"/>
  <c r="F89" i="62"/>
  <c r="G89" i="62"/>
  <c r="H89" i="62"/>
  <c r="I89" i="62"/>
  <c r="J89" i="62"/>
  <c r="K89" i="62"/>
  <c r="L89" i="62"/>
  <c r="M89" i="62"/>
  <c r="N89" i="62"/>
  <c r="O89" i="62"/>
  <c r="P89" i="62"/>
  <c r="Q89" i="62"/>
  <c r="R89" i="62"/>
  <c r="C90" i="62"/>
  <c r="D90" i="62"/>
  <c r="E90" i="62"/>
  <c r="F90" i="62"/>
  <c r="G90" i="62"/>
  <c r="H90" i="62"/>
  <c r="I90" i="62"/>
  <c r="J90" i="62"/>
  <c r="K90" i="62"/>
  <c r="L90" i="62"/>
  <c r="M90" i="62"/>
  <c r="N90" i="62"/>
  <c r="O90" i="62"/>
  <c r="P90" i="62"/>
  <c r="Q90" i="62"/>
  <c r="R90" i="62"/>
  <c r="C91" i="62"/>
  <c r="D91" i="62"/>
  <c r="E91" i="62"/>
  <c r="F91" i="62"/>
  <c r="G91" i="62"/>
  <c r="H91" i="62"/>
  <c r="I91" i="62"/>
  <c r="J91" i="62"/>
  <c r="K91" i="62"/>
  <c r="L91" i="62"/>
  <c r="M91" i="62"/>
  <c r="N91" i="62"/>
  <c r="O91" i="62"/>
  <c r="P91" i="62"/>
  <c r="Q91" i="62"/>
  <c r="R91" i="62"/>
  <c r="C92" i="62"/>
  <c r="D92" i="62"/>
  <c r="E92" i="62"/>
  <c r="F92" i="62"/>
  <c r="G92" i="62"/>
  <c r="H92" i="62"/>
  <c r="I92" i="62"/>
  <c r="J92" i="62"/>
  <c r="K92" i="62"/>
  <c r="L92" i="62"/>
  <c r="M92" i="62"/>
  <c r="N92" i="62"/>
  <c r="O92" i="62"/>
  <c r="P92" i="62"/>
  <c r="Q92" i="62"/>
  <c r="R92" i="62"/>
  <c r="C93" i="62"/>
  <c r="D93" i="62"/>
  <c r="E93" i="62"/>
  <c r="F93" i="62"/>
  <c r="G93" i="62"/>
  <c r="H93" i="62"/>
  <c r="I93" i="62"/>
  <c r="J93" i="62"/>
  <c r="K93" i="62"/>
  <c r="L93" i="62"/>
  <c r="M93" i="62"/>
  <c r="N93" i="62"/>
  <c r="O93" i="62"/>
  <c r="P93" i="62"/>
  <c r="Q93" i="62"/>
  <c r="R93" i="62"/>
  <c r="C94" i="62"/>
  <c r="D94" i="62"/>
  <c r="E94" i="62"/>
  <c r="F94" i="62"/>
  <c r="G94" i="62"/>
  <c r="H94" i="62"/>
  <c r="I94" i="62"/>
  <c r="J94" i="62"/>
  <c r="K94" i="62"/>
  <c r="L94" i="62"/>
  <c r="M94" i="62"/>
  <c r="N94" i="62"/>
  <c r="O94" i="62"/>
  <c r="P94" i="62"/>
  <c r="Q94" i="62"/>
  <c r="R94" i="62"/>
  <c r="C95" i="62"/>
  <c r="D95" i="62"/>
  <c r="E95" i="62"/>
  <c r="F95" i="62"/>
  <c r="G95" i="62"/>
  <c r="H95" i="62"/>
  <c r="I95" i="62"/>
  <c r="J95" i="62"/>
  <c r="K95" i="62"/>
  <c r="L95" i="62"/>
  <c r="M95" i="62"/>
  <c r="N95" i="62"/>
  <c r="O95" i="62"/>
  <c r="P95" i="62"/>
  <c r="Q95" i="62"/>
  <c r="R95" i="62"/>
  <c r="C96" i="62"/>
  <c r="D96" i="62"/>
  <c r="E96" i="62"/>
  <c r="F96" i="62"/>
  <c r="G96" i="62"/>
  <c r="H96" i="62"/>
  <c r="I96" i="62"/>
  <c r="J96" i="62"/>
  <c r="K96" i="62"/>
  <c r="L96" i="62"/>
  <c r="M96" i="62"/>
  <c r="N96" i="62"/>
  <c r="O96" i="62"/>
  <c r="P96" i="62"/>
  <c r="Q96" i="62"/>
  <c r="R96" i="62"/>
  <c r="C97" i="62"/>
  <c r="D97" i="62"/>
  <c r="E97" i="62"/>
  <c r="F97" i="62"/>
  <c r="G97" i="62"/>
  <c r="H97" i="62"/>
  <c r="I97" i="62"/>
  <c r="J97" i="62"/>
  <c r="K97" i="62"/>
  <c r="L97" i="62"/>
  <c r="M97" i="62"/>
  <c r="N97" i="62"/>
  <c r="O97" i="62"/>
  <c r="P97" i="62"/>
  <c r="Q97" i="62"/>
  <c r="R97" i="62"/>
  <c r="C98" i="62"/>
  <c r="D98" i="62"/>
  <c r="E98" i="62"/>
  <c r="F98" i="62"/>
  <c r="G98" i="62"/>
  <c r="H98" i="62"/>
  <c r="I98" i="62"/>
  <c r="J98" i="62"/>
  <c r="K98" i="62"/>
  <c r="L98" i="62"/>
  <c r="M98" i="62"/>
  <c r="N98" i="62"/>
  <c r="O98" i="62"/>
  <c r="P98" i="62"/>
  <c r="Q98" i="62"/>
  <c r="R98" i="62"/>
  <c r="C99" i="62"/>
  <c r="D99" i="62"/>
  <c r="E99" i="62"/>
  <c r="F99" i="62"/>
  <c r="G99" i="62"/>
  <c r="H99" i="62"/>
  <c r="I99" i="62"/>
  <c r="J99" i="62"/>
  <c r="K99" i="62"/>
  <c r="L99" i="62"/>
  <c r="M99" i="62"/>
  <c r="N99" i="62"/>
  <c r="O99" i="62"/>
  <c r="P99" i="62"/>
  <c r="Q99" i="62"/>
  <c r="R99" i="62"/>
  <c r="C100" i="62"/>
  <c r="D100" i="62"/>
  <c r="E100" i="62"/>
  <c r="F100" i="62"/>
  <c r="G100" i="62"/>
  <c r="H100" i="62"/>
  <c r="I100" i="62"/>
  <c r="J100" i="62"/>
  <c r="K100" i="62"/>
  <c r="L100" i="62"/>
  <c r="M100" i="62"/>
  <c r="N100" i="62"/>
  <c r="O100" i="62"/>
  <c r="P100" i="62"/>
  <c r="Q100" i="62"/>
  <c r="R100" i="62"/>
  <c r="C101" i="62"/>
  <c r="D101" i="62"/>
  <c r="E101" i="62"/>
  <c r="F101" i="62"/>
  <c r="G101" i="62"/>
  <c r="H101" i="62"/>
  <c r="I101" i="62"/>
  <c r="J101" i="62"/>
  <c r="K101" i="62"/>
  <c r="L101" i="62"/>
  <c r="M101" i="62"/>
  <c r="N101" i="62"/>
  <c r="O101" i="62"/>
  <c r="P101" i="62"/>
  <c r="Q101" i="62"/>
  <c r="R101" i="62"/>
  <c r="C102" i="62"/>
  <c r="D102" i="62"/>
  <c r="E102" i="62"/>
  <c r="F102" i="62"/>
  <c r="G102" i="62"/>
  <c r="H102" i="62"/>
  <c r="I102" i="62"/>
  <c r="J102" i="62"/>
  <c r="K102" i="62"/>
  <c r="L102" i="62"/>
  <c r="M102" i="62"/>
  <c r="N102" i="62"/>
  <c r="O102" i="62"/>
  <c r="P102" i="62"/>
  <c r="Q102" i="62"/>
  <c r="R102" i="62"/>
  <c r="C103" i="62"/>
  <c r="D103" i="62"/>
  <c r="E103" i="62"/>
  <c r="F103" i="62"/>
  <c r="G103" i="62"/>
  <c r="H103" i="62"/>
  <c r="I103" i="62"/>
  <c r="J103" i="62"/>
  <c r="K103" i="62"/>
  <c r="L103" i="62"/>
  <c r="M103" i="62"/>
  <c r="N103" i="62"/>
  <c r="O103" i="62"/>
  <c r="P103" i="62"/>
  <c r="Q103" i="62"/>
  <c r="R103" i="62"/>
  <c r="C104" i="62"/>
  <c r="D104" i="62"/>
  <c r="E104" i="62"/>
  <c r="F104" i="62"/>
  <c r="G104" i="62"/>
  <c r="H104" i="62"/>
  <c r="I104" i="62"/>
  <c r="J104" i="62"/>
  <c r="K104" i="62"/>
  <c r="L104" i="62"/>
  <c r="M104" i="62"/>
  <c r="N104" i="62"/>
  <c r="O104" i="62"/>
  <c r="P104" i="62"/>
  <c r="Q104" i="62"/>
  <c r="R104" i="62"/>
  <c r="C105" i="62"/>
  <c r="D105" i="62"/>
  <c r="E105" i="62"/>
  <c r="F105" i="62"/>
  <c r="G105" i="62"/>
  <c r="H105" i="62"/>
  <c r="I105" i="62"/>
  <c r="J105" i="62"/>
  <c r="K105" i="62"/>
  <c r="L105" i="62"/>
  <c r="M105" i="62"/>
  <c r="N105" i="62"/>
  <c r="O105" i="62"/>
  <c r="P105" i="62"/>
  <c r="Q105" i="62"/>
  <c r="R105" i="62"/>
  <c r="C106" i="62"/>
  <c r="D106" i="62"/>
  <c r="E106" i="62"/>
  <c r="F106" i="62"/>
  <c r="G106" i="62"/>
  <c r="H106" i="62"/>
  <c r="I106" i="62"/>
  <c r="J106" i="62"/>
  <c r="K106" i="62"/>
  <c r="L106" i="62"/>
  <c r="M106" i="62"/>
  <c r="N106" i="62"/>
  <c r="O106" i="62"/>
  <c r="P106" i="62"/>
  <c r="Q106" i="62"/>
  <c r="R106" i="62"/>
  <c r="C107" i="62"/>
  <c r="D107" i="62"/>
  <c r="E107" i="62"/>
  <c r="F107" i="62"/>
  <c r="G107" i="62"/>
  <c r="H107" i="62"/>
  <c r="I107" i="62"/>
  <c r="J107" i="62"/>
  <c r="K107" i="62"/>
  <c r="L107" i="62"/>
  <c r="M107" i="62"/>
  <c r="N107" i="62"/>
  <c r="O107" i="62"/>
  <c r="P107" i="62"/>
  <c r="Q107" i="62"/>
  <c r="R107" i="62"/>
  <c r="C108" i="62"/>
  <c r="D108" i="62"/>
  <c r="E108" i="62"/>
  <c r="F108" i="62"/>
  <c r="G108" i="62"/>
  <c r="H108" i="62"/>
  <c r="I108" i="62"/>
  <c r="J108" i="62"/>
  <c r="K108" i="62"/>
  <c r="L108" i="62"/>
  <c r="M108" i="62"/>
  <c r="N108" i="62"/>
  <c r="O108" i="62"/>
  <c r="P108" i="62"/>
  <c r="Q108" i="62"/>
  <c r="R108" i="62"/>
  <c r="C109" i="62"/>
  <c r="D109" i="62"/>
  <c r="E109" i="62"/>
  <c r="F109" i="62"/>
  <c r="G109" i="62"/>
  <c r="H109" i="62"/>
  <c r="I109" i="62"/>
  <c r="J109" i="62"/>
  <c r="K109" i="62"/>
  <c r="L109" i="62"/>
  <c r="M109" i="62"/>
  <c r="N109" i="62"/>
  <c r="O109" i="62"/>
  <c r="P109" i="62"/>
  <c r="Q109" i="62"/>
  <c r="R109" i="62"/>
  <c r="C110" i="62"/>
  <c r="D110" i="62"/>
  <c r="E110" i="62"/>
  <c r="F110" i="62"/>
  <c r="G110" i="62"/>
  <c r="H110" i="62"/>
  <c r="I110" i="62"/>
  <c r="J110" i="62"/>
  <c r="K110" i="62"/>
  <c r="L110" i="62"/>
  <c r="M110" i="62"/>
  <c r="N110" i="62"/>
  <c r="O110" i="62"/>
  <c r="P110" i="62"/>
  <c r="Q110" i="62"/>
  <c r="R110" i="62"/>
  <c r="C111" i="62"/>
  <c r="D111" i="62"/>
  <c r="E111" i="62"/>
  <c r="F111" i="62"/>
  <c r="G111" i="62"/>
  <c r="H111" i="62"/>
  <c r="I111" i="62"/>
  <c r="J111" i="62"/>
  <c r="K111" i="62"/>
  <c r="L111" i="62"/>
  <c r="M111" i="62"/>
  <c r="N111" i="62"/>
  <c r="O111" i="62"/>
  <c r="P111" i="62"/>
  <c r="Q111" i="62"/>
  <c r="R111" i="62"/>
  <c r="C112" i="62"/>
  <c r="D112" i="62"/>
  <c r="E112" i="62"/>
  <c r="F112" i="62"/>
  <c r="G112" i="62"/>
  <c r="H112" i="62"/>
  <c r="I112" i="62"/>
  <c r="J112" i="62"/>
  <c r="K112" i="62"/>
  <c r="L112" i="62"/>
  <c r="M112" i="62"/>
  <c r="N112" i="62"/>
  <c r="O112" i="62"/>
  <c r="P112" i="62"/>
  <c r="Q112" i="62"/>
  <c r="R112" i="62"/>
  <c r="C113" i="62"/>
  <c r="D113" i="62"/>
  <c r="E113" i="62"/>
  <c r="F113" i="62"/>
  <c r="G113" i="62"/>
  <c r="H113" i="62"/>
  <c r="I113" i="62"/>
  <c r="J113" i="62"/>
  <c r="K113" i="62"/>
  <c r="L113" i="62"/>
  <c r="M113" i="62"/>
  <c r="N113" i="62"/>
  <c r="O113" i="62"/>
  <c r="P113" i="62"/>
  <c r="Q113" i="62"/>
  <c r="R113" i="62"/>
  <c r="C114" i="62"/>
  <c r="D114" i="62"/>
  <c r="E114" i="62"/>
  <c r="F114" i="62"/>
  <c r="G114" i="62"/>
  <c r="H114" i="62"/>
  <c r="I114" i="62"/>
  <c r="J114" i="62"/>
  <c r="K114" i="62"/>
  <c r="L114" i="62"/>
  <c r="M114" i="62"/>
  <c r="N114" i="62"/>
  <c r="O114" i="62"/>
  <c r="P114" i="62"/>
  <c r="Q114" i="62"/>
  <c r="R114" i="62"/>
  <c r="C115" i="62"/>
  <c r="D115" i="62"/>
  <c r="E115" i="62"/>
  <c r="F115" i="62"/>
  <c r="G115" i="62"/>
  <c r="H115" i="62"/>
  <c r="I115" i="62"/>
  <c r="J115" i="62"/>
  <c r="K115" i="62"/>
  <c r="L115" i="62"/>
  <c r="M115" i="62"/>
  <c r="N115" i="62"/>
  <c r="O115" i="62"/>
  <c r="P115" i="62"/>
  <c r="Q115" i="62"/>
  <c r="R115" i="62"/>
  <c r="C116" i="62"/>
  <c r="D116" i="62"/>
  <c r="E116" i="62"/>
  <c r="F116" i="62"/>
  <c r="G116" i="62"/>
  <c r="H116" i="62"/>
  <c r="I116" i="62"/>
  <c r="J116" i="62"/>
  <c r="K116" i="62"/>
  <c r="L116" i="62"/>
  <c r="M116" i="62"/>
  <c r="N116" i="62"/>
  <c r="O116" i="62"/>
  <c r="P116" i="62"/>
  <c r="Q116" i="62"/>
  <c r="R116" i="62"/>
  <c r="C117" i="62"/>
  <c r="D117" i="62"/>
  <c r="E117" i="62"/>
  <c r="F117" i="62"/>
  <c r="G117" i="62"/>
  <c r="H117" i="62"/>
  <c r="I117" i="62"/>
  <c r="J117" i="62"/>
  <c r="K117" i="62"/>
  <c r="L117" i="62"/>
  <c r="M117" i="62"/>
  <c r="N117" i="62"/>
  <c r="O117" i="62"/>
  <c r="P117" i="62"/>
  <c r="Q117" i="62"/>
  <c r="R117" i="62"/>
  <c r="C118" i="62"/>
  <c r="D118" i="62"/>
  <c r="E118" i="62"/>
  <c r="F118" i="62"/>
  <c r="G118" i="62"/>
  <c r="H118" i="62"/>
  <c r="I118" i="62"/>
  <c r="J118" i="62"/>
  <c r="K118" i="62"/>
  <c r="L118" i="62"/>
  <c r="M118" i="62"/>
  <c r="N118" i="62"/>
  <c r="O118" i="62"/>
  <c r="P118" i="62"/>
  <c r="Q118" i="62"/>
  <c r="R118" i="62"/>
  <c r="C119" i="62"/>
  <c r="D119" i="62"/>
  <c r="E119" i="62"/>
  <c r="F119" i="62"/>
  <c r="G119" i="62"/>
  <c r="H119" i="62"/>
  <c r="I119" i="62"/>
  <c r="J119" i="62"/>
  <c r="K119" i="62"/>
  <c r="L119" i="62"/>
  <c r="M119" i="62"/>
  <c r="N119" i="62"/>
  <c r="O119" i="62"/>
  <c r="P119" i="62"/>
  <c r="Q119" i="62"/>
  <c r="R119" i="62"/>
  <c r="C120" i="62"/>
  <c r="D120" i="62"/>
  <c r="E120" i="62"/>
  <c r="F120" i="62"/>
  <c r="G120" i="62"/>
  <c r="H120" i="62"/>
  <c r="I120" i="62"/>
  <c r="J120" i="62"/>
  <c r="K120" i="62"/>
  <c r="L120" i="62"/>
  <c r="M120" i="62"/>
  <c r="N120" i="62"/>
  <c r="O120" i="62"/>
  <c r="P120" i="62"/>
  <c r="Q120" i="62"/>
  <c r="R120" i="62"/>
  <c r="C121" i="62"/>
  <c r="D121" i="62"/>
  <c r="E121" i="62"/>
  <c r="F121" i="62"/>
  <c r="G121" i="62"/>
  <c r="H121" i="62"/>
  <c r="I121" i="62"/>
  <c r="J121" i="62"/>
  <c r="K121" i="62"/>
  <c r="L121" i="62"/>
  <c r="M121" i="62"/>
  <c r="N121" i="62"/>
  <c r="O121" i="62"/>
  <c r="P121" i="62"/>
  <c r="Q121" i="62"/>
  <c r="R121" i="62"/>
  <c r="C122" i="62"/>
  <c r="D122" i="62"/>
  <c r="E122" i="62"/>
  <c r="F122" i="62"/>
  <c r="G122" i="62"/>
  <c r="H122" i="62"/>
  <c r="I122" i="62"/>
  <c r="J122" i="62"/>
  <c r="K122" i="62"/>
  <c r="L122" i="62"/>
  <c r="M122" i="62"/>
  <c r="N122" i="62"/>
  <c r="O122" i="62"/>
  <c r="P122" i="62"/>
  <c r="Q122" i="62"/>
  <c r="R122" i="62"/>
  <c r="C123" i="62"/>
  <c r="D123" i="62"/>
  <c r="E123" i="62"/>
  <c r="F123" i="62"/>
  <c r="G123" i="62"/>
  <c r="H123" i="62"/>
  <c r="I123" i="62"/>
  <c r="J123" i="62"/>
  <c r="K123" i="62"/>
  <c r="L123" i="62"/>
  <c r="M123" i="62"/>
  <c r="N123" i="62"/>
  <c r="O123" i="62"/>
  <c r="P123" i="62"/>
  <c r="Q123" i="62"/>
  <c r="R123" i="62"/>
  <c r="C124" i="62"/>
  <c r="D124" i="62"/>
  <c r="E124" i="62"/>
  <c r="F124" i="62"/>
  <c r="G124" i="62"/>
  <c r="H124" i="62"/>
  <c r="I124" i="62"/>
  <c r="J124" i="62"/>
  <c r="K124" i="62"/>
  <c r="L124" i="62"/>
  <c r="M124" i="62"/>
  <c r="N124" i="62"/>
  <c r="O124" i="62"/>
  <c r="P124" i="62"/>
  <c r="Q124" i="62"/>
  <c r="R124" i="62"/>
  <c r="C125" i="62"/>
  <c r="D125" i="62"/>
  <c r="E125" i="62"/>
  <c r="F125" i="62"/>
  <c r="G125" i="62"/>
  <c r="H125" i="62"/>
  <c r="I125" i="62"/>
  <c r="J125" i="62"/>
  <c r="K125" i="62"/>
  <c r="L125" i="62"/>
  <c r="M125" i="62"/>
  <c r="N125" i="62"/>
  <c r="O125" i="62"/>
  <c r="P125" i="62"/>
  <c r="Q125" i="62"/>
  <c r="R125" i="62"/>
  <c r="C126" i="62"/>
  <c r="D126" i="62"/>
  <c r="E126" i="62"/>
  <c r="F126" i="62"/>
  <c r="G126" i="62"/>
  <c r="H126" i="62"/>
  <c r="I126" i="62"/>
  <c r="J126" i="62"/>
  <c r="K126" i="62"/>
  <c r="L126" i="62"/>
  <c r="M126" i="62"/>
  <c r="N126" i="62"/>
  <c r="O126" i="62"/>
  <c r="P126" i="62"/>
  <c r="Q126" i="62"/>
  <c r="R126" i="62"/>
  <c r="C127" i="62"/>
  <c r="D127" i="62"/>
  <c r="E127" i="62"/>
  <c r="F127" i="62"/>
  <c r="G127" i="62"/>
  <c r="H127" i="62"/>
  <c r="I127" i="62"/>
  <c r="J127" i="62"/>
  <c r="K127" i="62"/>
  <c r="L127" i="62"/>
  <c r="M127" i="62"/>
  <c r="N127" i="62"/>
  <c r="O127" i="62"/>
  <c r="P127" i="62"/>
  <c r="Q127" i="62"/>
  <c r="R127" i="62"/>
  <c r="C128" i="62"/>
  <c r="D128" i="62"/>
  <c r="E128" i="62"/>
  <c r="F128" i="62"/>
  <c r="G128" i="62"/>
  <c r="H128" i="62"/>
  <c r="I128" i="62"/>
  <c r="J128" i="62"/>
  <c r="K128" i="62"/>
  <c r="L128" i="62"/>
  <c r="M128" i="62"/>
  <c r="N128" i="62"/>
  <c r="O128" i="62"/>
  <c r="P128" i="62"/>
  <c r="Q128" i="62"/>
  <c r="R128" i="62"/>
  <c r="C129" i="62"/>
  <c r="D129" i="62"/>
  <c r="E129" i="62"/>
  <c r="F129" i="62"/>
  <c r="G129" i="62"/>
  <c r="H129" i="62"/>
  <c r="I129" i="62"/>
  <c r="J129" i="62"/>
  <c r="K129" i="62"/>
  <c r="L129" i="62"/>
  <c r="M129" i="62"/>
  <c r="N129" i="62"/>
  <c r="O129" i="62"/>
  <c r="P129" i="62"/>
  <c r="Q129" i="62"/>
  <c r="R129" i="62"/>
  <c r="C130" i="62"/>
  <c r="D130" i="62"/>
  <c r="E130" i="62"/>
  <c r="F130" i="62"/>
  <c r="G130" i="62"/>
  <c r="H130" i="62"/>
  <c r="I130" i="62"/>
  <c r="J130" i="62"/>
  <c r="K130" i="62"/>
  <c r="L130" i="62"/>
  <c r="M130" i="62"/>
  <c r="N130" i="62"/>
  <c r="O130" i="62"/>
  <c r="P130" i="62"/>
  <c r="Q130" i="62"/>
  <c r="R130" i="62"/>
  <c r="C131" i="62"/>
  <c r="D131" i="62"/>
  <c r="E131" i="62"/>
  <c r="F131" i="62"/>
  <c r="G131" i="62"/>
  <c r="H131" i="62"/>
  <c r="I131" i="62"/>
  <c r="J131" i="62"/>
  <c r="K131" i="62"/>
  <c r="L131" i="62"/>
  <c r="M131" i="62"/>
  <c r="N131" i="62"/>
  <c r="O131" i="62"/>
  <c r="P131" i="62"/>
  <c r="Q131" i="62"/>
  <c r="R131" i="62"/>
  <c r="C132" i="62"/>
  <c r="D132" i="62"/>
  <c r="E132" i="62"/>
  <c r="F132" i="62"/>
  <c r="G132" i="62"/>
  <c r="H132" i="62"/>
  <c r="I132" i="62"/>
  <c r="J132" i="62"/>
  <c r="K132" i="62"/>
  <c r="L132" i="62"/>
  <c r="M132" i="62"/>
  <c r="N132" i="62"/>
  <c r="O132" i="62"/>
  <c r="P132" i="62"/>
  <c r="Q132" i="62"/>
  <c r="R132" i="62"/>
  <c r="C133" i="62"/>
  <c r="D133" i="62"/>
  <c r="E133" i="62"/>
  <c r="F133" i="62"/>
  <c r="G133" i="62"/>
  <c r="H133" i="62"/>
  <c r="I133" i="62"/>
  <c r="J133" i="62"/>
  <c r="K133" i="62"/>
  <c r="L133" i="62"/>
  <c r="M133" i="62"/>
  <c r="N133" i="62"/>
  <c r="O133" i="62"/>
  <c r="P133" i="62"/>
  <c r="Q133" i="62"/>
  <c r="R133" i="62"/>
  <c r="C134" i="62"/>
  <c r="D134" i="62"/>
  <c r="E134" i="62"/>
  <c r="F134" i="62"/>
  <c r="G134" i="62"/>
  <c r="H134" i="62"/>
  <c r="I134" i="62"/>
  <c r="J134" i="62"/>
  <c r="K134" i="62"/>
  <c r="L134" i="62"/>
  <c r="M134" i="62"/>
  <c r="N134" i="62"/>
  <c r="O134" i="62"/>
  <c r="P134" i="62"/>
  <c r="Q134" i="62"/>
  <c r="R134" i="62"/>
  <c r="C135" i="62"/>
  <c r="D135" i="62"/>
  <c r="E135" i="62"/>
  <c r="F135" i="62"/>
  <c r="G135" i="62"/>
  <c r="H135" i="62"/>
  <c r="I135" i="62"/>
  <c r="J135" i="62"/>
  <c r="K135" i="62"/>
  <c r="L135" i="62"/>
  <c r="M135" i="62"/>
  <c r="N135" i="62"/>
  <c r="O135" i="62"/>
  <c r="P135" i="62"/>
  <c r="Q135" i="62"/>
  <c r="R135" i="62"/>
  <c r="C136" i="62"/>
  <c r="D136" i="62"/>
  <c r="E136" i="62"/>
  <c r="F136" i="62"/>
  <c r="G136" i="62"/>
  <c r="H136" i="62"/>
  <c r="I136" i="62"/>
  <c r="J136" i="62"/>
  <c r="K136" i="62"/>
  <c r="L136" i="62"/>
  <c r="M136" i="62"/>
  <c r="N136" i="62"/>
  <c r="O136" i="62"/>
  <c r="P136" i="62"/>
  <c r="Q136" i="62"/>
  <c r="R136" i="62"/>
  <c r="C137" i="62"/>
  <c r="D137" i="62"/>
  <c r="E137" i="62"/>
  <c r="F137" i="62"/>
  <c r="G137" i="62"/>
  <c r="H137" i="62"/>
  <c r="I137" i="62"/>
  <c r="J137" i="62"/>
  <c r="K137" i="62"/>
  <c r="L137" i="62"/>
  <c r="M137" i="62"/>
  <c r="N137" i="62"/>
  <c r="O137" i="62"/>
  <c r="P137" i="62"/>
  <c r="Q137" i="62"/>
  <c r="R137" i="62"/>
  <c r="C138" i="62"/>
  <c r="D138" i="62"/>
  <c r="E138" i="62"/>
  <c r="F138" i="62"/>
  <c r="G138" i="62"/>
  <c r="H138" i="62"/>
  <c r="I138" i="62"/>
  <c r="J138" i="62"/>
  <c r="K138" i="62"/>
  <c r="L138" i="62"/>
  <c r="M138" i="62"/>
  <c r="N138" i="62"/>
  <c r="O138" i="62"/>
  <c r="P138" i="62"/>
  <c r="Q138" i="62"/>
  <c r="R138" i="62"/>
  <c r="C139" i="62"/>
  <c r="D139" i="62"/>
  <c r="E139" i="62"/>
  <c r="F139" i="62"/>
  <c r="G139" i="62"/>
  <c r="H139" i="62"/>
  <c r="I139" i="62"/>
  <c r="J139" i="62"/>
  <c r="K139" i="62"/>
  <c r="L139" i="62"/>
  <c r="M139" i="62"/>
  <c r="N139" i="62"/>
  <c r="O139" i="62"/>
  <c r="P139" i="62"/>
  <c r="Q139" i="62"/>
  <c r="R139" i="62"/>
  <c r="C140" i="62"/>
  <c r="D140" i="62"/>
  <c r="E140" i="62"/>
  <c r="F140" i="62"/>
  <c r="G140" i="62"/>
  <c r="H140" i="62"/>
  <c r="I140" i="62"/>
  <c r="J140" i="62"/>
  <c r="K140" i="62"/>
  <c r="L140" i="62"/>
  <c r="M140" i="62"/>
  <c r="N140" i="62"/>
  <c r="O140" i="62"/>
  <c r="P140" i="62"/>
  <c r="Q140" i="62"/>
  <c r="R140" i="62"/>
  <c r="C141" i="62"/>
  <c r="D141" i="62"/>
  <c r="E141" i="62"/>
  <c r="F141" i="62"/>
  <c r="G141" i="62"/>
  <c r="H141" i="62"/>
  <c r="I141" i="62"/>
  <c r="J141" i="62"/>
  <c r="K141" i="62"/>
  <c r="L141" i="62"/>
  <c r="M141" i="62"/>
  <c r="N141" i="62"/>
  <c r="O141" i="62"/>
  <c r="P141" i="62"/>
  <c r="Q141" i="62"/>
  <c r="R141" i="62"/>
  <c r="C142" i="62"/>
  <c r="D142" i="62"/>
  <c r="E142" i="62"/>
  <c r="F142" i="62"/>
  <c r="G142" i="62"/>
  <c r="H142" i="62"/>
  <c r="I142" i="62"/>
  <c r="J142" i="62"/>
  <c r="K142" i="62"/>
  <c r="L142" i="62"/>
  <c r="M142" i="62"/>
  <c r="N142" i="62"/>
  <c r="O142" i="62"/>
  <c r="P142" i="62"/>
  <c r="Q142" i="62"/>
  <c r="R142" i="62"/>
  <c r="C143" i="62"/>
  <c r="D143" i="62"/>
  <c r="E143" i="62"/>
  <c r="F143" i="62"/>
  <c r="G143" i="62"/>
  <c r="H143" i="62"/>
  <c r="I143" i="62"/>
  <c r="J143" i="62"/>
  <c r="K143" i="62"/>
  <c r="L143" i="62"/>
  <c r="M143" i="62"/>
  <c r="N143" i="62"/>
  <c r="O143" i="62"/>
  <c r="P143" i="62"/>
  <c r="Q143" i="62"/>
  <c r="R143" i="62"/>
  <c r="C144" i="62"/>
  <c r="D144" i="62"/>
  <c r="E144" i="62"/>
  <c r="F144" i="62"/>
  <c r="G144" i="62"/>
  <c r="H144" i="62"/>
  <c r="I144" i="62"/>
  <c r="J144" i="62"/>
  <c r="K144" i="62"/>
  <c r="L144" i="62"/>
  <c r="M144" i="62"/>
  <c r="N144" i="62"/>
  <c r="O144" i="62"/>
  <c r="P144" i="62"/>
  <c r="Q144" i="62"/>
  <c r="R144" i="62"/>
  <c r="C145" i="62"/>
  <c r="D145" i="62"/>
  <c r="E145" i="62"/>
  <c r="F145" i="62"/>
  <c r="G145" i="62"/>
  <c r="H145" i="62"/>
  <c r="I145" i="62"/>
  <c r="J145" i="62"/>
  <c r="K145" i="62"/>
  <c r="L145" i="62"/>
  <c r="M145" i="62"/>
  <c r="N145" i="62"/>
  <c r="O145" i="62"/>
  <c r="P145" i="62"/>
  <c r="Q145" i="62"/>
  <c r="R145" i="62"/>
  <c r="C146" i="62"/>
  <c r="D146" i="62"/>
  <c r="E146" i="62"/>
  <c r="F146" i="62"/>
  <c r="G146" i="62"/>
  <c r="H146" i="62"/>
  <c r="I146" i="62"/>
  <c r="J146" i="62"/>
  <c r="K146" i="62"/>
  <c r="L146" i="62"/>
  <c r="M146" i="62"/>
  <c r="N146" i="62"/>
  <c r="O146" i="62"/>
  <c r="P146" i="62"/>
  <c r="Q146" i="62"/>
  <c r="R146" i="62"/>
  <c r="C147" i="62"/>
  <c r="D147" i="62"/>
  <c r="E147" i="62"/>
  <c r="F147" i="62"/>
  <c r="G147" i="62"/>
  <c r="H147" i="62"/>
  <c r="I147" i="62"/>
  <c r="J147" i="62"/>
  <c r="K147" i="62"/>
  <c r="L147" i="62"/>
  <c r="M147" i="62"/>
  <c r="N147" i="62"/>
  <c r="O147" i="62"/>
  <c r="P147" i="62"/>
  <c r="Q147" i="62"/>
  <c r="R147" i="62"/>
  <c r="C148" i="62"/>
  <c r="D148" i="62"/>
  <c r="E148" i="62"/>
  <c r="F148" i="62"/>
  <c r="G148" i="62"/>
  <c r="H148" i="62"/>
  <c r="I148" i="62"/>
  <c r="J148" i="62"/>
  <c r="K148" i="62"/>
  <c r="L148" i="62"/>
  <c r="M148" i="62"/>
  <c r="N148" i="62"/>
  <c r="O148" i="62"/>
  <c r="P148" i="62"/>
  <c r="Q148" i="62"/>
  <c r="R148" i="62"/>
  <c r="C149" i="62"/>
  <c r="D149" i="62"/>
  <c r="E149" i="62"/>
  <c r="F149" i="62"/>
  <c r="G149" i="62"/>
  <c r="H149" i="62"/>
  <c r="I149" i="62"/>
  <c r="J149" i="62"/>
  <c r="K149" i="62"/>
  <c r="L149" i="62"/>
  <c r="M149" i="62"/>
  <c r="N149" i="62"/>
  <c r="O149" i="62"/>
  <c r="P149" i="62"/>
  <c r="Q149" i="62"/>
  <c r="R149" i="62"/>
  <c r="C150" i="62"/>
  <c r="D150" i="62"/>
  <c r="E150" i="62"/>
  <c r="F150" i="62"/>
  <c r="G150" i="62"/>
  <c r="H150" i="62"/>
  <c r="I150" i="62"/>
  <c r="J150" i="62"/>
  <c r="K150" i="62"/>
  <c r="L150" i="62"/>
  <c r="M150" i="62"/>
  <c r="N150" i="62"/>
  <c r="O150" i="62"/>
  <c r="P150" i="62"/>
  <c r="Q150" i="62"/>
  <c r="R150" i="62"/>
  <c r="C151" i="62"/>
  <c r="D151" i="62"/>
  <c r="E151" i="62"/>
  <c r="F151" i="62"/>
  <c r="G151" i="62"/>
  <c r="H151" i="62"/>
  <c r="I151" i="62"/>
  <c r="J151" i="62"/>
  <c r="K151" i="62"/>
  <c r="L151" i="62"/>
  <c r="M151" i="62"/>
  <c r="N151" i="62"/>
  <c r="O151" i="62"/>
  <c r="P151" i="62"/>
  <c r="Q151" i="62"/>
  <c r="R151" i="62"/>
  <c r="C152" i="62"/>
  <c r="D152" i="62"/>
  <c r="E152" i="62"/>
  <c r="F152" i="62"/>
  <c r="G152" i="62"/>
  <c r="H152" i="62"/>
  <c r="I152" i="62"/>
  <c r="J152" i="62"/>
  <c r="K152" i="62"/>
  <c r="L152" i="62"/>
  <c r="M152" i="62"/>
  <c r="N152" i="62"/>
  <c r="O152" i="62"/>
  <c r="P152" i="62"/>
  <c r="Q152" i="62"/>
  <c r="R152" i="62"/>
  <c r="C153" i="62"/>
  <c r="D153" i="62"/>
  <c r="E153" i="62"/>
  <c r="F153" i="62"/>
  <c r="G153" i="62"/>
  <c r="H153" i="62"/>
  <c r="I153" i="62"/>
  <c r="J153" i="62"/>
  <c r="K153" i="62"/>
  <c r="L153" i="62"/>
  <c r="M153" i="62"/>
  <c r="N153" i="62"/>
  <c r="O153" i="62"/>
  <c r="P153" i="62"/>
  <c r="Q153" i="62"/>
  <c r="R153" i="62"/>
  <c r="C154" i="62"/>
  <c r="D154" i="62"/>
  <c r="E154" i="62"/>
  <c r="F154" i="62"/>
  <c r="G154" i="62"/>
  <c r="H154" i="62"/>
  <c r="I154" i="62"/>
  <c r="J154" i="62"/>
  <c r="K154" i="62"/>
  <c r="L154" i="62"/>
  <c r="M154" i="62"/>
  <c r="N154" i="62"/>
  <c r="O154" i="62"/>
  <c r="P154" i="62"/>
  <c r="Q154" i="62"/>
  <c r="R154" i="62"/>
  <c r="C155" i="62"/>
  <c r="D155" i="62"/>
  <c r="E155" i="62"/>
  <c r="F155" i="62"/>
  <c r="G155" i="62"/>
  <c r="H155" i="62"/>
  <c r="I155" i="62"/>
  <c r="J155" i="62"/>
  <c r="K155" i="62"/>
  <c r="L155" i="62"/>
  <c r="M155" i="62"/>
  <c r="N155" i="62"/>
  <c r="O155" i="62"/>
  <c r="P155" i="62"/>
  <c r="Q155" i="62"/>
  <c r="R155" i="62"/>
  <c r="C156" i="62"/>
  <c r="D156" i="62"/>
  <c r="E156" i="62"/>
  <c r="F156" i="62"/>
  <c r="G156" i="62"/>
  <c r="H156" i="62"/>
  <c r="I156" i="62"/>
  <c r="J156" i="62"/>
  <c r="K156" i="62"/>
  <c r="L156" i="62"/>
  <c r="M156" i="62"/>
  <c r="N156" i="62"/>
  <c r="O156" i="62"/>
  <c r="P156" i="62"/>
  <c r="Q156" i="62"/>
  <c r="R156" i="62"/>
  <c r="C157" i="62"/>
  <c r="D157" i="62"/>
  <c r="E157" i="62"/>
  <c r="F157" i="62"/>
  <c r="G157" i="62"/>
  <c r="H157" i="62"/>
  <c r="I157" i="62"/>
  <c r="J157" i="62"/>
  <c r="K157" i="62"/>
  <c r="L157" i="62"/>
  <c r="M157" i="62"/>
  <c r="N157" i="62"/>
  <c r="O157" i="62"/>
  <c r="P157" i="62"/>
  <c r="Q157" i="62"/>
  <c r="R157" i="62"/>
  <c r="C158" i="62"/>
  <c r="D158" i="62"/>
  <c r="E158" i="62"/>
  <c r="F158" i="62"/>
  <c r="G158" i="62"/>
  <c r="H158" i="62"/>
  <c r="I158" i="62"/>
  <c r="J158" i="62"/>
  <c r="K158" i="62"/>
  <c r="L158" i="62"/>
  <c r="M158" i="62"/>
  <c r="N158" i="62"/>
  <c r="O158" i="62"/>
  <c r="P158" i="62"/>
  <c r="Q158" i="62"/>
  <c r="R158" i="62"/>
  <c r="C159" i="62"/>
  <c r="D159" i="62"/>
  <c r="E159" i="62"/>
  <c r="F159" i="62"/>
  <c r="G159" i="62"/>
  <c r="H159" i="62"/>
  <c r="I159" i="62"/>
  <c r="J159" i="62"/>
  <c r="K159" i="62"/>
  <c r="L159" i="62"/>
  <c r="M159" i="62"/>
  <c r="N159" i="62"/>
  <c r="O159" i="62"/>
  <c r="P159" i="62"/>
  <c r="Q159" i="62"/>
  <c r="R159" i="62"/>
  <c r="C160" i="62"/>
  <c r="D160" i="62"/>
  <c r="E160" i="62"/>
  <c r="F160" i="62"/>
  <c r="G160" i="62"/>
  <c r="H160" i="62"/>
  <c r="I160" i="62"/>
  <c r="J160" i="62"/>
  <c r="K160" i="62"/>
  <c r="L160" i="62"/>
  <c r="M160" i="62"/>
  <c r="N160" i="62"/>
  <c r="O160" i="62"/>
  <c r="P160" i="62"/>
  <c r="Q160" i="62"/>
  <c r="R160" i="62"/>
  <c r="C161" i="62"/>
  <c r="D161" i="62"/>
  <c r="E161" i="62"/>
  <c r="F161" i="62"/>
  <c r="G161" i="62"/>
  <c r="H161" i="62"/>
  <c r="I161" i="62"/>
  <c r="J161" i="62"/>
  <c r="K161" i="62"/>
  <c r="L161" i="62"/>
  <c r="M161" i="62"/>
  <c r="N161" i="62"/>
  <c r="O161" i="62"/>
  <c r="P161" i="62"/>
  <c r="Q161" i="62"/>
  <c r="R161" i="62"/>
  <c r="C162" i="62"/>
  <c r="D162" i="62"/>
  <c r="E162" i="62"/>
  <c r="F162" i="62"/>
  <c r="G162" i="62"/>
  <c r="H162" i="62"/>
  <c r="I162" i="62"/>
  <c r="J162" i="62"/>
  <c r="K162" i="62"/>
  <c r="L162" i="62"/>
  <c r="M162" i="62"/>
  <c r="N162" i="62"/>
  <c r="O162" i="62"/>
  <c r="P162" i="62"/>
  <c r="Q162" i="62"/>
  <c r="R162" i="62"/>
  <c r="C163" i="62"/>
  <c r="D163" i="62"/>
  <c r="E163" i="62"/>
  <c r="F163" i="62"/>
  <c r="G163" i="62"/>
  <c r="H163" i="62"/>
  <c r="I163" i="62"/>
  <c r="J163" i="62"/>
  <c r="K163" i="62"/>
  <c r="L163" i="62"/>
  <c r="M163" i="62"/>
  <c r="N163" i="62"/>
  <c r="O163" i="62"/>
  <c r="P163" i="62"/>
  <c r="Q163" i="62"/>
  <c r="R163" i="62"/>
  <c r="C164" i="62"/>
  <c r="D164" i="62"/>
  <c r="E164" i="62"/>
  <c r="F164" i="62"/>
  <c r="G164" i="62"/>
  <c r="H164" i="62"/>
  <c r="I164" i="62"/>
  <c r="J164" i="62"/>
  <c r="K164" i="62"/>
  <c r="L164" i="62"/>
  <c r="M164" i="62"/>
  <c r="N164" i="62"/>
  <c r="O164" i="62"/>
  <c r="P164" i="62"/>
  <c r="Q164" i="62"/>
  <c r="R164" i="62"/>
  <c r="C165" i="62"/>
  <c r="D165" i="62"/>
  <c r="E165" i="62"/>
  <c r="F165" i="62"/>
  <c r="G165" i="62"/>
  <c r="H165" i="62"/>
  <c r="I165" i="62"/>
  <c r="J165" i="62"/>
  <c r="K165" i="62"/>
  <c r="L165" i="62"/>
  <c r="M165" i="62"/>
  <c r="N165" i="62"/>
  <c r="O165" i="62"/>
  <c r="P165" i="62"/>
  <c r="Q165" i="62"/>
  <c r="R165" i="62"/>
  <c r="C166" i="62"/>
  <c r="D166" i="62"/>
  <c r="E166" i="62"/>
  <c r="F166" i="62"/>
  <c r="G166" i="62"/>
  <c r="H166" i="62"/>
  <c r="I166" i="62"/>
  <c r="J166" i="62"/>
  <c r="K166" i="62"/>
  <c r="L166" i="62"/>
  <c r="M166" i="62"/>
  <c r="N166" i="62"/>
  <c r="O166" i="62"/>
  <c r="P166" i="62"/>
  <c r="Q166" i="62"/>
  <c r="R166" i="62"/>
  <c r="C167" i="62"/>
  <c r="D167" i="62"/>
  <c r="E167" i="62"/>
  <c r="F167" i="62"/>
  <c r="G167" i="62"/>
  <c r="H167" i="62"/>
  <c r="I167" i="62"/>
  <c r="J167" i="62"/>
  <c r="K167" i="62"/>
  <c r="L167" i="62"/>
  <c r="M167" i="62"/>
  <c r="N167" i="62"/>
  <c r="O167" i="62"/>
  <c r="P167" i="62"/>
  <c r="Q167" i="62"/>
  <c r="R167" i="62"/>
  <c r="C168" i="62"/>
  <c r="D168" i="62"/>
  <c r="E168" i="62"/>
  <c r="F168" i="62"/>
  <c r="G168" i="62"/>
  <c r="H168" i="62"/>
  <c r="I168" i="62"/>
  <c r="J168" i="62"/>
  <c r="K168" i="62"/>
  <c r="L168" i="62"/>
  <c r="M168" i="62"/>
  <c r="N168" i="62"/>
  <c r="O168" i="62"/>
  <c r="P168" i="62"/>
  <c r="Q168" i="62"/>
  <c r="R168" i="62"/>
  <c r="C169" i="62"/>
  <c r="D169" i="62"/>
  <c r="E169" i="62"/>
  <c r="F169" i="62"/>
  <c r="G169" i="62"/>
  <c r="H169" i="62"/>
  <c r="I169" i="62"/>
  <c r="J169" i="62"/>
  <c r="K169" i="62"/>
  <c r="L169" i="62"/>
  <c r="M169" i="62"/>
  <c r="N169" i="62"/>
  <c r="O169" i="62"/>
  <c r="P169" i="62"/>
  <c r="Q169" i="62"/>
  <c r="R169" i="62"/>
  <c r="C170" i="62"/>
  <c r="D170" i="62"/>
  <c r="E170" i="62"/>
  <c r="F170" i="62"/>
  <c r="G170" i="62"/>
  <c r="H170" i="62"/>
  <c r="I170" i="62"/>
  <c r="J170" i="62"/>
  <c r="K170" i="62"/>
  <c r="L170" i="62"/>
  <c r="M170" i="62"/>
  <c r="N170" i="62"/>
  <c r="O170" i="62"/>
  <c r="P170" i="62"/>
  <c r="Q170" i="62"/>
  <c r="R170" i="62"/>
  <c r="C171" i="62"/>
  <c r="D171" i="62"/>
  <c r="E171" i="62"/>
  <c r="F171" i="62"/>
  <c r="G171" i="62"/>
  <c r="H171" i="62"/>
  <c r="I171" i="62"/>
  <c r="J171" i="62"/>
  <c r="K171" i="62"/>
  <c r="L171" i="62"/>
  <c r="M171" i="62"/>
  <c r="N171" i="62"/>
  <c r="O171" i="62"/>
  <c r="P171" i="62"/>
  <c r="Q171" i="62"/>
  <c r="R171" i="62"/>
  <c r="C172" i="62"/>
  <c r="D172" i="62"/>
  <c r="E172" i="62"/>
  <c r="F172" i="62"/>
  <c r="G172" i="62"/>
  <c r="H172" i="62"/>
  <c r="I172" i="62"/>
  <c r="J172" i="62"/>
  <c r="K172" i="62"/>
  <c r="L172" i="62"/>
  <c r="M172" i="62"/>
  <c r="N172" i="62"/>
  <c r="O172" i="62"/>
  <c r="P172" i="62"/>
  <c r="Q172" i="62"/>
  <c r="R172" i="62"/>
  <c r="C173" i="62"/>
  <c r="D173" i="62"/>
  <c r="E173" i="62"/>
  <c r="F173" i="62"/>
  <c r="G173" i="62"/>
  <c r="H173" i="62"/>
  <c r="I173" i="62"/>
  <c r="J173" i="62"/>
  <c r="K173" i="62"/>
  <c r="L173" i="62"/>
  <c r="M173" i="62"/>
  <c r="N173" i="62"/>
  <c r="O173" i="62"/>
  <c r="P173" i="62"/>
  <c r="Q173" i="62"/>
  <c r="R173" i="62"/>
  <c r="C174" i="62"/>
  <c r="D174" i="62"/>
  <c r="E174" i="62"/>
  <c r="F174" i="62"/>
  <c r="G174" i="62"/>
  <c r="H174" i="62"/>
  <c r="I174" i="62"/>
  <c r="J174" i="62"/>
  <c r="K174" i="62"/>
  <c r="L174" i="62"/>
  <c r="M174" i="62"/>
  <c r="N174" i="62"/>
  <c r="O174" i="62"/>
  <c r="P174" i="62"/>
  <c r="Q174" i="62"/>
  <c r="R174" i="62"/>
  <c r="C175" i="62"/>
  <c r="D175" i="62"/>
  <c r="E175" i="62"/>
  <c r="F175" i="62"/>
  <c r="G175" i="62"/>
  <c r="H175" i="62"/>
  <c r="I175" i="62"/>
  <c r="J175" i="62"/>
  <c r="K175" i="62"/>
  <c r="L175" i="62"/>
  <c r="M175" i="62"/>
  <c r="N175" i="62"/>
  <c r="O175" i="62"/>
  <c r="P175" i="62"/>
  <c r="Q175" i="62"/>
  <c r="R175" i="62"/>
  <c r="C176" i="62"/>
  <c r="D176" i="62"/>
  <c r="E176" i="62"/>
  <c r="F176" i="62"/>
  <c r="G176" i="62"/>
  <c r="H176" i="62"/>
  <c r="I176" i="62"/>
  <c r="J176" i="62"/>
  <c r="K176" i="62"/>
  <c r="L176" i="62"/>
  <c r="M176" i="62"/>
  <c r="N176" i="62"/>
  <c r="O176" i="62"/>
  <c r="P176" i="62"/>
  <c r="Q176" i="62"/>
  <c r="R176" i="62"/>
  <c r="C177" i="62"/>
  <c r="D177" i="62"/>
  <c r="E177" i="62"/>
  <c r="F177" i="62"/>
  <c r="G177" i="62"/>
  <c r="H177" i="62"/>
  <c r="I177" i="62"/>
  <c r="J177" i="62"/>
  <c r="K177" i="62"/>
  <c r="L177" i="62"/>
  <c r="M177" i="62"/>
  <c r="N177" i="62"/>
  <c r="O177" i="62"/>
  <c r="P177" i="62"/>
  <c r="Q177" i="62"/>
  <c r="R177" i="62"/>
  <c r="C178" i="62"/>
  <c r="D178" i="62"/>
  <c r="E178" i="62"/>
  <c r="F178" i="62"/>
  <c r="G178" i="62"/>
  <c r="H178" i="62"/>
  <c r="I178" i="62"/>
  <c r="J178" i="62"/>
  <c r="K178" i="62"/>
  <c r="L178" i="62"/>
  <c r="M178" i="62"/>
  <c r="N178" i="62"/>
  <c r="O178" i="62"/>
  <c r="P178" i="62"/>
  <c r="Q178" i="62"/>
  <c r="R178" i="62"/>
  <c r="C179" i="62"/>
  <c r="D179" i="62"/>
  <c r="E179" i="62"/>
  <c r="F179" i="62"/>
  <c r="G179" i="62"/>
  <c r="H179" i="62"/>
  <c r="I179" i="62"/>
  <c r="J179" i="62"/>
  <c r="K179" i="62"/>
  <c r="L179" i="62"/>
  <c r="M179" i="62"/>
  <c r="N179" i="62"/>
  <c r="O179" i="62"/>
  <c r="P179" i="62"/>
  <c r="Q179" i="62"/>
  <c r="R179" i="62"/>
  <c r="C180" i="62"/>
  <c r="D180" i="62"/>
  <c r="E180" i="62"/>
  <c r="F180" i="62"/>
  <c r="G180" i="62"/>
  <c r="H180" i="62"/>
  <c r="I180" i="62"/>
  <c r="J180" i="62"/>
  <c r="K180" i="62"/>
  <c r="L180" i="62"/>
  <c r="M180" i="62"/>
  <c r="N180" i="62"/>
  <c r="O180" i="62"/>
  <c r="P180" i="62"/>
  <c r="Q180" i="62"/>
  <c r="R180" i="62"/>
  <c r="C181" i="62"/>
  <c r="D181" i="62"/>
  <c r="E181" i="62"/>
  <c r="F181" i="62"/>
  <c r="G181" i="62"/>
  <c r="H181" i="62"/>
  <c r="I181" i="62"/>
  <c r="J181" i="62"/>
  <c r="K181" i="62"/>
  <c r="L181" i="62"/>
  <c r="M181" i="62"/>
  <c r="N181" i="62"/>
  <c r="O181" i="62"/>
  <c r="P181" i="62"/>
  <c r="Q181" i="62"/>
  <c r="R181" i="62"/>
  <c r="C182" i="62"/>
  <c r="D182" i="62"/>
  <c r="E182" i="62"/>
  <c r="F182" i="62"/>
  <c r="G182" i="62"/>
  <c r="H182" i="62"/>
  <c r="I182" i="62"/>
  <c r="J182" i="62"/>
  <c r="K182" i="62"/>
  <c r="L182" i="62"/>
  <c r="M182" i="62"/>
  <c r="N182" i="62"/>
  <c r="O182" i="62"/>
  <c r="P182" i="62"/>
  <c r="Q182" i="62"/>
  <c r="R182" i="62"/>
  <c r="C183" i="62"/>
  <c r="D183" i="62"/>
  <c r="E183" i="62"/>
  <c r="F183" i="62"/>
  <c r="G183" i="62"/>
  <c r="H183" i="62"/>
  <c r="I183" i="62"/>
  <c r="J183" i="62"/>
  <c r="K183" i="62"/>
  <c r="L183" i="62"/>
  <c r="M183" i="62"/>
  <c r="N183" i="62"/>
  <c r="O183" i="62"/>
  <c r="P183" i="62"/>
  <c r="Q183" i="62"/>
  <c r="R183" i="62"/>
  <c r="C184" i="62"/>
  <c r="D184" i="62"/>
  <c r="E184" i="62"/>
  <c r="F184" i="62"/>
  <c r="G184" i="62"/>
  <c r="H184" i="62"/>
  <c r="I184" i="62"/>
  <c r="J184" i="62"/>
  <c r="K184" i="62"/>
  <c r="L184" i="62"/>
  <c r="M184" i="62"/>
  <c r="N184" i="62"/>
  <c r="O184" i="62"/>
  <c r="P184" i="62"/>
  <c r="Q184" i="62"/>
  <c r="R184" i="62"/>
  <c r="C185" i="62"/>
  <c r="D185" i="62"/>
  <c r="E185" i="62"/>
  <c r="F185" i="62"/>
  <c r="G185" i="62"/>
  <c r="H185" i="62"/>
  <c r="I185" i="62"/>
  <c r="J185" i="62"/>
  <c r="K185" i="62"/>
  <c r="L185" i="62"/>
  <c r="M185" i="62"/>
  <c r="N185" i="62"/>
  <c r="O185" i="62"/>
  <c r="P185" i="62"/>
  <c r="Q185" i="62"/>
  <c r="R185" i="62"/>
  <c r="C186" i="62"/>
  <c r="D186" i="62"/>
  <c r="E186" i="62"/>
  <c r="F186" i="62"/>
  <c r="G186" i="62"/>
  <c r="H186" i="62"/>
  <c r="I186" i="62"/>
  <c r="J186" i="62"/>
  <c r="K186" i="62"/>
  <c r="L186" i="62"/>
  <c r="M186" i="62"/>
  <c r="N186" i="62"/>
  <c r="O186" i="62"/>
  <c r="P186" i="62"/>
  <c r="Q186" i="62"/>
  <c r="R186" i="62"/>
  <c r="C187" i="62"/>
  <c r="D187" i="62"/>
  <c r="E187" i="62"/>
  <c r="F187" i="62"/>
  <c r="G187" i="62"/>
  <c r="H187" i="62"/>
  <c r="I187" i="62"/>
  <c r="J187" i="62"/>
  <c r="K187" i="62"/>
  <c r="L187" i="62"/>
  <c r="M187" i="62"/>
  <c r="N187" i="62"/>
  <c r="O187" i="62"/>
  <c r="P187" i="62"/>
  <c r="Q187" i="62"/>
  <c r="R187" i="62"/>
  <c r="C188" i="62"/>
  <c r="D188" i="62"/>
  <c r="E188" i="62"/>
  <c r="F188" i="62"/>
  <c r="G188" i="62"/>
  <c r="H188" i="62"/>
  <c r="I188" i="62"/>
  <c r="J188" i="62"/>
  <c r="K188" i="62"/>
  <c r="L188" i="62"/>
  <c r="M188" i="62"/>
  <c r="N188" i="62"/>
  <c r="O188" i="62"/>
  <c r="P188" i="62"/>
  <c r="Q188" i="62"/>
  <c r="R188" i="62"/>
  <c r="C189" i="62"/>
  <c r="D189" i="62"/>
  <c r="E189" i="62"/>
  <c r="F189" i="62"/>
  <c r="G189" i="62"/>
  <c r="H189" i="62"/>
  <c r="I189" i="62"/>
  <c r="J189" i="62"/>
  <c r="K189" i="62"/>
  <c r="L189" i="62"/>
  <c r="M189" i="62"/>
  <c r="N189" i="62"/>
  <c r="O189" i="62"/>
  <c r="P189" i="62"/>
  <c r="Q189" i="62"/>
  <c r="R189" i="62"/>
  <c r="C190" i="62"/>
  <c r="D190" i="62"/>
  <c r="E190" i="62"/>
  <c r="F190" i="62"/>
  <c r="G190" i="62"/>
  <c r="H190" i="62"/>
  <c r="I190" i="62"/>
  <c r="J190" i="62"/>
  <c r="K190" i="62"/>
  <c r="L190" i="62"/>
  <c r="M190" i="62"/>
  <c r="N190" i="62"/>
  <c r="O190" i="62"/>
  <c r="P190" i="62"/>
  <c r="Q190" i="62"/>
  <c r="R190" i="62"/>
  <c r="C191" i="62"/>
  <c r="D191" i="62"/>
  <c r="E191" i="62"/>
  <c r="F191" i="62"/>
  <c r="G191" i="62"/>
  <c r="H191" i="62"/>
  <c r="I191" i="62"/>
  <c r="J191" i="62"/>
  <c r="K191" i="62"/>
  <c r="L191" i="62"/>
  <c r="M191" i="62"/>
  <c r="N191" i="62"/>
  <c r="O191" i="62"/>
  <c r="P191" i="62"/>
  <c r="Q191" i="62"/>
  <c r="R191" i="62"/>
  <c r="C192" i="62"/>
  <c r="D192" i="62"/>
  <c r="E192" i="62"/>
  <c r="F192" i="62"/>
  <c r="G192" i="62"/>
  <c r="H192" i="62"/>
  <c r="I192" i="62"/>
  <c r="J192" i="62"/>
  <c r="K192" i="62"/>
  <c r="L192" i="62"/>
  <c r="M192" i="62"/>
  <c r="N192" i="62"/>
  <c r="O192" i="62"/>
  <c r="P192" i="62"/>
  <c r="Q192" i="62"/>
  <c r="R192" i="62"/>
  <c r="C193" i="62"/>
  <c r="D193" i="62"/>
  <c r="E193" i="62"/>
  <c r="F193" i="62"/>
  <c r="G193" i="62"/>
  <c r="H193" i="62"/>
  <c r="I193" i="62"/>
  <c r="J193" i="62"/>
  <c r="K193" i="62"/>
  <c r="L193" i="62"/>
  <c r="M193" i="62"/>
  <c r="N193" i="62"/>
  <c r="O193" i="62"/>
  <c r="P193" i="62"/>
  <c r="Q193" i="62"/>
  <c r="R193" i="62"/>
  <c r="C194" i="62"/>
  <c r="D194" i="62"/>
  <c r="E194" i="62"/>
  <c r="F194" i="62"/>
  <c r="G194" i="62"/>
  <c r="H194" i="62"/>
  <c r="I194" i="62"/>
  <c r="J194" i="62"/>
  <c r="K194" i="62"/>
  <c r="L194" i="62"/>
  <c r="M194" i="62"/>
  <c r="N194" i="62"/>
  <c r="O194" i="62"/>
  <c r="P194" i="62"/>
  <c r="Q194" i="62"/>
  <c r="R194" i="62"/>
  <c r="C195" i="62"/>
  <c r="D195" i="62"/>
  <c r="E195" i="62"/>
  <c r="F195" i="62"/>
  <c r="G195" i="62"/>
  <c r="H195" i="62"/>
  <c r="I195" i="62"/>
  <c r="J195" i="62"/>
  <c r="K195" i="62"/>
  <c r="L195" i="62"/>
  <c r="M195" i="62"/>
  <c r="N195" i="62"/>
  <c r="O195" i="62"/>
  <c r="P195" i="62"/>
  <c r="Q195" i="62"/>
  <c r="R195" i="62"/>
  <c r="C196" i="62"/>
  <c r="D196" i="62"/>
  <c r="E196" i="62"/>
  <c r="F196" i="62"/>
  <c r="G196" i="62"/>
  <c r="H196" i="62"/>
  <c r="I196" i="62"/>
  <c r="J196" i="62"/>
  <c r="K196" i="62"/>
  <c r="L196" i="62"/>
  <c r="M196" i="62"/>
  <c r="N196" i="62"/>
  <c r="O196" i="62"/>
  <c r="P196" i="62"/>
  <c r="Q196" i="62"/>
  <c r="R196" i="62"/>
  <c r="C197" i="62"/>
  <c r="D197" i="62"/>
  <c r="E197" i="62"/>
  <c r="F197" i="62"/>
  <c r="G197" i="62"/>
  <c r="H197" i="62"/>
  <c r="I197" i="62"/>
  <c r="J197" i="62"/>
  <c r="K197" i="62"/>
  <c r="L197" i="62"/>
  <c r="M197" i="62"/>
  <c r="N197" i="62"/>
  <c r="O197" i="62"/>
  <c r="P197" i="62"/>
  <c r="Q197" i="62"/>
  <c r="R197" i="62"/>
  <c r="C198" i="62"/>
  <c r="D198" i="62"/>
  <c r="E198" i="62"/>
  <c r="F198" i="62"/>
  <c r="G198" i="62"/>
  <c r="H198" i="62"/>
  <c r="I198" i="62"/>
  <c r="J198" i="62"/>
  <c r="K198" i="62"/>
  <c r="L198" i="62"/>
  <c r="M198" i="62"/>
  <c r="N198" i="62"/>
  <c r="O198" i="62"/>
  <c r="P198" i="62"/>
  <c r="Q198" i="62"/>
  <c r="R198" i="62"/>
  <c r="C199" i="62"/>
  <c r="D199" i="62"/>
  <c r="E199" i="62"/>
  <c r="F199" i="62"/>
  <c r="G199" i="62"/>
  <c r="H199" i="62"/>
  <c r="I199" i="62"/>
  <c r="J199" i="62"/>
  <c r="K199" i="62"/>
  <c r="L199" i="62"/>
  <c r="M199" i="62"/>
  <c r="N199" i="62"/>
  <c r="O199" i="62"/>
  <c r="P199" i="62"/>
  <c r="Q199" i="62"/>
  <c r="R199" i="62"/>
  <c r="C200" i="62"/>
  <c r="D200" i="62"/>
  <c r="E200" i="62"/>
  <c r="F200" i="62"/>
  <c r="G200" i="62"/>
  <c r="H200" i="62"/>
  <c r="I200" i="62"/>
  <c r="J200" i="62"/>
  <c r="K200" i="62"/>
  <c r="L200" i="62"/>
  <c r="M200" i="62"/>
  <c r="N200" i="62"/>
  <c r="O200" i="62"/>
  <c r="P200" i="62"/>
  <c r="Q200" i="62"/>
  <c r="R200" i="62"/>
  <c r="C201" i="62"/>
  <c r="D201" i="62"/>
  <c r="E201" i="62"/>
  <c r="F201" i="62"/>
  <c r="G201" i="62"/>
  <c r="H201" i="62"/>
  <c r="I201" i="62"/>
  <c r="J201" i="62"/>
  <c r="K201" i="62"/>
  <c r="L201" i="62"/>
  <c r="M201" i="62"/>
  <c r="N201" i="62"/>
  <c r="O201" i="62"/>
  <c r="P201" i="62"/>
  <c r="Q201" i="62"/>
  <c r="R201" i="62"/>
  <c r="C202" i="62"/>
  <c r="D202" i="62"/>
  <c r="E202" i="62"/>
  <c r="F202" i="62"/>
  <c r="G202" i="62"/>
  <c r="H202" i="62"/>
  <c r="I202" i="62"/>
  <c r="J202" i="62"/>
  <c r="K202" i="62"/>
  <c r="L202" i="62"/>
  <c r="M202" i="62"/>
  <c r="N202" i="62"/>
  <c r="O202" i="62"/>
  <c r="P202" i="62"/>
  <c r="Q202" i="62"/>
  <c r="R202" i="62"/>
  <c r="C203" i="62"/>
  <c r="D203" i="62"/>
  <c r="E203" i="62"/>
  <c r="F203" i="62"/>
  <c r="G203" i="62"/>
  <c r="H203" i="62"/>
  <c r="I203" i="62"/>
  <c r="J203" i="62"/>
  <c r="K203" i="62"/>
  <c r="L203" i="62"/>
  <c r="M203" i="62"/>
  <c r="N203" i="62"/>
  <c r="O203" i="62"/>
  <c r="P203" i="62"/>
  <c r="Q203" i="62"/>
  <c r="R203" i="62"/>
  <c r="C204" i="62"/>
  <c r="D204" i="62"/>
  <c r="E204" i="62"/>
  <c r="F204" i="62"/>
  <c r="G204" i="62"/>
  <c r="H204" i="62"/>
  <c r="I204" i="62"/>
  <c r="J204" i="62"/>
  <c r="K204" i="62"/>
  <c r="L204" i="62"/>
  <c r="M204" i="62"/>
  <c r="N204" i="62"/>
  <c r="O204" i="62"/>
  <c r="P204" i="62"/>
  <c r="Q204" i="62"/>
  <c r="R204" i="62"/>
  <c r="C205" i="62"/>
  <c r="D205" i="62"/>
  <c r="E205" i="62"/>
  <c r="F205" i="62"/>
  <c r="G205" i="62"/>
  <c r="H205" i="62"/>
  <c r="I205" i="62"/>
  <c r="J205" i="62"/>
  <c r="K205" i="62"/>
  <c r="L205" i="62"/>
  <c r="M205" i="62"/>
  <c r="N205" i="62"/>
  <c r="O205" i="62"/>
  <c r="P205" i="62"/>
  <c r="Q205" i="62"/>
  <c r="R205" i="62"/>
  <c r="C206" i="62"/>
  <c r="D206" i="62"/>
  <c r="E206" i="62"/>
  <c r="F206" i="62"/>
  <c r="G206" i="62"/>
  <c r="H206" i="62"/>
  <c r="I206" i="62"/>
  <c r="J206" i="62"/>
  <c r="K206" i="62"/>
  <c r="L206" i="62"/>
  <c r="M206" i="62"/>
  <c r="N206" i="62"/>
  <c r="O206" i="62"/>
  <c r="P206" i="62"/>
  <c r="Q206" i="62"/>
  <c r="R206" i="62"/>
  <c r="C207" i="62"/>
  <c r="D207" i="62"/>
  <c r="E207" i="62"/>
  <c r="F207" i="62"/>
  <c r="G207" i="62"/>
  <c r="H207" i="62"/>
  <c r="I207" i="62"/>
  <c r="J207" i="62"/>
  <c r="K207" i="62"/>
  <c r="L207" i="62"/>
  <c r="M207" i="62"/>
  <c r="N207" i="62"/>
  <c r="O207" i="62"/>
  <c r="P207" i="62"/>
  <c r="Q207" i="62"/>
  <c r="R207" i="62"/>
  <c r="C208" i="62"/>
  <c r="D208" i="62"/>
  <c r="E208" i="62"/>
  <c r="F208" i="62"/>
  <c r="G208" i="62"/>
  <c r="H208" i="62"/>
  <c r="I208" i="62"/>
  <c r="J208" i="62"/>
  <c r="K208" i="62"/>
  <c r="L208" i="62"/>
  <c r="M208" i="62"/>
  <c r="N208" i="62"/>
  <c r="O208" i="62"/>
  <c r="P208" i="62"/>
  <c r="Q208" i="62"/>
  <c r="R208" i="62"/>
  <c r="C209" i="62"/>
  <c r="D209" i="62"/>
  <c r="E209" i="62"/>
  <c r="F209" i="62"/>
  <c r="G209" i="62"/>
  <c r="H209" i="62"/>
  <c r="I209" i="62"/>
  <c r="J209" i="62"/>
  <c r="K209" i="62"/>
  <c r="L209" i="62"/>
  <c r="M209" i="62"/>
  <c r="N209" i="62"/>
  <c r="O209" i="62"/>
  <c r="P209" i="62"/>
  <c r="Q209" i="62"/>
  <c r="R209" i="62"/>
  <c r="C210" i="62"/>
  <c r="D210" i="62"/>
  <c r="E210" i="62"/>
  <c r="F210" i="62"/>
  <c r="G210" i="62"/>
  <c r="H210" i="62"/>
  <c r="I210" i="62"/>
  <c r="J210" i="62"/>
  <c r="K210" i="62"/>
  <c r="L210" i="62"/>
  <c r="M210" i="62"/>
  <c r="N210" i="62"/>
  <c r="O210" i="62"/>
  <c r="P210" i="62"/>
  <c r="Q210" i="62"/>
  <c r="R210" i="62"/>
  <c r="C211" i="62"/>
  <c r="D211" i="62"/>
  <c r="E211" i="62"/>
  <c r="F211" i="62"/>
  <c r="G211" i="62"/>
  <c r="H211" i="62"/>
  <c r="I211" i="62"/>
  <c r="J211" i="62"/>
  <c r="K211" i="62"/>
  <c r="L211" i="62"/>
  <c r="M211" i="62"/>
  <c r="N211" i="62"/>
  <c r="O211" i="62"/>
  <c r="P211" i="62"/>
  <c r="Q211" i="62"/>
  <c r="R211" i="62"/>
  <c r="C212" i="62"/>
  <c r="D212" i="62"/>
  <c r="E212" i="62"/>
  <c r="F212" i="62"/>
  <c r="G212" i="62"/>
  <c r="H212" i="62"/>
  <c r="I212" i="62"/>
  <c r="J212" i="62"/>
  <c r="K212" i="62"/>
  <c r="L212" i="62"/>
  <c r="M212" i="62"/>
  <c r="N212" i="62"/>
  <c r="O212" i="62"/>
  <c r="P212" i="62"/>
  <c r="Q212" i="62"/>
  <c r="R212" i="62"/>
  <c r="C213" i="62"/>
  <c r="D213" i="62"/>
  <c r="E213" i="62"/>
  <c r="F213" i="62"/>
  <c r="G213" i="62"/>
  <c r="H213" i="62"/>
  <c r="I213" i="62"/>
  <c r="J213" i="62"/>
  <c r="K213" i="62"/>
  <c r="L213" i="62"/>
  <c r="M213" i="62"/>
  <c r="N213" i="62"/>
  <c r="O213" i="62"/>
  <c r="P213" i="62"/>
  <c r="Q213" i="62"/>
  <c r="R213" i="62"/>
  <c r="C214" i="62"/>
  <c r="D214" i="62"/>
  <c r="E214" i="62"/>
  <c r="F214" i="62"/>
  <c r="G214" i="62"/>
  <c r="H214" i="62"/>
  <c r="I214" i="62"/>
  <c r="J214" i="62"/>
  <c r="K214" i="62"/>
  <c r="L214" i="62"/>
  <c r="M214" i="62"/>
  <c r="N214" i="62"/>
  <c r="O214" i="62"/>
  <c r="P214" i="62"/>
  <c r="Q214" i="62"/>
  <c r="R214" i="62"/>
  <c r="C215" i="62"/>
  <c r="D215" i="62"/>
  <c r="E215" i="62"/>
  <c r="F215" i="62"/>
  <c r="G215" i="62"/>
  <c r="H215" i="62"/>
  <c r="I215" i="62"/>
  <c r="J215" i="62"/>
  <c r="K215" i="62"/>
  <c r="L215" i="62"/>
  <c r="M215" i="62"/>
  <c r="N215" i="62"/>
  <c r="O215" i="62"/>
  <c r="P215" i="62"/>
  <c r="Q215" i="62"/>
  <c r="R215" i="62"/>
  <c r="C216" i="62"/>
  <c r="D216" i="62"/>
  <c r="E216" i="62"/>
  <c r="F216" i="62"/>
  <c r="G216" i="62"/>
  <c r="H216" i="62"/>
  <c r="I216" i="62"/>
  <c r="J216" i="62"/>
  <c r="K216" i="62"/>
  <c r="L216" i="62"/>
  <c r="M216" i="62"/>
  <c r="N216" i="62"/>
  <c r="O216" i="62"/>
  <c r="P216" i="62"/>
  <c r="Q216" i="62"/>
  <c r="R216" i="62"/>
  <c r="C217" i="62"/>
  <c r="D217" i="62"/>
  <c r="E217" i="62"/>
  <c r="F217" i="62"/>
  <c r="G217" i="62"/>
  <c r="H217" i="62"/>
  <c r="I217" i="62"/>
  <c r="J217" i="62"/>
  <c r="K217" i="62"/>
  <c r="L217" i="62"/>
  <c r="M217" i="62"/>
  <c r="N217" i="62"/>
  <c r="O217" i="62"/>
  <c r="P217" i="62"/>
  <c r="Q217" i="62"/>
  <c r="R217" i="62"/>
  <c r="C218" i="62"/>
  <c r="D218" i="62"/>
  <c r="E218" i="62"/>
  <c r="F218" i="62"/>
  <c r="G218" i="62"/>
  <c r="H218" i="62"/>
  <c r="I218" i="62"/>
  <c r="J218" i="62"/>
  <c r="K218" i="62"/>
  <c r="L218" i="62"/>
  <c r="M218" i="62"/>
  <c r="N218" i="62"/>
  <c r="O218" i="62"/>
  <c r="P218" i="62"/>
  <c r="Q218" i="62"/>
  <c r="R218" i="62"/>
  <c r="C219" i="62"/>
  <c r="D219" i="62"/>
  <c r="E219" i="62"/>
  <c r="F219" i="62"/>
  <c r="G219" i="62"/>
  <c r="H219" i="62"/>
  <c r="I219" i="62"/>
  <c r="J219" i="62"/>
  <c r="K219" i="62"/>
  <c r="L219" i="62"/>
  <c r="M219" i="62"/>
  <c r="N219" i="62"/>
  <c r="O219" i="62"/>
  <c r="P219" i="62"/>
  <c r="Q219" i="62"/>
  <c r="R219" i="62"/>
  <c r="C220" i="62"/>
  <c r="D220" i="62"/>
  <c r="E220" i="62"/>
  <c r="F220" i="62"/>
  <c r="G220" i="62"/>
  <c r="H220" i="62"/>
  <c r="I220" i="62"/>
  <c r="J220" i="62"/>
  <c r="K220" i="62"/>
  <c r="L220" i="62"/>
  <c r="M220" i="62"/>
  <c r="N220" i="62"/>
  <c r="O220" i="62"/>
  <c r="P220" i="62"/>
  <c r="Q220" i="62"/>
  <c r="R220" i="62"/>
  <c r="C221" i="62"/>
  <c r="D221" i="62"/>
  <c r="E221" i="62"/>
  <c r="F221" i="62"/>
  <c r="G221" i="62"/>
  <c r="H221" i="62"/>
  <c r="I221" i="62"/>
  <c r="J221" i="62"/>
  <c r="K221" i="62"/>
  <c r="L221" i="62"/>
  <c r="M221" i="62"/>
  <c r="N221" i="62"/>
  <c r="O221" i="62"/>
  <c r="P221" i="62"/>
  <c r="Q221" i="62"/>
  <c r="R221" i="62"/>
  <c r="C222" i="62"/>
  <c r="D222" i="62"/>
  <c r="E222" i="62"/>
  <c r="F222" i="62"/>
  <c r="G222" i="62"/>
  <c r="H222" i="62"/>
  <c r="I222" i="62"/>
  <c r="J222" i="62"/>
  <c r="K222" i="62"/>
  <c r="L222" i="62"/>
  <c r="M222" i="62"/>
  <c r="N222" i="62"/>
  <c r="O222" i="62"/>
  <c r="P222" i="62"/>
  <c r="Q222" i="62"/>
  <c r="R222" i="62"/>
  <c r="C223" i="62"/>
  <c r="D223" i="62"/>
  <c r="E223" i="62"/>
  <c r="F223" i="62"/>
  <c r="G223" i="62"/>
  <c r="H223" i="62"/>
  <c r="I223" i="62"/>
  <c r="J223" i="62"/>
  <c r="K223" i="62"/>
  <c r="L223" i="62"/>
  <c r="M223" i="62"/>
  <c r="N223" i="62"/>
  <c r="O223" i="62"/>
  <c r="P223" i="62"/>
  <c r="Q223" i="62"/>
  <c r="R223" i="62"/>
  <c r="C224" i="62"/>
  <c r="D224" i="62"/>
  <c r="E224" i="62"/>
  <c r="F224" i="62"/>
  <c r="G224" i="62"/>
  <c r="H224" i="62"/>
  <c r="I224" i="62"/>
  <c r="J224" i="62"/>
  <c r="K224" i="62"/>
  <c r="L224" i="62"/>
  <c r="M224" i="62"/>
  <c r="N224" i="62"/>
  <c r="O224" i="62"/>
  <c r="P224" i="62"/>
  <c r="Q224" i="62"/>
  <c r="R224" i="62"/>
  <c r="C225" i="62"/>
  <c r="D225" i="62"/>
  <c r="E225" i="62"/>
  <c r="F225" i="62"/>
  <c r="G225" i="62"/>
  <c r="H225" i="62"/>
  <c r="I225" i="62"/>
  <c r="J225" i="62"/>
  <c r="K225" i="62"/>
  <c r="L225" i="62"/>
  <c r="M225" i="62"/>
  <c r="N225" i="62"/>
  <c r="O225" i="62"/>
  <c r="P225" i="62"/>
  <c r="Q225" i="62"/>
  <c r="R225" i="62"/>
  <c r="C226" i="62"/>
  <c r="D226" i="62"/>
  <c r="E226" i="62"/>
  <c r="F226" i="62"/>
  <c r="G226" i="62"/>
  <c r="H226" i="62"/>
  <c r="I226" i="62"/>
  <c r="J226" i="62"/>
  <c r="K226" i="62"/>
  <c r="L226" i="62"/>
  <c r="M226" i="62"/>
  <c r="N226" i="62"/>
  <c r="O226" i="62"/>
  <c r="P226" i="62"/>
  <c r="Q226" i="62"/>
  <c r="R226" i="62"/>
  <c r="C227" i="62"/>
  <c r="D227" i="62"/>
  <c r="E227" i="62"/>
  <c r="F227" i="62"/>
  <c r="G227" i="62"/>
  <c r="H227" i="62"/>
  <c r="I227" i="62"/>
  <c r="J227" i="62"/>
  <c r="K227" i="62"/>
  <c r="L227" i="62"/>
  <c r="M227" i="62"/>
  <c r="N227" i="62"/>
  <c r="O227" i="62"/>
  <c r="P227" i="62"/>
  <c r="Q227" i="62"/>
  <c r="R227" i="62"/>
  <c r="C228" i="62"/>
  <c r="D228" i="62"/>
  <c r="E228" i="62"/>
  <c r="F228" i="62"/>
  <c r="G228" i="62"/>
  <c r="H228" i="62"/>
  <c r="I228" i="62"/>
  <c r="J228" i="62"/>
  <c r="K228" i="62"/>
  <c r="L228" i="62"/>
  <c r="M228" i="62"/>
  <c r="N228" i="62"/>
  <c r="O228" i="62"/>
  <c r="P228" i="62"/>
  <c r="Q228" i="62"/>
  <c r="R228" i="62"/>
  <c r="C229" i="62"/>
  <c r="D229" i="62"/>
  <c r="E229" i="62"/>
  <c r="F229" i="62"/>
  <c r="G229" i="62"/>
  <c r="H229" i="62"/>
  <c r="I229" i="62"/>
  <c r="J229" i="62"/>
  <c r="K229" i="62"/>
  <c r="L229" i="62"/>
  <c r="M229" i="62"/>
  <c r="N229" i="62"/>
  <c r="O229" i="62"/>
  <c r="P229" i="62"/>
  <c r="Q229" i="62"/>
  <c r="R229" i="62"/>
  <c r="C230" i="62"/>
  <c r="D230" i="62"/>
  <c r="E230" i="62"/>
  <c r="F230" i="62"/>
  <c r="G230" i="62"/>
  <c r="H230" i="62"/>
  <c r="I230" i="62"/>
  <c r="J230" i="62"/>
  <c r="K230" i="62"/>
  <c r="L230" i="62"/>
  <c r="M230" i="62"/>
  <c r="N230" i="62"/>
  <c r="O230" i="62"/>
  <c r="P230" i="62"/>
  <c r="Q230" i="62"/>
  <c r="R230" i="62"/>
  <c r="C231" i="62"/>
  <c r="D231" i="62"/>
  <c r="E231" i="62"/>
  <c r="F231" i="62"/>
  <c r="G231" i="62"/>
  <c r="H231" i="62"/>
  <c r="I231" i="62"/>
  <c r="J231" i="62"/>
  <c r="K231" i="62"/>
  <c r="L231" i="62"/>
  <c r="M231" i="62"/>
  <c r="N231" i="62"/>
  <c r="O231" i="62"/>
  <c r="P231" i="62"/>
  <c r="Q231" i="62"/>
  <c r="R231" i="62"/>
  <c r="C232" i="62"/>
  <c r="D232" i="62"/>
  <c r="E232" i="62"/>
  <c r="F232" i="62"/>
  <c r="G232" i="62"/>
  <c r="H232" i="62"/>
  <c r="I232" i="62"/>
  <c r="J232" i="62"/>
  <c r="K232" i="62"/>
  <c r="L232" i="62"/>
  <c r="M232" i="62"/>
  <c r="N232" i="62"/>
  <c r="O232" i="62"/>
  <c r="P232" i="62"/>
  <c r="Q232" i="62"/>
  <c r="R232" i="62"/>
  <c r="C233" i="62"/>
  <c r="D233" i="62"/>
  <c r="E233" i="62"/>
  <c r="F233" i="62"/>
  <c r="G233" i="62"/>
  <c r="H233" i="62"/>
  <c r="I233" i="62"/>
  <c r="J233" i="62"/>
  <c r="K233" i="62"/>
  <c r="L233" i="62"/>
  <c r="M233" i="62"/>
  <c r="N233" i="62"/>
  <c r="O233" i="62"/>
  <c r="P233" i="62"/>
  <c r="Q233" i="62"/>
  <c r="R233" i="62"/>
  <c r="C234" i="62"/>
  <c r="D234" i="62"/>
  <c r="E234" i="62"/>
  <c r="F234" i="62"/>
  <c r="G234" i="62"/>
  <c r="H234" i="62"/>
  <c r="I234" i="62"/>
  <c r="J234" i="62"/>
  <c r="K234" i="62"/>
  <c r="L234" i="62"/>
  <c r="M234" i="62"/>
  <c r="N234" i="62"/>
  <c r="O234" i="62"/>
  <c r="P234" i="62"/>
  <c r="Q234" i="62"/>
  <c r="R234" i="62"/>
  <c r="C235" i="62"/>
  <c r="D235" i="62"/>
  <c r="E235" i="62"/>
  <c r="F235" i="62"/>
  <c r="G235" i="62"/>
  <c r="H235" i="62"/>
  <c r="I235" i="62"/>
  <c r="J235" i="62"/>
  <c r="K235" i="62"/>
  <c r="L235" i="62"/>
  <c r="M235" i="62"/>
  <c r="N235" i="62"/>
  <c r="O235" i="62"/>
  <c r="P235" i="62"/>
  <c r="Q235" i="62"/>
  <c r="R235" i="62"/>
  <c r="C236" i="62"/>
  <c r="D236" i="62"/>
  <c r="E236" i="62"/>
  <c r="F236" i="62"/>
  <c r="G236" i="62"/>
  <c r="H236" i="62"/>
  <c r="I236" i="62"/>
  <c r="J236" i="62"/>
  <c r="K236" i="62"/>
  <c r="L236" i="62"/>
  <c r="M236" i="62"/>
  <c r="N236" i="62"/>
  <c r="O236" i="62"/>
  <c r="P236" i="62"/>
  <c r="Q236" i="62"/>
  <c r="R236" i="62"/>
  <c r="C237" i="62"/>
  <c r="D237" i="62"/>
  <c r="E237" i="62"/>
  <c r="F237" i="62"/>
  <c r="G237" i="62"/>
  <c r="H237" i="62"/>
  <c r="I237" i="62"/>
  <c r="J237" i="62"/>
  <c r="K237" i="62"/>
  <c r="L237" i="62"/>
  <c r="M237" i="62"/>
  <c r="N237" i="62"/>
  <c r="O237" i="62"/>
  <c r="P237" i="62"/>
  <c r="Q237" i="62"/>
  <c r="R237" i="62"/>
  <c r="C238" i="62"/>
  <c r="D238" i="62"/>
  <c r="E238" i="62"/>
  <c r="F238" i="62"/>
  <c r="G238" i="62"/>
  <c r="H238" i="62"/>
  <c r="I238" i="62"/>
  <c r="J238" i="62"/>
  <c r="K238" i="62"/>
  <c r="L238" i="62"/>
  <c r="M238" i="62"/>
  <c r="N238" i="62"/>
  <c r="O238" i="62"/>
  <c r="P238" i="62"/>
  <c r="Q238" i="62"/>
  <c r="R238" i="62"/>
  <c r="C239" i="62"/>
  <c r="D239" i="62"/>
  <c r="E239" i="62"/>
  <c r="F239" i="62"/>
  <c r="G239" i="62"/>
  <c r="H239" i="62"/>
  <c r="I239" i="62"/>
  <c r="J239" i="62"/>
  <c r="K239" i="62"/>
  <c r="L239" i="62"/>
  <c r="M239" i="62"/>
  <c r="N239" i="62"/>
  <c r="O239" i="62"/>
  <c r="P239" i="62"/>
  <c r="Q239" i="62"/>
  <c r="R239" i="62"/>
  <c r="C240" i="62"/>
  <c r="D240" i="62"/>
  <c r="E240" i="62"/>
  <c r="F240" i="62"/>
  <c r="G240" i="62"/>
  <c r="H240" i="62"/>
  <c r="I240" i="62"/>
  <c r="J240" i="62"/>
  <c r="K240" i="62"/>
  <c r="L240" i="62"/>
  <c r="M240" i="62"/>
  <c r="N240" i="62"/>
  <c r="O240" i="62"/>
  <c r="P240" i="62"/>
  <c r="Q240" i="62"/>
  <c r="R240" i="62"/>
  <c r="C241" i="62"/>
  <c r="D241" i="62"/>
  <c r="E241" i="62"/>
  <c r="F241" i="62"/>
  <c r="G241" i="62"/>
  <c r="H241" i="62"/>
  <c r="I241" i="62"/>
  <c r="J241" i="62"/>
  <c r="K241" i="62"/>
  <c r="L241" i="62"/>
  <c r="M241" i="62"/>
  <c r="N241" i="62"/>
  <c r="O241" i="62"/>
  <c r="P241" i="62"/>
  <c r="Q241" i="62"/>
  <c r="R241" i="62"/>
  <c r="C242" i="62"/>
  <c r="D242" i="62"/>
  <c r="E242" i="62"/>
  <c r="F242" i="62"/>
  <c r="G242" i="62"/>
  <c r="H242" i="62"/>
  <c r="I242" i="62"/>
  <c r="J242" i="62"/>
  <c r="K242" i="62"/>
  <c r="L242" i="62"/>
  <c r="M242" i="62"/>
  <c r="N242" i="62"/>
  <c r="O242" i="62"/>
  <c r="P242" i="62"/>
  <c r="Q242" i="62"/>
  <c r="R242" i="62"/>
  <c r="C243" i="62"/>
  <c r="D243" i="62"/>
  <c r="E243" i="62"/>
  <c r="F243" i="62"/>
  <c r="G243" i="62"/>
  <c r="H243" i="62"/>
  <c r="I243" i="62"/>
  <c r="J243" i="62"/>
  <c r="K243" i="62"/>
  <c r="L243" i="62"/>
  <c r="M243" i="62"/>
  <c r="N243" i="62"/>
  <c r="O243" i="62"/>
  <c r="P243" i="62"/>
  <c r="Q243" i="62"/>
  <c r="R243" i="62"/>
  <c r="C244" i="62"/>
  <c r="D244" i="62"/>
  <c r="E244" i="62"/>
  <c r="F244" i="62"/>
  <c r="G244" i="62"/>
  <c r="H244" i="62"/>
  <c r="I244" i="62"/>
  <c r="J244" i="62"/>
  <c r="K244" i="62"/>
  <c r="L244" i="62"/>
  <c r="M244" i="62"/>
  <c r="N244" i="62"/>
  <c r="O244" i="62"/>
  <c r="P244" i="62"/>
  <c r="Q244" i="62"/>
  <c r="R244" i="62"/>
  <c r="C245" i="62"/>
  <c r="D245" i="62"/>
  <c r="E245" i="62"/>
  <c r="F245" i="62"/>
  <c r="G245" i="62"/>
  <c r="H245" i="62"/>
  <c r="I245" i="62"/>
  <c r="J245" i="62"/>
  <c r="K245" i="62"/>
  <c r="L245" i="62"/>
  <c r="M245" i="62"/>
  <c r="N245" i="62"/>
  <c r="O245" i="62"/>
  <c r="P245" i="62"/>
  <c r="Q245" i="62"/>
  <c r="R245" i="62"/>
  <c r="C246" i="62"/>
  <c r="D246" i="62"/>
  <c r="E246" i="62"/>
  <c r="F246" i="62"/>
  <c r="G246" i="62"/>
  <c r="H246" i="62"/>
  <c r="I246" i="62"/>
  <c r="J246" i="62"/>
  <c r="K246" i="62"/>
  <c r="L246" i="62"/>
  <c r="M246" i="62"/>
  <c r="N246" i="62"/>
  <c r="O246" i="62"/>
  <c r="P246" i="62"/>
  <c r="Q246" i="62"/>
  <c r="R246" i="62"/>
  <c r="C247" i="62"/>
  <c r="D247" i="62"/>
  <c r="E247" i="62"/>
  <c r="F247" i="62"/>
  <c r="G247" i="62"/>
  <c r="H247" i="62"/>
  <c r="I247" i="62"/>
  <c r="J247" i="62"/>
  <c r="K247" i="62"/>
  <c r="L247" i="62"/>
  <c r="M247" i="62"/>
  <c r="N247" i="62"/>
  <c r="O247" i="62"/>
  <c r="P247" i="62"/>
  <c r="Q247" i="62"/>
  <c r="R247" i="62"/>
  <c r="C248" i="62"/>
  <c r="D248" i="62"/>
  <c r="E248" i="62"/>
  <c r="F248" i="62"/>
  <c r="G248" i="62"/>
  <c r="H248" i="62"/>
  <c r="I248" i="62"/>
  <c r="J248" i="62"/>
  <c r="K248" i="62"/>
  <c r="L248" i="62"/>
  <c r="M248" i="62"/>
  <c r="N248" i="62"/>
  <c r="O248" i="62"/>
  <c r="P248" i="62"/>
  <c r="Q248" i="62"/>
  <c r="R248" i="62"/>
  <c r="C249" i="62"/>
  <c r="D249" i="62"/>
  <c r="E249" i="62"/>
  <c r="F249" i="62"/>
  <c r="G249" i="62"/>
  <c r="H249" i="62"/>
  <c r="I249" i="62"/>
  <c r="J249" i="62"/>
  <c r="K249" i="62"/>
  <c r="L249" i="62"/>
  <c r="M249" i="62"/>
  <c r="N249" i="62"/>
  <c r="O249" i="62"/>
  <c r="P249" i="62"/>
  <c r="Q249" i="62"/>
  <c r="R249" i="62"/>
  <c r="C250" i="62"/>
  <c r="D250" i="62"/>
  <c r="E250" i="62"/>
  <c r="F250" i="62"/>
  <c r="G250" i="62"/>
  <c r="H250" i="62"/>
  <c r="I250" i="62"/>
  <c r="J250" i="62"/>
  <c r="K250" i="62"/>
  <c r="L250" i="62"/>
  <c r="M250" i="62"/>
  <c r="N250" i="62"/>
  <c r="O250" i="62"/>
  <c r="P250" i="62"/>
  <c r="Q250" i="62"/>
  <c r="R250" i="62"/>
  <c r="C251" i="62"/>
  <c r="D251" i="62"/>
  <c r="E251" i="62"/>
  <c r="F251" i="62"/>
  <c r="G251" i="62"/>
  <c r="H251" i="62"/>
  <c r="I251" i="62"/>
  <c r="J251" i="62"/>
  <c r="K251" i="62"/>
  <c r="L251" i="62"/>
  <c r="M251" i="62"/>
  <c r="N251" i="62"/>
  <c r="O251" i="62"/>
  <c r="P251" i="62"/>
  <c r="Q251" i="62"/>
  <c r="R251" i="62"/>
  <c r="C252" i="62"/>
  <c r="D252" i="62"/>
  <c r="E252" i="62"/>
  <c r="F252" i="62"/>
  <c r="G252" i="62"/>
  <c r="H252" i="62"/>
  <c r="I252" i="62"/>
  <c r="J252" i="62"/>
  <c r="K252" i="62"/>
  <c r="L252" i="62"/>
  <c r="M252" i="62"/>
  <c r="N252" i="62"/>
  <c r="O252" i="62"/>
  <c r="P252" i="62"/>
  <c r="Q252" i="62"/>
  <c r="R252" i="62"/>
  <c r="C253" i="62"/>
  <c r="D253" i="62"/>
  <c r="E253" i="62"/>
  <c r="F253" i="62"/>
  <c r="G253" i="62"/>
  <c r="H253" i="62"/>
  <c r="I253" i="62"/>
  <c r="J253" i="62"/>
  <c r="K253" i="62"/>
  <c r="L253" i="62"/>
  <c r="M253" i="62"/>
  <c r="N253" i="62"/>
  <c r="O253" i="62"/>
  <c r="P253" i="62"/>
  <c r="Q253" i="62"/>
  <c r="R253" i="62"/>
  <c r="C254" i="62"/>
  <c r="D254" i="62"/>
  <c r="E254" i="62"/>
  <c r="F254" i="62"/>
  <c r="G254" i="62"/>
  <c r="H254" i="62"/>
  <c r="I254" i="62"/>
  <c r="J254" i="62"/>
  <c r="K254" i="62"/>
  <c r="L254" i="62"/>
  <c r="M254" i="62"/>
  <c r="N254" i="62"/>
  <c r="O254" i="62"/>
  <c r="P254" i="62"/>
  <c r="Q254" i="62"/>
  <c r="R254" i="62"/>
  <c r="C255" i="62"/>
  <c r="D255" i="62"/>
  <c r="E255" i="62"/>
  <c r="F255" i="62"/>
  <c r="G255" i="62"/>
  <c r="H255" i="62"/>
  <c r="I255" i="62"/>
  <c r="J255" i="62"/>
  <c r="K255" i="62"/>
  <c r="L255" i="62"/>
  <c r="M255" i="62"/>
  <c r="N255" i="62"/>
  <c r="O255" i="62"/>
  <c r="P255" i="62"/>
  <c r="Q255" i="62"/>
  <c r="R255" i="62"/>
  <c r="C256" i="62"/>
  <c r="D256" i="62"/>
  <c r="E256" i="62"/>
  <c r="F256" i="62"/>
  <c r="G256" i="62"/>
  <c r="H256" i="62"/>
  <c r="I256" i="62"/>
  <c r="J256" i="62"/>
  <c r="K256" i="62"/>
  <c r="L256" i="62"/>
  <c r="M256" i="62"/>
  <c r="N256" i="62"/>
  <c r="O256" i="62"/>
  <c r="P256" i="62"/>
  <c r="Q256" i="62"/>
  <c r="R256" i="62"/>
  <c r="C257" i="62"/>
  <c r="D257" i="62"/>
  <c r="E257" i="62"/>
  <c r="F257" i="62"/>
  <c r="G257" i="62"/>
  <c r="H257" i="62"/>
  <c r="I257" i="62"/>
  <c r="J257" i="62"/>
  <c r="K257" i="62"/>
  <c r="L257" i="62"/>
  <c r="M257" i="62"/>
  <c r="N257" i="62"/>
  <c r="O257" i="62"/>
  <c r="P257" i="62"/>
  <c r="Q257" i="62"/>
  <c r="R257" i="62"/>
  <c r="C258" i="62"/>
  <c r="D258" i="62"/>
  <c r="E258" i="62"/>
  <c r="F258" i="62"/>
  <c r="G258" i="62"/>
  <c r="H258" i="62"/>
  <c r="I258" i="62"/>
  <c r="J258" i="62"/>
  <c r="K258" i="62"/>
  <c r="L258" i="62"/>
  <c r="M258" i="62"/>
  <c r="N258" i="62"/>
  <c r="O258" i="62"/>
  <c r="P258" i="62"/>
  <c r="Q258" i="62"/>
  <c r="R258" i="62"/>
  <c r="C259" i="62"/>
  <c r="D259" i="62"/>
  <c r="E259" i="62"/>
  <c r="F259" i="62"/>
  <c r="G259" i="62"/>
  <c r="H259" i="62"/>
  <c r="I259" i="62"/>
  <c r="J259" i="62"/>
  <c r="K259" i="62"/>
  <c r="L259" i="62"/>
  <c r="M259" i="62"/>
  <c r="N259" i="62"/>
  <c r="O259" i="62"/>
  <c r="P259" i="62"/>
  <c r="Q259" i="62"/>
  <c r="R259" i="62"/>
  <c r="C260" i="62"/>
  <c r="D260" i="62"/>
  <c r="E260" i="62"/>
  <c r="F260" i="62"/>
  <c r="G260" i="62"/>
  <c r="H260" i="62"/>
  <c r="I260" i="62"/>
  <c r="J260" i="62"/>
  <c r="K260" i="62"/>
  <c r="L260" i="62"/>
  <c r="M260" i="62"/>
  <c r="N260" i="62"/>
  <c r="O260" i="62"/>
  <c r="P260" i="62"/>
  <c r="Q260" i="62"/>
  <c r="R260" i="62"/>
  <c r="C261" i="62"/>
  <c r="D261" i="62"/>
  <c r="E261" i="62"/>
  <c r="F261" i="62"/>
  <c r="G261" i="62"/>
  <c r="H261" i="62"/>
  <c r="I261" i="62"/>
  <c r="J261" i="62"/>
  <c r="K261" i="62"/>
  <c r="L261" i="62"/>
  <c r="M261" i="62"/>
  <c r="N261" i="62"/>
  <c r="O261" i="62"/>
  <c r="P261" i="62"/>
  <c r="Q261" i="62"/>
  <c r="R261" i="62"/>
  <c r="C262" i="62"/>
  <c r="D262" i="62"/>
  <c r="E262" i="62"/>
  <c r="F262" i="62"/>
  <c r="G262" i="62"/>
  <c r="H262" i="62"/>
  <c r="I262" i="62"/>
  <c r="J262" i="62"/>
  <c r="K262" i="62"/>
  <c r="L262" i="62"/>
  <c r="M262" i="62"/>
  <c r="N262" i="62"/>
  <c r="O262" i="62"/>
  <c r="P262" i="62"/>
  <c r="Q262" i="62"/>
  <c r="R262" i="62"/>
  <c r="C263" i="62"/>
  <c r="D263" i="62"/>
  <c r="E263" i="62"/>
  <c r="F263" i="62"/>
  <c r="G263" i="62"/>
  <c r="H263" i="62"/>
  <c r="I263" i="62"/>
  <c r="J263" i="62"/>
  <c r="K263" i="62"/>
  <c r="L263" i="62"/>
  <c r="M263" i="62"/>
  <c r="N263" i="62"/>
  <c r="O263" i="62"/>
  <c r="P263" i="62"/>
  <c r="Q263" i="62"/>
  <c r="R263" i="62"/>
  <c r="C264" i="62"/>
  <c r="D264" i="62"/>
  <c r="E264" i="62"/>
  <c r="F264" i="62"/>
  <c r="G264" i="62"/>
  <c r="H264" i="62"/>
  <c r="I264" i="62"/>
  <c r="J264" i="62"/>
  <c r="K264" i="62"/>
  <c r="L264" i="62"/>
  <c r="M264" i="62"/>
  <c r="N264" i="62"/>
  <c r="O264" i="62"/>
  <c r="P264" i="62"/>
  <c r="Q264" i="62"/>
  <c r="R264" i="62"/>
  <c r="C265" i="62"/>
  <c r="D265" i="62"/>
  <c r="E265" i="62"/>
  <c r="F265" i="62"/>
  <c r="G265" i="62"/>
  <c r="H265" i="62"/>
  <c r="I265" i="62"/>
  <c r="J265" i="62"/>
  <c r="K265" i="62"/>
  <c r="L265" i="62"/>
  <c r="M265" i="62"/>
  <c r="N265" i="62"/>
  <c r="O265" i="62"/>
  <c r="P265" i="62"/>
  <c r="Q265" i="62"/>
  <c r="R265" i="62"/>
  <c r="C266" i="62"/>
  <c r="D266" i="62"/>
  <c r="E266" i="62"/>
  <c r="F266" i="62"/>
  <c r="G266" i="62"/>
  <c r="H266" i="62"/>
  <c r="I266" i="62"/>
  <c r="J266" i="62"/>
  <c r="K266" i="62"/>
  <c r="L266" i="62"/>
  <c r="M266" i="62"/>
  <c r="N266" i="62"/>
  <c r="O266" i="62"/>
  <c r="P266" i="62"/>
  <c r="Q266" i="62"/>
  <c r="R266" i="62"/>
  <c r="C267" i="62"/>
  <c r="D267" i="62"/>
  <c r="E267" i="62"/>
  <c r="F267" i="62"/>
  <c r="G267" i="62"/>
  <c r="H267" i="62"/>
  <c r="I267" i="62"/>
  <c r="J267" i="62"/>
  <c r="K267" i="62"/>
  <c r="L267" i="62"/>
  <c r="M267" i="62"/>
  <c r="N267" i="62"/>
  <c r="O267" i="62"/>
  <c r="P267" i="62"/>
  <c r="Q267" i="62"/>
  <c r="R267" i="62"/>
  <c r="C268" i="62"/>
  <c r="D268" i="62"/>
  <c r="E268" i="62"/>
  <c r="F268" i="62"/>
  <c r="G268" i="62"/>
  <c r="H268" i="62"/>
  <c r="I268" i="62"/>
  <c r="J268" i="62"/>
  <c r="K268" i="62"/>
  <c r="L268" i="62"/>
  <c r="M268" i="62"/>
  <c r="N268" i="62"/>
  <c r="O268" i="62"/>
  <c r="P268" i="62"/>
  <c r="Q268" i="62"/>
  <c r="R268" i="62"/>
  <c r="C269" i="62"/>
  <c r="D269" i="62"/>
  <c r="E269" i="62"/>
  <c r="F269" i="62"/>
  <c r="G269" i="62"/>
  <c r="H269" i="62"/>
  <c r="I269" i="62"/>
  <c r="J269" i="62"/>
  <c r="K269" i="62"/>
  <c r="L269" i="62"/>
  <c r="M269" i="62"/>
  <c r="N269" i="62"/>
  <c r="O269" i="62"/>
  <c r="P269" i="62"/>
  <c r="Q269" i="62"/>
  <c r="R269" i="62"/>
  <c r="C270" i="62"/>
  <c r="D270" i="62"/>
  <c r="E270" i="62"/>
  <c r="F270" i="62"/>
  <c r="G270" i="62"/>
  <c r="H270" i="62"/>
  <c r="I270" i="62"/>
  <c r="J270" i="62"/>
  <c r="K270" i="62"/>
  <c r="L270" i="62"/>
  <c r="M270" i="62"/>
  <c r="N270" i="62"/>
  <c r="O270" i="62"/>
  <c r="P270" i="62"/>
  <c r="Q270" i="62"/>
  <c r="R270" i="62"/>
  <c r="C271" i="62"/>
  <c r="D271" i="62"/>
  <c r="E271" i="62"/>
  <c r="F271" i="62"/>
  <c r="G271" i="62"/>
  <c r="H271" i="62"/>
  <c r="I271" i="62"/>
  <c r="J271" i="62"/>
  <c r="K271" i="62"/>
  <c r="L271" i="62"/>
  <c r="M271" i="62"/>
  <c r="N271" i="62"/>
  <c r="O271" i="62"/>
  <c r="P271" i="62"/>
  <c r="Q271" i="62"/>
  <c r="R271" i="62"/>
  <c r="C272" i="62"/>
  <c r="D272" i="62"/>
  <c r="E272" i="62"/>
  <c r="F272" i="62"/>
  <c r="G272" i="62"/>
  <c r="H272" i="62"/>
  <c r="I272" i="62"/>
  <c r="J272" i="62"/>
  <c r="K272" i="62"/>
  <c r="L272" i="62"/>
  <c r="M272" i="62"/>
  <c r="N272" i="62"/>
  <c r="O272" i="62"/>
  <c r="P272" i="62"/>
  <c r="Q272" i="62"/>
  <c r="R272" i="62"/>
  <c r="C273" i="62"/>
  <c r="D273" i="62"/>
  <c r="E273" i="62"/>
  <c r="F273" i="62"/>
  <c r="G273" i="62"/>
  <c r="H273" i="62"/>
  <c r="I273" i="62"/>
  <c r="J273" i="62"/>
  <c r="K273" i="62"/>
  <c r="L273" i="62"/>
  <c r="M273" i="62"/>
  <c r="N273" i="62"/>
  <c r="O273" i="62"/>
  <c r="P273" i="62"/>
  <c r="Q273" i="62"/>
  <c r="R273" i="62"/>
  <c r="C274" i="62"/>
  <c r="D274" i="62"/>
  <c r="E274" i="62"/>
  <c r="F274" i="62"/>
  <c r="G274" i="62"/>
  <c r="H274" i="62"/>
  <c r="I274" i="62"/>
  <c r="J274" i="62"/>
  <c r="K274" i="62"/>
  <c r="L274" i="62"/>
  <c r="M274" i="62"/>
  <c r="N274" i="62"/>
  <c r="O274" i="62"/>
  <c r="P274" i="62"/>
  <c r="Q274" i="62"/>
  <c r="R274" i="62"/>
  <c r="C275" i="62"/>
  <c r="D275" i="62"/>
  <c r="E275" i="62"/>
  <c r="F275" i="62"/>
  <c r="G275" i="62"/>
  <c r="H275" i="62"/>
  <c r="I275" i="62"/>
  <c r="J275" i="62"/>
  <c r="K275" i="62"/>
  <c r="L275" i="62"/>
  <c r="M275" i="62"/>
  <c r="N275" i="62"/>
  <c r="O275" i="62"/>
  <c r="P275" i="62"/>
  <c r="Q275" i="62"/>
  <c r="R275" i="62"/>
  <c r="C276" i="62"/>
  <c r="D276" i="62"/>
  <c r="E276" i="62"/>
  <c r="F276" i="62"/>
  <c r="G276" i="62"/>
  <c r="H276" i="62"/>
  <c r="I276" i="62"/>
  <c r="J276" i="62"/>
  <c r="K276" i="62"/>
  <c r="L276" i="62"/>
  <c r="M276" i="62"/>
  <c r="N276" i="62"/>
  <c r="O276" i="62"/>
  <c r="P276" i="62"/>
  <c r="Q276" i="62"/>
  <c r="R276" i="62"/>
  <c r="C277" i="62"/>
  <c r="D277" i="62"/>
  <c r="E277" i="62"/>
  <c r="F277" i="62"/>
  <c r="G277" i="62"/>
  <c r="H277" i="62"/>
  <c r="I277" i="62"/>
  <c r="J277" i="62"/>
  <c r="K277" i="62"/>
  <c r="L277" i="62"/>
  <c r="M277" i="62"/>
  <c r="N277" i="62"/>
  <c r="O277" i="62"/>
  <c r="P277" i="62"/>
  <c r="Q277" i="62"/>
  <c r="R277" i="62"/>
  <c r="C278" i="62"/>
  <c r="D278" i="62"/>
  <c r="E278" i="62"/>
  <c r="F278" i="62"/>
  <c r="G278" i="62"/>
  <c r="H278" i="62"/>
  <c r="I278" i="62"/>
  <c r="J278" i="62"/>
  <c r="K278" i="62"/>
  <c r="L278" i="62"/>
  <c r="M278" i="62"/>
  <c r="N278" i="62"/>
  <c r="O278" i="62"/>
  <c r="P278" i="62"/>
  <c r="Q278" i="62"/>
  <c r="R278" i="62"/>
  <c r="C279" i="62"/>
  <c r="D279" i="62"/>
  <c r="E279" i="62"/>
  <c r="F279" i="62"/>
  <c r="G279" i="62"/>
  <c r="H279" i="62"/>
  <c r="I279" i="62"/>
  <c r="J279" i="62"/>
  <c r="K279" i="62"/>
  <c r="L279" i="62"/>
  <c r="M279" i="62"/>
  <c r="N279" i="62"/>
  <c r="O279" i="62"/>
  <c r="P279" i="62"/>
  <c r="Q279" i="62"/>
  <c r="R279" i="62"/>
  <c r="C280" i="62"/>
  <c r="D280" i="62"/>
  <c r="E280" i="62"/>
  <c r="F280" i="62"/>
  <c r="G280" i="62"/>
  <c r="H280" i="62"/>
  <c r="I280" i="62"/>
  <c r="J280" i="62"/>
  <c r="K280" i="62"/>
  <c r="L280" i="62"/>
  <c r="M280" i="62"/>
  <c r="N280" i="62"/>
  <c r="O280" i="62"/>
  <c r="P280" i="62"/>
  <c r="Q280" i="62"/>
  <c r="R280" i="62"/>
  <c r="C281" i="62"/>
  <c r="D281" i="62"/>
  <c r="E281" i="62"/>
  <c r="F281" i="62"/>
  <c r="G281" i="62"/>
  <c r="H281" i="62"/>
  <c r="I281" i="62"/>
  <c r="J281" i="62"/>
  <c r="K281" i="62"/>
  <c r="L281" i="62"/>
  <c r="M281" i="62"/>
  <c r="N281" i="62"/>
  <c r="O281" i="62"/>
  <c r="P281" i="62"/>
  <c r="Q281" i="62"/>
  <c r="R281" i="62"/>
  <c r="C282" i="62"/>
  <c r="D282" i="62"/>
  <c r="E282" i="62"/>
  <c r="F282" i="62"/>
  <c r="G282" i="62"/>
  <c r="H282" i="62"/>
  <c r="I282" i="62"/>
  <c r="J282" i="62"/>
  <c r="K282" i="62"/>
  <c r="L282" i="62"/>
  <c r="M282" i="62"/>
  <c r="N282" i="62"/>
  <c r="O282" i="62"/>
  <c r="P282" i="62"/>
  <c r="Q282" i="62"/>
  <c r="R282" i="62"/>
  <c r="C283" i="62"/>
  <c r="D283" i="62"/>
  <c r="E283" i="62"/>
  <c r="F283" i="62"/>
  <c r="G283" i="62"/>
  <c r="H283" i="62"/>
  <c r="I283" i="62"/>
  <c r="J283" i="62"/>
  <c r="K283" i="62"/>
  <c r="L283" i="62"/>
  <c r="M283" i="62"/>
  <c r="N283" i="62"/>
  <c r="O283" i="62"/>
  <c r="P283" i="62"/>
  <c r="Q283" i="62"/>
  <c r="R283" i="62"/>
  <c r="C284" i="62"/>
  <c r="D284" i="62"/>
  <c r="E284" i="62"/>
  <c r="F284" i="62"/>
  <c r="G284" i="62"/>
  <c r="H284" i="62"/>
  <c r="I284" i="62"/>
  <c r="J284" i="62"/>
  <c r="K284" i="62"/>
  <c r="L284" i="62"/>
  <c r="M284" i="62"/>
  <c r="N284" i="62"/>
  <c r="O284" i="62"/>
  <c r="P284" i="62"/>
  <c r="Q284" i="62"/>
  <c r="R284" i="62"/>
  <c r="C285" i="62"/>
  <c r="D285" i="62"/>
  <c r="E285" i="62"/>
  <c r="F285" i="62"/>
  <c r="G285" i="62"/>
  <c r="H285" i="62"/>
  <c r="I285" i="62"/>
  <c r="J285" i="62"/>
  <c r="K285" i="62"/>
  <c r="L285" i="62"/>
  <c r="M285" i="62"/>
  <c r="N285" i="62"/>
  <c r="O285" i="62"/>
  <c r="P285" i="62"/>
  <c r="Q285" i="62"/>
  <c r="R285" i="62"/>
  <c r="C286" i="62"/>
  <c r="D286" i="62"/>
  <c r="E286" i="62"/>
  <c r="F286" i="62"/>
  <c r="G286" i="62"/>
  <c r="H286" i="62"/>
  <c r="I286" i="62"/>
  <c r="J286" i="62"/>
  <c r="K286" i="62"/>
  <c r="L286" i="62"/>
  <c r="M286" i="62"/>
  <c r="N286" i="62"/>
  <c r="O286" i="62"/>
  <c r="P286" i="62"/>
  <c r="Q286" i="62"/>
  <c r="R286" i="62"/>
  <c r="C287" i="62"/>
  <c r="D287" i="62"/>
  <c r="E287" i="62"/>
  <c r="F287" i="62"/>
  <c r="G287" i="62"/>
  <c r="H287" i="62"/>
  <c r="I287" i="62"/>
  <c r="J287" i="62"/>
  <c r="K287" i="62"/>
  <c r="L287" i="62"/>
  <c r="M287" i="62"/>
  <c r="N287" i="62"/>
  <c r="O287" i="62"/>
  <c r="P287" i="62"/>
  <c r="Q287" i="62"/>
  <c r="R287" i="62"/>
  <c r="C288" i="62"/>
  <c r="D288" i="62"/>
  <c r="E288" i="62"/>
  <c r="F288" i="62"/>
  <c r="G288" i="62"/>
  <c r="H288" i="62"/>
  <c r="I288" i="62"/>
  <c r="J288" i="62"/>
  <c r="K288" i="62"/>
  <c r="L288" i="62"/>
  <c r="M288" i="62"/>
  <c r="N288" i="62"/>
  <c r="O288" i="62"/>
  <c r="P288" i="62"/>
  <c r="Q288" i="62"/>
  <c r="R288" i="62"/>
  <c r="C289" i="62"/>
  <c r="D289" i="62"/>
  <c r="E289" i="62"/>
  <c r="F289" i="62"/>
  <c r="G289" i="62"/>
  <c r="H289" i="62"/>
  <c r="I289" i="62"/>
  <c r="J289" i="62"/>
  <c r="K289" i="62"/>
  <c r="L289" i="62"/>
  <c r="M289" i="62"/>
  <c r="N289" i="62"/>
  <c r="O289" i="62"/>
  <c r="P289" i="62"/>
  <c r="Q289" i="62"/>
  <c r="R289" i="62"/>
  <c r="C290" i="62"/>
  <c r="D290" i="62"/>
  <c r="E290" i="62"/>
  <c r="F290" i="62"/>
  <c r="G290" i="62"/>
  <c r="H290" i="62"/>
  <c r="I290" i="62"/>
  <c r="J290" i="62"/>
  <c r="K290" i="62"/>
  <c r="L290" i="62"/>
  <c r="M290" i="62"/>
  <c r="N290" i="62"/>
  <c r="O290" i="62"/>
  <c r="P290" i="62"/>
  <c r="Q290" i="62"/>
  <c r="R290" i="62"/>
  <c r="C291" i="62"/>
  <c r="D291" i="62"/>
  <c r="E291" i="62"/>
  <c r="F291" i="62"/>
  <c r="G291" i="62"/>
  <c r="H291" i="62"/>
  <c r="I291" i="62"/>
  <c r="J291" i="62"/>
  <c r="K291" i="62"/>
  <c r="L291" i="62"/>
  <c r="M291" i="62"/>
  <c r="N291" i="62"/>
  <c r="O291" i="62"/>
  <c r="P291" i="62"/>
  <c r="Q291" i="62"/>
  <c r="R291" i="62"/>
  <c r="C292" i="62"/>
  <c r="D292" i="62"/>
  <c r="E292" i="62"/>
  <c r="F292" i="62"/>
  <c r="G292" i="62"/>
  <c r="H292" i="62"/>
  <c r="I292" i="62"/>
  <c r="J292" i="62"/>
  <c r="K292" i="62"/>
  <c r="L292" i="62"/>
  <c r="M292" i="62"/>
  <c r="N292" i="62"/>
  <c r="O292" i="62"/>
  <c r="P292" i="62"/>
  <c r="Q292" i="62"/>
  <c r="R292" i="62"/>
  <c r="C293" i="62"/>
  <c r="D293" i="62"/>
  <c r="E293" i="62"/>
  <c r="F293" i="62"/>
  <c r="G293" i="62"/>
  <c r="H293" i="62"/>
  <c r="I293" i="62"/>
  <c r="J293" i="62"/>
  <c r="K293" i="62"/>
  <c r="L293" i="62"/>
  <c r="M293" i="62"/>
  <c r="N293" i="62"/>
  <c r="O293" i="62"/>
  <c r="P293" i="62"/>
  <c r="Q293" i="62"/>
  <c r="R293" i="62"/>
  <c r="C294" i="62"/>
  <c r="D294" i="62"/>
  <c r="E294" i="62"/>
  <c r="F294" i="62"/>
  <c r="G294" i="62"/>
  <c r="H294" i="62"/>
  <c r="I294" i="62"/>
  <c r="J294" i="62"/>
  <c r="K294" i="62"/>
  <c r="L294" i="62"/>
  <c r="M294" i="62"/>
  <c r="N294" i="62"/>
  <c r="O294" i="62"/>
  <c r="P294" i="62"/>
  <c r="Q294" i="62"/>
  <c r="R294" i="62"/>
  <c r="C295" i="62"/>
  <c r="D295" i="62"/>
  <c r="E295" i="62"/>
  <c r="F295" i="62"/>
  <c r="G295" i="62"/>
  <c r="H295" i="62"/>
  <c r="I295" i="62"/>
  <c r="J295" i="62"/>
  <c r="K295" i="62"/>
  <c r="L295" i="62"/>
  <c r="M295" i="62"/>
  <c r="N295" i="62"/>
  <c r="O295" i="62"/>
  <c r="P295" i="62"/>
  <c r="Q295" i="62"/>
  <c r="R295" i="62"/>
  <c r="C296" i="62"/>
  <c r="D296" i="62"/>
  <c r="E296" i="62"/>
  <c r="F296" i="62"/>
  <c r="G296" i="62"/>
  <c r="H296" i="62"/>
  <c r="I296" i="62"/>
  <c r="J296" i="62"/>
  <c r="K296" i="62"/>
  <c r="L296" i="62"/>
  <c r="M296" i="62"/>
  <c r="N296" i="62"/>
  <c r="O296" i="62"/>
  <c r="P296" i="62"/>
  <c r="Q296" i="62"/>
  <c r="R296" i="62"/>
  <c r="C297" i="62"/>
  <c r="D297" i="62"/>
  <c r="E297" i="62"/>
  <c r="F297" i="62"/>
  <c r="G297" i="62"/>
  <c r="H297" i="62"/>
  <c r="I297" i="62"/>
  <c r="J297" i="62"/>
  <c r="K297" i="62"/>
  <c r="L297" i="62"/>
  <c r="M297" i="62"/>
  <c r="N297" i="62"/>
  <c r="O297" i="62"/>
  <c r="P297" i="62"/>
  <c r="Q297" i="62"/>
  <c r="R297" i="62"/>
  <c r="C298" i="62"/>
  <c r="D298" i="62"/>
  <c r="E298" i="62"/>
  <c r="F298" i="62"/>
  <c r="G298" i="62"/>
  <c r="H298" i="62"/>
  <c r="I298" i="62"/>
  <c r="J298" i="62"/>
  <c r="K298" i="62"/>
  <c r="L298" i="62"/>
  <c r="M298" i="62"/>
  <c r="N298" i="62"/>
  <c r="O298" i="62"/>
  <c r="P298" i="62"/>
  <c r="Q298" i="62"/>
  <c r="R298" i="62"/>
  <c r="C299" i="62"/>
  <c r="D299" i="62"/>
  <c r="E299" i="62"/>
  <c r="F299" i="62"/>
  <c r="G299" i="62"/>
  <c r="H299" i="62"/>
  <c r="I299" i="62"/>
  <c r="J299" i="62"/>
  <c r="K299" i="62"/>
  <c r="L299" i="62"/>
  <c r="M299" i="62"/>
  <c r="N299" i="62"/>
  <c r="O299" i="62"/>
  <c r="P299" i="62"/>
  <c r="Q299" i="62"/>
  <c r="R299" i="62"/>
  <c r="C300" i="62"/>
  <c r="D300" i="62"/>
  <c r="E300" i="62"/>
  <c r="F300" i="62"/>
  <c r="G300" i="62"/>
  <c r="H300" i="62"/>
  <c r="I300" i="62"/>
  <c r="J300" i="62"/>
  <c r="K300" i="62"/>
  <c r="L300" i="62"/>
  <c r="M300" i="62"/>
  <c r="N300" i="62"/>
  <c r="O300" i="62"/>
  <c r="P300" i="62"/>
  <c r="Q300" i="62"/>
  <c r="R300" i="62"/>
  <c r="C301" i="62"/>
  <c r="D301" i="62"/>
  <c r="E301" i="62"/>
  <c r="F301" i="62"/>
  <c r="G301" i="62"/>
  <c r="H301" i="62"/>
  <c r="I301" i="62"/>
  <c r="J301" i="62"/>
  <c r="K301" i="62"/>
  <c r="L301" i="62"/>
  <c r="M301" i="62"/>
  <c r="N301" i="62"/>
  <c r="O301" i="62"/>
  <c r="P301" i="62"/>
  <c r="Q301" i="62"/>
  <c r="R301" i="62"/>
  <c r="C302" i="62"/>
  <c r="D302" i="62"/>
  <c r="E302" i="62"/>
  <c r="F302" i="62"/>
  <c r="G302" i="62"/>
  <c r="H302" i="62"/>
  <c r="I302" i="62"/>
  <c r="J302" i="62"/>
  <c r="K302" i="62"/>
  <c r="L302" i="62"/>
  <c r="M302" i="62"/>
  <c r="N302" i="62"/>
  <c r="O302" i="62"/>
  <c r="P302" i="62"/>
  <c r="Q302" i="62"/>
  <c r="R302" i="62"/>
  <c r="C303" i="62"/>
  <c r="D303" i="62"/>
  <c r="E303" i="62"/>
  <c r="F303" i="62"/>
  <c r="G303" i="62"/>
  <c r="H303" i="62"/>
  <c r="I303" i="62"/>
  <c r="J303" i="62"/>
  <c r="K303" i="62"/>
  <c r="L303" i="62"/>
  <c r="M303" i="62"/>
  <c r="N303" i="62"/>
  <c r="O303" i="62"/>
  <c r="P303" i="62"/>
  <c r="Q303" i="62"/>
  <c r="R303" i="62"/>
  <c r="C304" i="62"/>
  <c r="D304" i="62"/>
  <c r="E304" i="62"/>
  <c r="F304" i="62"/>
  <c r="G304" i="62"/>
  <c r="H304" i="62"/>
  <c r="I304" i="62"/>
  <c r="J304" i="62"/>
  <c r="K304" i="62"/>
  <c r="L304" i="62"/>
  <c r="M304" i="62"/>
  <c r="N304" i="62"/>
  <c r="O304" i="62"/>
  <c r="P304" i="62"/>
  <c r="Q304" i="62"/>
  <c r="R304" i="62"/>
  <c r="C305" i="62"/>
  <c r="D305" i="62"/>
  <c r="E305" i="62"/>
  <c r="F305" i="62"/>
  <c r="G305" i="62"/>
  <c r="H305" i="62"/>
  <c r="I305" i="62"/>
  <c r="J305" i="62"/>
  <c r="K305" i="62"/>
  <c r="L305" i="62"/>
  <c r="M305" i="62"/>
  <c r="N305" i="62"/>
  <c r="O305" i="62"/>
  <c r="P305" i="62"/>
  <c r="Q305" i="62"/>
  <c r="R305" i="62"/>
  <c r="C306" i="62"/>
  <c r="D306" i="62"/>
  <c r="E306" i="62"/>
  <c r="F306" i="62"/>
  <c r="G306" i="62"/>
  <c r="H306" i="62"/>
  <c r="I306" i="62"/>
  <c r="J306" i="62"/>
  <c r="K306" i="62"/>
  <c r="L306" i="62"/>
  <c r="M306" i="62"/>
  <c r="N306" i="62"/>
  <c r="O306" i="62"/>
  <c r="P306" i="62"/>
  <c r="Q306" i="62"/>
  <c r="R306" i="62"/>
  <c r="C307" i="62"/>
  <c r="D307" i="62"/>
  <c r="E307" i="62"/>
  <c r="F307" i="62"/>
  <c r="G307" i="62"/>
  <c r="H307" i="62"/>
  <c r="I307" i="62"/>
  <c r="J307" i="62"/>
  <c r="K307" i="62"/>
  <c r="L307" i="62"/>
  <c r="M307" i="62"/>
  <c r="N307" i="62"/>
  <c r="O307" i="62"/>
  <c r="P307" i="62"/>
  <c r="Q307" i="62"/>
  <c r="R307" i="62"/>
  <c r="C308" i="62"/>
  <c r="D308" i="62"/>
  <c r="E308" i="62"/>
  <c r="F308" i="62"/>
  <c r="G308" i="62"/>
  <c r="H308" i="62"/>
  <c r="I308" i="62"/>
  <c r="J308" i="62"/>
  <c r="K308" i="62"/>
  <c r="L308" i="62"/>
  <c r="M308" i="62"/>
  <c r="N308" i="62"/>
  <c r="O308" i="62"/>
  <c r="P308" i="62"/>
  <c r="Q308" i="62"/>
  <c r="R308" i="62"/>
  <c r="C309" i="62"/>
  <c r="D309" i="62"/>
  <c r="E309" i="62"/>
  <c r="F309" i="62"/>
  <c r="G309" i="62"/>
  <c r="H309" i="62"/>
  <c r="I309" i="62"/>
  <c r="J309" i="62"/>
  <c r="K309" i="62"/>
  <c r="L309" i="62"/>
  <c r="M309" i="62"/>
  <c r="N309" i="62"/>
  <c r="O309" i="62"/>
  <c r="P309" i="62"/>
  <c r="Q309" i="62"/>
  <c r="R309" i="62"/>
  <c r="C310" i="62"/>
  <c r="D310" i="62"/>
  <c r="E310" i="62"/>
  <c r="F310" i="62"/>
  <c r="G310" i="62"/>
  <c r="H310" i="62"/>
  <c r="I310" i="62"/>
  <c r="J310" i="62"/>
  <c r="K310" i="62"/>
  <c r="L310" i="62"/>
  <c r="M310" i="62"/>
  <c r="N310" i="62"/>
  <c r="O310" i="62"/>
  <c r="P310" i="62"/>
  <c r="Q310" i="62"/>
  <c r="R310" i="62"/>
  <c r="C311" i="62"/>
  <c r="D311" i="62"/>
  <c r="E311" i="62"/>
  <c r="F311" i="62"/>
  <c r="G311" i="62"/>
  <c r="H311" i="62"/>
  <c r="I311" i="62"/>
  <c r="J311" i="62"/>
  <c r="K311" i="62"/>
  <c r="L311" i="62"/>
  <c r="M311" i="62"/>
  <c r="N311" i="62"/>
  <c r="O311" i="62"/>
  <c r="P311" i="62"/>
  <c r="Q311" i="62"/>
  <c r="R311" i="62"/>
  <c r="C312" i="62"/>
  <c r="D312" i="62"/>
  <c r="E312" i="62"/>
  <c r="F312" i="62"/>
  <c r="G312" i="62"/>
  <c r="H312" i="62"/>
  <c r="I312" i="62"/>
  <c r="J312" i="62"/>
  <c r="K312" i="62"/>
  <c r="L312" i="62"/>
  <c r="M312" i="62"/>
  <c r="N312" i="62"/>
  <c r="O312" i="62"/>
  <c r="P312" i="62"/>
  <c r="Q312" i="62"/>
  <c r="R312" i="62"/>
  <c r="C313" i="62"/>
  <c r="D313" i="62"/>
  <c r="E313" i="62"/>
  <c r="F313" i="62"/>
  <c r="G313" i="62"/>
  <c r="H313" i="62"/>
  <c r="I313" i="62"/>
  <c r="J313" i="62"/>
  <c r="K313" i="62"/>
  <c r="L313" i="62"/>
  <c r="M313" i="62"/>
  <c r="N313" i="62"/>
  <c r="O313" i="62"/>
  <c r="P313" i="62"/>
  <c r="Q313" i="62"/>
  <c r="R313" i="62"/>
  <c r="C314" i="62"/>
  <c r="D314" i="62"/>
  <c r="E314" i="62"/>
  <c r="F314" i="62"/>
  <c r="G314" i="62"/>
  <c r="H314" i="62"/>
  <c r="I314" i="62"/>
  <c r="J314" i="62"/>
  <c r="K314" i="62"/>
  <c r="L314" i="62"/>
  <c r="M314" i="62"/>
  <c r="N314" i="62"/>
  <c r="O314" i="62"/>
  <c r="P314" i="62"/>
  <c r="Q314" i="62"/>
  <c r="R314" i="62"/>
  <c r="C315" i="62"/>
  <c r="D315" i="62"/>
  <c r="E315" i="62"/>
  <c r="F315" i="62"/>
  <c r="G315" i="62"/>
  <c r="H315" i="62"/>
  <c r="I315" i="62"/>
  <c r="J315" i="62"/>
  <c r="K315" i="62"/>
  <c r="L315" i="62"/>
  <c r="M315" i="62"/>
  <c r="N315" i="62"/>
  <c r="O315" i="62"/>
  <c r="P315" i="62"/>
  <c r="Q315" i="62"/>
  <c r="R315" i="62"/>
  <c r="C316" i="62"/>
  <c r="D316" i="62"/>
  <c r="E316" i="62"/>
  <c r="F316" i="62"/>
  <c r="G316" i="62"/>
  <c r="H316" i="62"/>
  <c r="I316" i="62"/>
  <c r="J316" i="62"/>
  <c r="K316" i="62"/>
  <c r="L316" i="62"/>
  <c r="M316" i="62"/>
  <c r="N316" i="62"/>
  <c r="O316" i="62"/>
  <c r="P316" i="62"/>
  <c r="Q316" i="62"/>
  <c r="R316" i="62"/>
  <c r="C317" i="62"/>
  <c r="D317" i="62"/>
  <c r="E317" i="62"/>
  <c r="F317" i="62"/>
  <c r="G317" i="62"/>
  <c r="H317" i="62"/>
  <c r="I317" i="62"/>
  <c r="J317" i="62"/>
  <c r="K317" i="62"/>
  <c r="L317" i="62"/>
  <c r="M317" i="62"/>
  <c r="N317" i="62"/>
  <c r="O317" i="62"/>
  <c r="P317" i="62"/>
  <c r="Q317" i="62"/>
  <c r="R317" i="62"/>
  <c r="C318" i="62"/>
  <c r="D318" i="62"/>
  <c r="E318" i="62"/>
  <c r="F318" i="62"/>
  <c r="G318" i="62"/>
  <c r="H318" i="62"/>
  <c r="I318" i="62"/>
  <c r="J318" i="62"/>
  <c r="K318" i="62"/>
  <c r="L318" i="62"/>
  <c r="M318" i="62"/>
  <c r="N318" i="62"/>
  <c r="O318" i="62"/>
  <c r="P318" i="62"/>
  <c r="Q318" i="62"/>
  <c r="R318" i="62"/>
  <c r="C319" i="62"/>
  <c r="D319" i="62"/>
  <c r="E319" i="62"/>
  <c r="F319" i="62"/>
  <c r="G319" i="62"/>
  <c r="H319" i="62"/>
  <c r="I319" i="62"/>
  <c r="J319" i="62"/>
  <c r="K319" i="62"/>
  <c r="L319" i="62"/>
  <c r="M319" i="62"/>
  <c r="N319" i="62"/>
  <c r="O319" i="62"/>
  <c r="P319" i="62"/>
  <c r="Q319" i="62"/>
  <c r="R319" i="62"/>
  <c r="C320" i="62"/>
  <c r="D320" i="62"/>
  <c r="E320" i="62"/>
  <c r="F320" i="62"/>
  <c r="G320" i="62"/>
  <c r="H320" i="62"/>
  <c r="I320" i="62"/>
  <c r="J320" i="62"/>
  <c r="K320" i="62"/>
  <c r="L320" i="62"/>
  <c r="M320" i="62"/>
  <c r="N320" i="62"/>
  <c r="O320" i="62"/>
  <c r="P320" i="62"/>
  <c r="Q320" i="62"/>
  <c r="R320" i="62"/>
  <c r="C321" i="62"/>
  <c r="D321" i="62"/>
  <c r="E321" i="62"/>
  <c r="F321" i="62"/>
  <c r="G321" i="62"/>
  <c r="H321" i="62"/>
  <c r="I321" i="62"/>
  <c r="J321" i="62"/>
  <c r="K321" i="62"/>
  <c r="L321" i="62"/>
  <c r="M321" i="62"/>
  <c r="N321" i="62"/>
  <c r="O321" i="62"/>
  <c r="P321" i="62"/>
  <c r="Q321" i="62"/>
  <c r="R321" i="62"/>
  <c r="C322" i="62"/>
  <c r="D322" i="62"/>
  <c r="E322" i="62"/>
  <c r="F322" i="62"/>
  <c r="G322" i="62"/>
  <c r="H322" i="62"/>
  <c r="I322" i="62"/>
  <c r="J322" i="62"/>
  <c r="K322" i="62"/>
  <c r="L322" i="62"/>
  <c r="M322" i="62"/>
  <c r="N322" i="62"/>
  <c r="O322" i="62"/>
  <c r="P322" i="62"/>
  <c r="Q322" i="62"/>
  <c r="R322" i="62"/>
  <c r="C323" i="62"/>
  <c r="D323" i="62"/>
  <c r="E323" i="62"/>
  <c r="F323" i="62"/>
  <c r="G323" i="62"/>
  <c r="H323" i="62"/>
  <c r="I323" i="62"/>
  <c r="J323" i="62"/>
  <c r="K323" i="62"/>
  <c r="L323" i="62"/>
  <c r="M323" i="62"/>
  <c r="N323" i="62"/>
  <c r="O323" i="62"/>
  <c r="P323" i="62"/>
  <c r="Q323" i="62"/>
  <c r="R323" i="62"/>
  <c r="C324" i="62"/>
  <c r="D324" i="62"/>
  <c r="E324" i="62"/>
  <c r="F324" i="62"/>
  <c r="G324" i="62"/>
  <c r="H324" i="62"/>
  <c r="I324" i="62"/>
  <c r="J324" i="62"/>
  <c r="K324" i="62"/>
  <c r="L324" i="62"/>
  <c r="M324" i="62"/>
  <c r="N324" i="62"/>
  <c r="O324" i="62"/>
  <c r="P324" i="62"/>
  <c r="Q324" i="62"/>
  <c r="R324" i="62"/>
  <c r="C325" i="62"/>
  <c r="D325" i="62"/>
  <c r="E325" i="62"/>
  <c r="F325" i="62"/>
  <c r="G325" i="62"/>
  <c r="H325" i="62"/>
  <c r="I325" i="62"/>
  <c r="J325" i="62"/>
  <c r="K325" i="62"/>
  <c r="L325" i="62"/>
  <c r="M325" i="62"/>
  <c r="N325" i="62"/>
  <c r="O325" i="62"/>
  <c r="P325" i="62"/>
  <c r="Q325" i="62"/>
  <c r="R325" i="62"/>
  <c r="C326" i="62"/>
  <c r="D326" i="62"/>
  <c r="E326" i="62"/>
  <c r="F326" i="62"/>
  <c r="G326" i="62"/>
  <c r="H326" i="62"/>
  <c r="I326" i="62"/>
  <c r="J326" i="62"/>
  <c r="K326" i="62"/>
  <c r="L326" i="62"/>
  <c r="M326" i="62"/>
  <c r="N326" i="62"/>
  <c r="O326" i="62"/>
  <c r="P326" i="62"/>
  <c r="Q326" i="62"/>
  <c r="R326" i="62"/>
  <c r="C327" i="62"/>
  <c r="D327" i="62"/>
  <c r="E327" i="62"/>
  <c r="F327" i="62"/>
  <c r="G327" i="62"/>
  <c r="H327" i="62"/>
  <c r="I327" i="62"/>
  <c r="J327" i="62"/>
  <c r="K327" i="62"/>
  <c r="L327" i="62"/>
  <c r="M327" i="62"/>
  <c r="N327" i="62"/>
  <c r="O327" i="62"/>
  <c r="P327" i="62"/>
  <c r="Q327" i="62"/>
  <c r="R327" i="62"/>
  <c r="C328" i="62"/>
  <c r="D328" i="62"/>
  <c r="E328" i="62"/>
  <c r="F328" i="62"/>
  <c r="G328" i="62"/>
  <c r="H328" i="62"/>
  <c r="I328" i="62"/>
  <c r="J328" i="62"/>
  <c r="K328" i="62"/>
  <c r="L328" i="62"/>
  <c r="M328" i="62"/>
  <c r="N328" i="62"/>
  <c r="O328" i="62"/>
  <c r="P328" i="62"/>
  <c r="Q328" i="62"/>
  <c r="R328" i="62"/>
  <c r="C329" i="62"/>
  <c r="D329" i="62"/>
  <c r="E329" i="62"/>
  <c r="F329" i="62"/>
  <c r="G329" i="62"/>
  <c r="H329" i="62"/>
  <c r="I329" i="62"/>
  <c r="J329" i="62"/>
  <c r="K329" i="62"/>
  <c r="L329" i="62"/>
  <c r="M329" i="62"/>
  <c r="N329" i="62"/>
  <c r="O329" i="62"/>
  <c r="P329" i="62"/>
  <c r="Q329" i="62"/>
  <c r="R329" i="62"/>
  <c r="C330" i="62"/>
  <c r="D330" i="62"/>
  <c r="E330" i="62"/>
  <c r="F330" i="62"/>
  <c r="G330" i="62"/>
  <c r="H330" i="62"/>
  <c r="I330" i="62"/>
  <c r="J330" i="62"/>
  <c r="K330" i="62"/>
  <c r="L330" i="62"/>
  <c r="M330" i="62"/>
  <c r="N330" i="62"/>
  <c r="O330" i="62"/>
  <c r="P330" i="62"/>
  <c r="Q330" i="62"/>
  <c r="R330" i="62"/>
  <c r="C331" i="62"/>
  <c r="D331" i="62"/>
  <c r="E331" i="62"/>
  <c r="F331" i="62"/>
  <c r="G331" i="62"/>
  <c r="H331" i="62"/>
  <c r="I331" i="62"/>
  <c r="J331" i="62"/>
  <c r="K331" i="62"/>
  <c r="L331" i="62"/>
  <c r="M331" i="62"/>
  <c r="N331" i="62"/>
  <c r="O331" i="62"/>
  <c r="P331" i="62"/>
  <c r="Q331" i="62"/>
  <c r="R331" i="62"/>
  <c r="C332" i="62"/>
  <c r="D332" i="62"/>
  <c r="E332" i="62"/>
  <c r="F332" i="62"/>
  <c r="G332" i="62"/>
  <c r="H332" i="62"/>
  <c r="I332" i="62"/>
  <c r="J332" i="62"/>
  <c r="K332" i="62"/>
  <c r="L332" i="62"/>
  <c r="M332" i="62"/>
  <c r="N332" i="62"/>
  <c r="O332" i="62"/>
  <c r="P332" i="62"/>
  <c r="Q332" i="62"/>
  <c r="R332" i="62"/>
  <c r="C333" i="62"/>
  <c r="D333" i="62"/>
  <c r="E333" i="62"/>
  <c r="F333" i="62"/>
  <c r="G333" i="62"/>
  <c r="H333" i="62"/>
  <c r="I333" i="62"/>
  <c r="J333" i="62"/>
  <c r="K333" i="62"/>
  <c r="L333" i="62"/>
  <c r="M333" i="62"/>
  <c r="N333" i="62"/>
  <c r="O333" i="62"/>
  <c r="P333" i="62"/>
  <c r="Q333" i="62"/>
  <c r="R333" i="62"/>
  <c r="C334" i="62"/>
  <c r="D334" i="62"/>
  <c r="E334" i="62"/>
  <c r="F334" i="62"/>
  <c r="G334" i="62"/>
  <c r="H334" i="62"/>
  <c r="I334" i="62"/>
  <c r="J334" i="62"/>
  <c r="K334" i="62"/>
  <c r="L334" i="62"/>
  <c r="M334" i="62"/>
  <c r="N334" i="62"/>
  <c r="O334" i="62"/>
  <c r="P334" i="62"/>
  <c r="Q334" i="62"/>
  <c r="R334" i="62"/>
  <c r="C335" i="62"/>
  <c r="D335" i="62"/>
  <c r="E335" i="62"/>
  <c r="F335" i="62"/>
  <c r="G335" i="62"/>
  <c r="H335" i="62"/>
  <c r="I335" i="62"/>
  <c r="J335" i="62"/>
  <c r="K335" i="62"/>
  <c r="L335" i="62"/>
  <c r="M335" i="62"/>
  <c r="N335" i="62"/>
  <c r="O335" i="62"/>
  <c r="P335" i="62"/>
  <c r="Q335" i="62"/>
  <c r="R335" i="62"/>
  <c r="C336" i="62"/>
  <c r="D336" i="62"/>
  <c r="E336" i="62"/>
  <c r="F336" i="62"/>
  <c r="G336" i="62"/>
  <c r="H336" i="62"/>
  <c r="I336" i="62"/>
  <c r="J336" i="62"/>
  <c r="K336" i="62"/>
  <c r="L336" i="62"/>
  <c r="M336" i="62"/>
  <c r="N336" i="62"/>
  <c r="O336" i="62"/>
  <c r="P336" i="62"/>
  <c r="Q336" i="62"/>
  <c r="R336" i="62"/>
  <c r="C337" i="62"/>
  <c r="D337" i="62"/>
  <c r="E337" i="62"/>
  <c r="F337" i="62"/>
  <c r="G337" i="62"/>
  <c r="H337" i="62"/>
  <c r="I337" i="62"/>
  <c r="J337" i="62"/>
  <c r="K337" i="62"/>
  <c r="L337" i="62"/>
  <c r="M337" i="62"/>
  <c r="N337" i="62"/>
  <c r="O337" i="62"/>
  <c r="P337" i="62"/>
  <c r="Q337" i="62"/>
  <c r="R337" i="62"/>
  <c r="C338" i="62"/>
  <c r="D338" i="62"/>
  <c r="E338" i="62"/>
  <c r="F338" i="62"/>
  <c r="G338" i="62"/>
  <c r="H338" i="62"/>
  <c r="I338" i="62"/>
  <c r="J338" i="62"/>
  <c r="K338" i="62"/>
  <c r="L338" i="62"/>
  <c r="M338" i="62"/>
  <c r="N338" i="62"/>
  <c r="O338" i="62"/>
  <c r="P338" i="62"/>
  <c r="Q338" i="62"/>
  <c r="R338" i="62"/>
  <c r="C339" i="62"/>
  <c r="D339" i="62"/>
  <c r="E339" i="62"/>
  <c r="F339" i="62"/>
  <c r="G339" i="62"/>
  <c r="H339" i="62"/>
  <c r="I339" i="62"/>
  <c r="J339" i="62"/>
  <c r="K339" i="62"/>
  <c r="L339" i="62"/>
  <c r="M339" i="62"/>
  <c r="N339" i="62"/>
  <c r="O339" i="62"/>
  <c r="P339" i="62"/>
  <c r="Q339" i="62"/>
  <c r="R339" i="62"/>
  <c r="C340" i="62"/>
  <c r="D340" i="62"/>
  <c r="E340" i="62"/>
  <c r="F340" i="62"/>
  <c r="G340" i="62"/>
  <c r="H340" i="62"/>
  <c r="I340" i="62"/>
  <c r="J340" i="62"/>
  <c r="K340" i="62"/>
  <c r="L340" i="62"/>
  <c r="M340" i="62"/>
  <c r="N340" i="62"/>
  <c r="O340" i="62"/>
  <c r="P340" i="62"/>
  <c r="Q340" i="62"/>
  <c r="R340" i="62"/>
  <c r="C341" i="62"/>
  <c r="D341" i="62"/>
  <c r="E341" i="62"/>
  <c r="F341" i="62"/>
  <c r="G341" i="62"/>
  <c r="H341" i="62"/>
  <c r="I341" i="62"/>
  <c r="J341" i="62"/>
  <c r="K341" i="62"/>
  <c r="L341" i="62"/>
  <c r="M341" i="62"/>
  <c r="N341" i="62"/>
  <c r="O341" i="62"/>
  <c r="P341" i="62"/>
  <c r="Q341" i="62"/>
  <c r="R341" i="62"/>
  <c r="C342" i="62"/>
  <c r="D342" i="62"/>
  <c r="E342" i="62"/>
  <c r="F342" i="62"/>
  <c r="G342" i="62"/>
  <c r="H342" i="62"/>
  <c r="I342" i="62"/>
  <c r="J342" i="62"/>
  <c r="K342" i="62"/>
  <c r="L342" i="62"/>
  <c r="M342" i="62"/>
  <c r="N342" i="62"/>
  <c r="O342" i="62"/>
  <c r="P342" i="62"/>
  <c r="Q342" i="62"/>
  <c r="R342" i="62"/>
  <c r="C343" i="62"/>
  <c r="D343" i="62"/>
  <c r="E343" i="62"/>
  <c r="F343" i="62"/>
  <c r="G343" i="62"/>
  <c r="H343" i="62"/>
  <c r="I343" i="62"/>
  <c r="J343" i="62"/>
  <c r="K343" i="62"/>
  <c r="L343" i="62"/>
  <c r="M343" i="62"/>
  <c r="N343" i="62"/>
  <c r="O343" i="62"/>
  <c r="P343" i="62"/>
  <c r="Q343" i="62"/>
  <c r="R343" i="62"/>
  <c r="C344" i="62"/>
  <c r="D344" i="62"/>
  <c r="E344" i="62"/>
  <c r="F344" i="62"/>
  <c r="G344" i="62"/>
  <c r="H344" i="62"/>
  <c r="I344" i="62"/>
  <c r="J344" i="62"/>
  <c r="K344" i="62"/>
  <c r="L344" i="62"/>
  <c r="M344" i="62"/>
  <c r="N344" i="62"/>
  <c r="O344" i="62"/>
  <c r="P344" i="62"/>
  <c r="Q344" i="62"/>
  <c r="R344" i="62"/>
  <c r="C345" i="62"/>
  <c r="D345" i="62"/>
  <c r="E345" i="62"/>
  <c r="F345" i="62"/>
  <c r="G345" i="62"/>
  <c r="H345" i="62"/>
  <c r="I345" i="62"/>
  <c r="J345" i="62"/>
  <c r="K345" i="62"/>
  <c r="L345" i="62"/>
  <c r="M345" i="62"/>
  <c r="N345" i="62"/>
  <c r="O345" i="62"/>
  <c r="P345" i="62"/>
  <c r="Q345" i="62"/>
  <c r="R345" i="62"/>
  <c r="C346" i="62"/>
  <c r="D346" i="62"/>
  <c r="E346" i="62"/>
  <c r="F346" i="62"/>
  <c r="G346" i="62"/>
  <c r="H346" i="62"/>
  <c r="I346" i="62"/>
  <c r="J346" i="62"/>
  <c r="K346" i="62"/>
  <c r="L346" i="62"/>
  <c r="M346" i="62"/>
  <c r="N346" i="62"/>
  <c r="O346" i="62"/>
  <c r="P346" i="62"/>
  <c r="Q346" i="62"/>
  <c r="R346" i="62"/>
  <c r="C347" i="62"/>
  <c r="D347" i="62"/>
  <c r="E347" i="62"/>
  <c r="F347" i="62"/>
  <c r="G347" i="62"/>
  <c r="H347" i="62"/>
  <c r="I347" i="62"/>
  <c r="J347" i="62"/>
  <c r="K347" i="62"/>
  <c r="L347" i="62"/>
  <c r="M347" i="62"/>
  <c r="N347" i="62"/>
  <c r="O347" i="62"/>
  <c r="P347" i="62"/>
  <c r="Q347" i="62"/>
  <c r="R347" i="62"/>
  <c r="C348" i="62"/>
  <c r="D348" i="62"/>
  <c r="E348" i="62"/>
  <c r="F348" i="62"/>
  <c r="G348" i="62"/>
  <c r="H348" i="62"/>
  <c r="I348" i="62"/>
  <c r="J348" i="62"/>
  <c r="K348" i="62"/>
  <c r="L348" i="62"/>
  <c r="M348" i="62"/>
  <c r="N348" i="62"/>
  <c r="O348" i="62"/>
  <c r="P348" i="62"/>
  <c r="Q348" i="62"/>
  <c r="R348" i="62"/>
  <c r="C349" i="62"/>
  <c r="D349" i="62"/>
  <c r="E349" i="62"/>
  <c r="F349" i="62"/>
  <c r="G349" i="62"/>
  <c r="H349" i="62"/>
  <c r="I349" i="62"/>
  <c r="J349" i="62"/>
  <c r="K349" i="62"/>
  <c r="L349" i="62"/>
  <c r="M349" i="62"/>
  <c r="N349" i="62"/>
  <c r="O349" i="62"/>
  <c r="P349" i="62"/>
  <c r="Q349" i="62"/>
  <c r="R349" i="62"/>
  <c r="C350" i="62"/>
  <c r="D350" i="62"/>
  <c r="E350" i="62"/>
  <c r="F350" i="62"/>
  <c r="G350" i="62"/>
  <c r="H350" i="62"/>
  <c r="I350" i="62"/>
  <c r="J350" i="62"/>
  <c r="K350" i="62"/>
  <c r="L350" i="62"/>
  <c r="M350" i="62"/>
  <c r="N350" i="62"/>
  <c r="O350" i="62"/>
  <c r="P350" i="62"/>
  <c r="Q350" i="62"/>
  <c r="R350" i="62"/>
  <c r="C351" i="62"/>
  <c r="D351" i="62"/>
  <c r="E351" i="62"/>
  <c r="F351" i="62"/>
  <c r="G351" i="62"/>
  <c r="H351" i="62"/>
  <c r="I351" i="62"/>
  <c r="J351" i="62"/>
  <c r="K351" i="62"/>
  <c r="L351" i="62"/>
  <c r="M351" i="62"/>
  <c r="N351" i="62"/>
  <c r="O351" i="62"/>
  <c r="P351" i="62"/>
  <c r="Q351" i="62"/>
  <c r="R351" i="62"/>
  <c r="C352" i="62"/>
  <c r="D352" i="62"/>
  <c r="E352" i="62"/>
  <c r="F352" i="62"/>
  <c r="G352" i="62"/>
  <c r="H352" i="62"/>
  <c r="I352" i="62"/>
  <c r="J352" i="62"/>
  <c r="K352" i="62"/>
  <c r="L352" i="62"/>
  <c r="M352" i="62"/>
  <c r="N352" i="62"/>
  <c r="O352" i="62"/>
  <c r="P352" i="62"/>
  <c r="Q352" i="62"/>
  <c r="R352" i="62"/>
  <c r="C353" i="62"/>
  <c r="D353" i="62"/>
  <c r="E353" i="62"/>
  <c r="F353" i="62"/>
  <c r="G353" i="62"/>
  <c r="H353" i="62"/>
  <c r="I353" i="62"/>
  <c r="J353" i="62"/>
  <c r="K353" i="62"/>
  <c r="L353" i="62"/>
  <c r="M353" i="62"/>
  <c r="N353" i="62"/>
  <c r="O353" i="62"/>
  <c r="P353" i="62"/>
  <c r="Q353" i="62"/>
  <c r="R353" i="62"/>
  <c r="C354" i="62"/>
  <c r="D354" i="62"/>
  <c r="E354" i="62"/>
  <c r="F354" i="62"/>
  <c r="G354" i="62"/>
  <c r="H354" i="62"/>
  <c r="I354" i="62"/>
  <c r="J354" i="62"/>
  <c r="K354" i="62"/>
  <c r="L354" i="62"/>
  <c r="M354" i="62"/>
  <c r="N354" i="62"/>
  <c r="O354" i="62"/>
  <c r="P354" i="62"/>
  <c r="Q354" i="62"/>
  <c r="R354" i="62"/>
  <c r="C355" i="62"/>
  <c r="D355" i="62"/>
  <c r="E355" i="62"/>
  <c r="F355" i="62"/>
  <c r="G355" i="62"/>
  <c r="H355" i="62"/>
  <c r="I355" i="62"/>
  <c r="J355" i="62"/>
  <c r="K355" i="62"/>
  <c r="L355" i="62"/>
  <c r="M355" i="62"/>
  <c r="N355" i="62"/>
  <c r="O355" i="62"/>
  <c r="P355" i="62"/>
  <c r="Q355" i="62"/>
  <c r="R355" i="62"/>
  <c r="C356" i="62"/>
  <c r="D356" i="62"/>
  <c r="E356" i="62"/>
  <c r="F356" i="62"/>
  <c r="G356" i="62"/>
  <c r="H356" i="62"/>
  <c r="I356" i="62"/>
  <c r="J356" i="62"/>
  <c r="K356" i="62"/>
  <c r="L356" i="62"/>
  <c r="M356" i="62"/>
  <c r="N356" i="62"/>
  <c r="O356" i="62"/>
  <c r="P356" i="62"/>
  <c r="Q356" i="62"/>
  <c r="R356" i="62"/>
  <c r="C357" i="62"/>
  <c r="D357" i="62"/>
  <c r="E357" i="62"/>
  <c r="F357" i="62"/>
  <c r="G357" i="62"/>
  <c r="H357" i="62"/>
  <c r="I357" i="62"/>
  <c r="J357" i="62"/>
  <c r="K357" i="62"/>
  <c r="L357" i="62"/>
  <c r="M357" i="62"/>
  <c r="N357" i="62"/>
  <c r="O357" i="62"/>
  <c r="P357" i="62"/>
  <c r="Q357" i="62"/>
  <c r="R357" i="62"/>
  <c r="C358" i="62"/>
  <c r="D358" i="62"/>
  <c r="E358" i="62"/>
  <c r="F358" i="62"/>
  <c r="G358" i="62"/>
  <c r="H358" i="62"/>
  <c r="I358" i="62"/>
  <c r="J358" i="62"/>
  <c r="K358" i="62"/>
  <c r="L358" i="62"/>
  <c r="M358" i="62"/>
  <c r="N358" i="62"/>
  <c r="O358" i="62"/>
  <c r="P358" i="62"/>
  <c r="Q358" i="62"/>
  <c r="R358" i="62"/>
  <c r="C359" i="62"/>
  <c r="D359" i="62"/>
  <c r="E359" i="62"/>
  <c r="F359" i="62"/>
  <c r="G359" i="62"/>
  <c r="H359" i="62"/>
  <c r="I359" i="62"/>
  <c r="J359" i="62"/>
  <c r="K359" i="62"/>
  <c r="L359" i="62"/>
  <c r="M359" i="62"/>
  <c r="N359" i="62"/>
  <c r="O359" i="62"/>
  <c r="P359" i="62"/>
  <c r="Q359" i="62"/>
  <c r="R359" i="62"/>
  <c r="C360" i="62"/>
  <c r="D360" i="62"/>
  <c r="E360" i="62"/>
  <c r="F360" i="62"/>
  <c r="G360" i="62"/>
  <c r="H360" i="62"/>
  <c r="I360" i="62"/>
  <c r="J360" i="62"/>
  <c r="K360" i="62"/>
  <c r="L360" i="62"/>
  <c r="M360" i="62"/>
  <c r="N360" i="62"/>
  <c r="O360" i="62"/>
  <c r="P360" i="62"/>
  <c r="Q360" i="62"/>
  <c r="R360" i="62"/>
  <c r="C361" i="62"/>
  <c r="D361" i="62"/>
  <c r="E361" i="62"/>
  <c r="F361" i="62"/>
  <c r="G361" i="62"/>
  <c r="H361" i="62"/>
  <c r="I361" i="62"/>
  <c r="J361" i="62"/>
  <c r="K361" i="62"/>
  <c r="L361" i="62"/>
  <c r="M361" i="62"/>
  <c r="N361" i="62"/>
  <c r="O361" i="62"/>
  <c r="P361" i="62"/>
  <c r="Q361" i="62"/>
  <c r="R361" i="62"/>
  <c r="C362" i="62"/>
  <c r="D362" i="62"/>
  <c r="E362" i="62"/>
  <c r="F362" i="62"/>
  <c r="G362" i="62"/>
  <c r="H362" i="62"/>
  <c r="I362" i="62"/>
  <c r="J362" i="62"/>
  <c r="K362" i="62"/>
  <c r="L362" i="62"/>
  <c r="M362" i="62"/>
  <c r="N362" i="62"/>
  <c r="O362" i="62"/>
  <c r="P362" i="62"/>
  <c r="Q362" i="62"/>
  <c r="R362" i="62"/>
  <c r="C363" i="62"/>
  <c r="D363" i="62"/>
  <c r="E363" i="62"/>
  <c r="F363" i="62"/>
  <c r="G363" i="62"/>
  <c r="H363" i="62"/>
  <c r="I363" i="62"/>
  <c r="J363" i="62"/>
  <c r="K363" i="62"/>
  <c r="L363" i="62"/>
  <c r="M363" i="62"/>
  <c r="N363" i="62"/>
  <c r="O363" i="62"/>
  <c r="P363" i="62"/>
  <c r="Q363" i="62"/>
  <c r="R363" i="62"/>
  <c r="C364" i="62"/>
  <c r="D364" i="62"/>
  <c r="E364" i="62"/>
  <c r="F364" i="62"/>
  <c r="G364" i="62"/>
  <c r="H364" i="62"/>
  <c r="I364" i="62"/>
  <c r="J364" i="62"/>
  <c r="K364" i="62"/>
  <c r="L364" i="62"/>
  <c r="M364" i="62"/>
  <c r="N364" i="62"/>
  <c r="O364" i="62"/>
  <c r="P364" i="62"/>
  <c r="Q364" i="62"/>
  <c r="R364" i="62"/>
  <c r="C365" i="62"/>
  <c r="D365" i="62"/>
  <c r="E365" i="62"/>
  <c r="F365" i="62"/>
  <c r="G365" i="62"/>
  <c r="H365" i="62"/>
  <c r="I365" i="62"/>
  <c r="J365" i="62"/>
  <c r="K365" i="62"/>
  <c r="L365" i="62"/>
  <c r="M365" i="62"/>
  <c r="N365" i="62"/>
  <c r="O365" i="62"/>
  <c r="P365" i="62"/>
  <c r="Q365" i="62"/>
  <c r="R365" i="62"/>
  <c r="C366" i="62"/>
  <c r="D366" i="62"/>
  <c r="E366" i="62"/>
  <c r="F366" i="62"/>
  <c r="G366" i="62"/>
  <c r="H366" i="62"/>
  <c r="I366" i="62"/>
  <c r="J366" i="62"/>
  <c r="K366" i="62"/>
  <c r="L366" i="62"/>
  <c r="M366" i="62"/>
  <c r="N366" i="62"/>
  <c r="O366" i="62"/>
  <c r="P366" i="62"/>
  <c r="Q366" i="62"/>
  <c r="R366" i="62"/>
  <c r="C367" i="62"/>
  <c r="D367" i="62"/>
  <c r="E367" i="62"/>
  <c r="F367" i="62"/>
  <c r="G367" i="62"/>
  <c r="H367" i="62"/>
  <c r="I367" i="62"/>
  <c r="J367" i="62"/>
  <c r="K367" i="62"/>
  <c r="L367" i="62"/>
  <c r="M367" i="62"/>
  <c r="N367" i="62"/>
  <c r="O367" i="62"/>
  <c r="P367" i="62"/>
  <c r="Q367" i="62"/>
  <c r="R367" i="62"/>
  <c r="C368" i="62"/>
  <c r="D368" i="62"/>
  <c r="E368" i="62"/>
  <c r="F368" i="62"/>
  <c r="G368" i="62"/>
  <c r="H368" i="62"/>
  <c r="I368" i="62"/>
  <c r="J368" i="62"/>
  <c r="K368" i="62"/>
  <c r="L368" i="62"/>
  <c r="M368" i="62"/>
  <c r="N368" i="62"/>
  <c r="O368" i="62"/>
  <c r="P368" i="62"/>
  <c r="Q368" i="62"/>
  <c r="R368" i="62"/>
  <c r="C369" i="62"/>
  <c r="D369" i="62"/>
  <c r="E369" i="62"/>
  <c r="F369" i="62"/>
  <c r="G369" i="62"/>
  <c r="H369" i="62"/>
  <c r="I369" i="62"/>
  <c r="J369" i="62"/>
  <c r="K369" i="62"/>
  <c r="L369" i="62"/>
  <c r="M369" i="62"/>
  <c r="N369" i="62"/>
  <c r="O369" i="62"/>
  <c r="P369" i="62"/>
  <c r="Q369" i="62"/>
  <c r="R369" i="62"/>
  <c r="C370" i="62"/>
  <c r="D370" i="62"/>
  <c r="E370" i="62"/>
  <c r="F370" i="62"/>
  <c r="G370" i="62"/>
  <c r="H370" i="62"/>
  <c r="I370" i="62"/>
  <c r="J370" i="62"/>
  <c r="K370" i="62"/>
  <c r="L370" i="62"/>
  <c r="M370" i="62"/>
  <c r="N370" i="62"/>
  <c r="O370" i="62"/>
  <c r="P370" i="62"/>
  <c r="Q370" i="62"/>
  <c r="R370" i="62"/>
  <c r="D332" i="37"/>
  <c r="H332" i="37"/>
  <c r="AG347" i="62" l="1"/>
  <c r="AH347" i="62" s="1"/>
  <c r="AG346" i="62"/>
  <c r="AH346" i="62" s="1"/>
  <c r="AG345" i="62"/>
  <c r="AH345" i="62" s="1"/>
  <c r="AG339" i="62"/>
  <c r="AH339" i="62" s="1"/>
  <c r="AG338" i="62"/>
  <c r="AH338" i="62" s="1"/>
  <c r="AG337" i="62"/>
  <c r="AH337" i="62" s="1"/>
  <c r="AG336" i="62"/>
  <c r="AH336" i="62" s="1"/>
  <c r="AG331" i="62"/>
  <c r="AH331" i="62" s="1"/>
  <c r="AG330" i="62"/>
  <c r="AH330" i="62" s="1"/>
  <c r="AG325" i="62"/>
  <c r="AH325" i="62" s="1"/>
  <c r="AG324" i="62"/>
  <c r="AH324" i="62" s="1"/>
  <c r="AG323" i="62"/>
  <c r="AH323" i="62" s="1"/>
  <c r="AG322" i="62"/>
  <c r="AH322" i="62" s="1"/>
  <c r="AG317" i="62"/>
  <c r="AH317" i="62" s="1"/>
  <c r="AG316" i="62"/>
  <c r="AH316" i="62" s="1"/>
  <c r="AG315" i="62"/>
  <c r="AH315" i="62" s="1"/>
  <c r="AG314" i="62"/>
  <c r="AH314" i="62" s="1"/>
  <c r="AG310" i="62"/>
  <c r="AH310" i="62" s="1"/>
  <c r="AG309" i="62"/>
  <c r="AH309" i="62" s="1"/>
  <c r="AG308" i="62"/>
  <c r="AH308" i="62" s="1"/>
  <c r="AG307" i="62"/>
  <c r="AH307" i="62" s="1"/>
  <c r="AG302" i="62"/>
  <c r="AH302" i="62" s="1"/>
  <c r="AG301" i="62"/>
  <c r="AH301" i="62" s="1"/>
  <c r="AG300" i="62"/>
  <c r="AH300" i="62" s="1"/>
  <c r="AG295" i="62"/>
  <c r="AH295" i="62" s="1"/>
  <c r="AG294" i="62"/>
  <c r="AH294" i="62" s="1"/>
  <c r="AG293" i="62"/>
  <c r="AH293" i="62" s="1"/>
  <c r="AG292" i="62"/>
  <c r="AH292" i="62" s="1"/>
  <c r="AG287" i="62"/>
  <c r="AH287" i="62" s="1"/>
  <c r="AG286" i="62"/>
  <c r="AH286" i="62" s="1"/>
  <c r="AG285" i="62"/>
  <c r="AH285" i="62" s="1"/>
  <c r="AG284" i="62"/>
  <c r="AH284" i="62" s="1"/>
  <c r="AG279" i="62"/>
  <c r="AH279" i="62" s="1"/>
  <c r="AG278" i="62"/>
  <c r="AH278" i="62" s="1"/>
  <c r="AG277" i="62"/>
  <c r="AH277" i="62" s="1"/>
  <c r="AG271" i="62"/>
  <c r="AH271" i="62" s="1"/>
  <c r="AG270" i="62"/>
  <c r="AH270" i="62" s="1"/>
  <c r="AG269" i="62"/>
  <c r="AH269" i="62" s="1"/>
  <c r="AG264" i="62"/>
  <c r="AH264" i="62" s="1"/>
  <c r="AG263" i="62"/>
  <c r="AH263" i="62" s="1"/>
  <c r="AG262" i="62"/>
  <c r="AH262" i="62" s="1"/>
  <c r="AG257" i="62"/>
  <c r="AH257" i="62" s="1"/>
  <c r="AG256" i="62"/>
  <c r="AH256" i="62" s="1"/>
  <c r="AG255" i="62"/>
  <c r="AH255" i="62" s="1"/>
  <c r="AG254" i="62"/>
  <c r="AH254" i="62" s="1"/>
  <c r="AG249" i="62"/>
  <c r="AH249" i="62" s="1"/>
  <c r="AG248" i="62"/>
  <c r="AH248" i="62" s="1"/>
  <c r="AG247" i="62"/>
  <c r="AH247" i="62" s="1"/>
  <c r="AG242" i="62"/>
  <c r="AH242" i="62" s="1"/>
  <c r="AG241" i="62"/>
  <c r="AH241" i="62" s="1"/>
  <c r="AG240" i="62"/>
  <c r="AH240" i="62" s="1"/>
  <c r="AG239" i="62"/>
  <c r="AH239" i="62" s="1"/>
  <c r="AG238" i="62"/>
  <c r="AH238" i="62" s="1"/>
  <c r="AG233" i="62"/>
  <c r="AH233" i="62" s="1"/>
  <c r="AG232" i="62"/>
  <c r="AH232" i="62" s="1"/>
  <c r="AG231" i="62"/>
  <c r="AH231" i="62" s="1"/>
  <c r="AG226" i="62"/>
  <c r="AH226" i="62" s="1"/>
  <c r="AG225" i="62"/>
  <c r="AH225" i="62" s="1"/>
  <c r="AG224" i="62"/>
  <c r="AH224" i="62" s="1"/>
  <c r="AG219" i="62"/>
  <c r="AH219" i="62" s="1"/>
  <c r="AG218" i="62"/>
  <c r="AH218" i="62" s="1"/>
  <c r="AG217" i="62"/>
  <c r="AH217" i="62" s="1"/>
  <c r="AG212" i="62"/>
  <c r="AH212" i="62" s="1"/>
  <c r="AG211" i="62"/>
  <c r="AH211" i="62" s="1"/>
  <c r="AG210" i="62"/>
  <c r="AH210" i="62" s="1"/>
  <c r="AG205" i="62"/>
  <c r="AH205" i="62" s="1"/>
  <c r="AG204" i="62"/>
  <c r="AH204" i="62" s="1"/>
  <c r="AG203" i="62"/>
  <c r="AH203" i="62" s="1"/>
  <c r="AG202" i="62"/>
  <c r="AH202" i="62" s="1"/>
  <c r="AG197" i="62"/>
  <c r="AH197" i="62" s="1"/>
  <c r="AG196" i="62"/>
  <c r="AH196" i="62" s="1"/>
  <c r="AG195" i="62"/>
  <c r="AH195" i="62" s="1"/>
  <c r="AG190" i="62"/>
  <c r="AH190" i="62" s="1"/>
  <c r="AG189" i="62"/>
  <c r="AH189" i="62" s="1"/>
  <c r="AG188" i="62"/>
  <c r="AH188" i="62" s="1"/>
  <c r="AG187" i="62"/>
  <c r="AH187" i="62" s="1"/>
  <c r="AG186" i="62"/>
  <c r="AH186" i="62" s="1"/>
  <c r="AG181" i="62"/>
  <c r="AH181" i="62" s="1"/>
  <c r="AG180" i="62"/>
  <c r="AH180" i="62" s="1"/>
  <c r="AG179" i="62"/>
  <c r="AH179" i="62" s="1"/>
  <c r="AG174" i="62"/>
  <c r="AH174" i="62" s="1"/>
  <c r="AG173" i="62"/>
  <c r="AH173" i="62" s="1"/>
  <c r="AG172" i="62"/>
  <c r="AH172" i="62" s="1"/>
  <c r="AG167" i="62"/>
  <c r="AH167" i="62" s="1"/>
  <c r="AG166" i="62"/>
  <c r="AH166" i="62" s="1"/>
  <c r="AG165" i="62"/>
  <c r="AH165" i="62" s="1"/>
  <c r="AG160" i="62"/>
  <c r="AH160" i="62" s="1"/>
  <c r="AG159" i="62"/>
  <c r="AH159" i="62" s="1"/>
  <c r="AG158" i="62"/>
  <c r="AH158" i="62" s="1"/>
  <c r="AG157" i="62"/>
  <c r="AH157" i="62" s="1"/>
  <c r="AG153" i="62"/>
  <c r="AH153" i="62" s="1"/>
  <c r="AG152" i="62"/>
  <c r="AH152" i="62" s="1"/>
  <c r="AG151" i="62"/>
  <c r="AH151" i="62" s="1"/>
  <c r="AG150" i="62"/>
  <c r="AH150" i="62" s="1"/>
  <c r="AG149" i="62"/>
  <c r="AH149" i="62" s="1"/>
  <c r="AG144" i="62"/>
  <c r="AH144" i="62" s="1"/>
  <c r="AG143" i="62"/>
  <c r="AH143" i="62" s="1"/>
  <c r="AG142" i="62"/>
  <c r="AH142" i="62" s="1"/>
  <c r="AG141" i="62"/>
  <c r="AH141" i="62" s="1"/>
  <c r="AG137" i="62"/>
  <c r="AH137" i="62" s="1"/>
  <c r="AG136" i="62"/>
  <c r="AH136" i="62" s="1"/>
  <c r="AG135" i="62"/>
  <c r="AH135" i="62" s="1"/>
  <c r="AG134" i="62"/>
  <c r="AH134" i="62" s="1"/>
  <c r="AG129" i="62"/>
  <c r="AH129" i="62" s="1"/>
  <c r="AG127" i="62"/>
  <c r="AH127" i="62" s="1"/>
  <c r="AG117" i="62"/>
  <c r="AH117" i="62" s="1"/>
  <c r="AG116" i="62"/>
  <c r="AH116" i="62" s="1"/>
  <c r="AG114" i="62"/>
  <c r="AG111" i="62"/>
  <c r="AH111" i="62" s="1"/>
  <c r="AG110" i="62"/>
  <c r="AH110" i="62" s="1"/>
  <c r="AG109" i="62"/>
  <c r="AH109" i="62" s="1"/>
  <c r="AG108" i="62"/>
  <c r="AH108" i="62" s="1"/>
  <c r="AG106" i="62"/>
  <c r="AH106" i="62" s="1"/>
  <c r="AG104" i="62"/>
  <c r="AH104" i="62" s="1"/>
  <c r="AG103" i="62"/>
  <c r="AH103" i="62" s="1"/>
  <c r="AG102" i="62"/>
  <c r="AH102" i="62" s="1"/>
  <c r="AG100" i="62"/>
  <c r="AH100" i="62" s="1"/>
  <c r="AG99" i="62"/>
  <c r="AH99" i="62" s="1"/>
  <c r="AG98" i="62"/>
  <c r="AH98" i="62" s="1"/>
  <c r="AG97" i="62"/>
  <c r="AH97" i="62" s="1"/>
  <c r="AG96" i="62"/>
  <c r="AH96" i="62" s="1"/>
  <c r="AG95" i="62"/>
  <c r="AH95" i="62" s="1"/>
  <c r="AG93" i="62"/>
  <c r="AH93" i="62" s="1"/>
  <c r="AG91" i="62"/>
  <c r="AH91" i="62" s="1"/>
  <c r="AG89" i="62"/>
  <c r="AH89" i="62" s="1"/>
  <c r="AG87" i="62"/>
  <c r="AH87" i="62" s="1"/>
  <c r="AG85" i="62"/>
  <c r="AH85" i="62" s="1"/>
  <c r="AG45" i="62"/>
  <c r="AH45" i="62" s="1"/>
  <c r="AG37" i="62"/>
  <c r="AH37" i="62" s="1"/>
  <c r="AG31" i="62"/>
  <c r="AH31" i="62" s="1"/>
  <c r="AG28" i="62"/>
  <c r="AH28" i="62" s="1"/>
  <c r="AG27" i="62"/>
  <c r="AH27" i="62" s="1"/>
  <c r="AG24" i="62"/>
  <c r="AH24" i="62" s="1"/>
  <c r="AG367" i="62"/>
  <c r="AH367" i="62" s="1"/>
  <c r="AG357" i="62"/>
  <c r="AH357" i="62" s="1"/>
  <c r="AG353" i="62"/>
  <c r="AH353" i="62" s="1"/>
  <c r="AG343" i="62"/>
  <c r="AH343" i="62" s="1"/>
  <c r="AG332" i="62"/>
  <c r="AH332" i="62" s="1"/>
  <c r="AG312" i="62"/>
  <c r="AH312" i="62" s="1"/>
  <c r="AG298" i="62"/>
  <c r="AH298" i="62" s="1"/>
  <c r="AG281" i="62"/>
  <c r="AH281" i="62" s="1"/>
  <c r="AG267" i="62"/>
  <c r="AH267" i="62" s="1"/>
  <c r="AG253" i="62"/>
  <c r="AH253" i="62" s="1"/>
  <c r="AG236" i="62"/>
  <c r="AH236" i="62" s="1"/>
  <c r="AG222" i="62"/>
  <c r="AH222" i="62" s="1"/>
  <c r="AG208" i="62"/>
  <c r="AH208" i="62" s="1"/>
  <c r="AG194" i="62"/>
  <c r="AH194" i="62" s="1"/>
  <c r="AG191" i="62"/>
  <c r="AH191" i="62" s="1"/>
  <c r="AG177" i="62"/>
  <c r="AH177" i="62" s="1"/>
  <c r="AG163" i="62"/>
  <c r="AH163" i="62" s="1"/>
  <c r="AG146" i="62"/>
  <c r="AH146" i="62" s="1"/>
  <c r="AG132" i="62"/>
  <c r="AH132" i="62" s="1"/>
  <c r="AG125" i="62"/>
  <c r="AH125" i="62" s="1"/>
  <c r="AG122" i="62"/>
  <c r="AH122" i="62" s="1"/>
  <c r="AG119" i="62"/>
  <c r="AH119" i="62" s="1"/>
  <c r="AG107" i="62"/>
  <c r="AH107" i="62" s="1"/>
  <c r="AG368" i="62"/>
  <c r="AH368" i="62" s="1"/>
  <c r="AG358" i="62"/>
  <c r="AH358" i="62" s="1"/>
  <c r="AG354" i="62"/>
  <c r="AH354" i="62" s="1"/>
  <c r="AG344" i="62"/>
  <c r="AH344" i="62" s="1"/>
  <c r="AG341" i="62"/>
  <c r="AH341" i="62" s="1"/>
  <c r="AG327" i="62"/>
  <c r="AH327" i="62" s="1"/>
  <c r="AG313" i="62"/>
  <c r="AH313" i="62" s="1"/>
  <c r="AG299" i="62"/>
  <c r="AH299" i="62" s="1"/>
  <c r="AG296" i="62"/>
  <c r="AH296" i="62" s="1"/>
  <c r="AG282" i="62"/>
  <c r="AH282" i="62" s="1"/>
  <c r="AG268" i="62"/>
  <c r="AH268" i="62" s="1"/>
  <c r="AG244" i="62"/>
  <c r="AH244" i="62" s="1"/>
  <c r="AG230" i="62"/>
  <c r="AH230" i="62" s="1"/>
  <c r="AG216" i="62"/>
  <c r="AH216" i="62" s="1"/>
  <c r="AG199" i="62"/>
  <c r="AH199" i="62" s="1"/>
  <c r="AG185" i="62"/>
  <c r="AH185" i="62" s="1"/>
  <c r="AG171" i="62"/>
  <c r="AH171" i="62" s="1"/>
  <c r="AG154" i="62"/>
  <c r="AH154" i="62" s="1"/>
  <c r="AG140" i="62"/>
  <c r="AH140" i="62" s="1"/>
  <c r="AG126" i="62"/>
  <c r="AH126" i="62" s="1"/>
  <c r="AG363" i="62"/>
  <c r="AH363" i="62" s="1"/>
  <c r="AG359" i="62"/>
  <c r="AH359" i="62" s="1"/>
  <c r="AG349" i="62"/>
  <c r="AH349" i="62" s="1"/>
  <c r="AG335" i="62"/>
  <c r="AH335" i="62" s="1"/>
  <c r="AG321" i="62"/>
  <c r="AH321" i="62" s="1"/>
  <c r="AG311" i="62"/>
  <c r="AH311" i="62" s="1"/>
  <c r="AG297" i="62"/>
  <c r="AH297" i="62" s="1"/>
  <c r="AG283" i="62"/>
  <c r="AH283" i="62" s="1"/>
  <c r="AG273" i="62"/>
  <c r="AH273" i="62" s="1"/>
  <c r="AG259" i="62"/>
  <c r="AH259" i="62" s="1"/>
  <c r="AG245" i="62"/>
  <c r="AH245" i="62" s="1"/>
  <c r="AG228" i="62"/>
  <c r="AH228" i="62" s="1"/>
  <c r="AG214" i="62"/>
  <c r="AH214" i="62" s="1"/>
  <c r="AG200" i="62"/>
  <c r="AH200" i="62" s="1"/>
  <c r="AG183" i="62"/>
  <c r="AH183" i="62" s="1"/>
  <c r="AG169" i="62"/>
  <c r="AH169" i="62" s="1"/>
  <c r="AG155" i="62"/>
  <c r="AH155" i="62" s="1"/>
  <c r="AG131" i="62"/>
  <c r="AH131" i="62" s="1"/>
  <c r="AG369" i="62"/>
  <c r="AG362" i="62"/>
  <c r="AG355" i="62"/>
  <c r="AG348" i="62"/>
  <c r="AH348" i="62" s="1"/>
  <c r="AG326" i="62"/>
  <c r="AH326" i="62" s="1"/>
  <c r="AG318" i="62"/>
  <c r="AH318" i="62" s="1"/>
  <c r="AG303" i="62"/>
  <c r="AH303" i="62" s="1"/>
  <c r="AG280" i="62"/>
  <c r="AH280" i="62" s="1"/>
  <c r="AG265" i="62"/>
  <c r="AH265" i="62" s="1"/>
  <c r="AG258" i="62"/>
  <c r="AH258" i="62" s="1"/>
  <c r="AG250" i="62"/>
  <c r="AH250" i="62" s="1"/>
  <c r="AG234" i="62"/>
  <c r="AH234" i="62" s="1"/>
  <c r="AG227" i="62"/>
  <c r="AH227" i="62" s="1"/>
  <c r="AG220" i="62"/>
  <c r="AH220" i="62" s="1"/>
  <c r="AG213" i="62"/>
  <c r="AH213" i="62" s="1"/>
  <c r="AG206" i="62"/>
  <c r="AH206" i="62" s="1"/>
  <c r="AG198" i="62"/>
  <c r="AH198" i="62" s="1"/>
  <c r="AG182" i="62"/>
  <c r="AH182" i="62" s="1"/>
  <c r="AG175" i="62"/>
  <c r="AH175" i="62" s="1"/>
  <c r="AG168" i="62"/>
  <c r="AH168" i="62" s="1"/>
  <c r="AG161" i="62"/>
  <c r="AH161" i="62" s="1"/>
  <c r="AG145" i="62"/>
  <c r="AH145" i="62" s="1"/>
  <c r="AG130" i="62"/>
  <c r="AH130" i="62" s="1"/>
  <c r="AG123" i="62"/>
  <c r="AH123" i="62" s="1"/>
  <c r="AG120" i="62"/>
  <c r="AH120" i="62" s="1"/>
  <c r="AG365" i="62"/>
  <c r="AH365" i="62" s="1"/>
  <c r="AG361" i="62"/>
  <c r="AH361" i="62" s="1"/>
  <c r="AG351" i="62"/>
  <c r="AH351" i="62" s="1"/>
  <c r="AG340" i="62"/>
  <c r="AH340" i="62" s="1"/>
  <c r="AG334" i="62"/>
  <c r="AH334" i="62" s="1"/>
  <c r="AG320" i="62"/>
  <c r="AH320" i="62" s="1"/>
  <c r="AG306" i="62"/>
  <c r="AH306" i="62" s="1"/>
  <c r="AG289" i="62"/>
  <c r="AH289" i="62" s="1"/>
  <c r="AG275" i="62"/>
  <c r="AH275" i="62" s="1"/>
  <c r="AG261" i="62"/>
  <c r="AH261" i="62" s="1"/>
  <c r="AG251" i="62"/>
  <c r="AH251" i="62" s="1"/>
  <c r="AG237" i="62"/>
  <c r="AH237" i="62" s="1"/>
  <c r="AG223" i="62"/>
  <c r="AH223" i="62" s="1"/>
  <c r="AG209" i="62"/>
  <c r="AH209" i="62" s="1"/>
  <c r="AG192" i="62"/>
  <c r="AH192" i="62" s="1"/>
  <c r="AG178" i="62"/>
  <c r="AH178" i="62" s="1"/>
  <c r="AG164" i="62"/>
  <c r="AH164" i="62" s="1"/>
  <c r="AG147" i="62"/>
  <c r="AH147" i="62" s="1"/>
  <c r="AG133" i="62"/>
  <c r="AH133" i="62" s="1"/>
  <c r="AG113" i="62"/>
  <c r="AH113" i="62" s="1"/>
  <c r="AG101" i="62"/>
  <c r="AH101" i="62" s="1"/>
  <c r="AG68" i="62"/>
  <c r="AH68" i="62" s="1"/>
  <c r="AG65" i="62"/>
  <c r="AH65" i="62" s="1"/>
  <c r="AG63" i="62"/>
  <c r="AH63" i="62" s="1"/>
  <c r="AG62" i="62"/>
  <c r="AH62" i="62" s="1"/>
  <c r="AG59" i="62"/>
  <c r="AH59" i="62" s="1"/>
  <c r="AG56" i="62"/>
  <c r="AH56" i="62" s="1"/>
  <c r="AG51" i="62"/>
  <c r="AH51" i="62" s="1"/>
  <c r="AG48" i="62"/>
  <c r="AH48" i="62" s="1"/>
  <c r="AG42" i="62"/>
  <c r="AH42" i="62" s="1"/>
  <c r="AG39" i="62"/>
  <c r="AH39" i="62" s="1"/>
  <c r="AG23" i="62"/>
  <c r="AH23" i="62" s="1"/>
  <c r="AG22" i="62"/>
  <c r="AH22" i="62" s="1"/>
  <c r="AG21" i="62"/>
  <c r="AH21" i="62" s="1"/>
  <c r="AG20" i="62"/>
  <c r="AH20" i="62" s="1"/>
  <c r="AG19" i="62"/>
  <c r="AH19" i="62" s="1"/>
  <c r="AG18" i="62"/>
  <c r="AH18" i="62" s="1"/>
  <c r="AG17" i="62"/>
  <c r="AH17" i="62" s="1"/>
  <c r="AG16" i="62"/>
  <c r="AH16" i="62" s="1"/>
  <c r="AG15" i="62"/>
  <c r="AH15" i="62" s="1"/>
  <c r="AG14" i="62"/>
  <c r="AH14" i="62" s="1"/>
  <c r="AG13" i="62"/>
  <c r="AH13" i="62" s="1"/>
  <c r="AG12" i="62"/>
  <c r="AH12" i="62" s="1"/>
  <c r="AG11" i="62"/>
  <c r="AH11" i="62" s="1"/>
  <c r="AG10" i="62"/>
  <c r="AH10" i="62" s="1"/>
  <c r="AG9" i="62"/>
  <c r="AH9" i="62" s="1"/>
  <c r="AG8" i="62"/>
  <c r="AG364" i="62"/>
  <c r="AH364" i="62" s="1"/>
  <c r="AG360" i="62"/>
  <c r="AH360" i="62" s="1"/>
  <c r="AG350" i="62"/>
  <c r="AH350" i="62" s="1"/>
  <c r="AG333" i="62"/>
  <c r="AH333" i="62" s="1"/>
  <c r="AG329" i="62"/>
  <c r="AH329" i="62" s="1"/>
  <c r="AG319" i="62"/>
  <c r="AH319" i="62" s="1"/>
  <c r="AG305" i="62"/>
  <c r="AH305" i="62" s="1"/>
  <c r="AG291" i="62"/>
  <c r="AH291" i="62" s="1"/>
  <c r="AG288" i="62"/>
  <c r="AH288" i="62" s="1"/>
  <c r="AG274" i="62"/>
  <c r="AH274" i="62" s="1"/>
  <c r="AG260" i="62"/>
  <c r="AH260" i="62" s="1"/>
  <c r="AG246" i="62"/>
  <c r="AH246" i="62" s="1"/>
  <c r="AG243" i="62"/>
  <c r="AH243" i="62" s="1"/>
  <c r="AG229" i="62"/>
  <c r="AH229" i="62" s="1"/>
  <c r="AG215" i="62"/>
  <c r="AH215" i="62" s="1"/>
  <c r="AG201" i="62"/>
  <c r="AH201" i="62" s="1"/>
  <c r="AG184" i="62"/>
  <c r="AH184" i="62" s="1"/>
  <c r="AG170" i="62"/>
  <c r="AH170" i="62" s="1"/>
  <c r="AG156" i="62"/>
  <c r="AH156" i="62" s="1"/>
  <c r="AG139" i="62"/>
  <c r="AH139" i="62" s="1"/>
  <c r="AG128" i="62"/>
  <c r="AH128" i="62" s="1"/>
  <c r="AG115" i="62"/>
  <c r="AH115" i="62" s="1"/>
  <c r="AG112" i="62"/>
  <c r="AH112" i="62" s="1"/>
  <c r="AG83" i="62"/>
  <c r="AH83" i="62" s="1"/>
  <c r="AG81" i="62"/>
  <c r="AH81" i="62" s="1"/>
  <c r="AG79" i="62"/>
  <c r="AH79" i="62" s="1"/>
  <c r="AG77" i="62"/>
  <c r="AH77" i="62" s="1"/>
  <c r="AG75" i="62"/>
  <c r="AH75" i="62" s="1"/>
  <c r="AG73" i="62"/>
  <c r="AH73" i="62" s="1"/>
  <c r="AG71" i="62"/>
  <c r="AH71" i="62" s="1"/>
  <c r="AG69" i="62"/>
  <c r="AH69" i="62" s="1"/>
  <c r="AG66" i="62"/>
  <c r="AH66" i="62" s="1"/>
  <c r="AG64" i="62"/>
  <c r="AH64" i="62" s="1"/>
  <c r="AG60" i="62"/>
  <c r="AH60" i="62" s="1"/>
  <c r="AG57" i="62"/>
  <c r="AH57" i="62" s="1"/>
  <c r="AG54" i="62"/>
  <c r="AH54" i="62" s="1"/>
  <c r="AG53" i="62"/>
  <c r="AH53" i="62" s="1"/>
  <c r="AG50" i="62"/>
  <c r="AH50" i="62" s="1"/>
  <c r="AG47" i="62"/>
  <c r="AH47" i="62" s="1"/>
  <c r="AG44" i="62"/>
  <c r="AH44" i="62" s="1"/>
  <c r="AG41" i="62"/>
  <c r="AH41" i="62" s="1"/>
  <c r="AG38" i="62"/>
  <c r="AH38" i="62" s="1"/>
  <c r="AG30" i="62"/>
  <c r="AH30" i="62" s="1"/>
  <c r="AG370" i="62"/>
  <c r="AH370" i="62" s="1"/>
  <c r="AG366" i="62"/>
  <c r="AH366" i="62" s="1"/>
  <c r="AG356" i="62"/>
  <c r="AH356" i="62" s="1"/>
  <c r="AG352" i="62"/>
  <c r="AH352" i="62" s="1"/>
  <c r="AG342" i="62"/>
  <c r="AH342" i="62" s="1"/>
  <c r="AG328" i="62"/>
  <c r="AH328" i="62" s="1"/>
  <c r="AG304" i="62"/>
  <c r="AH304" i="62" s="1"/>
  <c r="AG290" i="62"/>
  <c r="AH290" i="62" s="1"/>
  <c r="AG276" i="62"/>
  <c r="AH276" i="62" s="1"/>
  <c r="AG272" i="62"/>
  <c r="AH272" i="62" s="1"/>
  <c r="AG266" i="62"/>
  <c r="AH266" i="62" s="1"/>
  <c r="AG252" i="62"/>
  <c r="AH252" i="62" s="1"/>
  <c r="AG235" i="62"/>
  <c r="AH235" i="62" s="1"/>
  <c r="AG221" i="62"/>
  <c r="AH221" i="62" s="1"/>
  <c r="AG207" i="62"/>
  <c r="AH207" i="62" s="1"/>
  <c r="AG193" i="62"/>
  <c r="AH193" i="62" s="1"/>
  <c r="AG176" i="62"/>
  <c r="AH176" i="62" s="1"/>
  <c r="AG162" i="62"/>
  <c r="AH162" i="62" s="1"/>
  <c r="AG148" i="62"/>
  <c r="AH148" i="62" s="1"/>
  <c r="AG138" i="62"/>
  <c r="AH138" i="62" s="1"/>
  <c r="AG124" i="62"/>
  <c r="AH124" i="62" s="1"/>
  <c r="AG121" i="62"/>
  <c r="AG118" i="62"/>
  <c r="AH118" i="62" s="1"/>
  <c r="AG105" i="62"/>
  <c r="AH105" i="62" s="1"/>
  <c r="AG94" i="62"/>
  <c r="AH94" i="62" s="1"/>
  <c r="AG92" i="62"/>
  <c r="AH92" i="62" s="1"/>
  <c r="AG90" i="62"/>
  <c r="AH90" i="62" s="1"/>
  <c r="AG88" i="62"/>
  <c r="AH88" i="62" s="1"/>
  <c r="AG86" i="62"/>
  <c r="AH86" i="62" s="1"/>
  <c r="AG84" i="62"/>
  <c r="AH84" i="62" s="1"/>
  <c r="AG82" i="62"/>
  <c r="AH82" i="62" s="1"/>
  <c r="AG80" i="62"/>
  <c r="AH80" i="62" s="1"/>
  <c r="AG78" i="62"/>
  <c r="AH78" i="62" s="1"/>
  <c r="AG76" i="62"/>
  <c r="AH76" i="62" s="1"/>
  <c r="AG74" i="62"/>
  <c r="AH74" i="62" s="1"/>
  <c r="AG72" i="62"/>
  <c r="AH72" i="62" s="1"/>
  <c r="AG70" i="62"/>
  <c r="AH70" i="62" s="1"/>
  <c r="AG67" i="62"/>
  <c r="AH67" i="62" s="1"/>
  <c r="AG61" i="62"/>
  <c r="AH61" i="62" s="1"/>
  <c r="AG58" i="62"/>
  <c r="AH58" i="62" s="1"/>
  <c r="AG55" i="62"/>
  <c r="AH55" i="62" s="1"/>
  <c r="AG52" i="62"/>
  <c r="AH52" i="62" s="1"/>
  <c r="AG49" i="62"/>
  <c r="AH49" i="62" s="1"/>
  <c r="AG46" i="62"/>
  <c r="AG43" i="62"/>
  <c r="AH43" i="62" s="1"/>
  <c r="AG40" i="62"/>
  <c r="AH40" i="62" s="1"/>
  <c r="AG36" i="62"/>
  <c r="AH36" i="62" s="1"/>
  <c r="AG35" i="62"/>
  <c r="AH35" i="62" s="1"/>
  <c r="AG34" i="62"/>
  <c r="AH34" i="62" s="1"/>
  <c r="AG33" i="62"/>
  <c r="AH33" i="62" s="1"/>
  <c r="AG32" i="62"/>
  <c r="AH32" i="62" s="1"/>
  <c r="AG29" i="62"/>
  <c r="AH29" i="62" s="1"/>
  <c r="AG26" i="62"/>
  <c r="AH26" i="62" s="1"/>
  <c r="AG25" i="62"/>
  <c r="AH25" i="62" s="1"/>
  <c r="C372" i="62"/>
  <c r="D372" i="62"/>
  <c r="K19" i="40"/>
  <c r="K372" i="62"/>
  <c r="L372" i="62"/>
  <c r="I372" i="62"/>
  <c r="F372" i="62"/>
  <c r="G372" i="62"/>
  <c r="H372" i="62"/>
  <c r="J372" i="62"/>
  <c r="M372" i="62"/>
  <c r="E372" i="62"/>
  <c r="Q372" i="62"/>
  <c r="N372" i="62"/>
  <c r="P372" i="62"/>
  <c r="R372" i="62"/>
  <c r="AG7" i="62"/>
  <c r="AH7" i="62" s="1"/>
  <c r="AG6" i="62"/>
  <c r="AH6" i="62" s="1"/>
  <c r="AH46" i="62" l="1"/>
  <c r="AH121" i="62"/>
  <c r="AH114" i="62"/>
  <c r="AH369" i="62"/>
  <c r="AH362" i="62"/>
  <c r="AH355" i="62"/>
  <c r="AH8" i="62"/>
  <c r="AH372" i="62" s="1"/>
  <c r="AG372" i="62"/>
  <c r="AG375" i="62" s="1"/>
  <c r="E51" i="40" s="1"/>
  <c r="J51" i="40" l="1"/>
  <c r="J55" i="40" s="1"/>
  <c r="L51" i="40" l="1"/>
  <c r="E55" i="40"/>
  <c r="I51" i="40"/>
  <c r="B65" i="65"/>
  <c r="B66" i="65" s="1"/>
  <c r="K6" i="65"/>
  <c r="K65" i="65" l="1"/>
  <c r="C13" i="56"/>
  <c r="V13" i="56" l="1"/>
  <c r="Z13" i="56" s="1"/>
  <c r="Z34" i="56" s="1"/>
  <c r="C20" i="56"/>
  <c r="E13" i="56"/>
  <c r="P13" i="56"/>
  <c r="P145" i="56" s="1"/>
  <c r="K13" i="56"/>
  <c r="D13" i="56"/>
  <c r="C145" i="56" l="1"/>
  <c r="K67" i="65" s="1"/>
  <c r="K20" i="56"/>
  <c r="K145" i="56" s="1"/>
  <c r="I166" i="56" s="1"/>
  <c r="I168" i="56" s="1"/>
  <c r="M153" i="56"/>
  <c r="M158" i="56" s="1"/>
  <c r="L13" i="56"/>
  <c r="P20" i="56"/>
  <c r="M13" i="56"/>
  <c r="K152" i="56" l="1"/>
  <c r="K153" i="56" s="1"/>
  <c r="K154" i="56" s="1"/>
  <c r="O18" i="56"/>
  <c r="O8" i="56"/>
  <c r="M160" i="56"/>
  <c r="M20" i="56"/>
  <c r="L20" i="56"/>
  <c r="O112" i="56"/>
  <c r="O122" i="56"/>
  <c r="O100" i="56"/>
  <c r="O128" i="56"/>
  <c r="O88" i="56"/>
  <c r="O140" i="56"/>
  <c r="O142" i="56" s="1"/>
  <c r="O119" i="56"/>
  <c r="O121" i="56"/>
  <c r="O94" i="56"/>
  <c r="O133" i="56"/>
  <c r="O134" i="56"/>
  <c r="O102" i="56"/>
  <c r="O99" i="56"/>
  <c r="O87" i="56"/>
  <c r="O113" i="56"/>
  <c r="O93" i="56"/>
  <c r="O118" i="56"/>
  <c r="O127" i="56"/>
  <c r="O120" i="56"/>
  <c r="O135" i="56"/>
  <c r="O107" i="56"/>
  <c r="O109" i="56" s="1"/>
  <c r="O101" i="56"/>
  <c r="O61" i="56"/>
  <c r="O37" i="56"/>
  <c r="O24" i="56"/>
  <c r="O32" i="56"/>
  <c r="O52" i="56"/>
  <c r="O82" i="56"/>
  <c r="O60" i="56"/>
  <c r="O81" i="56"/>
  <c r="O30" i="56"/>
  <c r="O62" i="56"/>
  <c r="O74" i="56"/>
  <c r="O31" i="56"/>
  <c r="O68" i="56"/>
  <c r="O13" i="56"/>
  <c r="O23" i="56"/>
  <c r="O44" i="56"/>
  <c r="O67" i="56"/>
  <c r="C95" i="40"/>
  <c r="O58" i="56"/>
  <c r="O15" i="56"/>
  <c r="O16" i="56"/>
  <c r="O14" i="56"/>
  <c r="O43" i="56"/>
  <c r="O17" i="56"/>
  <c r="O45" i="56"/>
  <c r="O79" i="56"/>
  <c r="O80" i="56"/>
  <c r="O38" i="56"/>
  <c r="O73" i="56"/>
  <c r="O59" i="56"/>
  <c r="O51" i="56"/>
  <c r="O57" i="56"/>
  <c r="O29" i="56"/>
  <c r="O46" i="56"/>
  <c r="O10" i="56" l="1"/>
  <c r="O115" i="56"/>
  <c r="O90" i="56"/>
  <c r="O130" i="56"/>
  <c r="O137" i="56"/>
  <c r="O96" i="56"/>
  <c r="O124" i="56"/>
  <c r="O104" i="56"/>
  <c r="O76" i="56"/>
  <c r="O54" i="56"/>
  <c r="O26" i="56"/>
  <c r="O84" i="56"/>
  <c r="O70" i="56"/>
  <c r="O64" i="56"/>
  <c r="O48" i="56"/>
  <c r="O34" i="56"/>
  <c r="O40" i="56"/>
  <c r="O20" i="56"/>
  <c r="O145" i="56" l="1"/>
  <c r="F18" i="65"/>
  <c r="L18" i="65" s="1"/>
  <c r="C144" i="68"/>
  <c r="D144" i="68" l="1"/>
  <c r="E144" i="68" s="1"/>
  <c r="I51" i="56"/>
  <c r="I54" i="56" s="1"/>
  <c r="M18" i="65"/>
  <c r="J51" i="56" l="1"/>
  <c r="J54" i="56" s="1"/>
  <c r="D51" i="56"/>
  <c r="L51" i="56"/>
  <c r="L54" i="56" l="1"/>
  <c r="M51" i="56"/>
  <c r="E51" i="56"/>
  <c r="M54" i="56" l="1"/>
  <c r="R40" i="41"/>
  <c r="F32" i="65" l="1"/>
  <c r="M32" i="65" s="1"/>
  <c r="J133" i="56" s="1"/>
  <c r="J137" i="56" l="1"/>
  <c r="J145" i="56" s="1"/>
  <c r="M133" i="56"/>
  <c r="C79" i="68"/>
  <c r="D79" i="68" s="1"/>
  <c r="E79" i="68" s="1"/>
  <c r="M65" i="65"/>
  <c r="L32" i="65"/>
  <c r="I133" i="56" s="1"/>
  <c r="F65" i="65"/>
  <c r="I137" i="56" l="1"/>
  <c r="I145" i="56" s="1"/>
  <c r="L133" i="56"/>
  <c r="L137" i="56" s="1"/>
  <c r="L145" i="56" s="1"/>
  <c r="M137" i="56"/>
  <c r="L65" i="65"/>
  <c r="D6" i="20"/>
  <c r="E133" i="56"/>
  <c r="Q36" i="41" s="1"/>
  <c r="F332" i="37"/>
  <c r="M145" i="56" l="1"/>
  <c r="M148" i="56" s="1"/>
  <c r="Q38" i="41"/>
  <c r="Q39" i="41"/>
  <c r="Q41" i="41"/>
  <c r="Q34" i="41"/>
  <c r="Q37" i="41"/>
  <c r="H6" i="20"/>
  <c r="M67" i="65"/>
  <c r="D133" i="56"/>
  <c r="L67" i="65"/>
  <c r="P38" i="41" l="1"/>
  <c r="R38" i="41" s="1"/>
  <c r="P36" i="41"/>
  <c r="R36" i="41" s="1"/>
  <c r="P39" i="41"/>
  <c r="R39" i="41" s="1"/>
  <c r="P41" i="41"/>
  <c r="R41" i="41" s="1"/>
  <c r="P34" i="41"/>
  <c r="R34" i="41" s="1"/>
  <c r="P37" i="41"/>
  <c r="R37" i="41" s="1"/>
  <c r="Z36" i="56"/>
  <c r="I7" i="20"/>
  <c r="J7" i="20"/>
  <c r="K7" i="20" s="1"/>
  <c r="L7" i="20" s="1"/>
  <c r="C17" i="40"/>
  <c r="D7" i="20"/>
  <c r="H7" i="20" s="1"/>
  <c r="E17" i="40" l="1"/>
  <c r="G46" i="40" s="1"/>
  <c r="D8" i="20"/>
  <c r="K17" i="40" l="1"/>
  <c r="I17" i="40"/>
  <c r="H8" i="20"/>
  <c r="AD20" i="59" l="1"/>
  <c r="AD26" i="59" s="1"/>
  <c r="AD22" i="59" l="1"/>
  <c r="Q12" i="20" s="1"/>
  <c r="E27" i="40" l="1"/>
  <c r="I27" i="40" s="1"/>
  <c r="E32" i="40"/>
  <c r="K32" i="40" s="1"/>
  <c r="I44" i="40"/>
  <c r="K44" i="40"/>
  <c r="H25" i="47"/>
  <c r="H26" i="47" s="1"/>
  <c r="M85" i="34"/>
  <c r="E40" i="20"/>
  <c r="K42" i="40" l="1"/>
  <c r="I42" i="40"/>
  <c r="J11" i="20" l="1"/>
  <c r="D11" i="20" s="1"/>
  <c r="Q85" i="34"/>
  <c r="P20" i="60" s="1"/>
  <c r="P21" i="60" s="1"/>
  <c r="P23" i="60" l="1"/>
  <c r="Q14" i="20" s="1"/>
  <c r="D15" i="20"/>
  <c r="H11" i="20"/>
  <c r="Q11" i="20" l="1"/>
  <c r="Q17" i="20" s="1"/>
  <c r="K10" i="20"/>
  <c r="H15" i="20"/>
  <c r="M14" i="20"/>
  <c r="M15" i="20" s="1"/>
  <c r="K15" i="20"/>
  <c r="J17" i="20"/>
  <c r="I16" i="20"/>
  <c r="O8" i="20"/>
  <c r="O53" i="33" l="1"/>
  <c r="N53" i="33"/>
  <c r="G40" i="20" l="1"/>
  <c r="H44" i="41" l="1"/>
  <c r="I44" i="41" s="1"/>
  <c r="R44" i="41"/>
  <c r="L44" i="41"/>
  <c r="L52" i="41"/>
  <c r="E18" i="40" s="1"/>
  <c r="O44" i="41" l="1"/>
  <c r="K18" i="40"/>
  <c r="E46" i="40"/>
  <c r="K46" i="40" l="1"/>
  <c r="M46" i="40" s="1"/>
  <c r="E57" i="40"/>
  <c r="E60" i="40" s="1"/>
  <c r="E71" i="40" s="1"/>
  <c r="N156" i="56" l="1"/>
  <c r="N153" i="56"/>
  <c r="E73" i="40"/>
  <c r="K71" i="40"/>
  <c r="O2" i="56"/>
  <c r="N154" i="56"/>
  <c r="E519" i="40"/>
  <c r="N155" i="56"/>
  <c r="N14" i="56" l="1"/>
  <c r="N80" i="56"/>
  <c r="N59" i="56"/>
  <c r="N94" i="56"/>
  <c r="N73" i="56"/>
  <c r="N23" i="56"/>
  <c r="N68" i="56"/>
  <c r="N52" i="56"/>
  <c r="N88" i="56"/>
  <c r="N113" i="56"/>
  <c r="N51" i="56"/>
  <c r="N118" i="56"/>
  <c r="N13" i="56"/>
  <c r="N67" i="56"/>
  <c r="N60" i="56"/>
  <c r="N133" i="56"/>
  <c r="N82" i="56"/>
  <c r="N62" i="56"/>
  <c r="N81" i="56"/>
  <c r="N44" i="56"/>
  <c r="N16" i="56"/>
  <c r="N93" i="56"/>
  <c r="N74" i="56"/>
  <c r="N61" i="56"/>
  <c r="N58" i="56"/>
  <c r="N101" i="56"/>
  <c r="N122" i="56"/>
  <c r="N32" i="56"/>
  <c r="N8" i="56"/>
  <c r="N87" i="56"/>
  <c r="N43" i="56"/>
  <c r="N29" i="56"/>
  <c r="N17" i="56"/>
  <c r="N15" i="56"/>
  <c r="N45" i="56"/>
  <c r="N31" i="56"/>
  <c r="N120" i="56"/>
  <c r="N128" i="56"/>
  <c r="N79" i="56"/>
  <c r="N99" i="56"/>
  <c r="N135" i="56"/>
  <c r="N24" i="56"/>
  <c r="N18" i="56"/>
  <c r="N121" i="56"/>
  <c r="N119" i="56"/>
  <c r="N112" i="56"/>
  <c r="N127" i="56"/>
  <c r="N57" i="56"/>
  <c r="N107" i="56"/>
  <c r="N109" i="56" s="1"/>
  <c r="N38" i="56"/>
  <c r="N102" i="56"/>
  <c r="N46" i="56"/>
  <c r="N100" i="56"/>
  <c r="N134" i="56"/>
  <c r="N37" i="56"/>
  <c r="N30" i="56"/>
  <c r="N140" i="56"/>
  <c r="N142" i="56" s="1"/>
  <c r="E76" i="40"/>
  <c r="G76" i="40" s="1"/>
  <c r="E78" i="40"/>
  <c r="E80" i="40" s="1"/>
  <c r="N96" i="56" l="1"/>
  <c r="N115" i="56"/>
  <c r="N130" i="56"/>
  <c r="N64" i="56"/>
  <c r="N90" i="56"/>
  <c r="N84" i="56"/>
  <c r="N40" i="56"/>
  <c r="N104" i="56"/>
  <c r="N137" i="56"/>
  <c r="N48" i="56"/>
  <c r="N26" i="56"/>
  <c r="N70" i="56"/>
  <c r="N10" i="56"/>
  <c r="N20" i="56"/>
  <c r="N76" i="56"/>
  <c r="N124" i="56"/>
  <c r="N54" i="56"/>
  <c r="N34" i="56"/>
  <c r="K78" i="40"/>
  <c r="N145" i="56" l="1"/>
  <c r="K80" i="40"/>
  <c r="E79" i="40"/>
</calcChain>
</file>

<file path=xl/sharedStrings.xml><?xml version="1.0" encoding="utf-8"?>
<sst xmlns="http://schemas.openxmlformats.org/spreadsheetml/2006/main" count="3709" uniqueCount="1577">
  <si>
    <t xml:space="preserve">Daily PKRV </t>
  </si>
  <si>
    <t xml:space="preserve"> </t>
  </si>
  <si>
    <t>Cost</t>
  </si>
  <si>
    <t>Market Value</t>
  </si>
  <si>
    <t>Face value</t>
  </si>
  <si>
    <t>Tenure</t>
  </si>
  <si>
    <t>DOP</t>
  </si>
  <si>
    <t>DOM</t>
  </si>
  <si>
    <t>PRICE DATE</t>
  </si>
  <si>
    <t>Category</t>
  </si>
  <si>
    <t>Script</t>
  </si>
  <si>
    <t>Coupon Rate</t>
  </si>
  <si>
    <t>Tenor (years)</t>
  </si>
  <si>
    <t>Remaining Period (Yr)</t>
  </si>
  <si>
    <t>Yield Rate</t>
  </si>
  <si>
    <t>Market Price</t>
  </si>
  <si>
    <t>Rate (Inception)</t>
  </si>
  <si>
    <t>Remaining period (Yrs)</t>
  </si>
  <si>
    <t>Opening Accural</t>
  </si>
  <si>
    <t xml:space="preserve">Rate </t>
  </si>
  <si>
    <t>Accrued days</t>
  </si>
  <si>
    <t>Last Coupon date</t>
  </si>
  <si>
    <t>Value date/ Cut off date</t>
  </si>
  <si>
    <t>Rate</t>
  </si>
  <si>
    <t>Face Value</t>
  </si>
  <si>
    <t>Difference</t>
  </si>
  <si>
    <t>Particulars</t>
  </si>
  <si>
    <t>PAKISTAN INVESTMENT BONDS (PIBs)</t>
  </si>
  <si>
    <t>Selling Rate</t>
  </si>
  <si>
    <t>TOTAL</t>
  </si>
  <si>
    <t>Total Income</t>
  </si>
  <si>
    <t>From</t>
  </si>
  <si>
    <t>To</t>
  </si>
  <si>
    <t>Value date</t>
  </si>
  <si>
    <t>1020104020101</t>
  </si>
  <si>
    <t>MTM CARRYING VALUE GOV SEC (AFS)</t>
  </si>
  <si>
    <t>UNREALIZED GAIN / (LOSS) GOV SEC (AFS)</t>
  </si>
  <si>
    <t>1020104020201</t>
  </si>
  <si>
    <t>PREMIUM / (DISCOUNT) GOV SEC (AFS)</t>
  </si>
  <si>
    <t>1020402020113</t>
  </si>
  <si>
    <t>Assets</t>
  </si>
  <si>
    <t>Government Securities</t>
  </si>
  <si>
    <t>Accrued</t>
  </si>
  <si>
    <t>ACCRUED RETURN ON TERM DEPOSIT ACCOUNTS - HBL ZAIBUN NISA ST ROAD</t>
  </si>
  <si>
    <t>1020403010201</t>
  </si>
  <si>
    <t>LISTED DEBT SEC - PROFIT REC ON FIS - AFS</t>
  </si>
  <si>
    <t>1020403020201</t>
  </si>
  <si>
    <t>PROFIT REC ON FIS - GOVT SEC- AFS</t>
  </si>
  <si>
    <t>PROFIT &amp; LOSS ACCOUNT</t>
  </si>
  <si>
    <t>BALANCE SHEET</t>
  </si>
  <si>
    <t>5010103020101</t>
  </si>
  <si>
    <t>GAIN / (LOSS) ON INVESTMENT IN GOVERNMENT SECURITIES AFS</t>
  </si>
  <si>
    <t>Gain / (Loss) on sale of Govt Securities</t>
  </si>
  <si>
    <t>Markup Income</t>
  </si>
  <si>
    <t>5020102010113</t>
  </si>
  <si>
    <t>RETURN ON TERM DEPOSIT ACCOUNTS - HBL ZAIBUN NISA ST ROAD</t>
  </si>
  <si>
    <t>5020202010101</t>
  </si>
  <si>
    <t>MARKUP ON LISTED DEBT SECURITIES - AFS</t>
  </si>
  <si>
    <t>5020302010101</t>
  </si>
  <si>
    <t>MARKUP ON GOVERNMENT SECURITIES - AFS</t>
  </si>
  <si>
    <t>UNREALISED GAIN/( LOSS) INVESTMENT IN GOVERMENT. SECURITIES-AFS</t>
  </si>
  <si>
    <t>Unrealized Gain /(Loss)</t>
  </si>
  <si>
    <t>Value as per Workings</t>
  </si>
  <si>
    <t>Value as per ACS</t>
  </si>
  <si>
    <t>10204</t>
  </si>
  <si>
    <t>50101</t>
  </si>
  <si>
    <t>TDR</t>
  </si>
  <si>
    <t>Date</t>
  </si>
  <si>
    <t>TERM DEPOSIT ACCOUNTS - HBL ZAIBUN NISA ST ROAD</t>
  </si>
  <si>
    <t>Bank</t>
  </si>
  <si>
    <t>TOTAL INCOME</t>
  </si>
  <si>
    <t>2030201010101</t>
  </si>
  <si>
    <t>-</t>
  </si>
  <si>
    <t>1020101020101</t>
  </si>
  <si>
    <t>MTM CARRYING VALUE -EQUITY (AFS)</t>
  </si>
  <si>
    <t>GAIN ON SALE</t>
  </si>
  <si>
    <t>RETURN ON TERM DEPOSIT ACCOUNTS - NBP</t>
  </si>
  <si>
    <t>TFC</t>
  </si>
  <si>
    <t>1020103020101</t>
  </si>
  <si>
    <t>1020103020102</t>
  </si>
  <si>
    <t>UNREALIZED GAIN / (LOSS) LISTED DEBT</t>
  </si>
  <si>
    <t>MTM CARRYING VALUE LISTED DEBT</t>
  </si>
  <si>
    <t>INACTIVE</t>
  </si>
  <si>
    <t>HBL</t>
  </si>
  <si>
    <t>CDC Expense</t>
  </si>
  <si>
    <t>5060101010101</t>
  </si>
  <si>
    <t>UNREALISED GAIN/( LOSS) EQUITY SECURITIES</t>
  </si>
  <si>
    <t>Dividend Income</t>
  </si>
  <si>
    <t>DIVIDEND INCOME</t>
  </si>
  <si>
    <t>5010201010101</t>
  </si>
  <si>
    <t>UNAPPROPRIATED INCOME TILL 31.12.2014</t>
  </si>
  <si>
    <t>Custody</t>
  </si>
  <si>
    <t>Status</t>
  </si>
  <si>
    <t>ACTIVE</t>
  </si>
  <si>
    <t>Date of Issue</t>
  </si>
  <si>
    <t>Date of Maturity</t>
  </si>
  <si>
    <t xml:space="preserve"> Date of Purchase - ACS</t>
  </si>
  <si>
    <t>Actual Date of Maturity</t>
  </si>
  <si>
    <t>Premium /Discount</t>
  </si>
  <si>
    <t>Symbols</t>
  </si>
  <si>
    <t>Description of Investment</t>
  </si>
  <si>
    <t>Commercial Banks</t>
  </si>
  <si>
    <t>BAHL</t>
  </si>
  <si>
    <t>Bank Al Habib</t>
  </si>
  <si>
    <t>ABL</t>
  </si>
  <si>
    <t>UBL</t>
  </si>
  <si>
    <t>United Bank Limited</t>
  </si>
  <si>
    <t>BAFL</t>
  </si>
  <si>
    <t>Bank Alfalah Limited</t>
  </si>
  <si>
    <t>Habib Metropolitan Bank Limited</t>
  </si>
  <si>
    <t>HBL Limited</t>
  </si>
  <si>
    <t>Sub Total</t>
  </si>
  <si>
    <t>Power Generation</t>
  </si>
  <si>
    <t>HUBC</t>
  </si>
  <si>
    <t>HUBCO</t>
  </si>
  <si>
    <t>KEL</t>
  </si>
  <si>
    <t>OGDC</t>
  </si>
  <si>
    <t>POL</t>
  </si>
  <si>
    <t>Pakistan Oilfields Limited</t>
  </si>
  <si>
    <t>PPL</t>
  </si>
  <si>
    <t>Pakistan Petroleum Limited</t>
  </si>
  <si>
    <t>APL</t>
  </si>
  <si>
    <t>Attock Petroleum Limited</t>
  </si>
  <si>
    <t>MARI</t>
  </si>
  <si>
    <t>Mari Petroleum Company Limited</t>
  </si>
  <si>
    <t>HASCOL</t>
  </si>
  <si>
    <t>Hascol Petroleum Limited</t>
  </si>
  <si>
    <t>SNGP</t>
  </si>
  <si>
    <t>SUI Northern Gas Pipeline</t>
  </si>
  <si>
    <t>Automobile Assembler</t>
  </si>
  <si>
    <t>MTL</t>
  </si>
  <si>
    <t>Millat Tractor</t>
  </si>
  <si>
    <t>Chemicals</t>
  </si>
  <si>
    <t>FFC</t>
  </si>
  <si>
    <t>BIFO</t>
  </si>
  <si>
    <t>BIAFO Industries Limited</t>
  </si>
  <si>
    <t>ENGRO</t>
  </si>
  <si>
    <t>Engro Corporation</t>
  </si>
  <si>
    <t>FFBL</t>
  </si>
  <si>
    <t>Fauji Fertilizer Bin Qasim</t>
  </si>
  <si>
    <t>EFERT</t>
  </si>
  <si>
    <t>Engro Fertilize Ltd.</t>
  </si>
  <si>
    <t>Cement</t>
  </si>
  <si>
    <t>DGKC</t>
  </si>
  <si>
    <t>D.G Khan Cement Company</t>
  </si>
  <si>
    <t>LUCK</t>
  </si>
  <si>
    <t>Lucky Cement Company</t>
  </si>
  <si>
    <t>FCCL</t>
  </si>
  <si>
    <t>THALL</t>
  </si>
  <si>
    <t>Thal  Limited</t>
  </si>
  <si>
    <t>Pharmaceuticals</t>
  </si>
  <si>
    <t>SEARL</t>
  </si>
  <si>
    <t>The Searle Company Limited</t>
  </si>
  <si>
    <t>HINOON</t>
  </si>
  <si>
    <t>Highnoon Laboratories</t>
  </si>
  <si>
    <t>AHL</t>
  </si>
  <si>
    <t>BOP</t>
  </si>
  <si>
    <t>FABL</t>
  </si>
  <si>
    <t>MCB</t>
  </si>
  <si>
    <t>NCL</t>
  </si>
  <si>
    <t>NML</t>
  </si>
  <si>
    <t>MLCF</t>
  </si>
  <si>
    <t>PSO</t>
  </si>
  <si>
    <t>CSAP</t>
  </si>
  <si>
    <t>MUGHAL</t>
  </si>
  <si>
    <t>GHNI</t>
  </si>
  <si>
    <t>PAEL</t>
  </si>
  <si>
    <t>FEROZ</t>
  </si>
  <si>
    <t>EPCL</t>
  </si>
  <si>
    <t>CPPL</t>
  </si>
  <si>
    <t>JUBILEE LIFE INSURANCE COMPANY LIMITED</t>
  </si>
  <si>
    <t>Date :</t>
  </si>
  <si>
    <t>Symbol</t>
  </si>
  <si>
    <t>No. of Shares</t>
  </si>
  <si>
    <t>Broker</t>
  </si>
  <si>
    <t>1020101020102</t>
  </si>
  <si>
    <t>UNREALIZED GAIN / (LOSS) EQUITY (AFS)</t>
  </si>
  <si>
    <t>AFS</t>
  </si>
  <si>
    <t>19OCT-CGF- PIB /3Y/26.03.2015 - 19.10.2015</t>
  </si>
  <si>
    <t>ICL</t>
  </si>
  <si>
    <t>Kohat Cement Company Limited</t>
  </si>
  <si>
    <t>1020104020102</t>
  </si>
  <si>
    <t>27NOV-CGF- PIB /3Y/26.03.2015 - 21.10.2015</t>
  </si>
  <si>
    <t>ASTL</t>
  </si>
  <si>
    <t xml:space="preserve">Avg. Cost / share </t>
  </si>
  <si>
    <t xml:space="preserve">Market  Rate </t>
  </si>
  <si>
    <t xml:space="preserve">Previous   Rate </t>
  </si>
  <si>
    <t xml:space="preserve">Change </t>
  </si>
  <si>
    <t>Historical Cost</t>
  </si>
  <si>
    <t xml:space="preserve">Carrying value MT.TM </t>
  </si>
  <si>
    <t xml:space="preserve">Unrealized Gain / (Loss) Historical Cost </t>
  </si>
  <si>
    <t xml:space="preserve">Unrealized Gain / (Loss) M.T.M </t>
  </si>
  <si>
    <t xml:space="preserve">CAPITAL GROWTH FUND </t>
  </si>
  <si>
    <t xml:space="preserve">TRADE SUMMARY </t>
  </si>
  <si>
    <t xml:space="preserve">Total Unrealized gain till Previous day </t>
  </si>
  <si>
    <t xml:space="preserve">PAKISTAN INVESTMENT BONDS </t>
  </si>
  <si>
    <t xml:space="preserve">AVAILABLE FOR SALE INVESTMENT </t>
  </si>
  <si>
    <t xml:space="preserve">Face Value </t>
  </si>
  <si>
    <t xml:space="preserve">Purchase Cost </t>
  </si>
  <si>
    <t xml:space="preserve">Unrealised Gain/(Loss) YTD </t>
  </si>
  <si>
    <t xml:space="preserve">Unrealised Gain/(Loss) P.DAY </t>
  </si>
  <si>
    <t xml:space="preserve">Unrealised Gain/(Loss) for the day </t>
  </si>
  <si>
    <t>Base             Units</t>
  </si>
  <si>
    <t>Base           Rate</t>
  </si>
  <si>
    <t xml:space="preserve">TOTAL PIBs </t>
  </si>
  <si>
    <t xml:space="preserve">TREASURY BILLS </t>
  </si>
  <si>
    <t xml:space="preserve">Amount </t>
  </si>
  <si>
    <t xml:space="preserve">Tenor </t>
  </si>
  <si>
    <t>S.NO</t>
  </si>
  <si>
    <t>(Days to Matuity)</t>
  </si>
  <si>
    <t xml:space="preserve">Cost / unit </t>
  </si>
  <si>
    <t xml:space="preserve">Discount </t>
  </si>
  <si>
    <t xml:space="preserve">per day income </t>
  </si>
  <si>
    <t xml:space="preserve">Holding Days Current year </t>
  </si>
  <si>
    <t xml:space="preserve">Income for the current period </t>
  </si>
  <si>
    <t xml:space="preserve">Total Principal outstanding </t>
  </si>
  <si>
    <t xml:space="preserve">Premium / Discount </t>
  </si>
  <si>
    <t xml:space="preserve">Market Value </t>
  </si>
  <si>
    <t xml:space="preserve">Remaining days </t>
  </si>
  <si>
    <t xml:space="preserve">Net Cost </t>
  </si>
  <si>
    <t>Appr/(Dimu)</t>
  </si>
  <si>
    <t xml:space="preserve">Unrealized Gain / (Loss) P.Day </t>
  </si>
  <si>
    <t xml:space="preserve">Unrealized Gain / (Loss) For the day </t>
  </si>
  <si>
    <t>TOTAL T-BILLS</t>
  </si>
  <si>
    <t xml:space="preserve">AVAILABLE FOR SALE INVESTMENTS </t>
  </si>
  <si>
    <t xml:space="preserve">ACCRUED INCOME </t>
  </si>
  <si>
    <t xml:space="preserve">Accural per day </t>
  </si>
  <si>
    <t xml:space="preserve">Total Accrued Income </t>
  </si>
  <si>
    <t xml:space="preserve">No. of days in current year </t>
  </si>
  <si>
    <t xml:space="preserve">Per Day Income </t>
  </si>
  <si>
    <t>Total No. of days</t>
  </si>
  <si>
    <t xml:space="preserve">Total Income for the period </t>
  </si>
  <si>
    <t xml:space="preserve">TDR ACCRUALS </t>
  </si>
  <si>
    <t xml:space="preserve">NET ASSET VALUE </t>
  </si>
  <si>
    <t>Calculation of Net Asset Value</t>
  </si>
  <si>
    <t>Rupees</t>
  </si>
  <si>
    <t>No. of Units</t>
  </si>
  <si>
    <t>NAV</t>
  </si>
  <si>
    <t>As at:</t>
  </si>
  <si>
    <t>Net assets as on previous day</t>
  </si>
  <si>
    <t xml:space="preserve">INCOME </t>
  </si>
  <si>
    <t>UNREALISED GAIN/(LOSS)</t>
  </si>
  <si>
    <t xml:space="preserve">EQUITY MARKET </t>
  </si>
  <si>
    <t>Unrealised gain/ (loss) till previous day</t>
  </si>
  <si>
    <t>Unrealised gain/ (loss) YTD</t>
  </si>
  <si>
    <t xml:space="preserve">GOVERNMENT SECURITIES </t>
  </si>
  <si>
    <t xml:space="preserve">Unrealised gain/ (loss) YTD </t>
  </si>
  <si>
    <t xml:space="preserve">TERM FINANCE CERTIFICATES </t>
  </si>
  <si>
    <t xml:space="preserve">ACCRUALS </t>
  </si>
  <si>
    <t>Income from PIB's</t>
  </si>
  <si>
    <t xml:space="preserve">Income from TDR Placements </t>
  </si>
  <si>
    <t>Expenses</t>
  </si>
  <si>
    <t xml:space="preserve">Management fee of the Fund </t>
  </si>
  <si>
    <t>Total Expense</t>
  </si>
  <si>
    <t>Net Income / (loss)</t>
  </si>
  <si>
    <t xml:space="preserve">Net asset before allocation of Units </t>
  </si>
  <si>
    <t xml:space="preserve">Add: </t>
  </si>
  <si>
    <t xml:space="preserve">Sale of Units </t>
  </si>
  <si>
    <t>Less:</t>
  </si>
  <si>
    <t xml:space="preserve">Withdrawal of units </t>
  </si>
  <si>
    <t>Total Assets/ No. of units at close of the day</t>
  </si>
  <si>
    <t>Net Assets Per Unit at close of the day</t>
  </si>
  <si>
    <t xml:space="preserve">EX NAV </t>
  </si>
  <si>
    <t>___________________</t>
  </si>
  <si>
    <t>____________________</t>
  </si>
  <si>
    <t xml:space="preserve">       PREPARED BY:</t>
  </si>
  <si>
    <t>CHECKED BY:</t>
  </si>
  <si>
    <t>APPROVED BY:</t>
  </si>
  <si>
    <t xml:space="preserve">Income from T Bills </t>
  </si>
  <si>
    <t>CAPITAL GROWTH FUND</t>
  </si>
  <si>
    <t xml:space="preserve">Impact for the day </t>
  </si>
  <si>
    <t xml:space="preserve">TREASURY BILLS  </t>
  </si>
  <si>
    <t>Income from TFCs</t>
  </si>
  <si>
    <t>Rounding</t>
  </si>
  <si>
    <t>Change In Price</t>
  </si>
  <si>
    <t>Power Generation &amp; Distribution</t>
  </si>
  <si>
    <t>Oil &amp; Gas (Marketing Companies)</t>
  </si>
  <si>
    <t>Oil &amp; Gas (Exploration Companies)</t>
  </si>
  <si>
    <t>Engineering</t>
  </si>
  <si>
    <t>Automobile Parts &amp; Accessories</t>
  </si>
  <si>
    <t>Fertilizers</t>
  </si>
  <si>
    <t>GRAND TOTAL</t>
  </si>
  <si>
    <t>MATURED</t>
  </si>
  <si>
    <t xml:space="preserve">TOTAL INCOME FOR THE PERIOD </t>
  </si>
  <si>
    <t xml:space="preserve">Next Coupon Date </t>
  </si>
  <si>
    <t xml:space="preserve">Total No of Days in next coupon </t>
  </si>
  <si>
    <t xml:space="preserve">Total Income </t>
  </si>
  <si>
    <t>TREASURY Bills(T-Bills)</t>
  </si>
  <si>
    <t>CDC EXPENSE</t>
  </si>
  <si>
    <t xml:space="preserve">NAV for the day </t>
  </si>
  <si>
    <t xml:space="preserve">Bid / Offer Spread </t>
  </si>
  <si>
    <t xml:space="preserve">Offer Price </t>
  </si>
  <si>
    <t>Inv.(MV)          as % of              net assets</t>
  </si>
  <si>
    <t xml:space="preserve">Inv.(MV)          as % of Market Value </t>
  </si>
  <si>
    <t>Inv as a % of paid up capital</t>
  </si>
  <si>
    <t>Paid Up Capital (In Millions)</t>
  </si>
  <si>
    <t xml:space="preserve">Paid Up Capital </t>
  </si>
  <si>
    <t xml:space="preserve">DIVIDEND  RECEIVABLE / INCOME </t>
  </si>
  <si>
    <t>Announcement Date</t>
  </si>
  <si>
    <t>Book Closure</t>
  </si>
  <si>
    <t>Holding at Book Closure Date</t>
  </si>
  <si>
    <t xml:space="preserve">Dividend Per Share </t>
  </si>
  <si>
    <t>Dividend Receivable</t>
  </si>
  <si>
    <t>Tax</t>
  </si>
  <si>
    <t>Net of Tax</t>
  </si>
  <si>
    <t>Fund</t>
  </si>
  <si>
    <t xml:space="preserve">Received Amount </t>
  </si>
  <si>
    <t xml:space="preserve">Received Date </t>
  </si>
  <si>
    <t xml:space="preserve">From </t>
  </si>
  <si>
    <t>ASL</t>
  </si>
  <si>
    <t>BONUS SHARES</t>
  </si>
  <si>
    <t>Bonus Per Shares</t>
  </si>
  <si>
    <t>Bonus Shares</t>
  </si>
  <si>
    <t>Received No. of Shares</t>
  </si>
  <si>
    <t>Tax Booked</t>
  </si>
  <si>
    <t>RECEIVABLE</t>
  </si>
  <si>
    <t>Accrued Sold</t>
  </si>
  <si>
    <t>Total Transaction Amount</t>
  </si>
  <si>
    <t>Transaction Date</t>
  </si>
  <si>
    <t>Sold To</t>
  </si>
  <si>
    <t>Realised Gain/Loss</t>
  </si>
  <si>
    <t>Buffer</t>
  </si>
  <si>
    <t>Last Coupon Date</t>
  </si>
  <si>
    <t>Next Coupon Date</t>
  </si>
  <si>
    <t>Days to Coupon</t>
  </si>
  <si>
    <t>No. of Accrued Days</t>
  </si>
  <si>
    <t>Amortization</t>
  </si>
  <si>
    <t xml:space="preserve">Sale Value </t>
  </si>
  <si>
    <t xml:space="preserve">Cost per share </t>
  </si>
  <si>
    <t xml:space="preserve">Cost Value </t>
  </si>
  <si>
    <t xml:space="preserve">Capital Gain / (loss) </t>
  </si>
  <si>
    <t xml:space="preserve">MTM cost / Share </t>
  </si>
  <si>
    <t xml:space="preserve">MTM Cost </t>
  </si>
  <si>
    <t xml:space="preserve">Capital gain on sale of Investments </t>
  </si>
  <si>
    <t xml:space="preserve">Gain on Historical  Cost </t>
  </si>
  <si>
    <t xml:space="preserve">Gain on Carrying  Cost </t>
  </si>
  <si>
    <t xml:space="preserve">Capital Gain Opening balance </t>
  </si>
  <si>
    <t xml:space="preserve">Capital gain for the day </t>
  </si>
  <si>
    <t xml:space="preserve">Capital gain YTD </t>
  </si>
  <si>
    <t>Yield</t>
  </si>
  <si>
    <t xml:space="preserve">No of Holding Days </t>
  </si>
  <si>
    <t xml:space="preserve">Previous NAV </t>
  </si>
  <si>
    <t>As per TB</t>
  </si>
  <si>
    <t>ABOT</t>
  </si>
  <si>
    <t>Income from Dividend</t>
  </si>
  <si>
    <t>Buying</t>
  </si>
  <si>
    <t>Selling</t>
  </si>
  <si>
    <t xml:space="preserve">Historical Cost </t>
  </si>
  <si>
    <t xml:space="preserve">MTM COST </t>
  </si>
  <si>
    <t xml:space="preserve">Capital Gain on Historical cost Basis </t>
  </si>
  <si>
    <t xml:space="preserve">Total </t>
  </si>
  <si>
    <t xml:space="preserve">Capital Gain on Carrying Cost Basis </t>
  </si>
  <si>
    <t xml:space="preserve">Gain for the year </t>
  </si>
  <si>
    <t>CGF</t>
  </si>
  <si>
    <t>TFC MARKET VALUE</t>
  </si>
  <si>
    <t>Description</t>
  </si>
  <si>
    <t>Rating</t>
  </si>
  <si>
    <t xml:space="preserve"> Issue Date</t>
  </si>
  <si>
    <t>No of TFCs</t>
  </si>
  <si>
    <t>Remaining FV per Certificate</t>
  </si>
  <si>
    <t xml:space="preserve">Book Value </t>
  </si>
  <si>
    <t xml:space="preserve">Discount / Premium </t>
  </si>
  <si>
    <t xml:space="preserve">NET Book Value </t>
  </si>
  <si>
    <t xml:space="preserve">Cost Per Unit </t>
  </si>
  <si>
    <t xml:space="preserve">Market Rate </t>
  </si>
  <si>
    <t>Un realized Gain / (Loss )</t>
  </si>
  <si>
    <t xml:space="preserve">Market Value  Previous Day </t>
  </si>
  <si>
    <t xml:space="preserve"> Increase/(decrease) over previous Market Value</t>
  </si>
  <si>
    <t xml:space="preserve">Soneri Bank TFC </t>
  </si>
  <si>
    <t>A+</t>
  </si>
  <si>
    <t xml:space="preserve">SARMAYA FUND </t>
  </si>
  <si>
    <t>TFC INCOME CALCULATIONS</t>
  </si>
  <si>
    <t>Coupon starting</t>
  </si>
  <si>
    <t>Coupon ending</t>
  </si>
  <si>
    <t>Date of Purchase</t>
  </si>
  <si>
    <t>Quantity</t>
  </si>
  <si>
    <t>Principal Remaining</t>
  </si>
  <si>
    <t>Coupon Days</t>
  </si>
  <si>
    <t xml:space="preserve">Accrued                          Days </t>
  </si>
  <si>
    <t xml:space="preserve">Days pertaining to current period </t>
  </si>
  <si>
    <t xml:space="preserve">Total Income for Current Coupon  </t>
  </si>
  <si>
    <t xml:space="preserve">Per day Income </t>
  </si>
  <si>
    <t xml:space="preserve">Accrued Income </t>
  </si>
  <si>
    <t xml:space="preserve">Income for the period </t>
  </si>
  <si>
    <t>Soneri Bank TFC - 6 M Kibor (ASK)+1.35%</t>
  </si>
  <si>
    <t>`</t>
  </si>
  <si>
    <t>TRADE SUMMARY</t>
  </si>
  <si>
    <t xml:space="preserve">Total Holding at book closure date </t>
  </si>
  <si>
    <t xml:space="preserve">Total Holding after Right shares </t>
  </si>
  <si>
    <t>Calculation of open rate</t>
  </si>
  <si>
    <t xml:space="preserve">Yesterday  closing </t>
  </si>
  <si>
    <t>Total  shares</t>
  </si>
  <si>
    <t>Open Rate</t>
  </si>
  <si>
    <t>Right entitlement @ 25</t>
  </si>
  <si>
    <t>Right entitlement is 18.462 % i.e.  18.462 on every 100 shares @ Rs. 15</t>
  </si>
  <si>
    <t>Mughal</t>
  </si>
  <si>
    <t>Right entitlement is 100 % i.e.  100 on every 100 shares @ Rs. 10</t>
  </si>
  <si>
    <t>Right entitlement @ 10</t>
  </si>
  <si>
    <t>TB</t>
  </si>
  <si>
    <t>T-bills</t>
  </si>
  <si>
    <t>MTF</t>
  </si>
  <si>
    <t>CGTF</t>
  </si>
  <si>
    <t>Total</t>
  </si>
  <si>
    <t>Textile</t>
  </si>
  <si>
    <t>TGL</t>
  </si>
  <si>
    <t>Adjustment</t>
  </si>
  <si>
    <t>DPA</t>
  </si>
  <si>
    <t>Shares</t>
  </si>
  <si>
    <t>Number of Right Shares</t>
  </si>
  <si>
    <t>Managed</t>
  </si>
  <si>
    <t>Right entitlement is 20 % i.e. 20 on every 100 shares @ Rs. 165</t>
  </si>
  <si>
    <t>Meesaq</t>
  </si>
  <si>
    <t>MGTF</t>
  </si>
  <si>
    <t>Transfers</t>
  </si>
  <si>
    <t>Amount</t>
  </si>
  <si>
    <t>ILUL</t>
  </si>
  <si>
    <t>Against payment of Hascol Petroleum Limited Rights Shares payment.</t>
  </si>
  <si>
    <t>Dividend</t>
  </si>
  <si>
    <t>Right entitlement @ 165</t>
  </si>
  <si>
    <t>Net</t>
  </si>
  <si>
    <t>Jubilee Life Insurance Company Limited</t>
  </si>
  <si>
    <t>Capital Growth Fund</t>
  </si>
  <si>
    <t xml:space="preserve">Equity Portfolio as at </t>
  </si>
  <si>
    <t xml:space="preserve">Holding </t>
  </si>
  <si>
    <t xml:space="preserve">MTM Cost per share </t>
  </si>
  <si>
    <t>Carrying Value</t>
  </si>
  <si>
    <t>Ammortisation</t>
  </si>
  <si>
    <t>PIB</t>
  </si>
  <si>
    <t>Brokerage</t>
  </si>
  <si>
    <t>Realized Gain / Loss</t>
  </si>
  <si>
    <t>Unit Rec.</t>
  </si>
  <si>
    <t>Payment</t>
  </si>
  <si>
    <t>p</t>
  </si>
  <si>
    <t>Buy From</t>
  </si>
  <si>
    <t>Sold to</t>
  </si>
  <si>
    <t>Insight</t>
  </si>
  <si>
    <t>BMA</t>
  </si>
  <si>
    <t>ILP</t>
  </si>
  <si>
    <t>AGP</t>
  </si>
  <si>
    <t>SOLD</t>
  </si>
  <si>
    <t>ICI</t>
  </si>
  <si>
    <t>SL Code</t>
  </si>
  <si>
    <t>Purchase Cost</t>
  </si>
  <si>
    <t>Amortized Cost</t>
  </si>
  <si>
    <t>Amortization (Accumulated)</t>
  </si>
  <si>
    <t>Base Rate</t>
  </si>
  <si>
    <t>Base Units</t>
  </si>
  <si>
    <t>Units</t>
  </si>
  <si>
    <t>SUB-TOTAL PIBs (TOTAL)</t>
  </si>
  <si>
    <t>Cutt - Off</t>
  </si>
  <si>
    <t xml:space="preserve">Total Accrued Income  </t>
  </si>
  <si>
    <t xml:space="preserve">Accrued days </t>
  </si>
  <si>
    <t xml:space="preserve">YAQEEN GROWTH FUND </t>
  </si>
  <si>
    <t xml:space="preserve">AMORTIZATION </t>
  </si>
  <si>
    <t>Value Date</t>
  </si>
  <si>
    <t>S.No</t>
  </si>
  <si>
    <t>STATUS</t>
  </si>
  <si>
    <t>PARTICULARS</t>
  </si>
  <si>
    <t>IPS</t>
  </si>
  <si>
    <t>TENURE</t>
  </si>
  <si>
    <t>FUND</t>
  </si>
  <si>
    <t>Number of PIBs</t>
  </si>
  <si>
    <t>Purchase Price</t>
  </si>
  <si>
    <t>Acquisition Value</t>
  </si>
  <si>
    <t>Premium/(Discount)</t>
  </si>
  <si>
    <t>Issue Date</t>
  </si>
  <si>
    <t>Acquisition Date</t>
  </si>
  <si>
    <t>Maturity Date</t>
  </si>
  <si>
    <t>Valuation date</t>
  </si>
  <si>
    <t>IRR</t>
  </si>
  <si>
    <t xml:space="preserve">IRR based Present Price </t>
  </si>
  <si>
    <t xml:space="preserve">Amortization </t>
  </si>
  <si>
    <t xml:space="preserve">Amortized Cost </t>
  </si>
  <si>
    <t xml:space="preserve">Yeild </t>
  </si>
  <si>
    <t>Days Lapsed</t>
  </si>
  <si>
    <t>FROM</t>
  </si>
  <si>
    <t>TO</t>
  </si>
  <si>
    <t>Pur date</t>
  </si>
  <si>
    <t>Sale date</t>
  </si>
  <si>
    <t>PIBs</t>
  </si>
  <si>
    <t>Amortisation</t>
  </si>
  <si>
    <t>1020104020202</t>
  </si>
  <si>
    <t>Realized</t>
  </si>
  <si>
    <t>SHFA</t>
  </si>
  <si>
    <t>Party</t>
  </si>
  <si>
    <t>Miscellaneous</t>
  </si>
  <si>
    <t>IMC Charges</t>
  </si>
  <si>
    <t>Opening</t>
  </si>
  <si>
    <t>Difference - Charge For The Period</t>
  </si>
  <si>
    <t>AKD</t>
  </si>
  <si>
    <t>Arif</t>
  </si>
  <si>
    <t>Summit</t>
  </si>
  <si>
    <t>TAURUS</t>
  </si>
  <si>
    <t>ALFALAH</t>
  </si>
  <si>
    <t>DJM</t>
  </si>
  <si>
    <t>Accrual Bought</t>
  </si>
  <si>
    <t>Accrual Sold</t>
  </si>
  <si>
    <t>Optimus</t>
  </si>
  <si>
    <t>Topline</t>
  </si>
  <si>
    <t>Cr.</t>
  </si>
  <si>
    <t>Dr.</t>
  </si>
  <si>
    <t>Foundation</t>
  </si>
  <si>
    <t>DOS</t>
  </si>
  <si>
    <t>Alhabib</t>
  </si>
  <si>
    <t>EFG</t>
  </si>
  <si>
    <t>IMS</t>
  </si>
  <si>
    <t>January As Per TB</t>
  </si>
  <si>
    <t>MTM</t>
  </si>
  <si>
    <t>Realised</t>
  </si>
  <si>
    <t>Income</t>
  </si>
  <si>
    <t>Ammortization</t>
  </si>
  <si>
    <t>Date Of Sale</t>
  </si>
  <si>
    <t>Premium asset</t>
  </si>
  <si>
    <t>10204020201</t>
  </si>
  <si>
    <t>50201020101</t>
  </si>
  <si>
    <t>50101030201</t>
  </si>
  <si>
    <t>5060301010102</t>
  </si>
  <si>
    <t>502020201</t>
  </si>
  <si>
    <t>KASB</t>
  </si>
  <si>
    <t>Next</t>
  </si>
  <si>
    <t>Accrual</t>
  </si>
  <si>
    <t>DPA Accrual</t>
  </si>
  <si>
    <t>Bank Balance</t>
  </si>
  <si>
    <t>Days</t>
  </si>
  <si>
    <t>.</t>
  </si>
  <si>
    <t>dr.</t>
  </si>
  <si>
    <t>NEXT</t>
  </si>
  <si>
    <t>GLASS &amp; CERAMICS</t>
  </si>
  <si>
    <t>PAPER &amp; BOARD</t>
  </si>
  <si>
    <t>FDIBL</t>
  </si>
  <si>
    <t>Ist.Dawood Bank</t>
  </si>
  <si>
    <t>JSCL</t>
  </si>
  <si>
    <t>PSX</t>
  </si>
  <si>
    <t>FCSC</t>
  </si>
  <si>
    <t>Ist.Capital Sec</t>
  </si>
  <si>
    <t>FNEL</t>
  </si>
  <si>
    <t>F. Nat.Equities</t>
  </si>
  <si>
    <t>PASL</t>
  </si>
  <si>
    <t>Pervez Ahmed Co</t>
  </si>
  <si>
    <t>AKBL</t>
  </si>
  <si>
    <t>MEBL</t>
  </si>
  <si>
    <t>NBP</t>
  </si>
  <si>
    <t>SILK</t>
  </si>
  <si>
    <t>Silk Bank Ltd</t>
  </si>
  <si>
    <t>CSIL</t>
  </si>
  <si>
    <t>Cres.Star Ins.</t>
  </si>
  <si>
    <t>DSIL</t>
  </si>
  <si>
    <t>D.S. Ind. Ltd.</t>
  </si>
  <si>
    <t>KOSM</t>
  </si>
  <si>
    <t>Kohinoor Spining</t>
  </si>
  <si>
    <t>UNITY</t>
  </si>
  <si>
    <t>YOUW</t>
  </si>
  <si>
    <t>Yousuf Weaving</t>
  </si>
  <si>
    <t>CRTM</t>
  </si>
  <si>
    <t>GATM</t>
  </si>
  <si>
    <t>ANL</t>
  </si>
  <si>
    <t>Azgard Nine</t>
  </si>
  <si>
    <t>AGL</t>
  </si>
  <si>
    <t>Agritech Limited</t>
  </si>
  <si>
    <t>FCEPL</t>
  </si>
  <si>
    <t>Frieslandcampina</t>
  </si>
  <si>
    <t>CHCC</t>
  </si>
  <si>
    <t>POWER</t>
  </si>
  <si>
    <t>Power Cement</t>
  </si>
  <si>
    <t>Fauji Cement</t>
  </si>
  <si>
    <t>FLYNG</t>
  </si>
  <si>
    <t>KOHC</t>
  </si>
  <si>
    <t>Kohat Cement</t>
  </si>
  <si>
    <t>Lucky Cement</t>
  </si>
  <si>
    <t>Maple Leaf</t>
  </si>
  <si>
    <t>DCL</t>
  </si>
  <si>
    <t>Dewan Cement</t>
  </si>
  <si>
    <t>PIOC</t>
  </si>
  <si>
    <t>Pioneer Cement</t>
  </si>
  <si>
    <t>THCCL</t>
  </si>
  <si>
    <t>ATRL</t>
  </si>
  <si>
    <t>Attock Refinery</t>
  </si>
  <si>
    <t>NRL</t>
  </si>
  <si>
    <t>PRL</t>
  </si>
  <si>
    <t>Pak Refinery</t>
  </si>
  <si>
    <t>EPQL</t>
  </si>
  <si>
    <t>K-Electric Ltd.</t>
  </si>
  <si>
    <t>KAPCO</t>
  </si>
  <si>
    <t>NPL</t>
  </si>
  <si>
    <t>SPWL</t>
  </si>
  <si>
    <t>SHEL</t>
  </si>
  <si>
    <t>SSGC</t>
  </si>
  <si>
    <t>Sui South Gas</t>
  </si>
  <si>
    <t>Hascol Petrol</t>
  </si>
  <si>
    <t>HTL</t>
  </si>
  <si>
    <t>Amreli Steels</t>
  </si>
  <si>
    <t>DSL</t>
  </si>
  <si>
    <t>Dost Steels Ltd.</t>
  </si>
  <si>
    <t>INIL</t>
  </si>
  <si>
    <t>ISL</t>
  </si>
  <si>
    <t>ITTEFAQ</t>
  </si>
  <si>
    <t>Ittefaq Iron Ind</t>
  </si>
  <si>
    <t>DFML</t>
  </si>
  <si>
    <t>Dewan Motors</t>
  </si>
  <si>
    <t>Ghandhara Ind.</t>
  </si>
  <si>
    <t>GHNL</t>
  </si>
  <si>
    <t>Ghand Nissan</t>
  </si>
  <si>
    <t>HCAR</t>
  </si>
  <si>
    <t>PSMC</t>
  </si>
  <si>
    <t>SAZEW</t>
  </si>
  <si>
    <t>ATBA</t>
  </si>
  <si>
    <t>GTYR</t>
  </si>
  <si>
    <t>LOADS</t>
  </si>
  <si>
    <t>TPL</t>
  </si>
  <si>
    <t>TPL Corp Ltd</t>
  </si>
  <si>
    <t>AVN</t>
  </si>
  <si>
    <t>WAVES</t>
  </si>
  <si>
    <t>PIBTL</t>
  </si>
  <si>
    <t>Pak Int.Bulk</t>
  </si>
  <si>
    <t>PICT</t>
  </si>
  <si>
    <t>PIAA</t>
  </si>
  <si>
    <t>P.I.A.C.(A)</t>
  </si>
  <si>
    <t>HUMNL</t>
  </si>
  <si>
    <t>NETSOL</t>
  </si>
  <si>
    <t>Netsol Tech.</t>
  </si>
  <si>
    <t>MDTL</t>
  </si>
  <si>
    <t>Media Times Ltd</t>
  </si>
  <si>
    <t>SYS</t>
  </si>
  <si>
    <t>PTC</t>
  </si>
  <si>
    <t>P.T.C.L.</t>
  </si>
  <si>
    <t>TRG</t>
  </si>
  <si>
    <t>TELE</t>
  </si>
  <si>
    <t>WTL</t>
  </si>
  <si>
    <t>WorldCall Telecom</t>
  </si>
  <si>
    <t>GLAXO</t>
  </si>
  <si>
    <t>BERG</t>
  </si>
  <si>
    <t>DOL</t>
  </si>
  <si>
    <t>GGL</t>
  </si>
  <si>
    <t>LOTCHEM</t>
  </si>
  <si>
    <t>CEPB</t>
  </si>
  <si>
    <t>RPL</t>
  </si>
  <si>
    <t>ASC</t>
  </si>
  <si>
    <t>PREMA</t>
  </si>
  <si>
    <t>CLOV</t>
  </si>
  <si>
    <t>Clover Pakistan</t>
  </si>
  <si>
    <t>NATF</t>
  </si>
  <si>
    <t>FFL</t>
  </si>
  <si>
    <t>QUICE</t>
  </si>
  <si>
    <t>Quice Food</t>
  </si>
  <si>
    <t>TOMCL</t>
  </si>
  <si>
    <t>TREET</t>
  </si>
  <si>
    <t>BGL</t>
  </si>
  <si>
    <t>Bal.Glass</t>
  </si>
  <si>
    <t>GHGL</t>
  </si>
  <si>
    <t>GGGL</t>
  </si>
  <si>
    <t>STCL</t>
  </si>
  <si>
    <t>PACE</t>
  </si>
  <si>
    <t>Pace (Pak) Ltd.</t>
  </si>
  <si>
    <t>STPL</t>
  </si>
  <si>
    <t>Siddiqsons Tin</t>
  </si>
  <si>
    <t>DCR</t>
  </si>
  <si>
    <t>AGHA</t>
  </si>
  <si>
    <t>Equity</t>
  </si>
  <si>
    <t>Ijara</t>
  </si>
  <si>
    <t>TFCs</t>
  </si>
  <si>
    <t>FOOD &amp; PERSONAL CARE PRODUCTS</t>
  </si>
  <si>
    <t>ICIBL</t>
  </si>
  <si>
    <t>Invest Bank</t>
  </si>
  <si>
    <t>Roshan Packages</t>
  </si>
  <si>
    <t>Fauji Fert Bin</t>
  </si>
  <si>
    <t>FATIMA</t>
  </si>
  <si>
    <t>ALFA ADHI</t>
  </si>
  <si>
    <t>National Bank Of Pakistan</t>
  </si>
  <si>
    <t>Previous Day</t>
  </si>
  <si>
    <t>Difference for the day</t>
  </si>
  <si>
    <t>Change</t>
  </si>
  <si>
    <t>Openning Balances (31-Dec-2020)</t>
  </si>
  <si>
    <t>Movement During the year</t>
  </si>
  <si>
    <t>Closing Balances</t>
  </si>
  <si>
    <t>Holding</t>
  </si>
  <si>
    <t>M.T.M Carring Value/Fair Market Value</t>
  </si>
  <si>
    <t>Holding Purchase</t>
  </si>
  <si>
    <t>Purchase Amount</t>
  </si>
  <si>
    <t>Holding Sold</t>
  </si>
  <si>
    <t>Sold Amount</t>
  </si>
  <si>
    <t>Sold H. Cost</t>
  </si>
  <si>
    <t>Sold M.T.M. Cost</t>
  </si>
  <si>
    <t>M.T.M Carring Value</t>
  </si>
  <si>
    <t>HBL - Profit on DPA for the month of  December 2020</t>
  </si>
  <si>
    <t>NCCPL Charges</t>
  </si>
  <si>
    <t>OPTIMUS</t>
  </si>
  <si>
    <t>Al-Shaheer Corp</t>
  </si>
  <si>
    <t>Trade for the day</t>
  </si>
  <si>
    <t>NCCPL Charages for Next Day</t>
  </si>
  <si>
    <t>FORTUNE</t>
  </si>
  <si>
    <t>AVG</t>
  </si>
  <si>
    <t>Soneri Bank</t>
  </si>
  <si>
    <t>As per Sheet</t>
  </si>
  <si>
    <t>Scrip</t>
  </si>
  <si>
    <t>Accrual Amount</t>
  </si>
  <si>
    <t>Principle Redemption</t>
  </si>
  <si>
    <t xml:space="preserve">Difference </t>
  </si>
  <si>
    <t>To  be tranffered</t>
  </si>
  <si>
    <t xml:space="preserve">Soneri </t>
  </si>
  <si>
    <t>YGF</t>
  </si>
  <si>
    <t>Calculation as per bank Statement</t>
  </si>
  <si>
    <t>Coupon</t>
  </si>
  <si>
    <t>Redemption</t>
  </si>
  <si>
    <t>WHT</t>
  </si>
  <si>
    <t>Net coupon</t>
  </si>
  <si>
    <t>Bank Transfers</t>
  </si>
  <si>
    <t>Soneri Coupon - 08Jan21</t>
  </si>
  <si>
    <t>SHF</t>
  </si>
  <si>
    <t>WHT Against Soneri coupon - 08Jul21</t>
  </si>
  <si>
    <t>Entry For ACS</t>
  </si>
  <si>
    <t>1020202010101</t>
  </si>
  <si>
    <t>Inter Office</t>
  </si>
  <si>
    <t>1020304010101</t>
  </si>
  <si>
    <t>'5020202010101</t>
  </si>
  <si>
    <t>1020202010102</t>
  </si>
  <si>
    <t>1020202010113</t>
  </si>
  <si>
    <t>Shell Pakistan</t>
  </si>
  <si>
    <t>TECHNOLOGY &amp; COMMUNICATION</t>
  </si>
  <si>
    <t>Loads Limited</t>
  </si>
  <si>
    <t>REFINERY</t>
  </si>
  <si>
    <t>GhaniGlobalGlass</t>
  </si>
  <si>
    <t>6 months</t>
  </si>
  <si>
    <t>10205020101</t>
  </si>
  <si>
    <t>PTL</t>
  </si>
  <si>
    <t>AUTOMOBILE ASSEMBLER</t>
  </si>
  <si>
    <t>IGI</t>
  </si>
  <si>
    <t>JS GLOBAL</t>
  </si>
  <si>
    <t>IMSPL</t>
  </si>
  <si>
    <t>CEDAR</t>
  </si>
  <si>
    <t>HMFS</t>
  </si>
  <si>
    <t>IMAGE</t>
  </si>
  <si>
    <t>Settlement Date</t>
  </si>
  <si>
    <t>Next Capital</t>
  </si>
  <si>
    <t>Unrealised</t>
  </si>
  <si>
    <t>5060201010101</t>
  </si>
  <si>
    <t>5010102020101</t>
  </si>
  <si>
    <t>Askari Bank</t>
  </si>
  <si>
    <t>TPLP</t>
  </si>
  <si>
    <t>KOHE</t>
  </si>
  <si>
    <t>Oracle Entry Done</t>
  </si>
  <si>
    <t>Booking</t>
  </si>
  <si>
    <t>Maturity</t>
  </si>
  <si>
    <t>Profit</t>
  </si>
  <si>
    <t>Profit on Maturity</t>
  </si>
  <si>
    <t>ACS</t>
  </si>
  <si>
    <t>Oracle</t>
  </si>
  <si>
    <t>MIB</t>
  </si>
  <si>
    <t xml:space="preserve">Maturity </t>
  </si>
  <si>
    <t>Tenor</t>
  </si>
  <si>
    <t>1 Month</t>
  </si>
  <si>
    <t>Bank Account Details</t>
  </si>
  <si>
    <t>Account tagged to fund</t>
  </si>
  <si>
    <t>IL</t>
  </si>
  <si>
    <t>GL Code</t>
  </si>
  <si>
    <t>Fund wise accrual as per sheet:</t>
  </si>
  <si>
    <t>Acrrual as per sheet</t>
  </si>
  <si>
    <t>Short profit Received</t>
  </si>
  <si>
    <t>Total Profit Received</t>
  </si>
  <si>
    <t>GL</t>
  </si>
  <si>
    <t>GH</t>
  </si>
  <si>
    <t>Profit as per bank statement:</t>
  </si>
  <si>
    <t>Gross</t>
  </si>
  <si>
    <t>As per Bank Statement of MIB</t>
  </si>
  <si>
    <t>Transfer</t>
  </si>
  <si>
    <t>NBP TDR Coupon 22-Apr-21</t>
  </si>
  <si>
    <t>WHT on TDR Coupon 14-Feb-21</t>
  </si>
  <si>
    <t>Entry for ACS</t>
  </si>
  <si>
    <t xml:space="preserve">Interoffice </t>
  </si>
  <si>
    <t>SGF</t>
  </si>
  <si>
    <t>HMB</t>
  </si>
  <si>
    <t>Waves Singer</t>
  </si>
  <si>
    <t>CDC CHARGES</t>
  </si>
  <si>
    <t>Jah.Sidd. Co.</t>
  </si>
  <si>
    <t>Crescent Tex.</t>
  </si>
  <si>
    <t>ISMAIL IQBAL</t>
  </si>
  <si>
    <t>TRANSPORT</t>
  </si>
  <si>
    <t>InvestOne</t>
  </si>
  <si>
    <t>Allied Bank Limited</t>
  </si>
  <si>
    <t>TRG Pak Ltd</t>
  </si>
  <si>
    <t>AKIK CAPITAL</t>
  </si>
  <si>
    <t>CPHL</t>
  </si>
  <si>
    <t>PABC</t>
  </si>
  <si>
    <t>Gul Ahmed</t>
  </si>
  <si>
    <t>MZNPETF</t>
  </si>
  <si>
    <t>T-Bills-6M-15-Jul-2021 - 13-Jan-22</t>
  </si>
  <si>
    <t>T-Bills-6M-29-Jul-2021 - 27-Jan-2022</t>
  </si>
  <si>
    <t>Bank charges</t>
  </si>
  <si>
    <t>Bank Charges</t>
  </si>
  <si>
    <t>T-Bills-6M-26-Aug-2021 - 24-Feb-2022</t>
  </si>
  <si>
    <t>AIRLINK</t>
  </si>
  <si>
    <t>Panther Tyres Ltd.</t>
  </si>
  <si>
    <t>T-Bills-6M-29-Jul-2021 - 27-Jan-22</t>
  </si>
  <si>
    <t>T-Bills-6M-09-Sep-2021 - 10-Mar-2022</t>
  </si>
  <si>
    <t>OCTOPUS</t>
  </si>
  <si>
    <t>Atlas Battery</t>
  </si>
  <si>
    <t>Octopus Digital</t>
  </si>
  <si>
    <t>Arif Habib Ltd.</t>
  </si>
  <si>
    <t>Cherat Cement</t>
  </si>
  <si>
    <t>SMBL</t>
  </si>
  <si>
    <t>Summit Bank</t>
  </si>
  <si>
    <t>Thatta Cement</t>
  </si>
  <si>
    <t>Ghani Glo Hol</t>
  </si>
  <si>
    <t>Sazgar Eng</t>
  </si>
  <si>
    <t>National Refinery</t>
  </si>
  <si>
    <t>Aisha Steel Mill</t>
  </si>
  <si>
    <t>Berger Paints</t>
  </si>
  <si>
    <t>Descon Oxychem</t>
  </si>
  <si>
    <t>National Foods</t>
  </si>
  <si>
    <t>D.G.K.Cement</t>
  </si>
  <si>
    <t>P.S.O.</t>
  </si>
  <si>
    <t>Pak Stock Exchange</t>
  </si>
  <si>
    <t>Nishat Mills Ltd</t>
  </si>
  <si>
    <t>Shabbir Tiles</t>
  </si>
  <si>
    <t>Tariq Glass Ind.</t>
  </si>
  <si>
    <t>Lotte Chemical</t>
  </si>
  <si>
    <t>At-Tahur Ltd.</t>
  </si>
  <si>
    <t>Agha Steel Ind.</t>
  </si>
  <si>
    <t>GTECH</t>
  </si>
  <si>
    <t>G3 Technologies</t>
  </si>
  <si>
    <t>SPEL</t>
  </si>
  <si>
    <t>The Organic Meat</t>
  </si>
  <si>
    <t>Citi Pharma Ltd</t>
  </si>
  <si>
    <t>The Searle Co.</t>
  </si>
  <si>
    <t>Air Link Commun</t>
  </si>
  <si>
    <t>Treet Corp</t>
  </si>
  <si>
    <t>SPECTRUM</t>
  </si>
  <si>
    <t>Image Pakistan</t>
  </si>
  <si>
    <t>PNSC</t>
  </si>
  <si>
    <t>P.N.S.C</t>
  </si>
  <si>
    <t>Telecard Limited</t>
  </si>
  <si>
    <t>Listed Equities</t>
  </si>
  <si>
    <t>Money Market Mutual Fund</t>
  </si>
  <si>
    <t>Income Mutual Fund</t>
  </si>
  <si>
    <t>% of Protfolio</t>
  </si>
  <si>
    <t>IPS Limits</t>
  </si>
  <si>
    <t>0 to 10%</t>
  </si>
  <si>
    <t>50 to 90%</t>
  </si>
  <si>
    <t>Equity Mutual Fund</t>
  </si>
  <si>
    <t>PAID UP CAPITAL</t>
  </si>
  <si>
    <t>UNITYR3</t>
  </si>
  <si>
    <t>CNERGY</t>
  </si>
  <si>
    <t>Cnergyico PK</t>
  </si>
  <si>
    <t>Unity Foods Ltd</t>
  </si>
  <si>
    <t>INDU</t>
  </si>
  <si>
    <t>Realized Gain and (Loss)</t>
  </si>
  <si>
    <t>For the year 2022</t>
  </si>
  <si>
    <t>ARIF</t>
  </si>
  <si>
    <t>Holding days till 31-12-21</t>
  </si>
  <si>
    <t>Amortization of Income till 31.12.21</t>
  </si>
  <si>
    <t>INSIGHT</t>
  </si>
  <si>
    <t>3 months</t>
  </si>
  <si>
    <t>T-Bills-3M-30-Dec-2021 - 24-Mar-22</t>
  </si>
  <si>
    <t>OBOY</t>
  </si>
  <si>
    <t>Ghandhara Tyre</t>
  </si>
  <si>
    <t>TOPLINE</t>
  </si>
  <si>
    <t>T-Bills-3M-13-Jan-2022 - 07-Apr-22</t>
  </si>
  <si>
    <t>Investone</t>
  </si>
  <si>
    <t>SNBL</t>
  </si>
  <si>
    <t>Thal Limited</t>
  </si>
  <si>
    <t>Unrealized</t>
  </si>
  <si>
    <t>Change %</t>
  </si>
  <si>
    <t>Sector</t>
  </si>
  <si>
    <t>T-Bills-3M-27-Jan-2022 - 21-Apr-22</t>
  </si>
  <si>
    <t>ACPL</t>
  </si>
  <si>
    <t>Name</t>
  </si>
  <si>
    <t>Interim</t>
  </si>
  <si>
    <t>Dividend Type</t>
  </si>
  <si>
    <t>HBL - Profit on DPA for the month of  January 2022</t>
  </si>
  <si>
    <t>The Hub Power Company Limited</t>
  </si>
  <si>
    <t>Interloop Limited</t>
  </si>
  <si>
    <t>ICI Pakistan Limited</t>
  </si>
  <si>
    <t>SCB</t>
  </si>
  <si>
    <t>AMANAH</t>
  </si>
  <si>
    <t>T-Bills-3M-10-Feb-2022 - 28-Apr-22</t>
  </si>
  <si>
    <t>Mari Petroleum</t>
  </si>
  <si>
    <t>Hub Power Co.</t>
  </si>
  <si>
    <t>Interloop Ltd.</t>
  </si>
  <si>
    <t>Alfa Adhi</t>
  </si>
  <si>
    <t>Flying Cement</t>
  </si>
  <si>
    <t>Kot Addu Power</t>
  </si>
  <si>
    <t>Attock Petroleum</t>
  </si>
  <si>
    <t>Inter.Steel Ltd</t>
  </si>
  <si>
    <t>Int. Ind.Ltd.</t>
  </si>
  <si>
    <t>MFFL</t>
  </si>
  <si>
    <t>MithchellsFruit</t>
  </si>
  <si>
    <t>Kohinoor Energy</t>
  </si>
  <si>
    <t>Nishat Power</t>
  </si>
  <si>
    <t>Oil &amp; Gas Development Company Limited</t>
  </si>
  <si>
    <t>Engro Polymer &amp; Chemicals Limited</t>
  </si>
  <si>
    <t>Final</t>
  </si>
  <si>
    <t>HBL - Profit on DPA for the month of  February 2022</t>
  </si>
  <si>
    <t>T-Bills-6M-02-Dec-2021 - 02-Jun-22</t>
  </si>
  <si>
    <t>Pak Elektron</t>
  </si>
  <si>
    <t>Pak Oilfields</t>
  </si>
  <si>
    <t>MODAM</t>
  </si>
  <si>
    <t>Mod.Al-Mali</t>
  </si>
  <si>
    <t>HI-Tech Lub.</t>
  </si>
  <si>
    <t>Mughal Iron</t>
  </si>
  <si>
    <t>Nishat (Chun.)</t>
  </si>
  <si>
    <t>National BankXD</t>
  </si>
  <si>
    <t>PAKRI</t>
  </si>
  <si>
    <t>LPL</t>
  </si>
  <si>
    <t>Lalpir Power</t>
  </si>
  <si>
    <t>Pak Petroleum</t>
  </si>
  <si>
    <t>BIPL</t>
  </si>
  <si>
    <t>Bankislami Pak.</t>
  </si>
  <si>
    <t>EXIDE</t>
  </si>
  <si>
    <t>Exide (PAK)</t>
  </si>
  <si>
    <t>TPL Properties</t>
  </si>
  <si>
    <t>Ghani Glass Ltd</t>
  </si>
  <si>
    <t>ALHABIB</t>
  </si>
  <si>
    <t>Bonus Shars</t>
  </si>
  <si>
    <t>Bonus Type</t>
  </si>
  <si>
    <t>Bank AL-Habib</t>
  </si>
  <si>
    <t>Engro Powergen</t>
  </si>
  <si>
    <t>Bank Al-Falah</t>
  </si>
  <si>
    <t>Habib Metropol.</t>
  </si>
  <si>
    <t>BWCL</t>
  </si>
  <si>
    <t>Faysal Bank</t>
  </si>
  <si>
    <t>NRSL</t>
  </si>
  <si>
    <t>Nimir Resins</t>
  </si>
  <si>
    <t>T-Bills-3M-10-Mar-2022 - 08-Sep-22</t>
  </si>
  <si>
    <t>DEL</t>
  </si>
  <si>
    <t>Dawood Equities</t>
  </si>
  <si>
    <t>T-Bills-6M-21-Apr-2022 - 20-Oct-22</t>
  </si>
  <si>
    <t>Cherat Pack</t>
  </si>
  <si>
    <t>HBL - Profit on DPA for the month of  March 2022</t>
  </si>
  <si>
    <t>B.O.Punjab</t>
  </si>
  <si>
    <t>Ferozsons (Lab)</t>
  </si>
  <si>
    <t>T-Bills-6M-28-Apr-2022 - 03-Nov-22</t>
  </si>
  <si>
    <t>T-Bills-3M-24-Feb-2022 - 19-May-22</t>
  </si>
  <si>
    <t>Systems Limited</t>
  </si>
  <si>
    <t>AGP Limited</t>
  </si>
  <si>
    <t>HUBC-JUL</t>
  </si>
  <si>
    <t>PSO-JUL</t>
  </si>
  <si>
    <t>MCB-JUL</t>
  </si>
  <si>
    <t>NML-JUL</t>
  </si>
  <si>
    <t>PTC-JUL</t>
  </si>
  <si>
    <t>ENGRO-JUL</t>
  </si>
  <si>
    <t>FFC-JUL</t>
  </si>
  <si>
    <t>FFBL-JUL</t>
  </si>
  <si>
    <t>LOTCHEM-JUL</t>
  </si>
  <si>
    <t>OGDC-JUL</t>
  </si>
  <si>
    <t>DGKC-JUL</t>
  </si>
  <si>
    <t>POL-JUL</t>
  </si>
  <si>
    <t>NBP-JUL</t>
  </si>
  <si>
    <t>MLCF-JUL</t>
  </si>
  <si>
    <t>LUCK-JUL</t>
  </si>
  <si>
    <t>SSGC-JUL</t>
  </si>
  <si>
    <t>PPL-JUL</t>
  </si>
  <si>
    <t>BOP-JUL</t>
  </si>
  <si>
    <t>FABL-JUL</t>
  </si>
  <si>
    <t>TELE-JUL</t>
  </si>
  <si>
    <t>WTL-JUL</t>
  </si>
  <si>
    <t>BAFL-JUL</t>
  </si>
  <si>
    <t>PIAA-JUL</t>
  </si>
  <si>
    <t>PIOC-JUL</t>
  </si>
  <si>
    <t>KAPCO-JUL</t>
  </si>
  <si>
    <t>ABL-JUL</t>
  </si>
  <si>
    <t>ATRL-JUL</t>
  </si>
  <si>
    <t>ANL-JUL</t>
  </si>
  <si>
    <t>PACE-JUL</t>
  </si>
  <si>
    <t>FCCL-JUL</t>
  </si>
  <si>
    <t>NETSOL-JUL</t>
  </si>
  <si>
    <t>UBL-JUL</t>
  </si>
  <si>
    <t>NRL-JUL</t>
  </si>
  <si>
    <t>HBL-JUL</t>
  </si>
  <si>
    <t>BAHL-JUL</t>
  </si>
  <si>
    <t>FATIMA-JUL</t>
  </si>
  <si>
    <t>CHCC-JUL</t>
  </si>
  <si>
    <t>FCEPL-JUL</t>
  </si>
  <si>
    <t>NCL-JUL</t>
  </si>
  <si>
    <t>EFERT-JUL</t>
  </si>
  <si>
    <t>GATM-JUL</t>
  </si>
  <si>
    <t>KEL-JUL</t>
  </si>
  <si>
    <t>PAEL-JUL</t>
  </si>
  <si>
    <t>SEARL-JUL</t>
  </si>
  <si>
    <t>DCL-JUL</t>
  </si>
  <si>
    <t>ISL-JUL</t>
  </si>
  <si>
    <t>POWER-JUL</t>
  </si>
  <si>
    <t>TPL-JUL</t>
  </si>
  <si>
    <t>TRG-JUL</t>
  </si>
  <si>
    <t>HUMNL-JUL</t>
  </si>
  <si>
    <t>TREET-JUL</t>
  </si>
  <si>
    <t>LOADS-JUL</t>
  </si>
  <si>
    <t>MUGHAL-JUL</t>
  </si>
  <si>
    <t>PRL-JUL</t>
  </si>
  <si>
    <t>ASL-JUL</t>
  </si>
  <si>
    <t>EPCL-JUL</t>
  </si>
  <si>
    <t>HMB-JUL</t>
  </si>
  <si>
    <t>INIL-JUL</t>
  </si>
  <si>
    <t>PIBTL-JUL</t>
  </si>
  <si>
    <t>MEBL-JUL</t>
  </si>
  <si>
    <t>ASTL-JUL</t>
  </si>
  <si>
    <t>FFL-JUL</t>
  </si>
  <si>
    <t>UNITY-JUL</t>
  </si>
  <si>
    <t>GHNI-JUL</t>
  </si>
  <si>
    <t>PSMC-JUL</t>
  </si>
  <si>
    <t>WAVES-JUL</t>
  </si>
  <si>
    <t>AVN-JUL</t>
  </si>
  <si>
    <t>KOHC-JUL</t>
  </si>
  <si>
    <t>TGL-JUL</t>
  </si>
  <si>
    <t>BIPL-JUL</t>
  </si>
  <si>
    <t>GGL-JUL</t>
  </si>
  <si>
    <t>ASC-JUL</t>
  </si>
  <si>
    <t>AGHA-JUL</t>
  </si>
  <si>
    <t>AGP-JUL</t>
  </si>
  <si>
    <t>CNERGY-JUL</t>
  </si>
  <si>
    <t>FEROZ-JUL</t>
  </si>
  <si>
    <t>FLYNG-JUL</t>
  </si>
  <si>
    <t>GGGL-JUL</t>
  </si>
  <si>
    <t>GHGL-JUL</t>
  </si>
  <si>
    <t>KOSM-JUL</t>
  </si>
  <si>
    <t>MTL-JUL</t>
  </si>
  <si>
    <t>MZNPETF-JUL</t>
  </si>
  <si>
    <t>NBPGETF-JUL</t>
  </si>
  <si>
    <t>NITGETF-JUL</t>
  </si>
  <si>
    <t>SHEL-JUL</t>
  </si>
  <si>
    <t>SILK-JUL</t>
  </si>
  <si>
    <t>SMBL-JUL</t>
  </si>
  <si>
    <t>SYS-JUL</t>
  </si>
  <si>
    <t>THALL-JUL</t>
  </si>
  <si>
    <t>TPLP-JUL</t>
  </si>
  <si>
    <t>YOUW-JUL</t>
  </si>
  <si>
    <t>AGL-JUL</t>
  </si>
  <si>
    <t>AIRLINK-JUL</t>
  </si>
  <si>
    <t>PABC-JUL</t>
  </si>
  <si>
    <t>CPHL-JUL</t>
  </si>
  <si>
    <t>ECOP</t>
  </si>
  <si>
    <t>ECOPACK Ltd</t>
  </si>
  <si>
    <t>Engro Polymer</t>
  </si>
  <si>
    <t>Pak.Int.Cont.</t>
  </si>
  <si>
    <t>Engro Corp</t>
  </si>
  <si>
    <t>Engro Fert.</t>
  </si>
  <si>
    <t>Fatima Fert.</t>
  </si>
  <si>
    <t>Service Global Foot</t>
  </si>
  <si>
    <t>Habib Bank</t>
  </si>
  <si>
    <t>United Bank</t>
  </si>
  <si>
    <t>Pak Suzuki</t>
  </si>
  <si>
    <t>Hum Network</t>
  </si>
  <si>
    <t>Synthetic Prod</t>
  </si>
  <si>
    <t>T-Bills-3M-24-Mar-2022 - 16-Jun-22</t>
  </si>
  <si>
    <t>Indus Motor Co</t>
  </si>
  <si>
    <t>Avanceon Ltd</t>
  </si>
  <si>
    <t>Meezan Bank</t>
  </si>
  <si>
    <t>MCB Bank Ltd</t>
  </si>
  <si>
    <t>Bestway Cement</t>
  </si>
  <si>
    <t>Fauji Fert.</t>
  </si>
  <si>
    <t>Highnoon (Lab)</t>
  </si>
  <si>
    <t>Pak Reinsurance</t>
  </si>
  <si>
    <t>KSBP</t>
  </si>
  <si>
    <t>BUXL</t>
  </si>
  <si>
    <t>Buxly Paints</t>
  </si>
  <si>
    <t>IBLHL</t>
  </si>
  <si>
    <t>IBL HealthCare</t>
  </si>
  <si>
    <t>Oil &amp; Gas Dev.</t>
  </si>
  <si>
    <t>MFL</t>
  </si>
  <si>
    <t>Matco Foods Ltd</t>
  </si>
  <si>
    <t>HBL - Profit on DPA for the month of  April 2022</t>
  </si>
  <si>
    <t>CLVL</t>
  </si>
  <si>
    <t>Millat Tractors</t>
  </si>
  <si>
    <t>TPLI</t>
  </si>
  <si>
    <t>TPL Insurance</t>
  </si>
  <si>
    <t>T-Bills-6M-27-Jan-2022 - 28-Jul-22</t>
  </si>
  <si>
    <t>HUBC-AUG</t>
  </si>
  <si>
    <t>PSO-AUG</t>
  </si>
  <si>
    <t>MCB-AUG</t>
  </si>
  <si>
    <t>NML-AUG</t>
  </si>
  <si>
    <t>PTC-AUG</t>
  </si>
  <si>
    <t>ENGRO-AUG</t>
  </si>
  <si>
    <t>FFC-AUG</t>
  </si>
  <si>
    <t>FFBL-AUG</t>
  </si>
  <si>
    <t>LOTCHEM-AUG</t>
  </si>
  <si>
    <t>OGDC-AUG</t>
  </si>
  <si>
    <t>DGKC-AUG</t>
  </si>
  <si>
    <t>POL-AUG</t>
  </si>
  <si>
    <t>NBP-AUG</t>
  </si>
  <si>
    <t>MLCF-AUG</t>
  </si>
  <si>
    <t>LUCK-AUG</t>
  </si>
  <si>
    <t>SSGC-AUG</t>
  </si>
  <si>
    <t>PPL-AUG</t>
  </si>
  <si>
    <t>BOP-AUG</t>
  </si>
  <si>
    <t>FABL-AUG</t>
  </si>
  <si>
    <t>TELE-AUG</t>
  </si>
  <si>
    <t>WTL-AUG</t>
  </si>
  <si>
    <t>BAFL-AUG</t>
  </si>
  <si>
    <t>PIAA-AUG</t>
  </si>
  <si>
    <t>PIOC-AUG</t>
  </si>
  <si>
    <t>KAPCO-AUG</t>
  </si>
  <si>
    <t>ABL-AUG</t>
  </si>
  <si>
    <t>ATRL-AUG</t>
  </si>
  <si>
    <t>ANL-AUG</t>
  </si>
  <si>
    <t>PACE-AUG</t>
  </si>
  <si>
    <t>FCCL-AUG</t>
  </si>
  <si>
    <t>NETSOL-AUG</t>
  </si>
  <si>
    <t>UBL-AUG</t>
  </si>
  <si>
    <t>NRL-AUG</t>
  </si>
  <si>
    <t>HBL-AUG</t>
  </si>
  <si>
    <t>BAHL-AUG</t>
  </si>
  <si>
    <t>FATIMA-AUG</t>
  </si>
  <si>
    <t>CHCC-AUG</t>
  </si>
  <si>
    <t>NCL-AUG</t>
  </si>
  <si>
    <t>EFERT-AUG</t>
  </si>
  <si>
    <t>KEL-AUG</t>
  </si>
  <si>
    <t>PAEL-AUG</t>
  </si>
  <si>
    <t>SEARL-AUG</t>
  </si>
  <si>
    <t>DCL-AUG</t>
  </si>
  <si>
    <t>ISL-AUG</t>
  </si>
  <si>
    <t>POWER-AUG</t>
  </si>
  <si>
    <t>TPL-AUG</t>
  </si>
  <si>
    <t>TRG-AUG</t>
  </si>
  <si>
    <t>TREET-AUG</t>
  </si>
  <si>
    <t>ASL-AUG</t>
  </si>
  <si>
    <t>EPCL-AUG</t>
  </si>
  <si>
    <t>HMB-AUG</t>
  </si>
  <si>
    <t>INIL-AUG</t>
  </si>
  <si>
    <t>LOADS-AUG</t>
  </si>
  <si>
    <t>PIBTL-AUG</t>
  </si>
  <si>
    <t>MEBL-AUG</t>
  </si>
  <si>
    <t>ASTL-AUG</t>
  </si>
  <si>
    <t>FFL-AUG</t>
  </si>
  <si>
    <t>UNITY-AUG</t>
  </si>
  <si>
    <t>GHNI-AUG</t>
  </si>
  <si>
    <t>PSMC-AUG</t>
  </si>
  <si>
    <t>WAVES-AUG</t>
  </si>
  <si>
    <t>MUGHAL-AUG</t>
  </si>
  <si>
    <t>PRL-AUG</t>
  </si>
  <si>
    <t>GATM-AUG</t>
  </si>
  <si>
    <t>FCEPL-AUG</t>
  </si>
  <si>
    <t>AVN-AUG</t>
  </si>
  <si>
    <t>KOHC-AUG</t>
  </si>
  <si>
    <t>AGHA-AUG</t>
  </si>
  <si>
    <t>ASC-AUG</t>
  </si>
  <si>
    <t>BIPL-AUG</t>
  </si>
  <si>
    <t>GGGL-AUG</t>
  </si>
  <si>
    <t>GGL-AUG</t>
  </si>
  <si>
    <t>HUMNL-AUG</t>
  </si>
  <si>
    <t>SILK-AUG</t>
  </si>
  <si>
    <t>TGL-AUG</t>
  </si>
  <si>
    <t>AGL-AUG</t>
  </si>
  <si>
    <t>AGP-AUG</t>
  </si>
  <si>
    <t>AIRLINK-AUG</t>
  </si>
  <si>
    <t>CNERGY-AUG</t>
  </si>
  <si>
    <t>CPHL-AUG</t>
  </si>
  <si>
    <t>FLYNG-AUG</t>
  </si>
  <si>
    <t>KOSM-AUG</t>
  </si>
  <si>
    <t>MTL-AUG</t>
  </si>
  <si>
    <t>MZNPETF-AUG</t>
  </si>
  <si>
    <t>NBPGETF-AUG</t>
  </si>
  <si>
    <t>NITGETF-AUG</t>
  </si>
  <si>
    <t>PABC-AUG</t>
  </si>
  <si>
    <t>SHEL-AUG</t>
  </si>
  <si>
    <t>SMBL-AUG</t>
  </si>
  <si>
    <t>SYS-AUG</t>
  </si>
  <si>
    <t>THALL-AUG</t>
  </si>
  <si>
    <t>TPLP-AUG</t>
  </si>
  <si>
    <t>YOUW-AUG</t>
  </si>
  <si>
    <t>TPLT</t>
  </si>
  <si>
    <t>TPL Trakker Ltd</t>
  </si>
  <si>
    <t>Attock Cement</t>
  </si>
  <si>
    <t>K.S.B.Pumps</t>
  </si>
  <si>
    <t>GlaxoSmithKline</t>
  </si>
  <si>
    <t>Fauji Foods Ltd</t>
  </si>
  <si>
    <t>T-Bills-3M-02-Jun-2022 - 25-Aug-22</t>
  </si>
  <si>
    <t>HIRAT</t>
  </si>
  <si>
    <t>Hira Textile</t>
  </si>
  <si>
    <t>Shifa Int.Hosp</t>
  </si>
  <si>
    <t>NCPL</t>
  </si>
  <si>
    <t>Nishat ChunPow</t>
  </si>
  <si>
    <t>GEMUNSL</t>
  </si>
  <si>
    <t>Universal Net (GEM)</t>
  </si>
  <si>
    <t>Habib Bank Limited</t>
  </si>
  <si>
    <t>OLPL</t>
  </si>
  <si>
    <t>OLP Financial</t>
  </si>
  <si>
    <t>BCL</t>
  </si>
  <si>
    <t>Bolan Casting</t>
  </si>
  <si>
    <t>SPL</t>
  </si>
  <si>
    <t>Sitara Peroxide</t>
  </si>
  <si>
    <t>KOIL</t>
  </si>
  <si>
    <t>Kohinoor Ind.</t>
  </si>
  <si>
    <t>Pakistan Alumin</t>
  </si>
  <si>
    <t>Crescent Steel</t>
  </si>
  <si>
    <t>SCBPL</t>
  </si>
  <si>
    <t>St.Chart.Bank</t>
  </si>
  <si>
    <t>SKRS</t>
  </si>
  <si>
    <t>Sakrand Sugar</t>
  </si>
  <si>
    <t>HBL - Profit on DPA for the month of  May 2022</t>
  </si>
  <si>
    <t>AGSML</t>
  </si>
  <si>
    <t>Abdullah Shah</t>
  </si>
  <si>
    <t>KHTC</t>
  </si>
  <si>
    <t>Khyber Tobacco</t>
  </si>
  <si>
    <t>TSPL</t>
  </si>
  <si>
    <t>Tri-Star Power</t>
  </si>
  <si>
    <t>SAPL</t>
  </si>
  <si>
    <t>Sanofi-Aventis</t>
  </si>
  <si>
    <t>T-Bills-6M-10-Feb-2022 - 11-Aug-2022</t>
  </si>
  <si>
    <t>FUDLM</t>
  </si>
  <si>
    <t>U.D.L.Modaraba</t>
  </si>
  <si>
    <t>Allied Bank Ltd</t>
  </si>
  <si>
    <t>CWSM</t>
  </si>
  <si>
    <t>Chakwal Spinning</t>
  </si>
  <si>
    <t>Biafo Ind.</t>
  </si>
  <si>
    <t>BILF</t>
  </si>
  <si>
    <t>Bilal Fibres</t>
  </si>
  <si>
    <t>DYNO</t>
  </si>
  <si>
    <t>Dynea Pakistan</t>
  </si>
  <si>
    <t>NCL-SEP</t>
  </si>
  <si>
    <t>HUBC-SEP</t>
  </si>
  <si>
    <t>PSO-SEP</t>
  </si>
  <si>
    <t>MCB-SEP</t>
  </si>
  <si>
    <t>NML-SEP</t>
  </si>
  <si>
    <t>PTC-SEP</t>
  </si>
  <si>
    <t>ENGRO-SEP</t>
  </si>
  <si>
    <t>FFBL-SEP</t>
  </si>
  <si>
    <t>LOTCHEM-SEP</t>
  </si>
  <si>
    <t>OGDC-SEP</t>
  </si>
  <si>
    <t>DGKC-SEP</t>
  </si>
  <si>
    <t>POL-SEP</t>
  </si>
  <si>
    <t>NBP-SEP</t>
  </si>
  <si>
    <t>MLCF-SEP</t>
  </si>
  <si>
    <t>LUCK-SEP</t>
  </si>
  <si>
    <t>SSGC-SEP</t>
  </si>
  <si>
    <t>PPL-SEP</t>
  </si>
  <si>
    <t>BOP-SEP</t>
  </si>
  <si>
    <t>FABL-SEP</t>
  </si>
  <si>
    <t>FFC-SEP</t>
  </si>
  <si>
    <t>TELE-SEP</t>
  </si>
  <si>
    <t>WTL-SEP</t>
  </si>
  <si>
    <t>PIAA-SEP</t>
  </si>
  <si>
    <t>KEL-SEP</t>
  </si>
  <si>
    <t>PIOC-SEP</t>
  </si>
  <si>
    <t>BAFL-SEP</t>
  </si>
  <si>
    <t>KAPCO-SEP</t>
  </si>
  <si>
    <t>ABL-SEP</t>
  </si>
  <si>
    <t>ATRL-SEP</t>
  </si>
  <si>
    <t>ANL-SEP</t>
  </si>
  <si>
    <t>PACE-SEP</t>
  </si>
  <si>
    <t>FCCL-SEP</t>
  </si>
  <si>
    <t>NETSOL-SEP</t>
  </si>
  <si>
    <t>UBL-SEP</t>
  </si>
  <si>
    <t>NRL-SEP</t>
  </si>
  <si>
    <t>HBL-SEP</t>
  </si>
  <si>
    <t>BAHL-SEP</t>
  </si>
  <si>
    <t>FATIMA-SEP</t>
  </si>
  <si>
    <t>EPCL-SEP</t>
  </si>
  <si>
    <t>GATM-SEP</t>
  </si>
  <si>
    <t>PAEL-SEP</t>
  </si>
  <si>
    <t>CHCC-SEP</t>
  </si>
  <si>
    <t>EFERT-SEP</t>
  </si>
  <si>
    <t>SEARL-SEP</t>
  </si>
  <si>
    <t>HUMNL-SEP</t>
  </si>
  <si>
    <t>DCL-SEP</t>
  </si>
  <si>
    <t>POWER-SEP</t>
  </si>
  <si>
    <t>ISL-SEP</t>
  </si>
  <si>
    <t>TPL-SEP</t>
  </si>
  <si>
    <t>TRG-SEP</t>
  </si>
  <si>
    <t>ASTL-SEP</t>
  </si>
  <si>
    <t>TREET-SEP</t>
  </si>
  <si>
    <t>UNITY-SEP</t>
  </si>
  <si>
    <t>FFL-SEP</t>
  </si>
  <si>
    <t>GGL-SEP</t>
  </si>
  <si>
    <t>HMB-SEP</t>
  </si>
  <si>
    <t>INIL-SEP</t>
  </si>
  <si>
    <t>PIBTL-SEP</t>
  </si>
  <si>
    <t>LOADS-SEP</t>
  </si>
  <si>
    <t>ASL-SEP</t>
  </si>
  <si>
    <t>GHNI-SEP</t>
  </si>
  <si>
    <t>PSMC-SEP</t>
  </si>
  <si>
    <t>MUGHAL-SEP</t>
  </si>
  <si>
    <t>FCEPL-SEP</t>
  </si>
  <si>
    <t>MEBL-SEP</t>
  </si>
  <si>
    <t>KOHC-SEP</t>
  </si>
  <si>
    <t>PRL-SEP</t>
  </si>
  <si>
    <t>SYS-SEP</t>
  </si>
  <si>
    <t>TGL-SEP</t>
  </si>
  <si>
    <t>AVN-SEP</t>
  </si>
  <si>
    <t>WAVES-SEP</t>
  </si>
  <si>
    <t>AGHA-SEP</t>
  </si>
  <si>
    <t>ASC-SEP</t>
  </si>
  <si>
    <t>BIPL-SEP</t>
  </si>
  <si>
    <t>GGGL-SEP</t>
  </si>
  <si>
    <t>SILK-SEP</t>
  </si>
  <si>
    <t>UBLPETF-SEP</t>
  </si>
  <si>
    <t>AGL-SEP</t>
  </si>
  <si>
    <t>AGP-SEP</t>
  </si>
  <si>
    <t>AIRLINK-SEP</t>
  </si>
  <si>
    <t>CNERGY-SEP</t>
  </si>
  <si>
    <t>CPHL-SEP</t>
  </si>
  <si>
    <t>FLYNG-SEP</t>
  </si>
  <si>
    <t>KOSM-SEP</t>
  </si>
  <si>
    <t>MTL-SEP</t>
  </si>
  <si>
    <t>MZNPETF-SEP</t>
  </si>
  <si>
    <t>NBPGETF-SEP</t>
  </si>
  <si>
    <t>NITGETF-SEP</t>
  </si>
  <si>
    <t>PABC-SEP</t>
  </si>
  <si>
    <t>SHEL-SEP</t>
  </si>
  <si>
    <t>SMBL-SEP</t>
  </si>
  <si>
    <t>THALL-SEP</t>
  </si>
  <si>
    <t>TPLP-SEP</t>
  </si>
  <si>
    <t>YOUW-SEP</t>
  </si>
  <si>
    <t>UBLPETF-AUGB</t>
  </si>
  <si>
    <t>UBLPETF-JULB</t>
  </si>
  <si>
    <t>MCB CMOP</t>
  </si>
  <si>
    <t>Money Market</t>
  </si>
  <si>
    <t>Mutual Fund</t>
  </si>
  <si>
    <t>PMI</t>
  </si>
  <si>
    <t>Prud Mod.1st</t>
  </si>
  <si>
    <t>MCBAH</t>
  </si>
  <si>
    <t>IDYM</t>
  </si>
  <si>
    <t>Indus Dyeing</t>
  </si>
  <si>
    <t>Meezan Pakistan</t>
  </si>
  <si>
    <t>Oilboy Energy L</t>
  </si>
  <si>
    <t>ESBL</t>
  </si>
  <si>
    <t>Escorts Bank</t>
  </si>
  <si>
    <t>KOHP</t>
  </si>
  <si>
    <t>Kohinoor Power</t>
  </si>
  <si>
    <t>MACFL</t>
  </si>
  <si>
    <t>MACPAC Films</t>
  </si>
  <si>
    <t>SNBLTFC3</t>
  </si>
  <si>
    <t>Soneri Bank(TFC</t>
  </si>
  <si>
    <t>Total MV</t>
  </si>
  <si>
    <t>MF - Income Fund</t>
  </si>
  <si>
    <t>SRVI</t>
  </si>
  <si>
    <t>Service Ind.Ltd</t>
  </si>
  <si>
    <t>KELSC5</t>
  </si>
  <si>
    <t>K-Electric(SUKUK5)</t>
  </si>
  <si>
    <t>AWTX</t>
  </si>
  <si>
    <t>Allawasaya Tex</t>
  </si>
  <si>
    <t>KTML</t>
  </si>
  <si>
    <t>Kohinoor Textile</t>
  </si>
  <si>
    <t>PKGP</t>
  </si>
  <si>
    <t>Pakgen Power</t>
  </si>
  <si>
    <t>SGPL</t>
  </si>
  <si>
    <t>S.G.Power</t>
  </si>
  <si>
    <t>CYAN</t>
  </si>
  <si>
    <t>Cyan Limited</t>
  </si>
  <si>
    <t>IGIHL</t>
  </si>
  <si>
    <t>IGI Holdings</t>
  </si>
  <si>
    <t>PIL</t>
  </si>
  <si>
    <t>PICIC Ins.Ltd.</t>
  </si>
  <si>
    <t>BECO</t>
  </si>
  <si>
    <t>Beco Steel Ltd</t>
  </si>
  <si>
    <t>ALTN</t>
  </si>
  <si>
    <t>Altern Energy</t>
  </si>
  <si>
    <t>ATLH</t>
  </si>
  <si>
    <t>Atlas Honda Ltd</t>
  </si>
  <si>
    <t>Honda Atlas Cars</t>
  </si>
  <si>
    <t>ARPL</t>
  </si>
  <si>
    <t>Archroma Pak</t>
  </si>
  <si>
    <t>SUTM</t>
  </si>
  <si>
    <t>Sunrays Textile</t>
  </si>
  <si>
    <t>GWLC</t>
  </si>
  <si>
    <t>Gharibwal Cement</t>
  </si>
  <si>
    <t>BWHL</t>
  </si>
  <si>
    <t>Bal.Wheels</t>
  </si>
  <si>
    <t>DAWH</t>
  </si>
  <si>
    <t>Dawood Hercules</t>
  </si>
  <si>
    <t>Abbott Lab.</t>
  </si>
  <si>
    <t>OTSU</t>
  </si>
  <si>
    <t>Otsuka Pak</t>
  </si>
  <si>
    <t>GVGL</t>
  </si>
  <si>
    <t>Ghani Value Glas</t>
  </si>
  <si>
    <t>TRIPF</t>
  </si>
  <si>
    <t>Tri-Pack Films</t>
  </si>
  <si>
    <t>DFSM</t>
  </si>
  <si>
    <t>Dewan Farooque Sp.</t>
  </si>
  <si>
    <t>MEHT</t>
  </si>
  <si>
    <t>Mehmood Tex.</t>
  </si>
  <si>
    <t>Century Paper</t>
  </si>
  <si>
    <t>MERIT</t>
  </si>
  <si>
    <t>Merit Packaging</t>
  </si>
  <si>
    <t>GLPL</t>
  </si>
  <si>
    <t>Gillette Pak</t>
  </si>
  <si>
    <t>SNGP-JULB</t>
  </si>
  <si>
    <t>SNGP-SEPB</t>
  </si>
  <si>
    <t>DCR-JULB</t>
  </si>
  <si>
    <t>DCR-AUGB</t>
  </si>
  <si>
    <t>DCR-SEPB</t>
  </si>
  <si>
    <t>SNGP-AUGB</t>
  </si>
  <si>
    <t>UCAPM</t>
  </si>
  <si>
    <t>Unicap Modaraba</t>
  </si>
  <si>
    <t>NCML</t>
  </si>
  <si>
    <t>Nazir Cotton Mills</t>
  </si>
  <si>
    <t>PRET</t>
  </si>
  <si>
    <t>Premium Tex.</t>
  </si>
  <si>
    <t>KML</t>
  </si>
  <si>
    <t>Kohinoor Mills</t>
  </si>
  <si>
    <t>FECTC</t>
  </si>
  <si>
    <t>Fecto Cement</t>
  </si>
  <si>
    <t>AGTL</t>
  </si>
  <si>
    <t>AL-Ghazi Tractors</t>
  </si>
  <si>
    <t>COLG</t>
  </si>
  <si>
    <t>Colgate Palm</t>
  </si>
  <si>
    <t>CTM</t>
  </si>
  <si>
    <t>Colony Tex.Mills Ltd</t>
  </si>
  <si>
    <t>Ittehad Chem.</t>
  </si>
  <si>
    <t>ACIETF</t>
  </si>
  <si>
    <t>Alfalah Consumer</t>
  </si>
  <si>
    <t>T-Bills-3M-28-Apr-2022 - 28-Jul-22</t>
  </si>
  <si>
    <t>BRR</t>
  </si>
  <si>
    <t>B.R.R.Guardian</t>
  </si>
  <si>
    <t>Soneri Bank Ltd</t>
  </si>
  <si>
    <t>ALIFE</t>
  </si>
  <si>
    <t>Adamjee Life As</t>
  </si>
  <si>
    <t>IGIL</t>
  </si>
  <si>
    <t>IGI Life Ins</t>
  </si>
  <si>
    <t>SMTM</t>
  </si>
  <si>
    <t>Samin Textile</t>
  </si>
  <si>
    <t>JUBS</t>
  </si>
  <si>
    <t>Jubilee Spinning</t>
  </si>
  <si>
    <t>Cordoba Logist</t>
  </si>
  <si>
    <t>TSML</t>
  </si>
  <si>
    <t>Tandlianwala Sugar</t>
  </si>
  <si>
    <t>GSKCH</t>
  </si>
  <si>
    <t>Glaxo Healthcar</t>
  </si>
  <si>
    <t>EMCO</t>
  </si>
  <si>
    <t>EMCO Industries</t>
  </si>
  <si>
    <t>JSBL</t>
  </si>
  <si>
    <t>JS Bank Ltd</t>
  </si>
  <si>
    <t>AICL</t>
  </si>
  <si>
    <t>Adamjee Ins.</t>
  </si>
  <si>
    <t>CLVLR</t>
  </si>
  <si>
    <t>Cordoba Logist(</t>
  </si>
  <si>
    <t>SMCPL</t>
  </si>
  <si>
    <t>Safe Mix Con.Lt</t>
  </si>
  <si>
    <t>PAKOXY</t>
  </si>
  <si>
    <t>Pak Oxygen Ltd.</t>
  </si>
  <si>
    <t>PKGS</t>
  </si>
  <si>
    <t>Packages Ltd.</t>
  </si>
  <si>
    <t>SEPL</t>
  </si>
  <si>
    <t>Security Paper</t>
  </si>
  <si>
    <t>HBL - Profit on DPA for the month of  Jun 2022</t>
  </si>
  <si>
    <t>AHCL</t>
  </si>
  <si>
    <t>Arif Habib Corp</t>
  </si>
  <si>
    <t>JSCLPSA</t>
  </si>
  <si>
    <t>JahangirSidd(Pref)</t>
  </si>
  <si>
    <t>ASTM</t>
  </si>
  <si>
    <t>Asim Textile</t>
  </si>
  <si>
    <t>JDMT</t>
  </si>
  <si>
    <t>Janana D Mal</t>
  </si>
  <si>
    <t>NAGC</t>
  </si>
  <si>
    <t>Nagina Cotton</t>
  </si>
  <si>
    <t>RUBY</t>
  </si>
  <si>
    <t>Ruby Textile</t>
  </si>
  <si>
    <t>ADMM</t>
  </si>
  <si>
    <t>Artistic Denim</t>
  </si>
  <si>
    <t>ALNRS</t>
  </si>
  <si>
    <t>AL-Noor Sugar</t>
  </si>
  <si>
    <t>PECO</t>
  </si>
  <si>
    <t>Pak Engineering</t>
  </si>
  <si>
    <t>PAKD</t>
  </si>
  <si>
    <t>Pak Datacom</t>
  </si>
  <si>
    <t>POML</t>
  </si>
  <si>
    <t>Punjab Oil</t>
  </si>
  <si>
    <t>LEUL</t>
  </si>
  <si>
    <t>Leather Up Ltd.</t>
  </si>
  <si>
    <t>Dolmen CityXD</t>
  </si>
  <si>
    <t>JSMFETF</t>
  </si>
  <si>
    <t>JS Momentum</t>
  </si>
  <si>
    <t>KASBM</t>
  </si>
  <si>
    <t>KASB Mod</t>
  </si>
  <si>
    <t>PAKMI</t>
  </si>
  <si>
    <t>Pak Mod.</t>
  </si>
  <si>
    <t>SLL</t>
  </si>
  <si>
    <t>SME Leasing Ltd</t>
  </si>
  <si>
    <t>JLICL</t>
  </si>
  <si>
    <t>Jubile Life Ins</t>
  </si>
  <si>
    <t>UNIC</t>
  </si>
  <si>
    <t>United Insurance</t>
  </si>
  <si>
    <t>GADT</t>
  </si>
  <si>
    <t>Gadoon Textile</t>
  </si>
  <si>
    <t>ZTL</t>
  </si>
  <si>
    <t>Zephyr Textile</t>
  </si>
  <si>
    <t>REDCO</t>
  </si>
  <si>
    <t>Redco Textile</t>
  </si>
  <si>
    <t>STML</t>
  </si>
  <si>
    <t>Shams Textile</t>
  </si>
  <si>
    <t>JSML</t>
  </si>
  <si>
    <t>Jauharabad Sug</t>
  </si>
  <si>
    <t>BPL</t>
  </si>
  <si>
    <t>Burshane LPG</t>
  </si>
  <si>
    <t>ADOS</t>
  </si>
  <si>
    <t>Ados Pakistan</t>
  </si>
  <si>
    <t>RMPL</t>
  </si>
  <si>
    <t>Rafhan Maize</t>
  </si>
  <si>
    <t>SCL</t>
  </si>
  <si>
    <t>Shield Corp.</t>
  </si>
  <si>
    <t>HGFA</t>
  </si>
  <si>
    <t>HBL Growth Fund</t>
  </si>
  <si>
    <t>SINDM</t>
  </si>
  <si>
    <t>Sindh Modaraba</t>
  </si>
  <si>
    <t>FFLM</t>
  </si>
  <si>
    <t>1st.Fid.Leasing</t>
  </si>
  <si>
    <t>FTMM</t>
  </si>
  <si>
    <t>F.Treet Manuf</t>
  </si>
  <si>
    <t>TSBL</t>
  </si>
  <si>
    <t>Trust Brokerage</t>
  </si>
  <si>
    <t>SBL</t>
  </si>
  <si>
    <t>Samba Bank</t>
  </si>
  <si>
    <t>EFUG</t>
  </si>
  <si>
    <t>EFU General</t>
  </si>
  <si>
    <t>PINL</t>
  </si>
  <si>
    <t>Premier Ins.</t>
  </si>
  <si>
    <t>RICL</t>
  </si>
  <si>
    <t>Reliance Ins.</t>
  </si>
  <si>
    <t>TATM</t>
  </si>
  <si>
    <t>Tata Textile</t>
  </si>
  <si>
    <t>PRWM</t>
  </si>
  <si>
    <t>Prosperity Weav</t>
  </si>
  <si>
    <t>STJT</t>
  </si>
  <si>
    <t>Shahtaj Textile</t>
  </si>
  <si>
    <t>TOWL</t>
  </si>
  <si>
    <t>Towellers Limited</t>
  </si>
  <si>
    <t>PAKT</t>
  </si>
  <si>
    <t>Pak Tobacco</t>
  </si>
  <si>
    <t>Saif Power Ltd.XD</t>
  </si>
  <si>
    <t>GEMSPNL</t>
  </si>
  <si>
    <t>Supernet Ltd.</t>
  </si>
  <si>
    <t>SITC</t>
  </si>
  <si>
    <t>Sitara Chemical</t>
  </si>
  <si>
    <t>AKDHL</t>
  </si>
  <si>
    <t>AKD Hospitality</t>
  </si>
  <si>
    <t>UBLPETF</t>
  </si>
  <si>
    <t>UBLPakistanETF</t>
  </si>
  <si>
    <t>HIFA</t>
  </si>
  <si>
    <t>HBL Invest Fund</t>
  </si>
  <si>
    <t>FECM</t>
  </si>
  <si>
    <t>Elite Cap.Mod</t>
  </si>
  <si>
    <t>FHAM</t>
  </si>
  <si>
    <t>Habib Modaraba</t>
  </si>
  <si>
    <t>FIBLM</t>
  </si>
  <si>
    <t>I.B.L.Modarab</t>
  </si>
  <si>
    <t>JSGCL</t>
  </si>
  <si>
    <t>JS Global Cap.</t>
  </si>
  <si>
    <t>786 Invest Ltd</t>
  </si>
  <si>
    <t>JGICL</t>
  </si>
  <si>
    <t>Jubilee Gen.Ins</t>
  </si>
  <si>
    <t>SHNI</t>
  </si>
  <si>
    <t>Shaheen Ins.</t>
  </si>
  <si>
    <t>UVIC</t>
  </si>
  <si>
    <t>Universal Ins.</t>
  </si>
  <si>
    <t>FZCM</t>
  </si>
  <si>
    <t>Fazal Cloth</t>
  </si>
  <si>
    <t>JATM</t>
  </si>
  <si>
    <t>J.A.Textile</t>
  </si>
  <si>
    <t>NATM</t>
  </si>
  <si>
    <t>Nadeem Textile</t>
  </si>
  <si>
    <t>SSML</t>
  </si>
  <si>
    <t>Saritow Spinning</t>
  </si>
  <si>
    <t>REWM</t>
  </si>
  <si>
    <t>Reliance Weaving</t>
  </si>
  <si>
    <t>SURC</t>
  </si>
  <si>
    <t>Suraj Cotton</t>
  </si>
  <si>
    <t>BNL</t>
  </si>
  <si>
    <t>Bunnys Limited</t>
  </si>
  <si>
    <t>DWSM</t>
  </si>
  <si>
    <t>Dewan Sugar</t>
  </si>
  <si>
    <t>HABSM</t>
  </si>
  <si>
    <t>Habib Sugar</t>
  </si>
  <si>
    <t>KPUS</t>
  </si>
  <si>
    <t>Khairpur Sugar</t>
  </si>
  <si>
    <t>SHJS</t>
  </si>
  <si>
    <t>Shahtaj Sugar</t>
  </si>
  <si>
    <t>SEL</t>
  </si>
  <si>
    <t>Sitara Energy</t>
  </si>
  <si>
    <t>Sui North GasXD</t>
  </si>
  <si>
    <t>PCAL</t>
  </si>
  <si>
    <t>Pakistan Cables</t>
  </si>
  <si>
    <t>ICI Pakistan</t>
  </si>
  <si>
    <t>WAHN</t>
  </si>
  <si>
    <t>Wah-Noble</t>
  </si>
  <si>
    <t>MUREB</t>
  </si>
  <si>
    <t>Murree Brewery</t>
  </si>
  <si>
    <t>GAMON</t>
  </si>
  <si>
    <t>Gammon Pak</t>
  </si>
  <si>
    <t>PHDL</t>
  </si>
  <si>
    <t>Pak Hotels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</si>
</sst>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[$-409]d\-mmm\-yy;@"/>
    <numFmt numFmtId="168" formatCode="_(* #,##0_);_(* \(#,##0\);_(* &quot;-&quot;??_);_(@_)"/>
    <numFmt numFmtId="169" formatCode="0.000"/>
    <numFmt numFmtId="170" formatCode="0.0000%"/>
    <numFmt numFmtId="171" formatCode="0.0000"/>
    <numFmt numFmtId="172" formatCode="[$-F800]dddd\,\ mmmm\ dd\,\ yyyy"/>
    <numFmt numFmtId="173" formatCode="_(* #,##0.0000_);_(* \(#,##0.0000\);_(* &quot;-&quot;??_);_(@_)"/>
    <numFmt numFmtId="174" formatCode="0.000%"/>
    <numFmt numFmtId="175" formatCode="0.0000&quot;  &quot;"/>
    <numFmt numFmtId="176" formatCode="#,##0.00&quot; F&quot;_);[Red]\(#,##0.00&quot; F&quot;\)"/>
    <numFmt numFmtId="177" formatCode="mm/dd/yy"/>
    <numFmt numFmtId="178" formatCode="_(* #,##0.0_);_(* \(#,##0.0\);_(* &quot;-&quot;??_);_(@_)"/>
    <numFmt numFmtId="179" formatCode="[$-409]dd\-mmm\-yy;@"/>
    <numFmt numFmtId="180" formatCode="_(* #,##0.000_);_(* \(#,##0.000\);_(* &quot;-&quot;??_);_(@_)"/>
    <numFmt numFmtId="181" formatCode="_([$€-2]* #,##0.00_);_([$€-2]* \(#,##0.00\);_([$€-2]* &quot;-&quot;??_)"/>
    <numFmt numFmtId="182" formatCode="_(* #,##0.0000000_);_(* \(#,##0.0000000\);_(* &quot;-&quot;??_);_(@_)"/>
    <numFmt numFmtId="183" formatCode="_(* #,##0.000000_);_(* \(#,##0.000000\);_(* &quot;-&quot;??_);_(@_)"/>
    <numFmt numFmtId="184" formatCode="_(* #,##0.0000000000_);_(* \(#,##0.0000000000\);_(* &quot;-&quot;??_);_(@_)"/>
    <numFmt numFmtId="185" formatCode="_(* #,##0.00000000000_);_(* \(#,##0.00000000000\);_(* &quot;-&quot;??_);_(@_)"/>
    <numFmt numFmtId="186" formatCode="_(* #,##0.000000000_);_(* \(#,##0.000000000\);_(* &quot;-&quot;??_);_(@_)"/>
    <numFmt numFmtId="187" formatCode="_(* #,##0.00000000000000000000000_);_(* \(#,##0.00000000000000000000000\);_(* &quot;-&quot;??_);_(@_)"/>
    <numFmt numFmtId="188" formatCode="_(* #,##0.0000000000000_);_(* \(#,##0.0000000000000\);_(* &quot;-&quot;??_);_(@_)"/>
    <numFmt numFmtId="189" formatCode="dd&quot;-&quot;mmm&quot;-&quot;yy"/>
    <numFmt numFmtId="190" formatCode="#,##0.00000000"/>
    <numFmt numFmtId="191" formatCode="_-* #,##0.00_-;\-* #,##0.00_-;_-* &quot;-&quot;_-;_-@_-"/>
    <numFmt numFmtId="192" formatCode="&quot;Rs.&quot;#,##0;\-&quot;Rs.&quot;#,##0"/>
    <numFmt numFmtId="193" formatCode="dddd"/>
    <numFmt numFmtId="194" formatCode="0.0000000000"/>
    <numFmt numFmtId="195" formatCode="0.000000000"/>
    <numFmt numFmtId="196" formatCode="#,##0.000000000"/>
    <numFmt numFmtId="197" formatCode="_(* #,##0.00000_);_(* \(#,##0.00000\);_(* &quot;-&quot;??_);_(@_)"/>
    <numFmt numFmtId="198" formatCode="_(* #,##0.00000_);_(* \(#,##0.00000\);_(* &quot;-&quot;?????_);_(@_)"/>
    <numFmt numFmtId="199" formatCode="_(* #,##0.0000_);_(* \(#,##0.0000\);_(* &quot;-&quot;?????_);_(@_)"/>
    <numFmt numFmtId="200" formatCode="0.00000000"/>
  </numFmts>
  <fonts count="127" x14ac:knownFonts="1">
    <font>
      <sz val="9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verdana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color indexed="12"/>
      <name val="Arial"/>
      <family val="2"/>
    </font>
    <font>
      <sz val="10"/>
      <name val="MS Serif"/>
      <family val="1"/>
    </font>
    <font>
      <sz val="12"/>
      <name val="Helv"/>
    </font>
    <font>
      <i/>
      <sz val="9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b/>
      <sz val="9"/>
      <color indexed="20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color indexed="18"/>
      <name val="Arial"/>
      <family val="2"/>
    </font>
    <font>
      <b/>
      <sz val="11"/>
      <color indexed="63"/>
      <name val="Calibri"/>
      <family val="2"/>
    </font>
    <font>
      <sz val="8"/>
      <name val="Helv"/>
    </font>
    <font>
      <b/>
      <sz val="8"/>
      <color indexed="8"/>
      <name val="Helv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1"/>
      <color indexed="10"/>
      <name val="Calibri"/>
      <family val="2"/>
    </font>
    <font>
      <b/>
      <sz val="8"/>
      <color rgb="FFFF0000"/>
      <name val="Arial"/>
      <family val="2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20"/>
      <color theme="1"/>
      <name val="Times New Roman"/>
      <family val="1"/>
    </font>
    <font>
      <sz val="9"/>
      <color theme="1"/>
      <name val="Arial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006100"/>
      <name val="verdana"/>
      <family val="2"/>
    </font>
    <font>
      <sz val="9"/>
      <color rgb="FF9C0006"/>
      <name val="verdana"/>
      <family val="2"/>
    </font>
    <font>
      <sz val="9"/>
      <color rgb="FF9C6500"/>
      <name val="verdana"/>
      <family val="2"/>
    </font>
    <font>
      <sz val="9"/>
      <color rgb="FF3F3F76"/>
      <name val="verdana"/>
      <family val="2"/>
    </font>
    <font>
      <b/>
      <sz val="9"/>
      <color rgb="FF3F3F3F"/>
      <name val="verdana"/>
      <family val="2"/>
    </font>
    <font>
      <b/>
      <sz val="9"/>
      <color rgb="FFFA7D00"/>
      <name val="verdana"/>
      <family val="2"/>
    </font>
    <font>
      <sz val="9"/>
      <color rgb="FFFA7D00"/>
      <name val="verdana"/>
      <family val="2"/>
    </font>
    <font>
      <b/>
      <sz val="9"/>
      <color theme="0"/>
      <name val="verdana"/>
      <family val="2"/>
    </font>
    <font>
      <sz val="9"/>
      <color rgb="FFFF0000"/>
      <name val="verdana"/>
      <family val="2"/>
    </font>
    <font>
      <i/>
      <sz val="9"/>
      <color rgb="FF7F7F7F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b/>
      <sz val="9"/>
      <color rgb="FFFF0000"/>
      <name val="Times New Roman"/>
      <family val="1"/>
    </font>
    <font>
      <b/>
      <sz val="48"/>
      <color theme="1"/>
      <name val="Times New Roman"/>
      <family val="1"/>
    </font>
    <font>
      <b/>
      <sz val="9"/>
      <color theme="1"/>
      <name val="Arial"/>
      <family val="2"/>
    </font>
    <font>
      <b/>
      <sz val="14"/>
      <name val="Arial"/>
      <family val="2"/>
    </font>
    <font>
      <sz val="8"/>
      <color rgb="FFFF0000"/>
      <name val="Arial"/>
      <family val="2"/>
    </font>
    <font>
      <sz val="9"/>
      <color indexed="8"/>
      <name val="verdana"/>
      <family val="2"/>
    </font>
    <font>
      <b/>
      <sz val="18"/>
      <color indexed="56"/>
      <name val="Cambria"/>
      <family val="1"/>
    </font>
    <font>
      <b/>
      <i/>
      <sz val="8"/>
      <color theme="1"/>
      <name val="Arial"/>
      <family val="2"/>
    </font>
    <font>
      <b/>
      <sz val="10"/>
      <name val="Arial"/>
      <family val="2"/>
    </font>
    <font>
      <b/>
      <u/>
      <sz val="8"/>
      <color theme="1"/>
      <name val="Arial"/>
      <family val="2"/>
    </font>
    <font>
      <sz val="12"/>
      <name val="Times New Roman"/>
      <family val="1"/>
    </font>
    <font>
      <b/>
      <u/>
      <sz val="10"/>
      <name val="Tahoma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indexed="10"/>
      <name val="Arial"/>
      <family val="2"/>
    </font>
    <font>
      <b/>
      <u/>
      <sz val="14"/>
      <name val="Arial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9"/>
      <name val="Arial"/>
      <family val="2"/>
    </font>
    <font>
      <b/>
      <sz val="8"/>
      <color indexed="63"/>
      <name val="Arial"/>
      <family val="2"/>
    </font>
    <font>
      <b/>
      <i/>
      <sz val="8"/>
      <name val="Arial"/>
      <family val="2"/>
    </font>
    <font>
      <sz val="9"/>
      <color theme="1"/>
      <name val="verdana"/>
      <family val="2"/>
    </font>
    <font>
      <i/>
      <sz val="8"/>
      <name val="Arial"/>
      <family val="2"/>
    </font>
    <font>
      <b/>
      <i/>
      <u/>
      <sz val="8"/>
      <name val="Arial"/>
      <family val="2"/>
    </font>
    <font>
      <b/>
      <u/>
      <sz val="8"/>
      <name val="Arial"/>
      <family val="2"/>
    </font>
    <font>
      <sz val="8"/>
      <color rgb="FFFF0000"/>
      <name val="Arial"/>
      <family val="2"/>
    </font>
    <font>
      <sz val="8"/>
      <color theme="6" tint="-0.249977111117893"/>
      <name val="Arial"/>
      <family val="2"/>
    </font>
    <font>
      <u/>
      <sz val="8"/>
      <name val="Arial"/>
      <family val="2"/>
    </font>
    <font>
      <b/>
      <u val="singleAccounting"/>
      <sz val="8"/>
      <color theme="0"/>
      <name val="Arial"/>
      <family val="2"/>
    </font>
    <font>
      <b/>
      <u val="singleAccounting"/>
      <sz val="8"/>
      <name val="Arial"/>
      <family val="2"/>
    </font>
    <font>
      <b/>
      <sz val="8"/>
      <color indexed="9"/>
      <name val="Arial"/>
      <family val="2"/>
    </font>
    <font>
      <b/>
      <sz val="48"/>
      <name val="Times New Roman"/>
      <family val="1"/>
    </font>
    <font>
      <sz val="9"/>
      <name val="Times New Roman"/>
      <family val="1"/>
    </font>
    <font>
      <b/>
      <sz val="18"/>
      <name val="Times New Roman"/>
      <family val="1"/>
    </font>
    <font>
      <b/>
      <sz val="9"/>
      <name val="Times New Roman"/>
      <family val="1"/>
    </font>
    <font>
      <b/>
      <sz val="9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8"/>
      <color rgb="FFC00000"/>
      <name val="Arial"/>
      <family val="2"/>
    </font>
    <font>
      <sz val="9"/>
      <color rgb="FFFF0000"/>
      <name val="Arial"/>
      <family val="2"/>
    </font>
    <font>
      <sz val="9"/>
      <color rgb="FFC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rgb="FFC00000"/>
      <name val="Arial"/>
      <family val="2"/>
    </font>
    <font>
      <sz val="9"/>
      <color rgb="FFC00000"/>
      <name val="verdana"/>
      <family val="2"/>
    </font>
    <font>
      <b/>
      <sz val="9"/>
      <color rgb="FFC00000"/>
      <name val="verdana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FF0000"/>
      <name val="verdana"/>
      <family val="2"/>
    </font>
  </fonts>
  <fills count="9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47">
    <xf numFmtId="0" fontId="0" fillId="0" borderId="0"/>
    <xf numFmtId="43" fontId="9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1" fillId="0" borderId="0" applyNumberFormat="0" applyFill="0" applyBorder="0" applyAlignment="0" applyProtection="0"/>
    <xf numFmtId="175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176" fontId="8" fillId="0" borderId="0" applyFill="0" applyBorder="0" applyAlignment="0"/>
    <xf numFmtId="0" fontId="22" fillId="27" borderId="11" applyNumberFormat="0" applyAlignment="0" applyProtection="0"/>
    <xf numFmtId="0" fontId="22" fillId="27" borderId="11" applyNumberFormat="0" applyAlignment="0" applyProtection="0"/>
    <xf numFmtId="0" fontId="22" fillId="27" borderId="11" applyNumberFormat="0" applyAlignment="0" applyProtection="0"/>
    <xf numFmtId="0" fontId="22" fillId="27" borderId="11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4" fillId="29" borderId="0" applyFill="0" applyBorder="0"/>
    <xf numFmtId="0" fontId="25" fillId="0" borderId="0" applyNumberFormat="0" applyAlignment="0">
      <alignment horizontal="left"/>
    </xf>
    <xf numFmtId="0" fontId="26" fillId="0" borderId="0"/>
    <xf numFmtId="0" fontId="26" fillId="0" borderId="13"/>
    <xf numFmtId="0" fontId="27" fillId="29" borderId="0"/>
    <xf numFmtId="0" fontId="28" fillId="0" borderId="0" applyNumberFormat="0" applyAlignment="0">
      <alignment horizontal="left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Fill="0" applyAlignment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38" fontId="12" fillId="29" borderId="0" applyNumberFormat="0" applyBorder="0" applyAlignment="0" applyProtection="0"/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4" applyNumberFormat="0" applyAlignment="0" applyProtection="0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16" fillId="0" borderId="14">
      <alignment horizontal="left" vertical="center"/>
    </xf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10" fontId="12" fillId="7" borderId="1" applyNumberFormat="0" applyBorder="0" applyAlignment="0" applyProtection="0"/>
    <xf numFmtId="0" fontId="36" fillId="14" borderId="11" applyNumberFormat="0" applyAlignment="0" applyProtection="0"/>
    <xf numFmtId="0" fontId="36" fillId="14" borderId="11" applyNumberFormat="0" applyAlignment="0" applyProtection="0"/>
    <xf numFmtId="0" fontId="36" fillId="14" borderId="11" applyNumberFormat="0" applyAlignment="0" applyProtection="0"/>
    <xf numFmtId="0" fontId="36" fillId="14" borderId="11" applyNumberFormat="0" applyAlignment="0" applyProtection="0"/>
    <xf numFmtId="0" fontId="37" fillId="30" borderId="13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19" applyNumberFormat="0" applyFont="0" applyAlignment="0" applyProtection="0"/>
    <xf numFmtId="0" fontId="8" fillId="32" borderId="19" applyNumberFormat="0" applyFont="0" applyAlignment="0" applyProtection="0"/>
    <xf numFmtId="0" fontId="8" fillId="32" borderId="19" applyNumberFormat="0" applyFont="0" applyAlignment="0" applyProtection="0"/>
    <xf numFmtId="0" fontId="17" fillId="6" borderId="9" applyNumberFormat="0" applyFont="0" applyAlignment="0" applyProtection="0"/>
    <xf numFmtId="0" fontId="8" fillId="32" borderId="19" applyNumberFormat="0" applyFont="0" applyAlignment="0" applyProtection="0"/>
    <xf numFmtId="0" fontId="40" fillId="0" borderId="0">
      <alignment wrapText="1"/>
    </xf>
    <xf numFmtId="0" fontId="41" fillId="27" borderId="20" applyNumberFormat="0" applyAlignment="0" applyProtection="0"/>
    <xf numFmtId="0" fontId="41" fillId="27" borderId="20" applyNumberFormat="0" applyAlignment="0" applyProtection="0"/>
    <xf numFmtId="0" fontId="41" fillId="27" borderId="20" applyNumberFormat="0" applyAlignment="0" applyProtection="0"/>
    <xf numFmtId="0" fontId="41" fillId="27" borderId="20" applyNumberFormat="0" applyAlignment="0" applyProtection="0"/>
    <xf numFmtId="10" fontId="8" fillId="0" borderId="0" applyFont="0" applyFill="0" applyBorder="0" applyAlignment="0" applyProtection="0"/>
    <xf numFmtId="0" fontId="26" fillId="0" borderId="0"/>
    <xf numFmtId="177" fontId="42" fillId="0" borderId="0" applyNumberFormat="0" applyFill="0" applyBorder="0" applyAlignment="0" applyProtection="0">
      <alignment horizontal="left"/>
    </xf>
    <xf numFmtId="40" fontId="43" fillId="0" borderId="0" applyBorder="0">
      <alignment horizontal="right"/>
    </xf>
    <xf numFmtId="0" fontId="26" fillId="0" borderId="13"/>
    <xf numFmtId="0" fontId="44" fillId="33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37" fillId="0" borderId="22"/>
    <xf numFmtId="0" fontId="37" fillId="0" borderId="13"/>
    <xf numFmtId="0" fontId="47" fillId="29" borderId="0" applyFont="0" applyFill="0">
      <alignment horizont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41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53" borderId="0" applyNumberFormat="0" applyBorder="0" applyAlignment="0" applyProtection="0"/>
    <xf numFmtId="0" fontId="9" fillId="57" borderId="0" applyNumberFormat="0" applyBorder="0" applyAlignment="0" applyProtection="0"/>
    <xf numFmtId="0" fontId="9" fillId="61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69" fillId="43" borderId="0" applyNumberFormat="0" applyBorder="0" applyAlignment="0" applyProtection="0"/>
    <xf numFmtId="0" fontId="69" fillId="47" borderId="0" applyNumberFormat="0" applyBorder="0" applyAlignment="0" applyProtection="0"/>
    <xf numFmtId="0" fontId="69" fillId="51" borderId="0" applyNumberFormat="0" applyBorder="0" applyAlignment="0" applyProtection="0"/>
    <xf numFmtId="0" fontId="69" fillId="55" borderId="0" applyNumberFormat="0" applyBorder="0" applyAlignment="0" applyProtection="0"/>
    <xf numFmtId="0" fontId="69" fillId="59" borderId="0" applyNumberFormat="0" applyBorder="0" applyAlignment="0" applyProtection="0"/>
    <xf numFmtId="0" fontId="69" fillId="63" borderId="0" applyNumberFormat="0" applyBorder="0" applyAlignment="0" applyProtection="0"/>
    <xf numFmtId="0" fontId="69" fillId="40" borderId="0" applyNumberFormat="0" applyBorder="0" applyAlignment="0" applyProtection="0"/>
    <xf numFmtId="0" fontId="69" fillId="44" borderId="0" applyNumberFormat="0" applyBorder="0" applyAlignment="0" applyProtection="0"/>
    <xf numFmtId="0" fontId="69" fillId="48" borderId="0" applyNumberFormat="0" applyBorder="0" applyAlignment="0" applyProtection="0"/>
    <xf numFmtId="0" fontId="69" fillId="52" borderId="0" applyNumberFormat="0" applyBorder="0" applyAlignment="0" applyProtection="0"/>
    <xf numFmtId="0" fontId="69" fillId="56" borderId="0" applyNumberFormat="0" applyBorder="0" applyAlignment="0" applyProtection="0"/>
    <xf numFmtId="0" fontId="69" fillId="60" borderId="0" applyNumberFormat="0" applyBorder="0" applyAlignment="0" applyProtection="0"/>
    <xf numFmtId="0" fontId="59" fillId="35" borderId="0" applyNumberFormat="0" applyBorder="0" applyAlignment="0" applyProtection="0"/>
    <xf numFmtId="0" fontId="63" fillId="38" borderId="31" applyNumberFormat="0" applyAlignment="0" applyProtection="0"/>
    <xf numFmtId="0" fontId="65" fillId="39" borderId="34" applyNumberFormat="0" applyAlignment="0" applyProtection="0"/>
    <xf numFmtId="0" fontId="6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5" fillId="0" borderId="28" applyNumberFormat="0" applyFill="0" applyAlignment="0" applyProtection="0"/>
    <xf numFmtId="0" fontId="56" fillId="0" borderId="29" applyNumberFormat="0" applyFill="0" applyAlignment="0" applyProtection="0"/>
    <xf numFmtId="0" fontId="57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61" fillId="37" borderId="31" applyNumberFormat="0" applyAlignment="0" applyProtection="0"/>
    <xf numFmtId="0" fontId="61" fillId="37" borderId="31" applyNumberFormat="0" applyAlignment="0" applyProtection="0"/>
    <xf numFmtId="0" fontId="64" fillId="0" borderId="33" applyNumberFormat="0" applyFill="0" applyAlignment="0" applyProtection="0"/>
    <xf numFmtId="0" fontId="60" fillId="36" borderId="0" applyNumberFormat="0" applyBorder="0" applyAlignment="0" applyProtection="0"/>
    <xf numFmtId="0" fontId="9" fillId="0" borderId="0"/>
    <xf numFmtId="0" fontId="9" fillId="0" borderId="0"/>
    <xf numFmtId="0" fontId="9" fillId="6" borderId="9" applyNumberFormat="0" applyFont="0" applyAlignment="0" applyProtection="0"/>
    <xf numFmtId="0" fontId="62" fillId="38" borderId="32" applyNumberFormat="0" applyAlignment="0" applyProtection="0"/>
    <xf numFmtId="0" fontId="68" fillId="0" borderId="35" applyNumberFormat="0" applyFill="0" applyAlignment="0" applyProtection="0"/>
    <xf numFmtId="0" fontId="66" fillId="0" borderId="0" applyNumberFormat="0" applyFill="0" applyBorder="0" applyAlignment="0" applyProtection="0"/>
    <xf numFmtId="0" fontId="17" fillId="0" borderId="0"/>
    <xf numFmtId="0" fontId="17" fillId="0" borderId="0"/>
    <xf numFmtId="0" fontId="7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0" borderId="0"/>
    <xf numFmtId="9" fontId="18" fillId="0" borderId="0" applyFont="0" applyFill="0" applyBorder="0" applyAlignment="0" applyProtection="0"/>
    <xf numFmtId="0" fontId="18" fillId="65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68" borderId="0" applyNumberFormat="0" applyBorder="0" applyAlignment="0" applyProtection="0"/>
    <xf numFmtId="0" fontId="18" fillId="71" borderId="0" applyNumberFormat="0" applyBorder="0" applyAlignment="0" applyProtection="0"/>
    <xf numFmtId="0" fontId="18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9" fillId="80" borderId="0" applyNumberFormat="0" applyBorder="0" applyAlignment="0" applyProtection="0"/>
    <xf numFmtId="0" fontId="19" fillId="81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82" borderId="0" applyNumberFormat="0" applyBorder="0" applyAlignment="0" applyProtection="0"/>
    <xf numFmtId="0" fontId="20" fillId="66" borderId="0" applyNumberFormat="0" applyBorder="0" applyAlignment="0" applyProtection="0"/>
    <xf numFmtId="175" fontId="8" fillId="0" borderId="0" applyFill="0" applyBorder="0" applyAlignment="0"/>
    <xf numFmtId="175" fontId="8" fillId="0" borderId="0" applyFill="0" applyBorder="0" applyAlignment="0"/>
    <xf numFmtId="0" fontId="22" fillId="29" borderId="11" applyNumberFormat="0" applyAlignment="0" applyProtection="0"/>
    <xf numFmtId="0" fontId="23" fillId="83" borderId="12" applyNumberFormat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1" fillId="67" borderId="0" applyNumberFormat="0" applyBorder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6" fillId="70" borderId="11" applyNumberFormat="0" applyAlignment="0" applyProtection="0"/>
    <xf numFmtId="0" fontId="38" fillId="0" borderId="18" applyNumberFormat="0" applyFill="0" applyAlignment="0" applyProtection="0"/>
    <xf numFmtId="0" fontId="39" fillId="8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9" fillId="0" borderId="0"/>
    <xf numFmtId="0" fontId="8" fillId="0" borderId="0"/>
    <xf numFmtId="0" fontId="75" fillId="0" borderId="0"/>
    <xf numFmtId="0" fontId="75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75" fillId="0" borderId="0"/>
    <xf numFmtId="0" fontId="7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8" fillId="85" borderId="19" applyNumberFormat="0" applyFont="0" applyAlignment="0" applyProtection="0"/>
    <xf numFmtId="0" fontId="18" fillId="85" borderId="19" applyNumberFormat="0" applyFont="0" applyAlignment="0" applyProtection="0"/>
    <xf numFmtId="0" fontId="18" fillId="85" borderId="19" applyNumberFormat="0" applyFont="0" applyAlignment="0" applyProtection="0"/>
    <xf numFmtId="0" fontId="18" fillId="85" borderId="19" applyNumberFormat="0" applyFont="0" applyAlignment="0" applyProtection="0"/>
    <xf numFmtId="0" fontId="18" fillId="85" borderId="19" applyNumberFormat="0" applyFont="0" applyAlignment="0" applyProtection="0"/>
    <xf numFmtId="0" fontId="41" fillId="29" borderId="20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8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8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0" fillId="0" borderId="0"/>
    <xf numFmtId="43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" fillId="0" borderId="0"/>
    <xf numFmtId="0" fontId="1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9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8" fillId="0" borderId="0" applyFill="0" applyBorder="0" applyAlignment="0" applyProtection="0"/>
    <xf numFmtId="43" fontId="8" fillId="0" borderId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6" fillId="14" borderId="11" applyNumberFormat="0" applyAlignment="0" applyProtection="0"/>
    <xf numFmtId="0" fontId="3" fillId="0" borderId="0"/>
    <xf numFmtId="0" fontId="8" fillId="0" borderId="0"/>
    <xf numFmtId="0" fontId="8" fillId="0" borderId="0"/>
    <xf numFmtId="0" fontId="8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9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9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8">
    <xf numFmtId="0" fontId="0" fillId="0" borderId="0" xfId="0"/>
    <xf numFmtId="166" fontId="13" fillId="3" borderId="1" xfId="0" applyNumberFormat="1" applyFont="1" applyFill="1" applyBorder="1" applyAlignment="1">
      <alignment horizontal="center" vertical="center" wrapText="1"/>
    </xf>
    <xf numFmtId="166" fontId="13" fillId="3" borderId="1" xfId="1" applyNumberFormat="1" applyFont="1" applyFill="1" applyBorder="1" applyAlignment="1">
      <alignment horizontal="center" vertical="center" wrapText="1"/>
    </xf>
    <xf numFmtId="43" fontId="15" fillId="3" borderId="1" xfId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8" fontId="12" fillId="2" borderId="1" xfId="1" applyNumberFormat="1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 vertical="center" wrapText="1"/>
    </xf>
    <xf numFmtId="168" fontId="14" fillId="2" borderId="1" xfId="1" applyNumberFormat="1" applyFont="1" applyFill="1" applyBorder="1" applyAlignment="1">
      <alignment horizontal="center" vertical="center"/>
    </xf>
    <xf numFmtId="168" fontId="14" fillId="2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68" fontId="13" fillId="4" borderId="1" xfId="1" applyNumberFormat="1" applyFont="1" applyFill="1" applyBorder="1" applyAlignment="1">
      <alignment horizontal="left" vertical="center" wrapText="1"/>
    </xf>
    <xf numFmtId="0" fontId="12" fillId="5" borderId="0" xfId="0" applyFont="1" applyFill="1" applyAlignment="1">
      <alignment horizontal="center" vertical="center" wrapText="1"/>
    </xf>
    <xf numFmtId="168" fontId="13" fillId="4" borderId="1" xfId="1" applyNumberFormat="1" applyFont="1" applyFill="1" applyBorder="1" applyAlignment="1">
      <alignment horizontal="center" vertical="center"/>
    </xf>
    <xf numFmtId="168" fontId="15" fillId="4" borderId="1" xfId="1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3" borderId="1" xfId="0" applyFont="1" applyFill="1" applyBorder="1" applyAlignment="1">
      <alignment horizontal="center" vertical="center" wrapText="1"/>
    </xf>
    <xf numFmtId="0" fontId="50" fillId="0" borderId="0" xfId="0" quotePrefix="1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52" fillId="0" borderId="0" xfId="0" quotePrefix="1" applyFont="1" applyAlignment="1">
      <alignment vertical="center"/>
    </xf>
    <xf numFmtId="168" fontId="50" fillId="0" borderId="0" xfId="1" applyNumberFormat="1" applyFont="1" applyAlignment="1">
      <alignment vertical="center"/>
    </xf>
    <xf numFmtId="168" fontId="52" fillId="0" borderId="0" xfId="1" applyNumberFormat="1" applyFont="1" applyAlignment="1">
      <alignment vertical="center"/>
    </xf>
    <xf numFmtId="168" fontId="50" fillId="0" borderId="24" xfId="1" applyNumberFormat="1" applyFont="1" applyBorder="1" applyAlignment="1">
      <alignment vertical="center"/>
    </xf>
    <xf numFmtId="168" fontId="50" fillId="0" borderId="25" xfId="1" applyNumberFormat="1" applyFont="1" applyBorder="1" applyAlignment="1">
      <alignment vertical="center"/>
    </xf>
    <xf numFmtId="168" fontId="50" fillId="0" borderId="26" xfId="1" applyNumberFormat="1" applyFont="1" applyBorder="1" applyAlignment="1">
      <alignment vertical="center"/>
    </xf>
    <xf numFmtId="168" fontId="50" fillId="0" borderId="6" xfId="1" applyNumberFormat="1" applyFont="1" applyBorder="1" applyAlignment="1">
      <alignment vertical="center"/>
    </xf>
    <xf numFmtId="0" fontId="50" fillId="3" borderId="0" xfId="0" quotePrefix="1" applyFont="1" applyFill="1" applyAlignment="1">
      <alignment horizontal="center" vertical="center"/>
    </xf>
    <xf numFmtId="0" fontId="52" fillId="3" borderId="0" xfId="0" applyFont="1" applyFill="1" applyAlignment="1">
      <alignment vertical="center"/>
    </xf>
    <xf numFmtId="168" fontId="52" fillId="3" borderId="6" xfId="1" applyNumberFormat="1" applyFont="1" applyFill="1" applyBorder="1" applyAlignment="1">
      <alignment horizontal="center" vertical="center" wrapText="1"/>
    </xf>
    <xf numFmtId="168" fontId="52" fillId="3" borderId="6" xfId="1" applyNumberFormat="1" applyFont="1" applyFill="1" applyBorder="1" applyAlignment="1">
      <alignment horizontal="center" vertical="center"/>
    </xf>
    <xf numFmtId="0" fontId="52" fillId="0" borderId="0" xfId="0" applyFont="1" applyFill="1" applyAlignment="1">
      <alignment vertical="center"/>
    </xf>
    <xf numFmtId="0" fontId="52" fillId="3" borderId="0" xfId="0" quotePrefix="1" applyFont="1" applyFill="1" applyAlignment="1">
      <alignment horizontal="center" vertical="center"/>
    </xf>
    <xf numFmtId="168" fontId="52" fillId="3" borderId="4" xfId="1" applyNumberFormat="1" applyFont="1" applyFill="1" applyBorder="1" applyAlignment="1">
      <alignment vertical="center"/>
    </xf>
    <xf numFmtId="168" fontId="52" fillId="3" borderId="27" xfId="1" applyNumberFormat="1" applyFont="1" applyFill="1" applyBorder="1" applyAlignment="1">
      <alignment vertical="center"/>
    </xf>
    <xf numFmtId="168" fontId="10" fillId="0" borderId="0" xfId="1" applyNumberFormat="1" applyFont="1" applyFill="1" applyAlignment="1">
      <alignment vertical="center"/>
    </xf>
    <xf numFmtId="168" fontId="11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vertical="center"/>
    </xf>
    <xf numFmtId="168" fontId="11" fillId="0" borderId="0" xfId="1" applyNumberFormat="1" applyFont="1" applyFill="1" applyAlignment="1">
      <alignment vertical="center"/>
    </xf>
    <xf numFmtId="168" fontId="11" fillId="0" borderId="0" xfId="1" applyNumberFormat="1" applyFont="1" applyFill="1" applyBorder="1" applyAlignment="1">
      <alignment vertical="center"/>
    </xf>
    <xf numFmtId="168" fontId="50" fillId="0" borderId="0" xfId="1" applyNumberFormat="1" applyFont="1" applyFill="1" applyAlignment="1">
      <alignment vertical="center"/>
    </xf>
    <xf numFmtId="168" fontId="52" fillId="0" borderId="0" xfId="1" applyNumberFormat="1" applyFont="1" applyFill="1" applyAlignment="1">
      <alignment horizontal="center" vertical="center"/>
    </xf>
    <xf numFmtId="168" fontId="52" fillId="0" borderId="0" xfId="1" applyNumberFormat="1" applyFont="1" applyFill="1" applyAlignment="1">
      <alignment vertical="center"/>
    </xf>
    <xf numFmtId="168" fontId="52" fillId="0" borderId="0" xfId="1" applyNumberFormat="1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Fill="1" applyAlignment="1">
      <alignment vertical="center" wrapText="1"/>
    </xf>
    <xf numFmtId="0" fontId="53" fillId="3" borderId="3" xfId="0" applyFont="1" applyFill="1" applyBorder="1" applyAlignment="1">
      <alignment vertical="center"/>
    </xf>
    <xf numFmtId="0" fontId="50" fillId="3" borderId="5" xfId="0" applyFont="1" applyFill="1" applyBorder="1" applyAlignment="1">
      <alignment vertical="center"/>
    </xf>
    <xf numFmtId="0" fontId="50" fillId="0" borderId="0" xfId="0" quotePrefix="1" applyFont="1" applyFill="1" applyAlignment="1">
      <alignment horizontal="center" vertical="center"/>
    </xf>
    <xf numFmtId="0" fontId="52" fillId="0" borderId="0" xfId="0" quotePrefix="1" applyFont="1" applyFill="1" applyAlignment="1">
      <alignment horizontal="left" vertical="center"/>
    </xf>
    <xf numFmtId="168" fontId="52" fillId="0" borderId="24" xfId="1" applyNumberFormat="1" applyFont="1" applyFill="1" applyBorder="1" applyAlignment="1">
      <alignment vertical="center"/>
    </xf>
    <xf numFmtId="168" fontId="52" fillId="0" borderId="26" xfId="1" applyNumberFormat="1" applyFont="1" applyFill="1" applyBorder="1" applyAlignment="1">
      <alignment vertical="center"/>
    </xf>
    <xf numFmtId="168" fontId="52" fillId="0" borderId="27" xfId="1" applyNumberFormat="1" applyFont="1" applyFill="1" applyBorder="1" applyAlignment="1">
      <alignment vertical="center"/>
    </xf>
    <xf numFmtId="0" fontId="13" fillId="0" borderId="0" xfId="0" applyFont="1" applyFill="1"/>
    <xf numFmtId="0" fontId="12" fillId="0" borderId="0" xfId="0" applyFont="1" applyFill="1" applyBorder="1"/>
    <xf numFmtId="168" fontId="12" fillId="0" borderId="0" xfId="1" applyNumberFormat="1" applyFont="1" applyFill="1" applyBorder="1"/>
    <xf numFmtId="0" fontId="12" fillId="0" borderId="0" xfId="0" applyFont="1" applyFill="1" applyBorder="1" applyAlignment="1">
      <alignment horizontal="center" vertical="center" wrapText="1"/>
    </xf>
    <xf numFmtId="168" fontId="12" fillId="0" borderId="0" xfId="1" applyNumberFormat="1" applyFont="1" applyFill="1" applyBorder="1" applyAlignment="1">
      <alignment horizontal="center" vertical="center" wrapText="1"/>
    </xf>
    <xf numFmtId="15" fontId="1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50" fillId="0" borderId="0" xfId="0" quotePrefix="1" applyFont="1" applyAlignment="1">
      <alignment vertical="center"/>
    </xf>
    <xf numFmtId="0" fontId="12" fillId="0" borderId="0" xfId="0" applyFont="1"/>
    <xf numFmtId="0" fontId="12" fillId="0" borderId="0" xfId="0" applyFont="1" applyFill="1"/>
    <xf numFmtId="0" fontId="13" fillId="3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3" borderId="23" xfId="0" applyFont="1" applyFill="1" applyBorder="1"/>
    <xf numFmtId="0" fontId="13" fillId="0" borderId="0" xfId="0" applyFont="1" applyFill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/>
    </xf>
    <xf numFmtId="15" fontId="49" fillId="0" borderId="1" xfId="0" applyNumberFormat="1" applyFont="1" applyFill="1" applyBorder="1" applyAlignment="1">
      <alignment horizontal="center" vertical="center"/>
    </xf>
    <xf numFmtId="174" fontId="49" fillId="0" borderId="1" xfId="3" applyNumberFormat="1" applyFont="1" applyFill="1" applyBorder="1" applyAlignment="1">
      <alignment horizontal="center" vertical="center"/>
    </xf>
    <xf numFmtId="171" fontId="49" fillId="0" borderId="1" xfId="0" applyNumberFormat="1" applyFont="1" applyFill="1" applyBorder="1" applyAlignment="1">
      <alignment horizontal="center" vertical="center"/>
    </xf>
    <xf numFmtId="168" fontId="49" fillId="0" borderId="1" xfId="1" applyNumberFormat="1" applyFont="1" applyFill="1" applyBorder="1" applyAlignment="1">
      <alignment horizontal="center" vertical="center"/>
    </xf>
    <xf numFmtId="168" fontId="14" fillId="2" borderId="0" xfId="1" applyNumberFormat="1" applyFont="1" applyFill="1" applyAlignment="1">
      <alignment horizontal="center" vertical="center"/>
    </xf>
    <xf numFmtId="168" fontId="52" fillId="0" borderId="25" xfId="1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43" fontId="14" fillId="2" borderId="1" xfId="1" applyNumberFormat="1" applyFont="1" applyFill="1" applyBorder="1" applyAlignment="1">
      <alignment horizontal="center" vertical="center"/>
    </xf>
    <xf numFmtId="168" fontId="13" fillId="4" borderId="1" xfId="1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43" fontId="49" fillId="0" borderId="1" xfId="1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68" fontId="12" fillId="2" borderId="0" xfId="1" applyNumberFormat="1" applyFont="1" applyFill="1" applyAlignment="1">
      <alignment horizontal="center" vertical="center"/>
    </xf>
    <xf numFmtId="15" fontId="14" fillId="2" borderId="1" xfId="0" applyNumberFormat="1" applyFont="1" applyFill="1" applyBorder="1" applyAlignment="1">
      <alignment horizontal="center" vertical="center"/>
    </xf>
    <xf numFmtId="168" fontId="12" fillId="2" borderId="1" xfId="1" applyNumberFormat="1" applyFont="1" applyFill="1" applyBorder="1" applyAlignment="1">
      <alignment horizontal="center" vertical="center"/>
    </xf>
    <xf numFmtId="10" fontId="14" fillId="2" borderId="1" xfId="3" applyNumberFormat="1" applyFont="1" applyFill="1" applyBorder="1" applyAlignment="1">
      <alignment horizontal="center" vertical="center"/>
    </xf>
    <xf numFmtId="171" fontId="14" fillId="2" borderId="1" xfId="0" applyNumberFormat="1" applyFont="1" applyFill="1" applyBorder="1" applyAlignment="1">
      <alignment horizontal="center" vertical="center"/>
    </xf>
    <xf numFmtId="170" fontId="14" fillId="2" borderId="1" xfId="3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43" fontId="14" fillId="2" borderId="1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43" fontId="15" fillId="4" borderId="1" xfId="0" applyNumberFormat="1" applyFont="1" applyFill="1" applyBorder="1" applyAlignment="1">
      <alignment horizontal="center" vertical="center"/>
    </xf>
    <xf numFmtId="168" fontId="15" fillId="4" borderId="1" xfId="0" applyNumberFormat="1" applyFont="1" applyFill="1" applyBorder="1" applyAlignment="1">
      <alignment horizontal="center" vertical="center"/>
    </xf>
    <xf numFmtId="171" fontId="15" fillId="4" borderId="1" xfId="0" applyNumberFormat="1" applyFont="1" applyFill="1" applyBorder="1" applyAlignment="1">
      <alignment horizontal="center" vertical="center"/>
    </xf>
    <xf numFmtId="170" fontId="15" fillId="4" borderId="1" xfId="3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43" fontId="12" fillId="2" borderId="0" xfId="1" applyNumberFormat="1" applyFont="1" applyFill="1" applyAlignment="1">
      <alignment horizontal="center" vertical="center"/>
    </xf>
    <xf numFmtId="43" fontId="14" fillId="2" borderId="0" xfId="1" applyNumberFormat="1" applyFont="1" applyFill="1" applyAlignment="1">
      <alignment horizontal="center" vertical="center"/>
    </xf>
    <xf numFmtId="168" fontId="50" fillId="3" borderId="36" xfId="1" applyNumberFormat="1" applyFont="1" applyFill="1" applyBorder="1" applyAlignment="1">
      <alignment vertical="center"/>
    </xf>
    <xf numFmtId="1" fontId="50" fillId="0" borderId="0" xfId="0" quotePrefix="1" applyNumberFormat="1" applyFont="1" applyAlignment="1">
      <alignment horizontal="center" vertical="center"/>
    </xf>
    <xf numFmtId="43" fontId="50" fillId="0" borderId="0" xfId="1" applyNumberFormat="1" applyFont="1" applyAlignment="1">
      <alignment vertical="center"/>
    </xf>
    <xf numFmtId="1" fontId="49" fillId="0" borderId="1" xfId="0" applyNumberFormat="1" applyFont="1" applyFill="1" applyBorder="1" applyAlignment="1">
      <alignment horizontal="left" vertical="center" wrapText="1"/>
    </xf>
    <xf numFmtId="10" fontId="49" fillId="0" borderId="1" xfId="3" applyNumberFormat="1" applyFont="1" applyFill="1" applyBorder="1" applyAlignment="1">
      <alignment horizontal="center" vertical="center"/>
    </xf>
    <xf numFmtId="173" fontId="49" fillId="0" borderId="1" xfId="0" applyNumberFormat="1" applyFont="1" applyFill="1" applyBorder="1" applyAlignment="1">
      <alignment horizontal="center" vertical="center"/>
    </xf>
    <xf numFmtId="168" fontId="49" fillId="0" borderId="1" xfId="0" applyNumberFormat="1" applyFont="1" applyFill="1" applyBorder="1" applyAlignment="1">
      <alignment horizontal="center" vertical="center"/>
    </xf>
    <xf numFmtId="168" fontId="49" fillId="0" borderId="10" xfId="1" applyNumberFormat="1" applyFont="1" applyFill="1" applyBorder="1" applyAlignment="1">
      <alignment horizontal="center" vertical="center"/>
    </xf>
    <xf numFmtId="168" fontId="54" fillId="0" borderId="0" xfId="1" applyNumberFormat="1" applyFont="1" applyAlignment="1">
      <alignment vertical="center"/>
    </xf>
    <xf numFmtId="43" fontId="54" fillId="0" borderId="0" xfId="1" applyNumberFormat="1" applyFont="1" applyAlignment="1">
      <alignment vertical="center"/>
    </xf>
    <xf numFmtId="0" fontId="52" fillId="0" borderId="0" xfId="0" quotePrefix="1" applyFont="1" applyFill="1" applyAlignment="1">
      <alignment horizontal="center" vertical="center"/>
    </xf>
    <xf numFmtId="15" fontId="12" fillId="0" borderId="0" xfId="3" applyNumberFormat="1" applyFont="1" applyFill="1" applyBorder="1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68" fontId="13" fillId="2" borderId="1" xfId="1" applyNumberFormat="1" applyFont="1" applyFill="1" applyBorder="1" applyAlignment="1">
      <alignment horizontal="center" vertical="center"/>
    </xf>
    <xf numFmtId="171" fontId="13" fillId="64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left" vertical="center" wrapText="1"/>
    </xf>
    <xf numFmtId="15" fontId="13" fillId="2" borderId="1" xfId="0" applyNumberFormat="1" applyFont="1" applyFill="1" applyBorder="1" applyAlignment="1">
      <alignment horizontal="center" vertical="center"/>
    </xf>
    <xf numFmtId="10" fontId="13" fillId="2" borderId="1" xfId="3" applyNumberFormat="1" applyFont="1" applyFill="1" applyBorder="1" applyAlignment="1">
      <alignment horizontal="center" vertical="center"/>
    </xf>
    <xf numFmtId="173" fontId="13" fillId="2" borderId="1" xfId="0" applyNumberFormat="1" applyFont="1" applyFill="1" applyBorder="1" applyAlignment="1">
      <alignment horizontal="center" vertical="center"/>
    </xf>
    <xf numFmtId="168" fontId="13" fillId="2" borderId="1" xfId="0" applyNumberFormat="1" applyFont="1" applyFill="1" applyBorder="1" applyAlignment="1">
      <alignment horizontal="center" vertical="center"/>
    </xf>
    <xf numFmtId="171" fontId="13" fillId="2" borderId="1" xfId="0" applyNumberFormat="1" applyFont="1" applyFill="1" applyBorder="1" applyAlignment="1">
      <alignment horizontal="center" vertical="center"/>
    </xf>
    <xf numFmtId="170" fontId="13" fillId="2" borderId="1" xfId="3" applyNumberFormat="1" applyFont="1" applyFill="1" applyBorder="1" applyAlignment="1">
      <alignment horizontal="center" vertical="center"/>
    </xf>
    <xf numFmtId="43" fontId="13" fillId="2" borderId="1" xfId="1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173" fontId="13" fillId="2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5" fontId="12" fillId="0" borderId="0" xfId="0" applyNumberFormat="1" applyFont="1" applyFill="1" applyBorder="1" applyAlignment="1">
      <alignment horizontal="center"/>
    </xf>
    <xf numFmtId="168" fontId="14" fillId="2" borderId="0" xfId="0" applyNumberFormat="1" applyFont="1" applyFill="1" applyAlignment="1">
      <alignment horizontal="center" vertical="center" wrapText="1"/>
    </xf>
    <xf numFmtId="4" fontId="14" fillId="2" borderId="0" xfId="0" applyNumberFormat="1" applyFont="1" applyFill="1" applyAlignment="1">
      <alignment horizontal="center" vertical="center" wrapText="1"/>
    </xf>
    <xf numFmtId="168" fontId="70" fillId="0" borderId="0" xfId="1" applyNumberFormat="1" applyFont="1" applyFill="1" applyBorder="1" applyAlignment="1">
      <alignment vertical="center"/>
    </xf>
    <xf numFmtId="165" fontId="12" fillId="2" borderId="0" xfId="0" applyNumberFormat="1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5" fontId="13" fillId="3" borderId="6" xfId="0" applyNumberFormat="1" applyFont="1" applyFill="1" applyBorder="1" applyAlignment="1">
      <alignment horizontal="center" vertical="center"/>
    </xf>
    <xf numFmtId="15" fontId="12" fillId="0" borderId="0" xfId="0" applyNumberFormat="1" applyFont="1"/>
    <xf numFmtId="15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15" fontId="12" fillId="0" borderId="0" xfId="0" applyNumberFormat="1" applyFont="1" applyFill="1" applyAlignment="1">
      <alignment horizontal="center"/>
    </xf>
    <xf numFmtId="15" fontId="12" fillId="0" borderId="0" xfId="0" applyNumberFormat="1" applyFont="1" applyFill="1"/>
    <xf numFmtId="168" fontId="12" fillId="0" borderId="0" xfId="0" applyNumberFormat="1" applyFont="1"/>
    <xf numFmtId="0" fontId="13" fillId="0" borderId="0" xfId="0" applyFont="1"/>
    <xf numFmtId="0" fontId="13" fillId="3" borderId="23" xfId="0" applyFont="1" applyFill="1" applyBorder="1" applyAlignment="1">
      <alignment horizontal="center"/>
    </xf>
    <xf numFmtId="4" fontId="12" fillId="0" borderId="0" xfId="0" applyNumberFormat="1" applyFont="1"/>
    <xf numFmtId="168" fontId="12" fillId="0" borderId="0" xfId="1" applyNumberFormat="1" applyFont="1"/>
    <xf numFmtId="168" fontId="12" fillId="0" borderId="0" xfId="1" applyNumberFormat="1" applyFont="1" applyFill="1"/>
    <xf numFmtId="168" fontId="13" fillId="0" borderId="0" xfId="0" applyNumberFormat="1" applyFont="1" applyFill="1" applyBorder="1"/>
    <xf numFmtId="0" fontId="13" fillId="0" borderId="0" xfId="0" applyFont="1" applyFill="1" applyBorder="1" applyAlignment="1">
      <alignment horizontal="center"/>
    </xf>
    <xf numFmtId="168" fontId="13" fillId="0" borderId="0" xfId="1" applyNumberFormat="1" applyFont="1" applyFill="1" applyBorder="1" applyAlignment="1">
      <alignment horizontal="center"/>
    </xf>
    <xf numFmtId="168" fontId="13" fillId="0" borderId="0" xfId="1" applyNumberFormat="1" applyFont="1" applyFill="1" applyBorder="1"/>
    <xf numFmtId="0" fontId="71" fillId="0" borderId="0" xfId="0" applyFont="1" applyAlignment="1">
      <alignment vertical="center"/>
    </xf>
    <xf numFmtId="168" fontId="74" fillId="0" borderId="0" xfId="1" applyNumberFormat="1" applyFont="1" applyFill="1" applyBorder="1"/>
    <xf numFmtId="0" fontId="74" fillId="0" borderId="0" xfId="0" applyFont="1" applyFill="1" applyBorder="1"/>
    <xf numFmtId="4" fontId="12" fillId="2" borderId="0" xfId="0" applyNumberFormat="1" applyFont="1" applyFill="1" applyAlignment="1">
      <alignment horizontal="center" vertical="center"/>
    </xf>
    <xf numFmtId="0" fontId="14" fillId="0" borderId="0" xfId="0" applyFont="1"/>
    <xf numFmtId="168" fontId="14" fillId="0" borderId="0" xfId="1" applyNumberFormat="1" applyFont="1"/>
    <xf numFmtId="0" fontId="74" fillId="0" borderId="0" xfId="0" applyFont="1"/>
    <xf numFmtId="43" fontId="12" fillId="0" borderId="0" xfId="1" applyFont="1"/>
    <xf numFmtId="168" fontId="13" fillId="0" borderId="0" xfId="1" applyNumberFormat="1" applyFont="1" applyFill="1" applyBorder="1" applyAlignment="1">
      <alignment vertical="center"/>
    </xf>
    <xf numFmtId="168" fontId="15" fillId="0" borderId="0" xfId="1" applyNumberFormat="1" applyFont="1"/>
    <xf numFmtId="43" fontId="15" fillId="0" borderId="0" xfId="1" applyFont="1"/>
    <xf numFmtId="0" fontId="15" fillId="0" borderId="0" xfId="0" applyFont="1"/>
    <xf numFmtId="15" fontId="15" fillId="0" borderId="0" xfId="1" applyNumberFormat="1" applyFont="1"/>
    <xf numFmtId="0" fontId="77" fillId="0" borderId="0" xfId="0" applyFont="1"/>
    <xf numFmtId="43" fontId="14" fillId="0" borderId="0" xfId="1" applyFont="1"/>
    <xf numFmtId="0" fontId="72" fillId="0" borderId="0" xfId="0" applyFont="1" applyFill="1" applyAlignment="1"/>
    <xf numFmtId="0" fontId="54" fillId="0" borderId="0" xfId="0" applyFont="1" applyFill="1"/>
    <xf numFmtId="168" fontId="15" fillId="3" borderId="1" xfId="1" applyNumberFormat="1" applyFont="1" applyFill="1" applyBorder="1" applyAlignment="1">
      <alignment horizontal="center" vertical="center" wrapText="1"/>
    </xf>
    <xf numFmtId="168" fontId="14" fillId="0" borderId="39" xfId="1" applyNumberFormat="1" applyFont="1" applyBorder="1"/>
    <xf numFmtId="43" fontId="14" fillId="0" borderId="40" xfId="1" applyFont="1" applyBorder="1"/>
    <xf numFmtId="168" fontId="14" fillId="0" borderId="40" xfId="1" applyNumberFormat="1" applyFont="1" applyBorder="1"/>
    <xf numFmtId="168" fontId="14" fillId="0" borderId="42" xfId="1" applyNumberFormat="1" applyFont="1" applyBorder="1"/>
    <xf numFmtId="43" fontId="14" fillId="0" borderId="0" xfId="1" applyFont="1" applyBorder="1"/>
    <xf numFmtId="168" fontId="14" fillId="0" borderId="0" xfId="1" applyNumberFormat="1" applyFont="1" applyBorder="1"/>
    <xf numFmtId="168" fontId="14" fillId="0" borderId="44" xfId="1" applyNumberFormat="1" applyFont="1" applyBorder="1"/>
    <xf numFmtId="43" fontId="14" fillId="0" borderId="45" xfId="1" applyFont="1" applyBorder="1"/>
    <xf numFmtId="168" fontId="14" fillId="0" borderId="45" xfId="1" applyNumberFormat="1" applyFont="1" applyBorder="1"/>
    <xf numFmtId="168" fontId="14" fillId="0" borderId="10" xfId="1" applyNumberFormat="1" applyFont="1" applyBorder="1"/>
    <xf numFmtId="43" fontId="14" fillId="0" borderId="14" xfId="1" applyFont="1" applyBorder="1"/>
    <xf numFmtId="168" fontId="14" fillId="0" borderId="14" xfId="1" applyNumberFormat="1" applyFont="1" applyBorder="1"/>
    <xf numFmtId="43" fontId="12" fillId="0" borderId="45" xfId="1" applyFont="1" applyBorder="1"/>
    <xf numFmtId="168" fontId="12" fillId="0" borderId="45" xfId="1" applyNumberFormat="1" applyFont="1" applyBorder="1"/>
    <xf numFmtId="168" fontId="12" fillId="0" borderId="0" xfId="1" applyNumberFormat="1" applyFont="1" applyBorder="1"/>
    <xf numFmtId="43" fontId="12" fillId="0" borderId="40" xfId="1" applyFont="1" applyBorder="1"/>
    <xf numFmtId="43" fontId="14" fillId="0" borderId="14" xfId="1" applyFont="1" applyFill="1" applyBorder="1"/>
    <xf numFmtId="168" fontId="15" fillId="0" borderId="47" xfId="1" applyNumberFormat="1" applyFont="1" applyBorder="1"/>
    <xf numFmtId="0" fontId="12" fillId="0" borderId="0" xfId="0" applyFont="1" applyFill="1" applyAlignment="1"/>
    <xf numFmtId="15" fontId="12" fillId="0" borderId="0" xfId="0" applyNumberFormat="1" applyFont="1" applyAlignment="1">
      <alignment horizontal="center"/>
    </xf>
    <xf numFmtId="0" fontId="13" fillId="0" borderId="0" xfId="0" applyFont="1" applyFill="1" applyAlignment="1"/>
    <xf numFmtId="168" fontId="15" fillId="0" borderId="0" xfId="1" applyNumberFormat="1" applyFont="1" applyBorder="1"/>
    <xf numFmtId="0" fontId="13" fillId="2" borderId="0" xfId="0" applyFont="1" applyFill="1" applyAlignment="1">
      <alignment horizontal="left" vertical="center"/>
    </xf>
    <xf numFmtId="15" fontId="12" fillId="2" borderId="1" xfId="0" applyNumberFormat="1" applyFont="1" applyFill="1" applyBorder="1" applyAlignment="1">
      <alignment horizontal="center" vertical="center"/>
    </xf>
    <xf numFmtId="10" fontId="12" fillId="2" borderId="1" xfId="3" applyNumberFormat="1" applyFont="1" applyFill="1" applyBorder="1" applyAlignment="1">
      <alignment horizontal="center" vertical="center"/>
    </xf>
    <xf numFmtId="168" fontId="12" fillId="2" borderId="1" xfId="0" applyNumberFormat="1" applyFont="1" applyFill="1" applyBorder="1" applyAlignment="1">
      <alignment horizontal="center" vertical="center"/>
    </xf>
    <xf numFmtId="171" fontId="12" fillId="2" borderId="1" xfId="0" applyNumberFormat="1" applyFont="1" applyFill="1" applyBorder="1" applyAlignment="1">
      <alignment horizontal="center" vertical="center"/>
    </xf>
    <xf numFmtId="170" fontId="12" fillId="2" borderId="1" xfId="3" applyNumberFormat="1" applyFont="1" applyFill="1" applyBorder="1" applyAlignment="1">
      <alignment horizontal="center" vertical="center"/>
    </xf>
    <xf numFmtId="171" fontId="12" fillId="64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/>
    </xf>
    <xf numFmtId="172" fontId="13" fillId="3" borderId="8" xfId="0" applyNumberFormat="1" applyFont="1" applyFill="1" applyBorder="1" applyAlignment="1">
      <alignment vertical="center"/>
    </xf>
    <xf numFmtId="172" fontId="13" fillId="0" borderId="0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horizontal="center" vertical="center" wrapText="1"/>
    </xf>
    <xf numFmtId="43" fontId="12" fillId="2" borderId="1" xfId="1" applyFont="1" applyFill="1" applyBorder="1" applyAlignment="1">
      <alignment horizontal="center" vertical="center"/>
    </xf>
    <xf numFmtId="172" fontId="13" fillId="0" borderId="0" xfId="0" applyNumberFormat="1" applyFont="1" applyFill="1" applyBorder="1" applyAlignment="1">
      <alignment horizontal="center" vertical="center"/>
    </xf>
    <xf numFmtId="0" fontId="78" fillId="2" borderId="0" xfId="0" applyFont="1" applyFill="1" applyAlignment="1">
      <alignment horizontal="left" vertical="center"/>
    </xf>
    <xf numFmtId="43" fontId="15" fillId="3" borderId="10" xfId="1" applyNumberFormat="1" applyFont="1" applyFill="1" applyBorder="1" applyAlignment="1">
      <alignment horizontal="center" vertical="center" wrapText="1"/>
    </xf>
    <xf numFmtId="43" fontId="12" fillId="2" borderId="0" xfId="1" applyFont="1" applyFill="1" applyAlignment="1">
      <alignment horizontal="center" vertical="center"/>
    </xf>
    <xf numFmtId="168" fontId="12" fillId="2" borderId="0" xfId="0" applyNumberFormat="1" applyFont="1" applyFill="1" applyAlignment="1">
      <alignment horizontal="center" vertical="center"/>
    </xf>
    <xf numFmtId="15" fontId="12" fillId="0" borderId="0" xfId="3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74" fontId="13" fillId="0" borderId="0" xfId="3" applyNumberFormat="1" applyFont="1" applyFill="1" applyBorder="1" applyAlignment="1">
      <alignment vertical="center"/>
    </xf>
    <xf numFmtId="15" fontId="13" fillId="0" borderId="0" xfId="3" applyNumberFormat="1" applyFont="1" applyFill="1" applyBorder="1" applyAlignment="1">
      <alignment horizontal="center" vertical="center"/>
    </xf>
    <xf numFmtId="10" fontId="12" fillId="0" borderId="0" xfId="3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0" fontId="78" fillId="0" borderId="0" xfId="0" applyFont="1"/>
    <xf numFmtId="168" fontId="13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/>
    </xf>
    <xf numFmtId="168" fontId="12" fillId="0" borderId="48" xfId="7" applyNumberFormat="1" applyFont="1" applyFill="1" applyBorder="1"/>
    <xf numFmtId="0" fontId="14" fillId="0" borderId="0" xfId="0" applyFont="1" applyFill="1"/>
    <xf numFmtId="168" fontId="14" fillId="0" borderId="42" xfId="1" applyNumberFormat="1" applyFont="1" applyFill="1" applyBorder="1"/>
    <xf numFmtId="43" fontId="14" fillId="0" borderId="0" xfId="1" applyFont="1" applyFill="1" applyBorder="1"/>
    <xf numFmtId="168" fontId="14" fillId="0" borderId="0" xfId="1" applyNumberFormat="1" applyFont="1" applyFill="1" applyBorder="1"/>
    <xf numFmtId="168" fontId="14" fillId="0" borderId="0" xfId="1" applyNumberFormat="1" applyFont="1" applyFill="1"/>
    <xf numFmtId="168" fontId="14" fillId="0" borderId="44" xfId="1" applyNumberFormat="1" applyFont="1" applyFill="1" applyBorder="1"/>
    <xf numFmtId="43" fontId="14" fillId="0" borderId="45" xfId="1" applyFont="1" applyFill="1" applyBorder="1"/>
    <xf numFmtId="168" fontId="14" fillId="0" borderId="45" xfId="1" applyNumberFormat="1" applyFont="1" applyFill="1" applyBorder="1"/>
    <xf numFmtId="168" fontId="14" fillId="0" borderId="14" xfId="1" applyNumberFormat="1" applyFont="1" applyFill="1" applyBorder="1"/>
    <xf numFmtId="168" fontId="14" fillId="0" borderId="39" xfId="1" applyNumberFormat="1" applyFont="1" applyFill="1" applyBorder="1"/>
    <xf numFmtId="43" fontId="14" fillId="0" borderId="40" xfId="1" applyFont="1" applyFill="1" applyBorder="1"/>
    <xf numFmtId="168" fontId="14" fillId="0" borderId="40" xfId="1" applyNumberFormat="1" applyFont="1" applyFill="1" applyBorder="1"/>
    <xf numFmtId="168" fontId="49" fillId="0" borderId="0" xfId="1" applyNumberFormat="1" applyFont="1" applyFill="1" applyBorder="1"/>
    <xf numFmtId="0" fontId="49" fillId="0" borderId="0" xfId="0" applyFont="1" applyFill="1" applyBorder="1"/>
    <xf numFmtId="168" fontId="12" fillId="0" borderId="44" xfId="1" applyNumberFormat="1" applyFont="1" applyBorder="1"/>
    <xf numFmtId="0" fontId="79" fillId="0" borderId="0" xfId="0" applyFont="1"/>
    <xf numFmtId="0" fontId="15" fillId="0" borderId="1" xfId="0" applyFont="1" applyFill="1" applyBorder="1" applyAlignment="1">
      <alignment horizontal="center" vertical="center" wrapText="1"/>
    </xf>
    <xf numFmtId="168" fontId="15" fillId="0" borderId="1" xfId="1" applyNumberFormat="1" applyFont="1" applyFill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center" vertical="center" wrapText="1"/>
    </xf>
    <xf numFmtId="168" fontId="13" fillId="0" borderId="48" xfId="7" applyNumberFormat="1" applyFont="1" applyFill="1" applyBorder="1"/>
    <xf numFmtId="43" fontId="12" fillId="2" borderId="0" xfId="1" applyFont="1" applyFill="1" applyAlignment="1">
      <alignment horizontal="left" vertical="center"/>
    </xf>
    <xf numFmtId="168" fontId="12" fillId="2" borderId="0" xfId="1" applyNumberFormat="1" applyFont="1" applyFill="1" applyAlignment="1">
      <alignment horizontal="left" vertical="center"/>
    </xf>
    <xf numFmtId="43" fontId="81" fillId="2" borderId="0" xfId="621" applyNumberFormat="1" applyFont="1" applyFill="1" applyBorder="1"/>
    <xf numFmtId="166" fontId="13" fillId="0" borderId="14" xfId="0" applyNumberFormat="1" applyFont="1" applyFill="1" applyBorder="1"/>
    <xf numFmtId="168" fontId="12" fillId="0" borderId="0" xfId="0" applyNumberFormat="1" applyFont="1" applyAlignment="1">
      <alignment horizontal="center"/>
    </xf>
    <xf numFmtId="168" fontId="78" fillId="0" borderId="0" xfId="1" applyNumberFormat="1" applyFont="1" applyFill="1"/>
    <xf numFmtId="0" fontId="82" fillId="0" borderId="0" xfId="0" applyFont="1"/>
    <xf numFmtId="0" fontId="73" fillId="0" borderId="0" xfId="0" applyFont="1" applyFill="1"/>
    <xf numFmtId="165" fontId="14" fillId="0" borderId="43" xfId="1" applyNumberFormat="1" applyFont="1" applyFill="1" applyBorder="1"/>
    <xf numFmtId="0" fontId="14" fillId="0" borderId="0" xfId="0" applyFont="1" applyBorder="1"/>
    <xf numFmtId="0" fontId="14" fillId="0" borderId="0" xfId="0" applyFont="1" applyFill="1" applyBorder="1"/>
    <xf numFmtId="43" fontId="15" fillId="0" borderId="0" xfId="1" applyFont="1" applyBorder="1"/>
    <xf numFmtId="0" fontId="74" fillId="0" borderId="0" xfId="0" applyFont="1" applyBorder="1"/>
    <xf numFmtId="165" fontId="14" fillId="0" borderId="2" xfId="1" applyNumberFormat="1" applyFont="1" applyFill="1" applyBorder="1"/>
    <xf numFmtId="43" fontId="74" fillId="0" borderId="0" xfId="1" applyFont="1" applyBorder="1"/>
    <xf numFmtId="165" fontId="14" fillId="0" borderId="41" xfId="1" applyNumberFormat="1" applyFont="1" applyFill="1" applyBorder="1"/>
    <xf numFmtId="165" fontId="14" fillId="0" borderId="46" xfId="1" applyNumberFormat="1" applyFont="1" applyFill="1" applyBorder="1"/>
    <xf numFmtId="168" fontId="14" fillId="0" borderId="0" xfId="0" applyNumberFormat="1" applyFont="1"/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168" fontId="12" fillId="0" borderId="0" xfId="1" applyNumberFormat="1" applyFont="1" applyFill="1" applyAlignment="1">
      <alignment horizontal="center"/>
    </xf>
    <xf numFmtId="43" fontId="12" fillId="0" borderId="0" xfId="1" applyFont="1" applyFill="1" applyAlignment="1">
      <alignment horizontal="center"/>
    </xf>
    <xf numFmtId="15" fontId="15" fillId="0" borderId="0" xfId="0" applyNumberFormat="1" applyFont="1" applyAlignment="1">
      <alignment horizontal="center"/>
    </xf>
    <xf numFmtId="168" fontId="14" fillId="0" borderId="0" xfId="1" applyNumberFormat="1" applyFont="1" applyAlignment="1">
      <alignment horizontal="center"/>
    </xf>
    <xf numFmtId="43" fontId="14" fillId="0" borderId="0" xfId="1" applyFont="1" applyAlignment="1">
      <alignment horizontal="center"/>
    </xf>
    <xf numFmtId="0" fontId="14" fillId="0" borderId="0" xfId="0" applyFont="1" applyAlignment="1">
      <alignment horizontal="center"/>
    </xf>
    <xf numFmtId="43" fontId="15" fillId="0" borderId="47" xfId="1" applyNumberFormat="1" applyFont="1" applyBorder="1"/>
    <xf numFmtId="15" fontId="14" fillId="0" borderId="0" xfId="0" applyNumberFormat="1" applyFont="1" applyFill="1"/>
    <xf numFmtId="15" fontId="14" fillId="0" borderId="0" xfId="0" applyNumberFormat="1" applyFont="1" applyFill="1" applyAlignment="1">
      <alignment horizontal="center"/>
    </xf>
    <xf numFmtId="168" fontId="14" fillId="0" borderId="0" xfId="1" applyNumberFormat="1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5" fillId="0" borderId="1" xfId="0" applyFont="1" applyBorder="1" applyAlignment="1">
      <alignment horizontal="center"/>
    </xf>
    <xf numFmtId="15" fontId="12" fillId="2" borderId="1" xfId="1" applyNumberFormat="1" applyFont="1" applyFill="1" applyBorder="1" applyAlignment="1">
      <alignment horizontal="center" vertical="center"/>
    </xf>
    <xf numFmtId="43" fontId="14" fillId="0" borderId="0" xfId="1" applyFont="1" applyFill="1"/>
    <xf numFmtId="43" fontId="15" fillId="0" borderId="0" xfId="1" applyFont="1" applyAlignment="1">
      <alignment horizontal="center"/>
    </xf>
    <xf numFmtId="43" fontId="74" fillId="0" borderId="0" xfId="1" applyFont="1"/>
    <xf numFmtId="0" fontId="15" fillId="0" borderId="0" xfId="0" applyFont="1" applyFill="1" applyBorder="1" applyAlignment="1">
      <alignment horizontal="center" vertical="center" wrapText="1"/>
    </xf>
    <xf numFmtId="168" fontId="15" fillId="0" borderId="0" xfId="1" applyNumberFormat="1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wrapText="1"/>
    </xf>
    <xf numFmtId="166" fontId="12" fillId="0" borderId="0" xfId="0" applyNumberFormat="1" applyFont="1" applyFill="1" applyBorder="1" applyAlignment="1">
      <alignment vertical="center"/>
    </xf>
    <xf numFmtId="168" fontId="13" fillId="0" borderId="49" xfId="1" applyNumberFormat="1" applyFont="1" applyFill="1" applyBorder="1"/>
    <xf numFmtId="168" fontId="12" fillId="0" borderId="0" xfId="1" applyNumberFormat="1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horizontal="center" vertical="center" wrapText="1"/>
    </xf>
    <xf numFmtId="43" fontId="14" fillId="0" borderId="0" xfId="1" applyFont="1" applyFill="1" applyBorder="1" applyAlignment="1">
      <alignment horizontal="center" vertical="center" wrapText="1"/>
    </xf>
    <xf numFmtId="15" fontId="13" fillId="2" borderId="1" xfId="1" applyNumberFormat="1" applyFont="1" applyFill="1" applyBorder="1" applyAlignment="1">
      <alignment horizontal="center" vertical="center"/>
    </xf>
    <xf numFmtId="168" fontId="14" fillId="0" borderId="47" xfId="1" applyNumberFormat="1" applyFont="1" applyBorder="1"/>
    <xf numFmtId="168" fontId="12" fillId="0" borderId="0" xfId="1" applyNumberFormat="1" applyFont="1" applyAlignment="1">
      <alignment horizontal="center"/>
    </xf>
    <xf numFmtId="168" fontId="13" fillId="3" borderId="6" xfId="1" applyNumberFormat="1" applyFont="1" applyFill="1" applyBorder="1" applyAlignment="1">
      <alignment horizontal="center" vertical="center" wrapText="1"/>
    </xf>
    <xf numFmtId="4" fontId="14" fillId="0" borderId="0" xfId="0" applyNumberFormat="1" applyFont="1" applyFill="1"/>
    <xf numFmtId="165" fontId="14" fillId="0" borderId="0" xfId="1" applyNumberFormat="1" applyFont="1" applyFill="1" applyBorder="1"/>
    <xf numFmtId="43" fontId="15" fillId="0" borderId="0" xfId="1" applyNumberFormat="1" applyFont="1" applyBorder="1"/>
    <xf numFmtId="168" fontId="49" fillId="0" borderId="0" xfId="0" applyNumberFormat="1" applyFont="1" applyFill="1" applyBorder="1" applyAlignment="1">
      <alignment horizontal="center"/>
    </xf>
    <xf numFmtId="166" fontId="49" fillId="0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left" vertical="center"/>
    </xf>
    <xf numFmtId="15" fontId="49" fillId="0" borderId="1" xfId="0" applyNumberFormat="1" applyFont="1" applyFill="1" applyBorder="1" applyAlignment="1">
      <alignment horizontal="center" vertical="center" wrapText="1"/>
    </xf>
    <xf numFmtId="4" fontId="49" fillId="0" borderId="1" xfId="1" applyNumberFormat="1" applyFont="1" applyFill="1" applyBorder="1" applyAlignment="1">
      <alignment horizontal="center" vertical="center"/>
    </xf>
    <xf numFmtId="170" fontId="49" fillId="0" borderId="1" xfId="1" applyNumberFormat="1" applyFont="1" applyFill="1" applyBorder="1" applyAlignment="1">
      <alignment horizontal="center" vertical="center"/>
    </xf>
    <xf numFmtId="168" fontId="49" fillId="0" borderId="1" xfId="1" applyNumberFormat="1" applyFont="1" applyFill="1" applyBorder="1" applyAlignment="1">
      <alignment horizontal="center" vertical="center" wrapText="1"/>
    </xf>
    <xf numFmtId="168" fontId="4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15" fontId="14" fillId="0" borderId="0" xfId="1" applyNumberFormat="1" applyFont="1" applyFill="1" applyAlignment="1">
      <alignment vertical="center"/>
    </xf>
    <xf numFmtId="43" fontId="14" fillId="0" borderId="0" xfId="1" applyNumberFormat="1" applyFont="1" applyFill="1"/>
    <xf numFmtId="43" fontId="14" fillId="0" borderId="0" xfId="1" applyFont="1" applyFill="1" applyAlignment="1">
      <alignment horizontal="center" vertical="center"/>
    </xf>
    <xf numFmtId="15" fontId="12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3" fontId="15" fillId="0" borderId="38" xfId="1" applyFont="1" applyFill="1" applyBorder="1" applyAlignment="1">
      <alignment horizontal="center" vertical="center" wrapText="1"/>
    </xf>
    <xf numFmtId="43" fontId="15" fillId="91" borderId="38" xfId="1" applyFont="1" applyFill="1" applyBorder="1" applyAlignment="1">
      <alignment horizontal="center" vertical="center" wrapText="1"/>
    </xf>
    <xf numFmtId="43" fontId="14" fillId="0" borderId="0" xfId="0" applyNumberFormat="1" applyFont="1" applyFill="1"/>
    <xf numFmtId="43" fontId="12" fillId="0" borderId="0" xfId="0" applyNumberFormat="1" applyFont="1"/>
    <xf numFmtId="168" fontId="12" fillId="0" borderId="0" xfId="1" applyNumberFormat="1" applyFont="1" applyFill="1" applyAlignment="1"/>
    <xf numFmtId="43" fontId="12" fillId="0" borderId="0" xfId="1" applyNumberFormat="1" applyFont="1"/>
    <xf numFmtId="179" fontId="12" fillId="0" borderId="0" xfId="1" applyNumberFormat="1" applyFont="1" applyFill="1" applyAlignment="1"/>
    <xf numFmtId="173" fontId="12" fillId="0" borderId="0" xfId="1" applyNumberFormat="1" applyFont="1" applyFill="1"/>
    <xf numFmtId="180" fontId="14" fillId="0" borderId="0" xfId="1" applyNumberFormat="1" applyFont="1"/>
    <xf numFmtId="43" fontId="14" fillId="0" borderId="0" xfId="0" applyNumberFormat="1" applyFont="1"/>
    <xf numFmtId="168" fontId="14" fillId="0" borderId="50" xfId="1" applyNumberFormat="1" applyFont="1" applyFill="1" applyBorder="1"/>
    <xf numFmtId="168" fontId="14" fillId="0" borderId="51" xfId="1" applyNumberFormat="1" applyFont="1" applyFill="1" applyBorder="1"/>
    <xf numFmtId="168" fontId="13" fillId="0" borderId="51" xfId="1" applyNumberFormat="1" applyFont="1" applyFill="1" applyBorder="1"/>
    <xf numFmtId="173" fontId="14" fillId="0" borderId="51" xfId="1" applyNumberFormat="1" applyFont="1" applyFill="1" applyBorder="1"/>
    <xf numFmtId="168" fontId="14" fillId="0" borderId="52" xfId="1" applyNumberFormat="1" applyFont="1" applyFill="1" applyBorder="1"/>
    <xf numFmtId="168" fontId="15" fillId="0" borderId="53" xfId="1" applyNumberFormat="1" applyFont="1" applyFill="1" applyBorder="1"/>
    <xf numFmtId="173" fontId="14" fillId="0" borderId="0" xfId="1" applyNumberFormat="1" applyFont="1" applyFill="1" applyBorder="1"/>
    <xf numFmtId="168" fontId="14" fillId="0" borderId="54" xfId="1" applyNumberFormat="1" applyFont="1" applyFill="1" applyBorder="1"/>
    <xf numFmtId="168" fontId="13" fillId="0" borderId="53" xfId="1" applyNumberFormat="1" applyFont="1" applyFill="1" applyBorder="1"/>
    <xf numFmtId="168" fontId="13" fillId="0" borderId="55" xfId="1" applyNumberFormat="1" applyFont="1" applyFill="1" applyBorder="1"/>
    <xf numFmtId="168" fontId="15" fillId="64" borderId="36" xfId="1" applyNumberFormat="1" applyFont="1" applyFill="1" applyBorder="1"/>
    <xf numFmtId="168" fontId="13" fillId="0" borderId="27" xfId="1" applyNumberFormat="1" applyFont="1" applyFill="1" applyBorder="1"/>
    <xf numFmtId="173" fontId="14" fillId="0" borderId="27" xfId="1" applyNumberFormat="1" applyFont="1" applyFill="1" applyBorder="1"/>
    <xf numFmtId="168" fontId="14" fillId="0" borderId="57" xfId="1" applyNumberFormat="1" applyFont="1" applyFill="1" applyBorder="1"/>
    <xf numFmtId="168" fontId="68" fillId="0" borderId="0" xfId="0" applyNumberFormat="1" applyFont="1"/>
    <xf numFmtId="43" fontId="12" fillId="0" borderId="0" xfId="0" applyNumberFormat="1" applyFont="1" applyFill="1" applyAlignment="1">
      <alignment horizontal="left"/>
    </xf>
    <xf numFmtId="165" fontId="14" fillId="0" borderId="0" xfId="0" applyNumberFormat="1" applyFont="1" applyFill="1"/>
    <xf numFmtId="168" fontId="12" fillId="0" borderId="0" xfId="0" applyNumberFormat="1" applyFont="1" applyFill="1"/>
    <xf numFmtId="0" fontId="66" fillId="0" borderId="0" xfId="0" applyFont="1" applyFill="1"/>
    <xf numFmtId="165" fontId="50" fillId="0" borderId="0" xfId="1" applyNumberFormat="1" applyFont="1" applyAlignment="1">
      <alignment vertical="center"/>
    </xf>
    <xf numFmtId="0" fontId="12" fillId="0" borderId="0" xfId="291" applyFont="1"/>
    <xf numFmtId="0" fontId="13" fillId="0" borderId="0" xfId="291" applyFont="1" applyFill="1" applyAlignment="1"/>
    <xf numFmtId="0" fontId="13" fillId="0" borderId="0" xfId="291" applyFont="1" applyFill="1" applyAlignment="1">
      <alignment horizontal="center"/>
    </xf>
    <xf numFmtId="0" fontId="84" fillId="0" borderId="0" xfId="291" applyFont="1"/>
    <xf numFmtId="168" fontId="84" fillId="0" borderId="0" xfId="622" applyNumberFormat="1" applyFont="1"/>
    <xf numFmtId="168" fontId="12" fillId="0" borderId="0" xfId="622" applyNumberFormat="1" applyFont="1"/>
    <xf numFmtId="0" fontId="13" fillId="0" borderId="0" xfId="291" applyFont="1"/>
    <xf numFmtId="0" fontId="13" fillId="0" borderId="0" xfId="291" applyFont="1" applyAlignment="1">
      <alignment horizontal="center"/>
    </xf>
    <xf numFmtId="168" fontId="12" fillId="0" borderId="0" xfId="622" applyNumberFormat="1" applyFont="1" applyFill="1"/>
    <xf numFmtId="0" fontId="12" fillId="0" borderId="0" xfId="291" applyFont="1" applyAlignment="1">
      <alignment horizontal="center"/>
    </xf>
    <xf numFmtId="15" fontId="12" fillId="0" borderId="0" xfId="291" applyNumberFormat="1" applyFont="1" applyAlignment="1">
      <alignment horizontal="center"/>
    </xf>
    <xf numFmtId="0" fontId="13" fillId="0" borderId="1" xfId="291" applyFont="1" applyBorder="1" applyAlignment="1">
      <alignment horizontal="center" vertical="center" wrapText="1"/>
    </xf>
    <xf numFmtId="168" fontId="13" fillId="0" borderId="1" xfId="622" applyNumberFormat="1" applyFont="1" applyBorder="1" applyAlignment="1">
      <alignment horizontal="center" vertical="center" wrapText="1"/>
    </xf>
    <xf numFmtId="0" fontId="12" fillId="0" borderId="0" xfId="291" applyFont="1" applyFill="1"/>
    <xf numFmtId="168" fontId="12" fillId="0" borderId="48" xfId="623" applyNumberFormat="1" applyFont="1" applyFill="1" applyBorder="1" applyAlignment="1"/>
    <xf numFmtId="168" fontId="12" fillId="0" borderId="48" xfId="622" applyNumberFormat="1" applyFont="1" applyFill="1" applyBorder="1"/>
    <xf numFmtId="168" fontId="12" fillId="0" borderId="42" xfId="622" applyNumberFormat="1" applyFont="1" applyFill="1" applyBorder="1"/>
    <xf numFmtId="0" fontId="12" fillId="0" borderId="48" xfId="291" applyFont="1" applyBorder="1" applyAlignment="1">
      <alignment vertical="center" wrapText="1"/>
    </xf>
    <xf numFmtId="0" fontId="12" fillId="0" borderId="48" xfId="291" applyFont="1" applyBorder="1" applyAlignment="1">
      <alignment horizontal="center" vertical="center" wrapText="1"/>
    </xf>
    <xf numFmtId="0" fontId="13" fillId="0" borderId="48" xfId="291" applyFont="1" applyBorder="1"/>
    <xf numFmtId="10" fontId="12" fillId="0" borderId="48" xfId="624" applyNumberFormat="1" applyFont="1" applyFill="1" applyBorder="1"/>
    <xf numFmtId="168" fontId="12" fillId="0" borderId="48" xfId="622" applyNumberFormat="1" applyFont="1" applyFill="1" applyBorder="1" applyAlignment="1">
      <alignment horizontal="center" wrapText="1"/>
    </xf>
    <xf numFmtId="1" fontId="12" fillId="0" borderId="48" xfId="291" applyNumberFormat="1" applyFont="1" applyFill="1" applyBorder="1" applyAlignment="1">
      <alignment horizontal="center" wrapText="1"/>
    </xf>
    <xf numFmtId="168" fontId="12" fillId="0" borderId="48" xfId="623" applyNumberFormat="1" applyFont="1" applyFill="1" applyBorder="1"/>
    <xf numFmtId="168" fontId="12" fillId="0" borderId="0" xfId="291" applyNumberFormat="1" applyFont="1"/>
    <xf numFmtId="0" fontId="12" fillId="0" borderId="48" xfId="291" applyFont="1" applyFill="1" applyBorder="1" applyAlignment="1">
      <alignment horizontal="center" vertical="center" wrapText="1"/>
    </xf>
    <xf numFmtId="43" fontId="12" fillId="0" borderId="48" xfId="622" applyFont="1" applyFill="1" applyBorder="1" applyAlignment="1"/>
    <xf numFmtId="166" fontId="12" fillId="0" borderId="48" xfId="622" applyNumberFormat="1" applyFont="1" applyFill="1" applyBorder="1"/>
    <xf numFmtId="168" fontId="12" fillId="89" borderId="0" xfId="291" applyNumberFormat="1" applyFont="1" applyFill="1"/>
    <xf numFmtId="0" fontId="12" fillId="0" borderId="48" xfId="291" applyFont="1" applyBorder="1"/>
    <xf numFmtId="0" fontId="12" fillId="0" borderId="48" xfId="291" applyFont="1" applyFill="1" applyBorder="1" applyAlignment="1">
      <alignment vertical="center" wrapText="1"/>
    </xf>
    <xf numFmtId="0" fontId="12" fillId="89" borderId="0" xfId="291" applyFont="1" applyFill="1"/>
    <xf numFmtId="168" fontId="12" fillId="89" borderId="0" xfId="622" applyNumberFormat="1" applyFont="1" applyFill="1"/>
    <xf numFmtId="43" fontId="12" fillId="0" borderId="48" xfId="623" applyFont="1" applyFill="1" applyBorder="1"/>
    <xf numFmtId="167" fontId="12" fillId="0" borderId="48" xfId="291" applyNumberFormat="1" applyFont="1" applyFill="1" applyBorder="1"/>
    <xf numFmtId="43" fontId="12" fillId="0" borderId="48" xfId="622" applyFont="1" applyFill="1" applyBorder="1"/>
    <xf numFmtId="168" fontId="12" fillId="0" borderId="0" xfId="291" applyNumberFormat="1" applyFont="1" applyFill="1"/>
    <xf numFmtId="166" fontId="13" fillId="0" borderId="58" xfId="623" applyNumberFormat="1" applyFont="1" applyFill="1" applyBorder="1"/>
    <xf numFmtId="168" fontId="74" fillId="0" borderId="48" xfId="622" applyNumberFormat="1" applyFont="1" applyFill="1" applyBorder="1"/>
    <xf numFmtId="0" fontId="12" fillId="0" borderId="48" xfId="291" applyFont="1" applyBorder="1" applyAlignment="1">
      <alignment horizontal="center"/>
    </xf>
    <xf numFmtId="1" fontId="12" fillId="0" borderId="48" xfId="291" applyNumberFormat="1" applyFont="1" applyBorder="1" applyAlignment="1">
      <alignment horizontal="center" wrapText="1"/>
    </xf>
    <xf numFmtId="0" fontId="85" fillId="88" borderId="48" xfId="291" applyFont="1" applyFill="1" applyBorder="1"/>
    <xf numFmtId="0" fontId="85" fillId="88" borderId="48" xfId="291" applyFont="1" applyFill="1" applyBorder="1" applyAlignment="1">
      <alignment horizontal="center"/>
    </xf>
    <xf numFmtId="167" fontId="12" fillId="88" borderId="48" xfId="291" applyNumberFormat="1" applyFont="1" applyFill="1" applyBorder="1"/>
    <xf numFmtId="10" fontId="12" fillId="88" borderId="48" xfId="624" applyNumberFormat="1" applyFont="1" applyFill="1" applyBorder="1"/>
    <xf numFmtId="168" fontId="12" fillId="88" borderId="48" xfId="623" applyNumberFormat="1" applyFont="1" applyFill="1" applyBorder="1" applyAlignment="1"/>
    <xf numFmtId="168" fontId="12" fillId="88" borderId="48" xfId="622" applyNumberFormat="1" applyFont="1" applyFill="1" applyBorder="1" applyAlignment="1">
      <alignment horizontal="center" wrapText="1"/>
    </xf>
    <xf numFmtId="1" fontId="12" fillId="88" borderId="48" xfId="291" applyNumberFormat="1" applyFont="1" applyFill="1" applyBorder="1" applyAlignment="1">
      <alignment horizontal="center" wrapText="1"/>
    </xf>
    <xf numFmtId="43" fontId="12" fillId="88" borderId="48" xfId="623" applyFont="1" applyFill="1" applyBorder="1"/>
    <xf numFmtId="168" fontId="12" fillId="88" borderId="42" xfId="622" applyNumberFormat="1" applyFont="1" applyFill="1" applyBorder="1"/>
    <xf numFmtId="168" fontId="12" fillId="88" borderId="48" xfId="622" applyNumberFormat="1" applyFont="1" applyFill="1" applyBorder="1"/>
    <xf numFmtId="0" fontId="8" fillId="0" borderId="0" xfId="291"/>
    <xf numFmtId="43" fontId="12" fillId="0" borderId="48" xfId="622" applyNumberFormat="1" applyFont="1" applyFill="1" applyBorder="1"/>
    <xf numFmtId="43" fontId="12" fillId="0" borderId="42" xfId="622" applyNumberFormat="1" applyFont="1" applyFill="1" applyBorder="1"/>
    <xf numFmtId="0" fontId="12" fillId="0" borderId="0" xfId="291" applyFont="1" applyFill="1" applyBorder="1"/>
    <xf numFmtId="0" fontId="12" fillId="0" borderId="0" xfId="291" applyFont="1" applyBorder="1"/>
    <xf numFmtId="168" fontId="12" fillId="0" borderId="0" xfId="622" applyNumberFormat="1" applyFont="1" applyBorder="1"/>
    <xf numFmtId="168" fontId="12" fillId="0" borderId="0" xfId="291" applyNumberFormat="1" applyFont="1" applyBorder="1"/>
    <xf numFmtId="168" fontId="12" fillId="0" borderId="0" xfId="7" applyNumberFormat="1" applyFont="1"/>
    <xf numFmtId="167" fontId="12" fillId="2" borderId="0" xfId="291" applyNumberFormat="1" applyFont="1" applyFill="1"/>
    <xf numFmtId="0" fontId="13" fillId="0" borderId="0" xfId="291" applyFont="1" applyFill="1"/>
    <xf numFmtId="168" fontId="13" fillId="0" borderId="1" xfId="7" applyNumberFormat="1" applyFont="1" applyBorder="1" applyAlignment="1">
      <alignment horizontal="center" vertical="center" wrapText="1"/>
    </xf>
    <xf numFmtId="168" fontId="12" fillId="0" borderId="42" xfId="7" applyNumberFormat="1" applyFont="1" applyFill="1" applyBorder="1"/>
    <xf numFmtId="43" fontId="12" fillId="0" borderId="48" xfId="7" applyFont="1" applyFill="1" applyBorder="1"/>
    <xf numFmtId="168" fontId="12" fillId="88" borderId="42" xfId="7" applyNumberFormat="1" applyFont="1" applyFill="1" applyBorder="1"/>
    <xf numFmtId="168" fontId="12" fillId="88" borderId="48" xfId="623" applyNumberFormat="1" applyFont="1" applyFill="1" applyBorder="1"/>
    <xf numFmtId="168" fontId="13" fillId="0" borderId="0" xfId="291" applyNumberFormat="1" applyFont="1" applyBorder="1"/>
    <xf numFmtId="168" fontId="12" fillId="0" borderId="0" xfId="7" applyNumberFormat="1" applyFont="1" applyBorder="1" applyAlignment="1">
      <alignment horizontal="right"/>
    </xf>
    <xf numFmtId="168" fontId="12" fillId="0" borderId="0" xfId="7" applyNumberFormat="1" applyFont="1" applyBorder="1"/>
    <xf numFmtId="0" fontId="86" fillId="0" borderId="0" xfId="0" applyFont="1"/>
    <xf numFmtId="43" fontId="12" fillId="0" borderId="0" xfId="1" applyFont="1" applyFill="1"/>
    <xf numFmtId="182" fontId="12" fillId="0" borderId="0" xfId="1" applyNumberFormat="1" applyFont="1" applyFill="1"/>
    <xf numFmtId="183" fontId="12" fillId="0" borderId="0" xfId="1" applyNumberFormat="1" applyFont="1" applyFill="1" applyBorder="1"/>
    <xf numFmtId="43" fontId="12" fillId="0" borderId="0" xfId="1" applyFont="1" applyFill="1" applyBorder="1"/>
    <xf numFmtId="3" fontId="12" fillId="0" borderId="0" xfId="0" applyNumberFormat="1" applyFont="1" applyFill="1" applyBorder="1" applyAlignment="1">
      <alignment horizontal="center"/>
    </xf>
    <xf numFmtId="15" fontId="13" fillId="0" borderId="0" xfId="0" applyNumberFormat="1" applyFont="1" applyFill="1" applyBorder="1" applyAlignment="1">
      <alignment horizontal="center"/>
    </xf>
    <xf numFmtId="183" fontId="13" fillId="0" borderId="0" xfId="1" applyNumberFormat="1" applyFont="1" applyFill="1" applyBorder="1"/>
    <xf numFmtId="43" fontId="13" fillId="0" borderId="0" xfId="1" applyFont="1" applyFill="1" applyBorder="1"/>
    <xf numFmtId="182" fontId="12" fillId="0" borderId="0" xfId="1" applyNumberFormat="1" applyFont="1" applyFill="1" applyBorder="1"/>
    <xf numFmtId="168" fontId="13" fillId="0" borderId="0" xfId="1" applyNumberFormat="1" applyFont="1" applyFill="1"/>
    <xf numFmtId="43" fontId="13" fillId="0" borderId="0" xfId="0" applyNumberFormat="1" applyFont="1" applyFill="1"/>
    <xf numFmtId="184" fontId="13" fillId="0" borderId="0" xfId="1" applyNumberFormat="1" applyFont="1" applyFill="1" applyBorder="1"/>
    <xf numFmtId="173" fontId="12" fillId="0" borderId="0" xfId="1" applyNumberFormat="1" applyFont="1" applyFill="1" applyBorder="1"/>
    <xf numFmtId="0" fontId="87" fillId="0" borderId="0" xfId="0" applyFont="1" applyFill="1"/>
    <xf numFmtId="0" fontId="86" fillId="0" borderId="0" xfId="0" applyFont="1" applyBorder="1"/>
    <xf numFmtId="43" fontId="86" fillId="0" borderId="0" xfId="1" applyFont="1" applyBorder="1"/>
    <xf numFmtId="43" fontId="86" fillId="0" borderId="47" xfId="0" applyNumberFormat="1" applyFont="1" applyBorder="1"/>
    <xf numFmtId="43" fontId="86" fillId="0" borderId="0" xfId="1" applyFont="1"/>
    <xf numFmtId="43" fontId="86" fillId="0" borderId="0" xfId="1" applyNumberFormat="1" applyFont="1" applyBorder="1"/>
    <xf numFmtId="43" fontId="86" fillId="0" borderId="0" xfId="0" applyNumberFormat="1" applyFont="1" applyBorder="1"/>
    <xf numFmtId="43" fontId="12" fillId="0" borderId="0" xfId="1" applyFont="1" applyBorder="1"/>
    <xf numFmtId="9" fontId="14" fillId="0" borderId="0" xfId="0" applyNumberFormat="1" applyFont="1" applyAlignment="1">
      <alignment horizontal="center"/>
    </xf>
    <xf numFmtId="43" fontId="14" fillId="0" borderId="0" xfId="1" applyNumberFormat="1" applyFont="1"/>
    <xf numFmtId="168" fontId="12" fillId="0" borderId="0" xfId="0" applyNumberFormat="1" applyFont="1" applyFill="1" applyBorder="1" applyAlignment="1">
      <alignment horizontal="center"/>
    </xf>
    <xf numFmtId="168" fontId="86" fillId="0" borderId="0" xfId="0" applyNumberFormat="1" applyFont="1" applyBorder="1"/>
    <xf numFmtId="168" fontId="50" fillId="0" borderId="26" xfId="1" applyNumberFormat="1" applyFont="1" applyFill="1" applyBorder="1" applyAlignment="1">
      <alignment vertical="center"/>
    </xf>
    <xf numFmtId="171" fontId="14" fillId="0" borderId="0" xfId="1" applyNumberFormat="1" applyFont="1" applyFill="1"/>
    <xf numFmtId="168" fontId="14" fillId="0" borderId="47" xfId="0" applyNumberFormat="1" applyFont="1" applyBorder="1"/>
    <xf numFmtId="168" fontId="13" fillId="0" borderId="0" xfId="0" applyNumberFormat="1" applyFont="1" applyFill="1"/>
    <xf numFmtId="168" fontId="50" fillId="0" borderId="25" xfId="1" applyNumberFormat="1" applyFont="1" applyFill="1" applyBorder="1" applyAlignment="1">
      <alignment vertical="center"/>
    </xf>
    <xf numFmtId="0" fontId="15" fillId="2" borderId="0" xfId="0" applyFont="1" applyFill="1" applyAlignment="1">
      <alignment horizontal="left" vertical="center" wrapText="1"/>
    </xf>
    <xf numFmtId="0" fontId="15" fillId="3" borderId="37" xfId="0" applyFont="1" applyFill="1" applyBorder="1" applyAlignment="1">
      <alignment horizontal="center" vertical="center" wrapText="1"/>
    </xf>
    <xf numFmtId="168" fontId="12" fillId="0" borderId="0" xfId="0" applyNumberFormat="1" applyFont="1" applyFill="1" applyBorder="1"/>
    <xf numFmtId="43" fontId="14" fillId="0" borderId="40" xfId="1" applyNumberFormat="1" applyFont="1" applyBorder="1"/>
    <xf numFmtId="0" fontId="74" fillId="0" borderId="0" xfId="0" applyFont="1" applyFill="1" applyBorder="1" applyAlignment="1">
      <alignment horizontal="center" vertical="center"/>
    </xf>
    <xf numFmtId="180" fontId="12" fillId="0" borderId="0" xfId="1" applyNumberFormat="1" applyFont="1" applyFill="1"/>
    <xf numFmtId="169" fontId="12" fillId="0" borderId="0" xfId="0" applyNumberFormat="1" applyFont="1"/>
    <xf numFmtId="0" fontId="12" fillId="0" borderId="0" xfId="0" applyFont="1" applyBorder="1"/>
    <xf numFmtId="15" fontId="12" fillId="0" borderId="0" xfId="0" applyNumberFormat="1" applyFont="1" applyFill="1" applyBorder="1" applyAlignment="1">
      <alignment horizontal="center" vertical="center"/>
    </xf>
    <xf numFmtId="168" fontId="50" fillId="0" borderId="59" xfId="1" applyNumberFormat="1" applyFont="1" applyBorder="1" applyAlignment="1">
      <alignment vertical="center"/>
    </xf>
    <xf numFmtId="168" fontId="50" fillId="0" borderId="26" xfId="0" applyNumberFormat="1" applyFont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168" fontId="12" fillId="2" borderId="0" xfId="1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left" vertical="center"/>
    </xf>
    <xf numFmtId="168" fontId="74" fillId="0" borderId="0" xfId="1" applyNumberFormat="1" applyFont="1" applyFill="1" applyBorder="1" applyAlignment="1">
      <alignment horizontal="center" vertical="center"/>
    </xf>
    <xf numFmtId="15" fontId="74" fillId="0" borderId="0" xfId="0" applyNumberFormat="1" applyFont="1" applyFill="1" applyBorder="1" applyAlignment="1">
      <alignment horizontal="center" vertical="center"/>
    </xf>
    <xf numFmtId="15" fontId="74" fillId="0" borderId="0" xfId="0" applyNumberFormat="1" applyFont="1" applyFill="1" applyBorder="1" applyAlignment="1">
      <alignment horizontal="center"/>
    </xf>
    <xf numFmtId="10" fontId="74" fillId="0" borderId="0" xfId="3" applyNumberFormat="1" applyFont="1" applyFill="1" applyBorder="1" applyAlignment="1">
      <alignment horizontal="center" vertical="center"/>
    </xf>
    <xf numFmtId="43" fontId="74" fillId="0" borderId="0" xfId="1" applyFont="1" applyFill="1" applyBorder="1" applyAlignment="1">
      <alignment horizontal="center" vertical="center"/>
    </xf>
    <xf numFmtId="4" fontId="74" fillId="0" borderId="0" xfId="0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3" fontId="12" fillId="0" borderId="0" xfId="1" applyNumberFormat="1" applyFont="1" applyFill="1" applyBorder="1" applyAlignment="1">
      <alignment horizontal="center" vertical="center"/>
    </xf>
    <xf numFmtId="168" fontId="74" fillId="0" borderId="0" xfId="458" applyNumberFormat="1" applyFont="1" applyFill="1" applyBorder="1" applyAlignment="1">
      <alignment horizontal="center" vertical="center"/>
    </xf>
    <xf numFmtId="0" fontId="13" fillId="93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3" fontId="12" fillId="91" borderId="0" xfId="1" applyNumberFormat="1" applyFont="1" applyFill="1" applyBorder="1"/>
    <xf numFmtId="168" fontId="12" fillId="0" borderId="50" xfId="1" applyNumberFormat="1" applyFont="1" applyFill="1" applyBorder="1"/>
    <xf numFmtId="168" fontId="12" fillId="0" borderId="52" xfId="1" applyNumberFormat="1" applyFont="1" applyFill="1" applyBorder="1"/>
    <xf numFmtId="43" fontId="12" fillId="0" borderId="0" xfId="1" applyNumberFormat="1" applyFont="1" applyFill="1" applyBorder="1"/>
    <xf numFmtId="168" fontId="12" fillId="0" borderId="53" xfId="1" applyNumberFormat="1" applyFont="1" applyFill="1" applyBorder="1"/>
    <xf numFmtId="168" fontId="12" fillId="0" borderId="54" xfId="1" applyNumberFormat="1" applyFont="1" applyFill="1" applyBorder="1"/>
    <xf numFmtId="43" fontId="13" fillId="0" borderId="0" xfId="1" applyNumberFormat="1" applyFont="1" applyFill="1" applyBorder="1"/>
    <xf numFmtId="0" fontId="12" fillId="0" borderId="55" xfId="0" applyFont="1" applyFill="1" applyBorder="1"/>
    <xf numFmtId="168" fontId="13" fillId="0" borderId="56" xfId="0" applyNumberFormat="1" applyFont="1" applyFill="1" applyBorder="1"/>
    <xf numFmtId="168" fontId="12" fillId="0" borderId="60" xfId="0" applyNumberFormat="1" applyFont="1" applyFill="1" applyBorder="1"/>
    <xf numFmtId="168" fontId="12" fillId="0" borderId="47" xfId="1" applyNumberFormat="1" applyFont="1" applyFill="1" applyBorder="1"/>
    <xf numFmtId="43" fontId="12" fillId="0" borderId="0" xfId="0" applyNumberFormat="1" applyFont="1" applyFill="1"/>
    <xf numFmtId="43" fontId="13" fillId="0" borderId="0" xfId="0" applyNumberFormat="1" applyFont="1" applyFill="1" applyBorder="1"/>
    <xf numFmtId="0" fontId="15" fillId="92" borderId="1" xfId="499" applyFont="1" applyFill="1" applyBorder="1"/>
    <xf numFmtId="4" fontId="15" fillId="92" borderId="1" xfId="499" applyNumberFormat="1" applyFont="1" applyFill="1" applyBorder="1"/>
    <xf numFmtId="0" fontId="15" fillId="92" borderId="1" xfId="499" applyFont="1" applyFill="1" applyBorder="1" applyAlignment="1">
      <alignment horizontal="center"/>
    </xf>
    <xf numFmtId="168" fontId="14" fillId="92" borderId="1" xfId="499" applyNumberFormat="1" applyFont="1" applyFill="1" applyBorder="1"/>
    <xf numFmtId="168" fontId="14" fillId="92" borderId="1" xfId="458" applyNumberFormat="1" applyFont="1" applyFill="1" applyBorder="1"/>
    <xf numFmtId="0" fontId="14" fillId="92" borderId="1" xfId="499" applyFont="1" applyFill="1" applyBorder="1" applyAlignment="1"/>
    <xf numFmtId="184" fontId="12" fillId="0" borderId="0" xfId="1" applyNumberFormat="1" applyFont="1" applyFill="1" applyBorder="1"/>
    <xf numFmtId="43" fontId="12" fillId="0" borderId="0" xfId="0" applyNumberFormat="1" applyFont="1" applyFill="1" applyBorder="1"/>
    <xf numFmtId="173" fontId="86" fillId="0" borderId="0" xfId="0" applyNumberFormat="1" applyFont="1" applyBorder="1"/>
    <xf numFmtId="168" fontId="15" fillId="0" borderId="47" xfId="0" applyNumberFormat="1" applyFont="1" applyBorder="1"/>
    <xf numFmtId="168" fontId="14" fillId="0" borderId="0" xfId="0" applyNumberFormat="1" applyFont="1" applyFill="1" applyBorder="1"/>
    <xf numFmtId="168" fontId="50" fillId="0" borderId="0" xfId="0" applyNumberFormat="1" applyFont="1" applyAlignment="1">
      <alignment vertical="center"/>
    </xf>
    <xf numFmtId="43" fontId="14" fillId="0" borderId="40" xfId="1" applyFont="1" applyFill="1" applyBorder="1" applyAlignment="1">
      <alignment horizontal="center" vertical="center" wrapText="1"/>
    </xf>
    <xf numFmtId="43" fontId="12" fillId="0" borderId="14" xfId="1" applyFont="1" applyBorder="1"/>
    <xf numFmtId="168" fontId="14" fillId="0" borderId="43" xfId="1" applyNumberFormat="1" applyFont="1" applyBorder="1"/>
    <xf numFmtId="0" fontId="89" fillId="71" borderId="10" xfId="301" applyFont="1" applyFill="1" applyBorder="1"/>
    <xf numFmtId="0" fontId="89" fillId="71" borderId="2" xfId="301" applyFont="1" applyFill="1" applyBorder="1"/>
    <xf numFmtId="0" fontId="89" fillId="0" borderId="0" xfId="301" applyFont="1" applyFill="1" applyBorder="1"/>
    <xf numFmtId="0" fontId="90" fillId="7" borderId="0" xfId="301" applyFont="1" applyFill="1"/>
    <xf numFmtId="0" fontId="89" fillId="71" borderId="0" xfId="301" applyFont="1" applyFill="1" applyBorder="1"/>
    <xf numFmtId="0" fontId="89" fillId="7" borderId="0" xfId="301" applyFont="1" applyFill="1" applyAlignment="1">
      <alignment horizontal="center"/>
    </xf>
    <xf numFmtId="0" fontId="91" fillId="7" borderId="0" xfId="301" applyFont="1" applyFill="1" applyBorder="1"/>
    <xf numFmtId="0" fontId="92" fillId="7" borderId="0" xfId="301" applyFont="1" applyFill="1" applyBorder="1"/>
    <xf numFmtId="0" fontId="93" fillId="7" borderId="0" xfId="301" applyFont="1" applyFill="1" applyBorder="1" applyAlignment="1">
      <alignment horizontal="left"/>
    </xf>
    <xf numFmtId="0" fontId="90" fillId="0" borderId="0" xfId="301" applyFont="1" applyFill="1" applyBorder="1"/>
    <xf numFmtId="0" fontId="90" fillId="7" borderId="0" xfId="301" applyFont="1" applyFill="1" applyBorder="1"/>
    <xf numFmtId="15" fontId="89" fillId="71" borderId="39" xfId="301" applyNumberFormat="1" applyFont="1" applyFill="1" applyBorder="1" applyAlignment="1">
      <alignment horizontal="center"/>
    </xf>
    <xf numFmtId="0" fontId="90" fillId="71" borderId="40" xfId="301" applyFont="1" applyFill="1" applyBorder="1"/>
    <xf numFmtId="0" fontId="94" fillId="71" borderId="0" xfId="301" applyFont="1" applyFill="1" applyBorder="1" applyAlignment="1">
      <alignment horizontal="center" vertical="center" wrapText="1"/>
    </xf>
    <xf numFmtId="0" fontId="89" fillId="71" borderId="1" xfId="301" applyFont="1" applyFill="1" applyBorder="1"/>
    <xf numFmtId="15" fontId="89" fillId="71" borderId="44" xfId="301" applyNumberFormat="1" applyFont="1" applyFill="1" applyBorder="1" applyAlignment="1">
      <alignment horizontal="center"/>
    </xf>
    <xf numFmtId="0" fontId="96" fillId="0" borderId="0" xfId="301" applyFont="1" applyFill="1" applyBorder="1"/>
    <xf numFmtId="0" fontId="96" fillId="71" borderId="45" xfId="301" applyFont="1" applyFill="1" applyBorder="1"/>
    <xf numFmtId="0" fontId="90" fillId="7" borderId="0" xfId="301" applyFont="1" applyFill="1" applyProtection="1"/>
    <xf numFmtId="0" fontId="94" fillId="7" borderId="0" xfId="301" applyFont="1" applyFill="1"/>
    <xf numFmtId="14" fontId="90" fillId="7" borderId="0" xfId="301" applyNumberFormat="1" applyFont="1" applyFill="1" applyProtection="1"/>
    <xf numFmtId="168" fontId="89" fillId="0" borderId="14" xfId="7" applyNumberFormat="1" applyFont="1" applyFill="1" applyBorder="1" applyAlignment="1">
      <alignment horizontal="left" indent="1"/>
    </xf>
    <xf numFmtId="43" fontId="90" fillId="7" borderId="0" xfId="7" applyFont="1" applyFill="1"/>
    <xf numFmtId="173" fontId="89" fillId="0" borderId="14" xfId="7" applyNumberFormat="1" applyFont="1" applyFill="1" applyBorder="1" applyAlignment="1">
      <alignment horizontal="left" indent="1"/>
    </xf>
    <xf numFmtId="173" fontId="89" fillId="7" borderId="14" xfId="7" applyNumberFormat="1" applyFont="1" applyFill="1" applyBorder="1"/>
    <xf numFmtId="43" fontId="89" fillId="7" borderId="0" xfId="7" applyNumberFormat="1" applyFont="1" applyFill="1" applyBorder="1"/>
    <xf numFmtId="173" fontId="89" fillId="7" borderId="0" xfId="7" applyNumberFormat="1" applyFont="1" applyFill="1" applyBorder="1"/>
    <xf numFmtId="43" fontId="90" fillId="7" borderId="0" xfId="301" applyNumberFormat="1" applyFont="1" applyFill="1"/>
    <xf numFmtId="0" fontId="96" fillId="7" borderId="0" xfId="301" applyFont="1" applyFill="1"/>
    <xf numFmtId="43" fontId="89" fillId="0" borderId="0" xfId="7" applyFont="1" applyFill="1" applyBorder="1"/>
    <xf numFmtId="43" fontId="90" fillId="7" borderId="0" xfId="7" applyFont="1" applyFill="1" applyBorder="1"/>
    <xf numFmtId="15" fontId="89" fillId="86" borderId="0" xfId="301" applyNumberFormat="1" applyFont="1" applyFill="1" applyProtection="1"/>
    <xf numFmtId="15" fontId="89" fillId="7" borderId="0" xfId="301" applyNumberFormat="1" applyFont="1" applyFill="1" applyProtection="1"/>
    <xf numFmtId="2" fontId="89" fillId="7" borderId="0" xfId="301" applyNumberFormat="1" applyFont="1" applyFill="1"/>
    <xf numFmtId="3" fontId="90" fillId="7" borderId="0" xfId="301" applyNumberFormat="1" applyFont="1" applyFill="1" applyBorder="1"/>
    <xf numFmtId="0" fontId="97" fillId="7" borderId="0" xfId="301" applyFont="1" applyFill="1"/>
    <xf numFmtId="0" fontId="98" fillId="87" borderId="0" xfId="301" applyFont="1" applyFill="1"/>
    <xf numFmtId="0" fontId="98" fillId="88" borderId="0" xfId="301" applyFont="1" applyFill="1"/>
    <xf numFmtId="43" fontId="90" fillId="0" borderId="37" xfId="7" applyFont="1" applyFill="1" applyBorder="1"/>
    <xf numFmtId="168" fontId="90" fillId="7" borderId="37" xfId="1" applyNumberFormat="1" applyFont="1" applyFill="1" applyBorder="1"/>
    <xf numFmtId="168" fontId="90" fillId="7" borderId="0" xfId="1" applyNumberFormat="1" applyFont="1" applyFill="1" applyBorder="1"/>
    <xf numFmtId="168" fontId="90" fillId="0" borderId="48" xfId="7" applyNumberFormat="1" applyFont="1" applyFill="1" applyBorder="1"/>
    <xf numFmtId="43" fontId="90" fillId="7" borderId="0" xfId="7" applyNumberFormat="1" applyFont="1" applyFill="1"/>
    <xf numFmtId="43" fontId="99" fillId="7" borderId="0" xfId="7" applyFont="1" applyFill="1"/>
    <xf numFmtId="43" fontId="100" fillId="7" borderId="0" xfId="7" applyFont="1" applyFill="1"/>
    <xf numFmtId="168" fontId="90" fillId="7" borderId="0" xfId="301" applyNumberFormat="1" applyFont="1" applyFill="1"/>
    <xf numFmtId="168" fontId="90" fillId="7" borderId="38" xfId="1" applyNumberFormat="1" applyFont="1" applyFill="1" applyBorder="1"/>
    <xf numFmtId="168" fontId="89" fillId="0" borderId="48" xfId="7" applyNumberFormat="1" applyFont="1" applyFill="1" applyBorder="1"/>
    <xf numFmtId="39" fontId="90" fillId="0" borderId="0" xfId="291" applyNumberFormat="1" applyFont="1"/>
    <xf numFmtId="0" fontId="98" fillId="7" borderId="0" xfId="301" applyFont="1" applyFill="1"/>
    <xf numFmtId="168" fontId="90" fillId="7" borderId="0" xfId="1" applyNumberFormat="1" applyFont="1" applyFill="1"/>
    <xf numFmtId="0" fontId="101" fillId="89" borderId="0" xfId="301" applyFont="1" applyFill="1"/>
    <xf numFmtId="4" fontId="90" fillId="7" borderId="0" xfId="301" applyNumberFormat="1" applyFont="1" applyFill="1"/>
    <xf numFmtId="0" fontId="89" fillId="7" borderId="0" xfId="301" applyFont="1" applyFill="1"/>
    <xf numFmtId="168" fontId="89" fillId="7" borderId="40" xfId="7" applyNumberFormat="1" applyFont="1" applyFill="1" applyBorder="1"/>
    <xf numFmtId="168" fontId="90" fillId="7" borderId="0" xfId="7" applyNumberFormat="1" applyFont="1" applyFill="1"/>
    <xf numFmtId="168" fontId="90" fillId="0" borderId="0" xfId="1" applyNumberFormat="1" applyFont="1" applyFill="1"/>
    <xf numFmtId="43" fontId="89" fillId="7" borderId="0" xfId="301" applyNumberFormat="1" applyFont="1" applyFill="1" applyBorder="1"/>
    <xf numFmtId="168" fontId="90" fillId="7" borderId="0" xfId="7" applyNumberFormat="1" applyFont="1" applyFill="1" applyBorder="1"/>
    <xf numFmtId="168" fontId="90" fillId="0" borderId="37" xfId="7" applyNumberFormat="1" applyFont="1" applyFill="1" applyBorder="1"/>
    <xf numFmtId="168" fontId="90" fillId="0" borderId="38" xfId="7" applyNumberFormat="1" applyFont="1" applyFill="1" applyBorder="1"/>
    <xf numFmtId="168" fontId="89" fillId="7" borderId="0" xfId="7" applyNumberFormat="1" applyFont="1" applyFill="1" applyBorder="1"/>
    <xf numFmtId="168" fontId="89" fillId="7" borderId="14" xfId="7" applyNumberFormat="1" applyFont="1" applyFill="1" applyBorder="1"/>
    <xf numFmtId="173" fontId="90" fillId="0" borderId="37" xfId="7" applyNumberFormat="1" applyFont="1" applyFill="1" applyBorder="1"/>
    <xf numFmtId="173" fontId="90" fillId="7" borderId="0" xfId="7" applyNumberFormat="1" applyFont="1" applyFill="1"/>
    <xf numFmtId="173" fontId="90" fillId="0" borderId="48" xfId="7" applyNumberFormat="1" applyFont="1" applyFill="1" applyBorder="1"/>
    <xf numFmtId="173" fontId="90" fillId="7" borderId="0" xfId="301" applyNumberFormat="1" applyFont="1" applyFill="1"/>
    <xf numFmtId="173" fontId="92" fillId="7" borderId="0" xfId="7" applyNumberFormat="1" applyFont="1" applyFill="1"/>
    <xf numFmtId="0" fontId="90" fillId="7" borderId="48" xfId="301" applyFont="1" applyFill="1" applyBorder="1"/>
    <xf numFmtId="173" fontId="90" fillId="0" borderId="38" xfId="7" applyNumberFormat="1" applyFont="1" applyFill="1" applyBorder="1"/>
    <xf numFmtId="168" fontId="90" fillId="0" borderId="0" xfId="7" applyNumberFormat="1" applyFont="1" applyFill="1" applyBorder="1"/>
    <xf numFmtId="165" fontId="90" fillId="7" borderId="0" xfId="301" applyNumberFormat="1" applyFont="1" applyFill="1"/>
    <xf numFmtId="173" fontId="90" fillId="7" borderId="0" xfId="7" applyNumberFormat="1" applyFont="1" applyFill="1" applyBorder="1"/>
    <xf numFmtId="4" fontId="90" fillId="7" borderId="0" xfId="301" applyNumberFormat="1" applyFont="1" applyFill="1" applyBorder="1"/>
    <xf numFmtId="168" fontId="89" fillId="7" borderId="47" xfId="7" applyNumberFormat="1" applyFont="1" applyFill="1" applyBorder="1"/>
    <xf numFmtId="173" fontId="89" fillId="7" borderId="47" xfId="7" applyNumberFormat="1" applyFont="1" applyFill="1" applyBorder="1"/>
    <xf numFmtId="4" fontId="89" fillId="7" borderId="0" xfId="301" applyNumberFormat="1" applyFont="1" applyFill="1" applyBorder="1"/>
    <xf numFmtId="43" fontId="89" fillId="7" borderId="0" xfId="7" applyFont="1" applyFill="1"/>
    <xf numFmtId="10" fontId="89" fillId="7" borderId="0" xfId="3" applyNumberFormat="1" applyFont="1" applyFill="1" applyBorder="1"/>
    <xf numFmtId="2" fontId="90" fillId="7" borderId="0" xfId="301" applyNumberFormat="1" applyFont="1" applyFill="1"/>
    <xf numFmtId="178" fontId="96" fillId="7" borderId="0" xfId="7" applyNumberFormat="1" applyFont="1" applyFill="1" applyAlignment="1">
      <alignment horizontal="right"/>
    </xf>
    <xf numFmtId="0" fontId="99" fillId="7" borderId="0" xfId="301" applyFont="1" applyFill="1" applyBorder="1"/>
    <xf numFmtId="43" fontId="99" fillId="7" borderId="0" xfId="301" applyNumberFormat="1" applyFont="1" applyFill="1" applyBorder="1"/>
    <xf numFmtId="43" fontId="99" fillId="7" borderId="0" xfId="7" applyFont="1" applyFill="1" applyBorder="1"/>
    <xf numFmtId="43" fontId="102" fillId="7" borderId="0" xfId="7" applyFont="1" applyFill="1" applyBorder="1" applyAlignment="1">
      <alignment horizontal="right"/>
    </xf>
    <xf numFmtId="173" fontId="102" fillId="7" borderId="0" xfId="7" applyNumberFormat="1" applyFont="1" applyFill="1" applyBorder="1" applyAlignment="1">
      <alignment horizontal="right"/>
    </xf>
    <xf numFmtId="0" fontId="90" fillId="7" borderId="39" xfId="301" applyFont="1" applyFill="1" applyBorder="1"/>
    <xf numFmtId="0" fontId="96" fillId="7" borderId="40" xfId="301" applyFont="1" applyFill="1" applyBorder="1"/>
    <xf numFmtId="173" fontId="94" fillId="7" borderId="41" xfId="7" applyNumberFormat="1" applyFont="1" applyFill="1" applyBorder="1" applyAlignment="1">
      <alignment horizontal="right"/>
    </xf>
    <xf numFmtId="0" fontId="90" fillId="7" borderId="42" xfId="301" applyFont="1" applyFill="1" applyBorder="1"/>
    <xf numFmtId="0" fontId="96" fillId="7" borderId="0" xfId="301" applyFont="1" applyFill="1" applyBorder="1"/>
    <xf numFmtId="173" fontId="96" fillId="7" borderId="43" xfId="7" applyNumberFormat="1" applyFont="1" applyFill="1" applyBorder="1" applyAlignment="1">
      <alignment horizontal="right"/>
    </xf>
    <xf numFmtId="0" fontId="90" fillId="7" borderId="44" xfId="301" applyFont="1" applyFill="1" applyBorder="1"/>
    <xf numFmtId="0" fontId="96" fillId="7" borderId="45" xfId="301" applyFont="1" applyFill="1" applyBorder="1"/>
    <xf numFmtId="173" fontId="94" fillId="7" borderId="46" xfId="7" applyNumberFormat="1" applyFont="1" applyFill="1" applyBorder="1" applyAlignment="1">
      <alignment horizontal="right"/>
    </xf>
    <xf numFmtId="173" fontId="94" fillId="7" borderId="0" xfId="7" applyNumberFormat="1" applyFont="1" applyFill="1" applyBorder="1" applyAlignment="1">
      <alignment horizontal="right"/>
    </xf>
    <xf numFmtId="0" fontId="90" fillId="7" borderId="0" xfId="301" applyFont="1" applyFill="1" applyBorder="1" applyAlignment="1">
      <alignment horizontal="center"/>
    </xf>
    <xf numFmtId="43" fontId="101" fillId="7" borderId="45" xfId="7" applyFont="1" applyFill="1" applyBorder="1"/>
    <xf numFmtId="43" fontId="90" fillId="7" borderId="45" xfId="7" applyFont="1" applyFill="1" applyBorder="1"/>
    <xf numFmtId="43" fontId="104" fillId="77" borderId="0" xfId="301" applyNumberFormat="1" applyFont="1" applyFill="1" applyAlignment="1">
      <alignment horizontal="left" indent="1"/>
    </xf>
    <xf numFmtId="15" fontId="12" fillId="0" borderId="0" xfId="1" applyNumberFormat="1" applyFont="1" applyFill="1" applyAlignment="1">
      <alignment horizontal="center" vertical="center"/>
    </xf>
    <xf numFmtId="43" fontId="12" fillId="0" borderId="0" xfId="1" applyFont="1" applyFill="1" applyBorder="1" applyAlignment="1">
      <alignment horizontal="center" vertical="center" wrapText="1"/>
    </xf>
    <xf numFmtId="0" fontId="105" fillId="2" borderId="0" xfId="0" applyFont="1" applyFill="1"/>
    <xf numFmtId="0" fontId="106" fillId="2" borderId="0" xfId="0" applyFont="1" applyFill="1"/>
    <xf numFmtId="0" fontId="107" fillId="2" borderId="0" xfId="0" applyFont="1" applyFill="1"/>
    <xf numFmtId="172" fontId="108" fillId="8" borderId="8" xfId="0" applyNumberFormat="1" applyFont="1" applyFill="1" applyBorder="1" applyAlignment="1">
      <alignment vertical="center"/>
    </xf>
    <xf numFmtId="172" fontId="108" fillId="8" borderId="7" xfId="0" applyNumberFormat="1" applyFont="1" applyFill="1" applyBorder="1" applyAlignment="1"/>
    <xf numFmtId="0" fontId="106" fillId="2" borderId="0" xfId="0" applyFont="1" applyFill="1" applyAlignment="1">
      <alignment vertical="center"/>
    </xf>
    <xf numFmtId="0" fontId="108" fillId="2" borderId="0" xfId="2" applyFont="1" applyFill="1" applyAlignment="1">
      <alignment horizontal="center" vertical="center" wrapText="1"/>
    </xf>
    <xf numFmtId="0" fontId="106" fillId="2" borderId="0" xfId="2" applyFont="1" applyFill="1" applyAlignment="1">
      <alignment horizontal="center" vertical="center" wrapText="1"/>
    </xf>
    <xf numFmtId="2" fontId="108" fillId="2" borderId="0" xfId="2" applyNumberFormat="1" applyFont="1" applyFill="1" applyAlignment="1">
      <alignment horizontal="center" vertical="center" wrapText="1"/>
    </xf>
    <xf numFmtId="2" fontId="109" fillId="2" borderId="0" xfId="2" applyNumberFormat="1" applyFont="1" applyFill="1" applyAlignment="1">
      <alignment horizontal="center" vertical="center" wrapText="1"/>
    </xf>
    <xf numFmtId="2" fontId="108" fillId="2" borderId="0" xfId="1" applyNumberFormat="1" applyFont="1" applyFill="1" applyAlignment="1">
      <alignment horizontal="center" vertical="center" wrapText="1"/>
    </xf>
    <xf numFmtId="2" fontId="108" fillId="2" borderId="0" xfId="2" applyNumberFormat="1" applyFont="1" applyFill="1" applyAlignment="1">
      <alignment horizontal="center" vertical="center"/>
    </xf>
    <xf numFmtId="0" fontId="13" fillId="7" borderId="0" xfId="301" applyFont="1" applyFill="1"/>
    <xf numFmtId="15" fontId="72" fillId="0" borderId="0" xfId="1" applyNumberFormat="1" applyFont="1" applyFill="1" applyAlignment="1">
      <alignment horizontal="center"/>
    </xf>
    <xf numFmtId="43" fontId="13" fillId="7" borderId="0" xfId="7" applyFont="1" applyFill="1" applyAlignment="1">
      <alignment horizontal="center"/>
    </xf>
    <xf numFmtId="0" fontId="12" fillId="7" borderId="0" xfId="301" applyFont="1" applyFill="1" applyBorder="1"/>
    <xf numFmtId="0" fontId="13" fillId="0" borderId="50" xfId="0" applyFont="1" applyFill="1" applyBorder="1" applyAlignment="1"/>
    <xf numFmtId="0" fontId="12" fillId="0" borderId="51" xfId="0" applyFont="1" applyFill="1" applyBorder="1" applyAlignment="1"/>
    <xf numFmtId="168" fontId="12" fillId="0" borderId="51" xfId="1" applyNumberFormat="1" applyFont="1" applyFill="1" applyBorder="1" applyAlignment="1"/>
    <xf numFmtId="43" fontId="12" fillId="0" borderId="51" xfId="1" applyFont="1" applyBorder="1"/>
    <xf numFmtId="0" fontId="12" fillId="0" borderId="51" xfId="0" applyFont="1" applyBorder="1"/>
    <xf numFmtId="0" fontId="12" fillId="0" borderId="52" xfId="0" applyFont="1" applyBorder="1"/>
    <xf numFmtId="0" fontId="14" fillId="0" borderId="54" xfId="0" applyFont="1" applyFill="1" applyBorder="1"/>
    <xf numFmtId="0" fontId="15" fillId="0" borderId="62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 applyAlignment="1">
      <alignment horizontal="center" vertical="center"/>
    </xf>
    <xf numFmtId="15" fontId="14" fillId="0" borderId="53" xfId="1" applyNumberFormat="1" applyFont="1" applyFill="1" applyBorder="1" applyAlignment="1">
      <alignment horizontal="center" vertical="center"/>
    </xf>
    <xf numFmtId="171" fontId="14" fillId="0" borderId="0" xfId="1" applyNumberFormat="1" applyFont="1" applyFill="1" applyBorder="1"/>
    <xf numFmtId="0" fontId="14" fillId="0" borderId="0" xfId="1" applyNumberFormat="1" applyFont="1" applyFill="1" applyBorder="1" applyAlignment="1">
      <alignment horizontal="center" vertical="center"/>
    </xf>
    <xf numFmtId="15" fontId="14" fillId="0" borderId="55" xfId="1" applyNumberFormat="1" applyFont="1" applyFill="1" applyBorder="1" applyAlignment="1">
      <alignment horizontal="center" vertical="center"/>
    </xf>
    <xf numFmtId="15" fontId="12" fillId="0" borderId="27" xfId="1" applyNumberFormat="1" applyFont="1" applyFill="1" applyBorder="1" applyAlignment="1">
      <alignment horizontal="center" vertical="center"/>
    </xf>
    <xf numFmtId="168" fontId="14" fillId="0" borderId="27" xfId="1" applyNumberFormat="1" applyFont="1" applyFill="1" applyBorder="1"/>
    <xf numFmtId="171" fontId="14" fillId="0" borderId="27" xfId="1" applyNumberFormat="1" applyFont="1" applyFill="1" applyBorder="1"/>
    <xf numFmtId="43" fontId="14" fillId="0" borderId="27" xfId="1" applyFont="1" applyFill="1" applyBorder="1" applyAlignment="1">
      <alignment horizontal="center" vertical="center" wrapText="1"/>
    </xf>
    <xf numFmtId="0" fontId="14" fillId="0" borderId="27" xfId="1" applyNumberFormat="1" applyFont="1" applyFill="1" applyBorder="1" applyAlignment="1">
      <alignment horizontal="center" vertical="center"/>
    </xf>
    <xf numFmtId="0" fontId="14" fillId="0" borderId="57" xfId="0" applyFont="1" applyFill="1" applyBorder="1"/>
    <xf numFmtId="168" fontId="14" fillId="0" borderId="47" xfId="1" applyNumberFormat="1" applyFont="1" applyFill="1" applyBorder="1"/>
    <xf numFmtId="0" fontId="14" fillId="0" borderId="53" xfId="0" applyFont="1" applyFill="1" applyBorder="1"/>
    <xf numFmtId="15" fontId="14" fillId="0" borderId="53" xfId="1" applyNumberFormat="1" applyFont="1" applyFill="1" applyBorder="1" applyAlignment="1">
      <alignment vertical="center"/>
    </xf>
    <xf numFmtId="43" fontId="14" fillId="0" borderId="0" xfId="1" applyNumberFormat="1" applyFont="1" applyFill="1" applyBorder="1"/>
    <xf numFmtId="168" fontId="14" fillId="91" borderId="0" xfId="1" applyNumberFormat="1" applyFont="1" applyFill="1" applyBorder="1"/>
    <xf numFmtId="15" fontId="14" fillId="0" borderId="0" xfId="1" applyNumberFormat="1" applyFont="1" applyFill="1" applyBorder="1" applyAlignment="1">
      <alignment horizontal="center" vertical="center"/>
    </xf>
    <xf numFmtId="0" fontId="0" fillId="0" borderId="0" xfId="0" applyBorder="1"/>
    <xf numFmtId="43" fontId="0" fillId="0" borderId="0" xfId="0" applyNumberFormat="1" applyBorder="1"/>
    <xf numFmtId="0" fontId="12" fillId="0" borderId="27" xfId="0" applyFont="1" applyBorder="1"/>
    <xf numFmtId="168" fontId="12" fillId="0" borderId="27" xfId="1" applyNumberFormat="1" applyFont="1" applyBorder="1"/>
    <xf numFmtId="0" fontId="0" fillId="0" borderId="27" xfId="0" applyBorder="1"/>
    <xf numFmtId="10" fontId="90" fillId="7" borderId="0" xfId="3" applyNumberFormat="1" applyFont="1" applyFill="1"/>
    <xf numFmtId="43" fontId="15" fillId="0" borderId="1" xfId="1" applyNumberFormat="1" applyFont="1" applyFill="1" applyBorder="1" applyAlignment="1">
      <alignment horizontal="center" vertical="center" wrapText="1"/>
    </xf>
    <xf numFmtId="43" fontId="15" fillId="0" borderId="0" xfId="1" applyNumberFormat="1" applyFont="1" applyFill="1" applyBorder="1" applyAlignment="1">
      <alignment horizontal="center" vertical="center" wrapText="1"/>
    </xf>
    <xf numFmtId="0" fontId="12" fillId="91" borderId="48" xfId="291" applyFont="1" applyFill="1" applyBorder="1" applyAlignment="1">
      <alignment vertical="center" wrapText="1"/>
    </xf>
    <xf numFmtId="167" fontId="12" fillId="91" borderId="48" xfId="291" applyNumberFormat="1" applyFont="1" applyFill="1" applyBorder="1"/>
    <xf numFmtId="168" fontId="12" fillId="91" borderId="48" xfId="7" applyNumberFormat="1" applyFont="1" applyFill="1" applyBorder="1"/>
    <xf numFmtId="43" fontId="12" fillId="91" borderId="48" xfId="7" applyFont="1" applyFill="1" applyBorder="1"/>
    <xf numFmtId="168" fontId="12" fillId="91" borderId="48" xfId="623" applyNumberFormat="1" applyFont="1" applyFill="1" applyBorder="1" applyAlignment="1"/>
    <xf numFmtId="1" fontId="12" fillId="91" borderId="48" xfId="291" applyNumberFormat="1" applyFont="1" applyFill="1" applyBorder="1" applyAlignment="1">
      <alignment horizontal="center" wrapText="1"/>
    </xf>
    <xf numFmtId="168" fontId="12" fillId="91" borderId="48" xfId="623" applyNumberFormat="1" applyFont="1" applyFill="1" applyBorder="1"/>
    <xf numFmtId="10" fontId="12" fillId="91" borderId="48" xfId="624" applyNumberFormat="1" applyFont="1" applyFill="1" applyBorder="1"/>
    <xf numFmtId="168" fontId="12" fillId="91" borderId="42" xfId="7" applyNumberFormat="1" applyFont="1" applyFill="1" applyBorder="1"/>
    <xf numFmtId="166" fontId="12" fillId="91" borderId="48" xfId="623" applyNumberFormat="1" applyFont="1" applyFill="1" applyBorder="1"/>
    <xf numFmtId="168" fontId="66" fillId="0" borderId="0" xfId="1" applyNumberFormat="1" applyFont="1" applyFill="1"/>
    <xf numFmtId="168" fontId="12" fillId="7" borderId="38" xfId="1" applyNumberFormat="1" applyFont="1" applyFill="1" applyBorder="1"/>
    <xf numFmtId="168" fontId="12" fillId="7" borderId="0" xfId="7" applyNumberFormat="1" applyFont="1" applyFill="1"/>
    <xf numFmtId="168" fontId="12" fillId="7" borderId="0" xfId="1" applyNumberFormat="1" applyFont="1" applyFill="1"/>
    <xf numFmtId="15" fontId="0" fillId="0" borderId="0" xfId="0" applyNumberFormat="1"/>
    <xf numFmtId="43" fontId="90" fillId="7" borderId="0" xfId="1" applyFont="1" applyFill="1"/>
    <xf numFmtId="168" fontId="12" fillId="0" borderId="0" xfId="458" applyNumberFormat="1" applyFont="1" applyFill="1" applyBorder="1" applyAlignment="1">
      <alignment horizontal="center" vertical="center"/>
    </xf>
    <xf numFmtId="168" fontId="15" fillId="0" borderId="0" xfId="0" applyNumberFormat="1" applyFont="1"/>
    <xf numFmtId="43" fontId="13" fillId="7" borderId="0" xfId="7" applyFont="1" applyFill="1"/>
    <xf numFmtId="173" fontId="13" fillId="3" borderId="1" xfId="1" applyNumberFormat="1" applyFont="1" applyFill="1" applyBorder="1" applyAlignment="1">
      <alignment horizontal="center" vertical="center" wrapText="1"/>
    </xf>
    <xf numFmtId="168" fontId="15" fillId="3" borderId="37" xfId="1" applyNumberFormat="1" applyFont="1" applyFill="1" applyBorder="1" applyAlignment="1">
      <alignment horizontal="center" vertical="center" wrapText="1"/>
    </xf>
    <xf numFmtId="43" fontId="15" fillId="3" borderId="37" xfId="1" applyFont="1" applyFill="1" applyBorder="1" applyAlignment="1">
      <alignment horizontal="center" vertical="center" wrapText="1"/>
    </xf>
    <xf numFmtId="173" fontId="15" fillId="3" borderId="1" xfId="1" applyNumberFormat="1" applyFont="1" applyFill="1" applyBorder="1" applyAlignment="1">
      <alignment horizontal="center" vertical="center" wrapText="1"/>
    </xf>
    <xf numFmtId="168" fontId="15" fillId="3" borderId="37" xfId="1" applyNumberFormat="1" applyFont="1" applyFill="1" applyBorder="1" applyAlignment="1">
      <alignment horizontal="center" vertical="center" wrapText="1"/>
    </xf>
    <xf numFmtId="43" fontId="15" fillId="3" borderId="37" xfId="1" applyFont="1" applyFill="1" applyBorder="1" applyAlignment="1">
      <alignment horizontal="center" vertical="center" wrapText="1"/>
    </xf>
    <xf numFmtId="0" fontId="16" fillId="0" borderId="0" xfId="0" applyFont="1" applyFill="1" applyAlignment="1"/>
    <xf numFmtId="0" fontId="110" fillId="0" borderId="0" xfId="0" applyFont="1" applyFill="1" applyAlignment="1"/>
    <xf numFmtId="15" fontId="111" fillId="0" borderId="0" xfId="1" applyNumberFormat="1" applyFont="1" applyFill="1" applyAlignment="1">
      <alignment horizontal="center" wrapText="1"/>
    </xf>
    <xf numFmtId="168" fontId="13" fillId="3" borderId="37" xfId="1" applyNumberFormat="1" applyFont="1" applyFill="1" applyBorder="1" applyAlignment="1">
      <alignment horizontal="center" vertical="center" wrapText="1"/>
    </xf>
    <xf numFmtId="165" fontId="14" fillId="0" borderId="40" xfId="1" applyNumberFormat="1" applyFont="1" applyFill="1" applyBorder="1"/>
    <xf numFmtId="0" fontId="14" fillId="0" borderId="44" xfId="0" applyFont="1" applyBorder="1"/>
    <xf numFmtId="0" fontId="14" fillId="0" borderId="45" xfId="0" applyFont="1" applyBorder="1"/>
    <xf numFmtId="168" fontId="74" fillId="2" borderId="0" xfId="1" applyNumberFormat="1" applyFont="1" applyFill="1" applyBorder="1" applyAlignment="1">
      <alignment horizontal="center" vertical="center"/>
    </xf>
    <xf numFmtId="168" fontId="12" fillId="7" borderId="37" xfId="1" applyNumberFormat="1" applyFont="1" applyFill="1" applyBorder="1"/>
    <xf numFmtId="0" fontId="13" fillId="0" borderId="0" xfId="0" applyFont="1" applyAlignment="1">
      <alignment horizontal="center"/>
    </xf>
    <xf numFmtId="43" fontId="90" fillId="7" borderId="0" xfId="301" applyNumberFormat="1" applyFont="1" applyFill="1" applyBorder="1"/>
    <xf numFmtId="168" fontId="13" fillId="7" borderId="0" xfId="7" applyNumberFormat="1" applyFont="1" applyFill="1"/>
    <xf numFmtId="168" fontId="12" fillId="0" borderId="37" xfId="7" applyNumberFormat="1" applyFont="1" applyFill="1" applyBorder="1"/>
    <xf numFmtId="168" fontId="74" fillId="0" borderId="1" xfId="1" applyNumberFormat="1" applyFont="1" applyFill="1" applyBorder="1" applyAlignment="1">
      <alignment horizontal="center" vertical="center"/>
    </xf>
    <xf numFmtId="0" fontId="74" fillId="0" borderId="0" xfId="0" applyFont="1" applyFill="1" applyAlignment="1">
      <alignment horizontal="center" vertical="center"/>
    </xf>
    <xf numFmtId="0" fontId="15" fillId="0" borderId="0" xfId="0" applyFont="1" applyFill="1"/>
    <xf numFmtId="0" fontId="12" fillId="91" borderId="1" xfId="0" applyFont="1" applyFill="1" applyBorder="1" applyAlignment="1">
      <alignment horizontal="center" vertical="center"/>
    </xf>
    <xf numFmtId="0" fontId="12" fillId="91" borderId="1" xfId="0" quotePrefix="1" applyFont="1" applyFill="1" applyBorder="1" applyAlignment="1">
      <alignment horizontal="left" vertical="center"/>
    </xf>
    <xf numFmtId="0" fontId="12" fillId="91" borderId="1" xfId="0" applyFont="1" applyFill="1" applyBorder="1" applyAlignment="1">
      <alignment horizontal="center" vertical="center" wrapText="1"/>
    </xf>
    <xf numFmtId="168" fontId="12" fillId="91" borderId="1" xfId="1" applyNumberFormat="1" applyFont="1" applyFill="1" applyBorder="1" applyAlignment="1">
      <alignment horizontal="center" vertical="center"/>
    </xf>
    <xf numFmtId="15" fontId="12" fillId="91" borderId="1" xfId="0" applyNumberFormat="1" applyFont="1" applyFill="1" applyBorder="1" applyAlignment="1">
      <alignment horizontal="center" vertical="center"/>
    </xf>
    <xf numFmtId="4" fontId="12" fillId="91" borderId="1" xfId="1" applyNumberFormat="1" applyFont="1" applyFill="1" applyBorder="1" applyAlignment="1">
      <alignment horizontal="center" vertical="center"/>
    </xf>
    <xf numFmtId="170" fontId="12" fillId="91" borderId="1" xfId="1" applyNumberFormat="1" applyFont="1" applyFill="1" applyBorder="1" applyAlignment="1">
      <alignment horizontal="center" vertical="center"/>
    </xf>
    <xf numFmtId="170" fontId="12" fillId="91" borderId="1" xfId="3" applyNumberFormat="1" applyFont="1" applyFill="1" applyBorder="1" applyAlignment="1">
      <alignment horizontal="center" vertical="center"/>
    </xf>
    <xf numFmtId="168" fontId="12" fillId="91" borderId="1" xfId="1" applyNumberFormat="1" applyFont="1" applyFill="1" applyBorder="1" applyAlignment="1">
      <alignment horizontal="center" vertical="center" wrapText="1"/>
    </xf>
    <xf numFmtId="171" fontId="12" fillId="91" borderId="1" xfId="0" applyNumberFormat="1" applyFont="1" applyFill="1" applyBorder="1" applyAlignment="1">
      <alignment horizontal="center" vertical="center"/>
    </xf>
    <xf numFmtId="168" fontId="12" fillId="91" borderId="1" xfId="0" applyNumberFormat="1" applyFont="1" applyFill="1" applyBorder="1" applyAlignment="1">
      <alignment horizontal="center" vertical="center"/>
    </xf>
    <xf numFmtId="0" fontId="12" fillId="91" borderId="1" xfId="0" applyFont="1" applyFill="1" applyBorder="1" applyAlignment="1">
      <alignment horizontal="left" vertical="center" wrapText="1"/>
    </xf>
    <xf numFmtId="174" fontId="12" fillId="91" borderId="1" xfId="3" applyNumberFormat="1" applyFont="1" applyFill="1" applyBorder="1" applyAlignment="1">
      <alignment vertical="center"/>
    </xf>
    <xf numFmtId="15" fontId="12" fillId="91" borderId="1" xfId="3" applyNumberFormat="1" applyFont="1" applyFill="1" applyBorder="1" applyAlignment="1">
      <alignment horizontal="center" vertical="center"/>
    </xf>
    <xf numFmtId="43" fontId="12" fillId="91" borderId="1" xfId="1" applyFont="1" applyFill="1" applyBorder="1" applyAlignment="1">
      <alignment horizontal="center" vertical="center"/>
    </xf>
    <xf numFmtId="168" fontId="12" fillId="91" borderId="1" xfId="1" applyNumberFormat="1" applyFont="1" applyFill="1" applyBorder="1" applyAlignment="1">
      <alignment vertical="center"/>
    </xf>
    <xf numFmtId="166" fontId="12" fillId="91" borderId="1" xfId="0" applyNumberFormat="1" applyFont="1" applyFill="1" applyBorder="1" applyAlignment="1">
      <alignment vertical="center"/>
    </xf>
    <xf numFmtId="166" fontId="12" fillId="91" borderId="1" xfId="1" applyNumberFormat="1" applyFont="1" applyFill="1" applyBorder="1" applyAlignment="1">
      <alignment vertical="center"/>
    </xf>
    <xf numFmtId="4" fontId="12" fillId="0" borderId="0" xfId="0" applyNumberFormat="1" applyFont="1" applyAlignment="1">
      <alignment horizontal="center"/>
    </xf>
    <xf numFmtId="0" fontId="12" fillId="7" borderId="0" xfId="301" applyFont="1" applyFill="1"/>
    <xf numFmtId="185" fontId="12" fillId="0" borderId="0" xfId="1" applyNumberFormat="1" applyFont="1" applyFill="1" applyBorder="1"/>
    <xf numFmtId="14" fontId="14" fillId="0" borderId="0" xfId="0" applyNumberFormat="1" applyFont="1"/>
    <xf numFmtId="9" fontId="12" fillId="0" borderId="0" xfId="0" applyNumberFormat="1" applyFont="1" applyFill="1" applyAlignment="1">
      <alignment horizontal="center"/>
    </xf>
    <xf numFmtId="0" fontId="49" fillId="7" borderId="0" xfId="301" applyFont="1" applyFill="1"/>
    <xf numFmtId="0" fontId="49" fillId="7" borderId="0" xfId="301" quotePrefix="1" applyFont="1" applyFill="1"/>
    <xf numFmtId="168" fontId="49" fillId="7" borderId="0" xfId="301" applyNumberFormat="1" applyFont="1" applyFill="1"/>
    <xf numFmtId="43" fontId="12" fillId="7" borderId="0" xfId="7" applyFont="1" applyFill="1"/>
    <xf numFmtId="168" fontId="0" fillId="0" borderId="0" xfId="1" applyNumberFormat="1" applyFont="1" applyFill="1"/>
    <xf numFmtId="173" fontId="12" fillId="7" borderId="0" xfId="7" applyNumberFormat="1" applyFont="1" applyFill="1"/>
    <xf numFmtId="43" fontId="14" fillId="0" borderId="0" xfId="1" applyFont="1" applyFill="1" applyAlignment="1">
      <alignment horizontal="center"/>
    </xf>
    <xf numFmtId="0" fontId="14" fillId="94" borderId="0" xfId="0" applyFont="1" applyFill="1"/>
    <xf numFmtId="186" fontId="113" fillId="0" borderId="0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74" fontId="12" fillId="0" borderId="0" xfId="3" applyNumberFormat="1" applyFont="1" applyFill="1" applyBorder="1" applyAlignment="1">
      <alignment vertical="center"/>
    </xf>
    <xf numFmtId="168" fontId="12" fillId="0" borderId="0" xfId="1" applyNumberFormat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horizontal="center" vertical="center"/>
    </xf>
    <xf numFmtId="166" fontId="12" fillId="0" borderId="0" xfId="1" applyNumberFormat="1" applyFont="1" applyFill="1" applyBorder="1" applyAlignment="1">
      <alignment vertical="center"/>
    </xf>
    <xf numFmtId="168" fontId="14" fillId="0" borderId="0" xfId="0" applyNumberFormat="1" applyFont="1" applyFill="1"/>
    <xf numFmtId="183" fontId="15" fillId="0" borderId="0" xfId="1" applyNumberFormat="1" applyFont="1" applyFill="1" applyBorder="1" applyAlignment="1">
      <alignment horizontal="center" vertical="center" wrapText="1"/>
    </xf>
    <xf numFmtId="186" fontId="112" fillId="0" borderId="0" xfId="0" applyNumberFormat="1" applyFont="1" applyFill="1" applyBorder="1"/>
    <xf numFmtId="0" fontId="83" fillId="0" borderId="1" xfId="0" applyFont="1" applyFill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horizontal="center" vertical="center"/>
    </xf>
    <xf numFmtId="15" fontId="114" fillId="0" borderId="0" xfId="1" applyNumberFormat="1" applyFont="1" applyFill="1" applyBorder="1" applyAlignment="1">
      <alignment horizontal="center" vertical="center"/>
    </xf>
    <xf numFmtId="15" fontId="8" fillId="0" borderId="0" xfId="1" applyNumberFormat="1" applyFont="1" applyFill="1" applyBorder="1" applyAlignment="1">
      <alignment horizontal="center" vertical="center"/>
    </xf>
    <xf numFmtId="0" fontId="8" fillId="0" borderId="0" xfId="0" applyFont="1" applyFill="1"/>
    <xf numFmtId="0" fontId="78" fillId="0" borderId="0" xfId="0" applyFont="1" applyFill="1" applyBorder="1" applyAlignment="1"/>
    <xf numFmtId="0" fontId="8" fillId="0" borderId="0" xfId="0" applyFont="1" applyFill="1" applyBorder="1" applyAlignment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/>
    </xf>
    <xf numFmtId="15" fontId="112" fillId="0" borderId="0" xfId="1" applyNumberFormat="1" applyFont="1" applyFill="1" applyBorder="1" applyAlignment="1">
      <alignment horizontal="center" vertical="center"/>
    </xf>
    <xf numFmtId="0" fontId="114" fillId="0" borderId="0" xfId="0" applyFont="1" applyFill="1" applyBorder="1"/>
    <xf numFmtId="43" fontId="49" fillId="95" borderId="0" xfId="1" applyFont="1" applyFill="1" applyBorder="1"/>
    <xf numFmtId="0" fontId="12" fillId="0" borderId="0" xfId="632" applyFont="1" applyFill="1" applyBorder="1" applyAlignment="1">
      <alignment horizontal="center" vertical="center"/>
    </xf>
    <xf numFmtId="0" fontId="12" fillId="0" borderId="0" xfId="632" applyFont="1" applyFill="1" applyBorder="1"/>
    <xf numFmtId="10" fontId="12" fillId="0" borderId="0" xfId="3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186" fontId="115" fillId="0" borderId="0" xfId="0" applyNumberFormat="1" applyFont="1" applyFill="1" applyBorder="1" applyAlignment="1">
      <alignment horizontal="center"/>
    </xf>
    <xf numFmtId="9" fontId="14" fillId="0" borderId="0" xfId="0" applyNumberFormat="1" applyFont="1" applyFill="1" applyAlignment="1">
      <alignment horizontal="center"/>
    </xf>
    <xf numFmtId="43" fontId="8" fillId="0" borderId="0" xfId="1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center" vertical="center" wrapText="1"/>
    </xf>
    <xf numFmtId="186" fontId="88" fillId="0" borderId="0" xfId="0" applyNumberFormat="1" applyFont="1" applyFill="1" applyBorder="1" applyAlignment="1">
      <alignment horizontal="center"/>
    </xf>
    <xf numFmtId="166" fontId="13" fillId="0" borderId="0" xfId="0" applyNumberFormat="1" applyFont="1" applyFill="1" applyBorder="1"/>
    <xf numFmtId="0" fontId="54" fillId="0" borderId="0" xfId="0" applyFont="1" applyFill="1" applyBorder="1"/>
    <xf numFmtId="43" fontId="12" fillId="0" borderId="0" xfId="1" applyNumberFormat="1" applyFont="1" applyFill="1"/>
    <xf numFmtId="0" fontId="12" fillId="0" borderId="0" xfId="0" applyFont="1" applyFill="1" applyBorder="1" applyAlignment="1">
      <alignment horizontal="left"/>
    </xf>
    <xf numFmtId="168" fontId="12" fillId="0" borderId="0" xfId="1" applyNumberFormat="1" applyFont="1" applyFill="1" applyBorder="1" applyAlignment="1">
      <alignment horizontal="left" vertical="center"/>
    </xf>
    <xf numFmtId="43" fontId="14" fillId="0" borderId="41" xfId="1" applyNumberFormat="1" applyFont="1" applyBorder="1"/>
    <xf numFmtId="168" fontId="49" fillId="0" borderId="0" xfId="1" applyNumberFormat="1" applyFont="1" applyFill="1"/>
    <xf numFmtId="0" fontId="49" fillId="0" borderId="0" xfId="0" applyFont="1" applyFill="1"/>
    <xf numFmtId="15" fontId="49" fillId="0" borderId="0" xfId="0" applyNumberFormat="1" applyFont="1" applyFill="1" applyAlignment="1">
      <alignment horizontal="center"/>
    </xf>
    <xf numFmtId="15" fontId="49" fillId="0" borderId="0" xfId="0" applyNumberFormat="1" applyFont="1" applyFill="1"/>
    <xf numFmtId="170" fontId="49" fillId="0" borderId="0" xfId="0" applyNumberFormat="1" applyFont="1" applyFill="1"/>
    <xf numFmtId="0" fontId="14" fillId="0" borderId="0" xfId="0" applyFont="1" applyBorder="1" applyAlignment="1">
      <alignment horizontal="center"/>
    </xf>
    <xf numFmtId="168" fontId="12" fillId="0" borderId="45" xfId="1" applyNumberFormat="1" applyFont="1" applyFill="1" applyBorder="1" applyAlignment="1">
      <alignment vertical="center"/>
    </xf>
    <xf numFmtId="166" fontId="12" fillId="0" borderId="45" xfId="0" applyNumberFormat="1" applyFont="1" applyFill="1" applyBorder="1" applyAlignment="1">
      <alignment vertical="center"/>
    </xf>
    <xf numFmtId="43" fontId="12" fillId="91" borderId="0" xfId="1" applyNumberFormat="1" applyFont="1" applyFill="1" applyBorder="1" applyAlignment="1">
      <alignment horizontal="center" vertical="center" wrapText="1"/>
    </xf>
    <xf numFmtId="187" fontId="12" fillId="2" borderId="0" xfId="1" applyNumberFormat="1" applyFont="1" applyFill="1" applyAlignment="1">
      <alignment horizontal="center" vertical="center"/>
    </xf>
    <xf numFmtId="188" fontId="12" fillId="2" borderId="0" xfId="1" applyNumberFormat="1" applyFont="1" applyFill="1" applyAlignment="1">
      <alignment horizontal="center" vertical="center"/>
    </xf>
    <xf numFmtId="188" fontId="13" fillId="3" borderId="1" xfId="1" applyNumberFormat="1" applyFont="1" applyFill="1" applyBorder="1" applyAlignment="1">
      <alignment horizontal="center" vertical="center" wrapText="1"/>
    </xf>
    <xf numFmtId="43" fontId="15" fillId="3" borderId="1" xfId="1" applyFont="1" applyFill="1" applyBorder="1" applyAlignment="1">
      <alignment horizontal="center" vertical="center" wrapText="1"/>
    </xf>
    <xf numFmtId="188" fontId="14" fillId="2" borderId="1" xfId="1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68" fontId="12" fillId="4" borderId="1" xfId="1" applyNumberFormat="1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center" vertical="center" wrapText="1"/>
    </xf>
    <xf numFmtId="10" fontId="14" fillId="4" borderId="1" xfId="3" applyNumberFormat="1" applyFont="1" applyFill="1" applyBorder="1" applyAlignment="1">
      <alignment horizontal="center" vertical="center"/>
    </xf>
    <xf numFmtId="168" fontId="14" fillId="4" borderId="1" xfId="1" applyNumberFormat="1" applyFont="1" applyFill="1" applyBorder="1" applyAlignment="1">
      <alignment horizontal="center" vertical="center"/>
    </xf>
    <xf numFmtId="188" fontId="14" fillId="4" borderId="1" xfId="1" applyNumberFormat="1" applyFont="1" applyFill="1" applyBorder="1" applyAlignment="1">
      <alignment horizontal="center" vertical="center"/>
    </xf>
    <xf numFmtId="43" fontId="14" fillId="4" borderId="1" xfId="0" applyNumberFormat="1" applyFont="1" applyFill="1" applyBorder="1" applyAlignment="1">
      <alignment horizontal="center" vertical="center"/>
    </xf>
    <xf numFmtId="168" fontId="14" fillId="4" borderId="1" xfId="0" applyNumberFormat="1" applyFont="1" applyFill="1" applyBorder="1" applyAlignment="1">
      <alignment horizontal="center" vertical="center"/>
    </xf>
    <xf numFmtId="171" fontId="14" fillId="4" borderId="1" xfId="0" applyNumberFormat="1" applyFont="1" applyFill="1" applyBorder="1" applyAlignment="1">
      <alignment horizontal="center" vertical="center"/>
    </xf>
    <xf numFmtId="170" fontId="14" fillId="4" borderId="1" xfId="3" applyNumberFormat="1" applyFont="1" applyFill="1" applyBorder="1" applyAlignment="1">
      <alignment horizontal="center" vertical="center"/>
    </xf>
    <xf numFmtId="0" fontId="16" fillId="0" borderId="0" xfId="0" applyFont="1"/>
    <xf numFmtId="0" fontId="74" fillId="0" borderId="1" xfId="0" applyFont="1" applyBorder="1" applyAlignment="1">
      <alignment horizontal="center"/>
    </xf>
    <xf numFmtId="0" fontId="74" fillId="0" borderId="1" xfId="0" applyFont="1" applyBorder="1"/>
    <xf numFmtId="168" fontId="74" fillId="0" borderId="1" xfId="1" applyNumberFormat="1" applyFont="1" applyBorder="1"/>
    <xf numFmtId="10" fontId="74" fillId="0" borderId="1" xfId="3" applyNumberFormat="1" applyFont="1" applyBorder="1"/>
    <xf numFmtId="15" fontId="74" fillId="0" borderId="1" xfId="0" applyNumberFormat="1" applyFont="1" applyBorder="1"/>
    <xf numFmtId="15" fontId="74" fillId="0" borderId="1" xfId="0" applyNumberFormat="1" applyFont="1" applyBorder="1" applyAlignment="1">
      <alignment horizontal="center"/>
    </xf>
    <xf numFmtId="43" fontId="74" fillId="0" borderId="1" xfId="1" applyFont="1" applyBorder="1" applyAlignment="1">
      <alignment horizontal="center"/>
    </xf>
    <xf numFmtId="4" fontId="74" fillId="0" borderId="1" xfId="0" applyNumberFormat="1" applyFont="1" applyBorder="1" applyAlignment="1">
      <alignment horizontal="center"/>
    </xf>
    <xf numFmtId="168" fontId="74" fillId="0" borderId="1" xfId="1" applyNumberFormat="1" applyFont="1" applyBorder="1" applyAlignment="1">
      <alignment horizontal="center"/>
    </xf>
    <xf numFmtId="166" fontId="74" fillId="0" borderId="1" xfId="1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168" fontId="12" fillId="0" borderId="1" xfId="1" applyNumberFormat="1" applyFont="1" applyBorder="1"/>
    <xf numFmtId="10" fontId="12" fillId="0" borderId="1" xfId="3" applyNumberFormat="1" applyFont="1" applyBorder="1"/>
    <xf numFmtId="15" fontId="12" fillId="0" borderId="1" xfId="0" applyNumberFormat="1" applyFont="1" applyBorder="1"/>
    <xf numFmtId="15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168" fontId="13" fillId="3" borderId="23" xfId="1" applyNumberFormat="1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47" fillId="0" borderId="0" xfId="291" applyFont="1"/>
    <xf numFmtId="0" fontId="47" fillId="0" borderId="0" xfId="291" applyFont="1" applyAlignment="1">
      <alignment horizontal="left"/>
    </xf>
    <xf numFmtId="0" fontId="47" fillId="0" borderId="0" xfId="291" applyFont="1" applyAlignment="1">
      <alignment horizontal="center"/>
    </xf>
    <xf numFmtId="168" fontId="47" fillId="0" borderId="0" xfId="7" applyNumberFormat="1" applyFont="1"/>
    <xf numFmtId="189" fontId="47" fillId="0" borderId="0" xfId="291" applyNumberFormat="1" applyFont="1" applyAlignment="1">
      <alignment horizontal="center" vertical="center"/>
    </xf>
    <xf numFmtId="0" fontId="109" fillId="0" borderId="0" xfId="291" applyFont="1" applyAlignment="1">
      <alignment horizontal="left"/>
    </xf>
    <xf numFmtId="14" fontId="47" fillId="0" borderId="0" xfId="7" applyNumberFormat="1" applyFont="1"/>
    <xf numFmtId="0" fontId="47" fillId="0" borderId="24" xfId="291" applyFont="1" applyBorder="1"/>
    <xf numFmtId="0" fontId="47" fillId="0" borderId="26" xfId="291" applyFont="1" applyBorder="1"/>
    <xf numFmtId="0" fontId="47" fillId="0" borderId="0" xfId="291" applyFont="1" applyAlignment="1">
      <alignment horizontal="center" vertical="center" wrapText="1"/>
    </xf>
    <xf numFmtId="0" fontId="47" fillId="0" borderId="0" xfId="291" applyFont="1" applyAlignment="1">
      <alignment horizontal="left" vertical="center" wrapText="1"/>
    </xf>
    <xf numFmtId="168" fontId="47" fillId="0" borderId="0" xfId="7" applyNumberFormat="1" applyFont="1" applyAlignment="1">
      <alignment horizontal="center" vertical="center" wrapText="1"/>
    </xf>
    <xf numFmtId="0" fontId="47" fillId="0" borderId="0" xfId="291" applyFont="1" applyAlignment="1">
      <alignment horizontal="center" vertical="center"/>
    </xf>
    <xf numFmtId="0" fontId="47" fillId="0" borderId="0" xfId="291" applyFont="1" applyAlignment="1">
      <alignment horizontal="left" vertical="center"/>
    </xf>
    <xf numFmtId="168" fontId="47" fillId="0" borderId="0" xfId="7" applyNumberFormat="1" applyFont="1" applyAlignment="1">
      <alignment vertical="center"/>
    </xf>
    <xf numFmtId="43" fontId="47" fillId="0" borderId="0" xfId="7" applyFont="1" applyAlignment="1">
      <alignment vertical="center"/>
    </xf>
    <xf numFmtId="189" fontId="47" fillId="0" borderId="0" xfId="291" applyNumberFormat="1" applyFont="1" applyAlignment="1">
      <alignment vertical="center"/>
    </xf>
    <xf numFmtId="167" fontId="47" fillId="0" borderId="0" xfId="291" applyNumberFormat="1" applyFont="1" applyAlignment="1">
      <alignment vertical="center"/>
    </xf>
    <xf numFmtId="10" fontId="47" fillId="0" borderId="0" xfId="8" applyNumberFormat="1" applyFont="1" applyAlignment="1">
      <alignment vertical="center"/>
    </xf>
    <xf numFmtId="173" fontId="47" fillId="0" borderId="0" xfId="7" applyNumberFormat="1" applyFont="1"/>
    <xf numFmtId="43" fontId="47" fillId="0" borderId="0" xfId="7" applyFont="1"/>
    <xf numFmtId="168" fontId="47" fillId="0" borderId="0" xfId="7" applyNumberFormat="1" applyFont="1" applyAlignment="1">
      <alignment horizontal="center"/>
    </xf>
    <xf numFmtId="168" fontId="47" fillId="0" borderId="0" xfId="291" applyNumberFormat="1" applyFont="1" applyAlignment="1">
      <alignment horizontal="center"/>
    </xf>
    <xf numFmtId="173" fontId="47" fillId="0" borderId="0" xfId="7" applyNumberFormat="1" applyFont="1" applyAlignment="1">
      <alignment horizontal="center"/>
    </xf>
    <xf numFmtId="1" fontId="47" fillId="0" borderId="0" xfId="338" applyNumberFormat="1" applyFont="1" applyAlignment="1">
      <alignment horizontal="center"/>
    </xf>
    <xf numFmtId="168" fontId="109" fillId="0" borderId="47" xfId="291" applyNumberFormat="1" applyFont="1" applyBorder="1"/>
    <xf numFmtId="168" fontId="47" fillId="0" borderId="0" xfId="291" applyNumberFormat="1" applyFont="1"/>
    <xf numFmtId="168" fontId="109" fillId="0" borderId="0" xfId="7" applyNumberFormat="1" applyFont="1"/>
    <xf numFmtId="15" fontId="12" fillId="2" borderId="0" xfId="0" applyNumberFormat="1" applyFont="1" applyFill="1" applyBorder="1" applyAlignment="1">
      <alignment horizontal="center" vertical="center"/>
    </xf>
    <xf numFmtId="15" fontId="74" fillId="2" borderId="0" xfId="0" applyNumberFormat="1" applyFont="1" applyFill="1" applyBorder="1" applyAlignment="1">
      <alignment horizontal="center" vertical="center"/>
    </xf>
    <xf numFmtId="4" fontId="50" fillId="0" borderId="0" xfId="0" applyNumberFormat="1" applyFont="1" applyAlignment="1">
      <alignment vertical="center"/>
    </xf>
    <xf numFmtId="168" fontId="50" fillId="0" borderId="0" xfId="0" applyNumberFormat="1" applyFont="1" applyFill="1" applyAlignment="1">
      <alignment vertical="center"/>
    </xf>
    <xf numFmtId="4" fontId="50" fillId="0" borderId="0" xfId="0" applyNumberFormat="1" applyFont="1" applyFill="1" applyAlignment="1">
      <alignment vertical="center"/>
    </xf>
    <xf numFmtId="0" fontId="50" fillId="0" borderId="0" xfId="1" applyNumberFormat="1" applyFont="1" applyAlignment="1">
      <alignment vertical="center"/>
    </xf>
    <xf numFmtId="168" fontId="50" fillId="0" borderId="24" xfId="1" applyNumberFormat="1" applyFont="1" applyFill="1" applyBorder="1" applyAlignment="1">
      <alignment vertical="center"/>
    </xf>
    <xf numFmtId="190" fontId="47" fillId="0" borderId="0" xfId="291" applyNumberFormat="1" applyFont="1"/>
    <xf numFmtId="43" fontId="0" fillId="0" borderId="27" xfId="0" applyNumberFormat="1" applyBorder="1"/>
    <xf numFmtId="43" fontId="12" fillId="91" borderId="1" xfId="1" applyNumberFormat="1" applyFont="1" applyFill="1" applyBorder="1" applyAlignment="1">
      <alignment vertical="center"/>
    </xf>
    <xf numFmtId="43" fontId="12" fillId="2" borderId="0" xfId="0" applyNumberFormat="1" applyFont="1" applyFill="1" applyAlignment="1">
      <alignment horizontal="center" vertical="center"/>
    </xf>
    <xf numFmtId="0" fontId="12" fillId="0" borderId="0" xfId="0" applyFont="1" applyFill="1" applyBorder="1" applyAlignment="1"/>
    <xf numFmtId="0" fontId="13" fillId="91" borderId="1" xfId="0" applyFont="1" applyFill="1" applyBorder="1" applyAlignment="1">
      <alignment horizontal="left" vertical="center" wrapText="1"/>
    </xf>
    <xf numFmtId="43" fontId="13" fillId="91" borderId="65" xfId="1" applyNumberFormat="1" applyFont="1" applyFill="1" applyBorder="1" applyAlignment="1">
      <alignment vertical="center"/>
    </xf>
    <xf numFmtId="168" fontId="13" fillId="91" borderId="65" xfId="1" applyNumberFormat="1" applyFont="1" applyFill="1" applyBorder="1" applyAlignment="1">
      <alignment vertical="center"/>
    </xf>
    <xf numFmtId="3" fontId="47" fillId="0" borderId="0" xfId="291" applyNumberFormat="1" applyFont="1"/>
    <xf numFmtId="0" fontId="79" fillId="0" borderId="0" xfId="0" applyFont="1" applyFill="1" applyBorder="1" applyAlignment="1">
      <alignment wrapText="1"/>
    </xf>
    <xf numFmtId="43" fontId="14" fillId="0" borderId="46" xfId="1" applyNumberFormat="1" applyFont="1" applyBorder="1"/>
    <xf numFmtId="0" fontId="15" fillId="0" borderId="66" xfId="0" applyFont="1" applyFill="1" applyBorder="1" applyAlignment="1">
      <alignment horizontal="center" vertical="center" wrapText="1"/>
    </xf>
    <xf numFmtId="0" fontId="14" fillId="0" borderId="54" xfId="0" applyFont="1" applyFill="1" applyBorder="1" applyAlignment="1">
      <alignment horizontal="center"/>
    </xf>
    <xf numFmtId="43" fontId="12" fillId="0" borderId="54" xfId="1" applyNumberFormat="1" applyFont="1" applyFill="1" applyBorder="1" applyAlignment="1">
      <alignment horizontal="center"/>
    </xf>
    <xf numFmtId="0" fontId="0" fillId="0" borderId="54" xfId="0" applyBorder="1"/>
    <xf numFmtId="0" fontId="0" fillId="0" borderId="57" xfId="0" applyBorder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43" fontId="68" fillId="0" borderId="0" xfId="1" applyFont="1" applyAlignment="1">
      <alignment horizontal="center" vertical="center"/>
    </xf>
    <xf numFmtId="168" fontId="0" fillId="0" borderId="0" xfId="1" applyNumberFormat="1" applyFont="1"/>
    <xf numFmtId="43" fontId="0" fillId="0" borderId="0" xfId="1" applyFont="1"/>
    <xf numFmtId="168" fontId="68" fillId="0" borderId="36" xfId="1" applyNumberFormat="1" applyFont="1" applyBorder="1"/>
    <xf numFmtId="168" fontId="47" fillId="0" borderId="0" xfId="1" applyNumberFormat="1" applyFont="1"/>
    <xf numFmtId="168" fontId="109" fillId="0" borderId="47" xfId="1" applyNumberFormat="1" applyFont="1" applyBorder="1"/>
    <xf numFmtId="168" fontId="15" fillId="0" borderId="0" xfId="1" applyNumberFormat="1" applyFont="1" applyFill="1" applyBorder="1"/>
    <xf numFmtId="0" fontId="83" fillId="0" borderId="66" xfId="0" applyFont="1" applyFill="1" applyBorder="1" applyAlignment="1">
      <alignment horizontal="center" vertical="center" wrapText="1"/>
    </xf>
    <xf numFmtId="43" fontId="4" fillId="0" borderId="54" xfId="1" applyFont="1" applyBorder="1"/>
    <xf numFmtId="164" fontId="8" fillId="0" borderId="0" xfId="649" applyFont="1" applyFill="1"/>
    <xf numFmtId="164" fontId="0" fillId="0" borderId="0" xfId="649" applyFont="1"/>
    <xf numFmtId="164" fontId="68" fillId="0" borderId="47" xfId="649" applyFont="1" applyBorder="1"/>
    <xf numFmtId="191" fontId="8" fillId="0" borderId="0" xfId="649" applyNumberFormat="1" applyFont="1" applyFill="1"/>
    <xf numFmtId="191" fontId="68" fillId="0" borderId="47" xfId="649" applyNumberFormat="1" applyFont="1" applyBorder="1"/>
    <xf numFmtId="164" fontId="8" fillId="0" borderId="0" xfId="649" applyNumberFormat="1" applyFont="1" applyFill="1"/>
    <xf numFmtId="164" fontId="0" fillId="0" borderId="0" xfId="649" applyNumberFormat="1" applyFont="1"/>
    <xf numFmtId="164" fontId="68" fillId="0" borderId="47" xfId="649" applyNumberFormat="1" applyFont="1" applyBorder="1"/>
    <xf numFmtId="164" fontId="8" fillId="0" borderId="0" xfId="649" applyFont="1" applyFill="1" applyAlignment="1"/>
    <xf numFmtId="164" fontId="68" fillId="0" borderId="0" xfId="649" applyFont="1" applyBorder="1"/>
    <xf numFmtId="191" fontId="83" fillId="0" borderId="1" xfId="649" applyNumberFormat="1" applyFont="1" applyFill="1" applyBorder="1" applyAlignment="1">
      <alignment horizontal="center" vertical="center" wrapText="1"/>
    </xf>
    <xf numFmtId="191" fontId="8" fillId="0" borderId="0" xfId="649" applyNumberFormat="1" applyFont="1" applyFill="1" applyBorder="1" applyAlignment="1">
      <alignment horizontal="center" vertical="center" wrapText="1"/>
    </xf>
    <xf numFmtId="191" fontId="8" fillId="0" borderId="0" xfId="649" applyNumberFormat="1" applyFont="1" applyFill="1" applyBorder="1" applyAlignment="1">
      <alignment horizontal="center"/>
    </xf>
    <xf numFmtId="191" fontId="8" fillId="0" borderId="0" xfId="649" applyNumberFormat="1" applyFont="1" applyFill="1" applyBorder="1"/>
    <xf numFmtId="191" fontId="8" fillId="0" borderId="0" xfId="649" applyNumberFormat="1" applyFont="1" applyFill="1" applyBorder="1" applyAlignment="1">
      <alignment horizontal="center" vertical="center"/>
    </xf>
    <xf numFmtId="191" fontId="112" fillId="0" borderId="0" xfId="649" applyNumberFormat="1" applyFont="1" applyFill="1" applyBorder="1"/>
    <xf numFmtId="43" fontId="0" fillId="0" borderId="0" xfId="1" applyFont="1" applyFill="1"/>
    <xf numFmtId="168" fontId="66" fillId="0" borderId="0" xfId="0" applyNumberFormat="1" applyFont="1" applyFill="1"/>
    <xf numFmtId="168" fontId="50" fillId="0" borderId="0" xfId="1" quotePrefix="1" applyNumberFormat="1" applyFont="1" applyAlignment="1">
      <alignment vertical="center"/>
    </xf>
    <xf numFmtId="164" fontId="12" fillId="0" borderId="0" xfId="649" applyFont="1"/>
    <xf numFmtId="164" fontId="14" fillId="0" borderId="0" xfId="649" applyFont="1" applyFill="1"/>
    <xf numFmtId="0" fontId="13" fillId="3" borderId="37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168" fontId="68" fillId="0" borderId="47" xfId="1" applyNumberFormat="1" applyFont="1" applyBorder="1"/>
    <xf numFmtId="168" fontId="0" fillId="0" borderId="0" xfId="1" applyNumberFormat="1" applyFont="1" applyBorder="1"/>
    <xf numFmtId="43" fontId="0" fillId="0" borderId="0" xfId="1" applyFont="1" applyBorder="1"/>
    <xf numFmtId="165" fontId="0" fillId="0" borderId="0" xfId="0" applyNumberFormat="1"/>
    <xf numFmtId="0" fontId="68" fillId="0" borderId="0" xfId="0" applyFont="1"/>
    <xf numFmtId="4" fontId="68" fillId="0" borderId="0" xfId="0" applyNumberFormat="1" applyFont="1"/>
    <xf numFmtId="165" fontId="14" fillId="0" borderId="45" xfId="1" applyNumberFormat="1" applyFont="1" applyFill="1" applyBorder="1"/>
    <xf numFmtId="0" fontId="74" fillId="0" borderId="1" xfId="0" applyFont="1" applyBorder="1" applyAlignment="1">
      <alignment horizontal="center" vertical="center"/>
    </xf>
    <xf numFmtId="0" fontId="74" fillId="0" borderId="1" xfId="0" applyFont="1" applyBorder="1" applyAlignment="1">
      <alignment horizontal="left" vertical="center" wrapText="1"/>
    </xf>
    <xf numFmtId="0" fontId="74" fillId="0" borderId="1" xfId="0" applyFont="1" applyBorder="1" applyAlignment="1">
      <alignment horizontal="center" vertical="center" wrapText="1"/>
    </xf>
    <xf numFmtId="15" fontId="74" fillId="0" borderId="1" xfId="0" applyNumberFormat="1" applyFont="1" applyBorder="1" applyAlignment="1">
      <alignment horizontal="center" vertical="center"/>
    </xf>
    <xf numFmtId="10" fontId="74" fillId="0" borderId="1" xfId="3" applyNumberFormat="1" applyFont="1" applyBorder="1" applyAlignment="1">
      <alignment horizontal="center" vertical="center"/>
    </xf>
    <xf numFmtId="168" fontId="74" fillId="0" borderId="1" xfId="1" applyNumberFormat="1" applyFont="1" applyBorder="1" applyAlignment="1">
      <alignment horizontal="center" vertical="center"/>
    </xf>
    <xf numFmtId="173" fontId="74" fillId="0" borderId="1" xfId="1" applyNumberFormat="1" applyFont="1" applyBorder="1" applyAlignment="1">
      <alignment horizontal="center" vertical="center"/>
    </xf>
    <xf numFmtId="173" fontId="74" fillId="0" borderId="1" xfId="0" applyNumberFormat="1" applyFont="1" applyBorder="1" applyAlignment="1">
      <alignment horizontal="center" vertical="center"/>
    </xf>
    <xf numFmtId="168" fontId="74" fillId="0" borderId="1" xfId="0" applyNumberFormat="1" applyFont="1" applyBorder="1" applyAlignment="1">
      <alignment horizontal="center" vertical="center"/>
    </xf>
    <xf numFmtId="171" fontId="74" fillId="0" borderId="1" xfId="0" applyNumberFormat="1" applyFont="1" applyFill="1" applyBorder="1" applyAlignment="1">
      <alignment horizontal="center" vertical="center"/>
    </xf>
    <xf numFmtId="170" fontId="74" fillId="0" borderId="1" xfId="3" applyNumberFormat="1" applyFont="1" applyFill="1" applyBorder="1" applyAlignment="1">
      <alignment horizontal="center" vertical="center"/>
    </xf>
    <xf numFmtId="43" fontId="74" fillId="0" borderId="1" xfId="1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" fontId="47" fillId="0" borderId="0" xfId="291" applyNumberFormat="1" applyFont="1"/>
    <xf numFmtId="168" fontId="50" fillId="0" borderId="0" xfId="1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179" fontId="74" fillId="0" borderId="1" xfId="1" applyNumberFormat="1" applyFont="1" applyBorder="1" applyAlignment="1">
      <alignment horizontal="center" vertical="center"/>
    </xf>
    <xf numFmtId="15" fontId="47" fillId="0" borderId="0" xfId="291" applyNumberFormat="1" applyFont="1"/>
    <xf numFmtId="164" fontId="47" fillId="0" borderId="0" xfId="649" applyFont="1"/>
    <xf numFmtId="164" fontId="47" fillId="0" borderId="0" xfId="649" applyFont="1" applyAlignment="1">
      <alignment horizontal="center" vertical="center"/>
    </xf>
    <xf numFmtId="165" fontId="47" fillId="0" borderId="0" xfId="291" applyNumberFormat="1" applyFont="1"/>
    <xf numFmtId="0" fontId="12" fillId="0" borderId="0" xfId="0" quotePrefix="1" applyFont="1" applyFill="1" applyBorder="1"/>
    <xf numFmtId="168" fontId="12" fillId="0" borderId="0" xfId="1" quotePrefix="1" applyNumberFormat="1" applyFont="1" applyFill="1" applyBorder="1"/>
    <xf numFmtId="168" fontId="12" fillId="2" borderId="0" xfId="1" quotePrefix="1" applyNumberFormat="1" applyFont="1" applyFill="1" applyAlignment="1">
      <alignment horizontal="center" vertical="center"/>
    </xf>
    <xf numFmtId="0" fontId="47" fillId="0" borderId="0" xfId="291" quotePrefix="1" applyFont="1"/>
    <xf numFmtId="0" fontId="0" fillId="0" borderId="0" xfId="0" quotePrefix="1"/>
    <xf numFmtId="0" fontId="74" fillId="0" borderId="1" xfId="0" applyFont="1" applyFill="1" applyBorder="1" applyAlignment="1">
      <alignment horizontal="center"/>
    </xf>
    <xf numFmtId="0" fontId="74" fillId="0" borderId="1" xfId="0" applyFont="1" applyFill="1" applyBorder="1"/>
    <xf numFmtId="168" fontId="74" fillId="0" borderId="1" xfId="1" applyNumberFormat="1" applyFont="1" applyFill="1" applyBorder="1"/>
    <xf numFmtId="10" fontId="74" fillId="0" borderId="1" xfId="3" applyNumberFormat="1" applyFont="1" applyFill="1" applyBorder="1"/>
    <xf numFmtId="15" fontId="74" fillId="0" borderId="1" xfId="0" applyNumberFormat="1" applyFont="1" applyFill="1" applyBorder="1"/>
    <xf numFmtId="15" fontId="74" fillId="0" borderId="1" xfId="0" applyNumberFormat="1" applyFont="1" applyFill="1" applyBorder="1" applyAlignment="1">
      <alignment horizontal="center"/>
    </xf>
    <xf numFmtId="43" fontId="74" fillId="0" borderId="1" xfId="1" applyFont="1" applyFill="1" applyBorder="1" applyAlignment="1">
      <alignment horizontal="center"/>
    </xf>
    <xf numFmtId="168" fontId="74" fillId="0" borderId="1" xfId="1" applyNumberFormat="1" applyFont="1" applyFill="1" applyBorder="1" applyAlignment="1">
      <alignment horizontal="center"/>
    </xf>
    <xf numFmtId="0" fontId="74" fillId="0" borderId="0" xfId="0" applyFont="1" applyFill="1"/>
    <xf numFmtId="168" fontId="117" fillId="0" borderId="0" xfId="1" applyNumberFormat="1" applyFont="1" applyFill="1"/>
    <xf numFmtId="168" fontId="50" fillId="0" borderId="0" xfId="1" applyNumberFormat="1" applyFont="1" applyBorder="1" applyAlignment="1">
      <alignment vertical="center"/>
    </xf>
    <xf numFmtId="168" fontId="50" fillId="0" borderId="0" xfId="0" applyNumberFormat="1" applyFont="1" applyBorder="1" applyAlignment="1">
      <alignment vertical="center"/>
    </xf>
    <xf numFmtId="4" fontId="12" fillId="7" borderId="0" xfId="301" applyNumberFormat="1" applyFont="1" applyFill="1"/>
    <xf numFmtId="4" fontId="74" fillId="0" borderId="1" xfId="0" applyNumberFormat="1" applyFont="1" applyFill="1" applyBorder="1" applyAlignment="1">
      <alignment horizontal="center"/>
    </xf>
    <xf numFmtId="0" fontId="118" fillId="0" borderId="0" xfId="291" applyFont="1" applyAlignment="1">
      <alignment horizontal="center" vertical="center"/>
    </xf>
    <xf numFmtId="0" fontId="118" fillId="0" borderId="0" xfId="291" applyFont="1" applyAlignment="1">
      <alignment horizontal="left" vertical="center"/>
    </xf>
    <xf numFmtId="1" fontId="118" fillId="0" borderId="0" xfId="338" applyNumberFormat="1" applyFont="1" applyAlignment="1">
      <alignment horizontal="left"/>
    </xf>
    <xf numFmtId="168" fontId="118" fillId="0" borderId="0" xfId="7" applyNumberFormat="1" applyFont="1" applyAlignment="1">
      <alignment vertical="center"/>
    </xf>
    <xf numFmtId="43" fontId="118" fillId="0" borderId="0" xfId="7" applyFont="1" applyAlignment="1">
      <alignment vertical="center"/>
    </xf>
    <xf numFmtId="189" fontId="118" fillId="0" borderId="0" xfId="291" applyNumberFormat="1" applyFont="1" applyAlignment="1">
      <alignment vertical="center"/>
    </xf>
    <xf numFmtId="167" fontId="118" fillId="0" borderId="0" xfId="291" applyNumberFormat="1" applyFont="1" applyAlignment="1">
      <alignment vertical="center"/>
    </xf>
    <xf numFmtId="10" fontId="118" fillId="0" borderId="0" xfId="8" applyNumberFormat="1" applyFont="1" applyAlignment="1">
      <alignment vertical="center"/>
    </xf>
    <xf numFmtId="173" fontId="118" fillId="0" borderId="0" xfId="7" applyNumberFormat="1" applyFont="1"/>
    <xf numFmtId="43" fontId="118" fillId="0" borderId="0" xfId="7" applyFont="1"/>
    <xf numFmtId="168" fontId="118" fillId="0" borderId="0" xfId="7" applyNumberFormat="1" applyFont="1" applyAlignment="1">
      <alignment horizontal="center"/>
    </xf>
    <xf numFmtId="168" fontId="118" fillId="0" borderId="0" xfId="291" applyNumberFormat="1" applyFont="1" applyAlignment="1">
      <alignment horizontal="center"/>
    </xf>
    <xf numFmtId="173" fontId="118" fillId="0" borderId="0" xfId="7" applyNumberFormat="1" applyFont="1" applyAlignment="1">
      <alignment horizontal="center"/>
    </xf>
    <xf numFmtId="168" fontId="118" fillId="0" borderId="0" xfId="1" applyNumberFormat="1" applyFont="1" applyFill="1"/>
    <xf numFmtId="168" fontId="118" fillId="0" borderId="0" xfId="1" applyNumberFormat="1" applyFont="1"/>
    <xf numFmtId="0" fontId="118" fillId="0" borderId="0" xfId="291" applyFont="1"/>
    <xf numFmtId="168" fontId="118" fillId="0" borderId="0" xfId="291" applyNumberFormat="1" applyFont="1"/>
    <xf numFmtId="0" fontId="118" fillId="0" borderId="0" xfId="291" applyFont="1" applyFill="1" applyAlignment="1">
      <alignment horizontal="center" vertical="center"/>
    </xf>
    <xf numFmtId="0" fontId="118" fillId="0" borderId="0" xfId="291" applyFont="1" applyFill="1" applyAlignment="1">
      <alignment horizontal="left" vertical="center"/>
    </xf>
    <xf numFmtId="1" fontId="118" fillId="0" borderId="0" xfId="338" applyNumberFormat="1" applyFont="1" applyFill="1" applyAlignment="1">
      <alignment horizontal="left"/>
    </xf>
    <xf numFmtId="168" fontId="118" fillId="0" borderId="0" xfId="7" applyNumberFormat="1" applyFont="1" applyFill="1" applyAlignment="1">
      <alignment vertical="center"/>
    </xf>
    <xf numFmtId="43" fontId="118" fillId="0" borderId="0" xfId="7" applyFont="1" applyFill="1" applyAlignment="1">
      <alignment vertical="center"/>
    </xf>
    <xf numFmtId="189" fontId="118" fillId="0" borderId="0" xfId="291" applyNumberFormat="1" applyFont="1" applyFill="1" applyAlignment="1">
      <alignment vertical="center"/>
    </xf>
    <xf numFmtId="167" fontId="118" fillId="0" borderId="0" xfId="291" applyNumberFormat="1" applyFont="1" applyFill="1" applyAlignment="1">
      <alignment vertical="center"/>
    </xf>
    <xf numFmtId="10" fontId="118" fillId="0" borderId="0" xfId="8" applyNumberFormat="1" applyFont="1" applyFill="1" applyAlignment="1">
      <alignment vertical="center"/>
    </xf>
    <xf numFmtId="173" fontId="118" fillId="0" borderId="0" xfId="7" applyNumberFormat="1" applyFont="1" applyFill="1"/>
    <xf numFmtId="43" fontId="118" fillId="0" borderId="0" xfId="7" applyFont="1" applyFill="1"/>
    <xf numFmtId="168" fontId="118" fillId="0" borderId="0" xfId="7" applyNumberFormat="1" applyFont="1" applyFill="1" applyAlignment="1">
      <alignment horizontal="center"/>
    </xf>
    <xf numFmtId="168" fontId="118" fillId="0" borderId="0" xfId="291" applyNumberFormat="1" applyFont="1" applyFill="1" applyAlignment="1">
      <alignment horizontal="center"/>
    </xf>
    <xf numFmtId="173" fontId="118" fillId="0" borderId="0" xfId="7" applyNumberFormat="1" applyFont="1" applyFill="1" applyAlignment="1">
      <alignment horizontal="center"/>
    </xf>
    <xf numFmtId="0" fontId="118" fillId="0" borderId="0" xfId="291" applyFont="1" applyFill="1"/>
    <xf numFmtId="180" fontId="50" fillId="0" borderId="0" xfId="1" applyNumberFormat="1" applyFont="1" applyAlignment="1">
      <alignment vertical="center"/>
    </xf>
    <xf numFmtId="0" fontId="117" fillId="0" borderId="0" xfId="291" applyFont="1" applyAlignment="1">
      <alignment horizontal="center" vertical="center"/>
    </xf>
    <xf numFmtId="0" fontId="117" fillId="0" borderId="0" xfId="291" applyFont="1" applyFill="1" applyAlignment="1">
      <alignment horizontal="left" vertical="center"/>
    </xf>
    <xf numFmtId="0" fontId="117" fillId="0" borderId="0" xfId="291" applyFont="1" applyAlignment="1">
      <alignment horizontal="left" vertical="center"/>
    </xf>
    <xf numFmtId="1" fontId="117" fillId="0" borderId="0" xfId="338" applyNumberFormat="1" applyFont="1" applyAlignment="1">
      <alignment horizontal="left"/>
    </xf>
    <xf numFmtId="168" fontId="117" fillId="0" borderId="0" xfId="7" applyNumberFormat="1" applyFont="1" applyAlignment="1">
      <alignment vertical="center"/>
    </xf>
    <xf numFmtId="43" fontId="117" fillId="0" borderId="0" xfId="7" applyFont="1" applyAlignment="1">
      <alignment vertical="center"/>
    </xf>
    <xf numFmtId="189" fontId="117" fillId="0" borderId="0" xfId="291" applyNumberFormat="1" applyFont="1" applyAlignment="1">
      <alignment vertical="center"/>
    </xf>
    <xf numFmtId="167" fontId="117" fillId="0" borderId="0" xfId="291" applyNumberFormat="1" applyFont="1" applyAlignment="1">
      <alignment vertical="center"/>
    </xf>
    <xf numFmtId="10" fontId="117" fillId="0" borderId="0" xfId="8" applyNumberFormat="1" applyFont="1" applyAlignment="1">
      <alignment vertical="center"/>
    </xf>
    <xf numFmtId="173" fontId="117" fillId="0" borderId="0" xfId="7" applyNumberFormat="1" applyFont="1"/>
    <xf numFmtId="43" fontId="117" fillId="0" borderId="0" xfId="7" applyFont="1"/>
    <xf numFmtId="168" fontId="117" fillId="0" borderId="0" xfId="7" applyNumberFormat="1" applyFont="1" applyAlignment="1">
      <alignment horizontal="center"/>
    </xf>
    <xf numFmtId="168" fontId="117" fillId="0" borderId="0" xfId="291" applyNumberFormat="1" applyFont="1" applyAlignment="1">
      <alignment horizontal="center"/>
    </xf>
    <xf numFmtId="173" fontId="117" fillId="0" borderId="0" xfId="7" applyNumberFormat="1" applyFont="1" applyAlignment="1">
      <alignment horizontal="center"/>
    </xf>
    <xf numFmtId="168" fontId="117" fillId="0" borderId="0" xfId="1" applyNumberFormat="1" applyFont="1"/>
    <xf numFmtId="0" fontId="117" fillId="0" borderId="0" xfId="291" applyFont="1"/>
    <xf numFmtId="0" fontId="0" fillId="0" borderId="0" xfId="0" applyAlignment="1">
      <alignment horizontal="left"/>
    </xf>
    <xf numFmtId="0" fontId="68" fillId="0" borderId="14" xfId="0" applyFont="1" applyBorder="1" applyAlignment="1">
      <alignment horizontal="center"/>
    </xf>
    <xf numFmtId="9" fontId="0" fillId="0" borderId="0" xfId="0" applyNumberFormat="1"/>
    <xf numFmtId="168" fontId="68" fillId="0" borderId="36" xfId="0" applyNumberFormat="1" applyFont="1" applyBorder="1"/>
    <xf numFmtId="193" fontId="0" fillId="0" borderId="0" xfId="0" applyNumberFormat="1" applyAlignment="1">
      <alignment horizontal="left"/>
    </xf>
    <xf numFmtId="168" fontId="15" fillId="0" borderId="0" xfId="0" applyNumberFormat="1" applyFont="1" applyFill="1"/>
    <xf numFmtId="4" fontId="0" fillId="0" borderId="0" xfId="0" applyNumberFormat="1"/>
    <xf numFmtId="168" fontId="68" fillId="0" borderId="47" xfId="1" applyNumberFormat="1" applyFont="1" applyFill="1" applyBorder="1"/>
    <xf numFmtId="168" fontId="14" fillId="0" borderId="0" xfId="1" quotePrefix="1" applyNumberFormat="1" applyFont="1"/>
    <xf numFmtId="0" fontId="109" fillId="2" borderId="0" xfId="2" applyFont="1" applyFill="1" applyAlignment="1">
      <alignment horizontal="center" vertical="center" wrapText="1"/>
    </xf>
    <xf numFmtId="0" fontId="74" fillId="2" borderId="0" xfId="291" applyFont="1" applyFill="1"/>
    <xf numFmtId="0" fontId="74" fillId="2" borderId="48" xfId="291" applyFont="1" applyFill="1" applyBorder="1" applyAlignment="1">
      <alignment vertical="center" wrapText="1"/>
    </xf>
    <xf numFmtId="167" fontId="74" fillId="2" borderId="48" xfId="291" applyNumberFormat="1" applyFont="1" applyFill="1" applyBorder="1"/>
    <xf numFmtId="168" fontId="74" fillId="2" borderId="48" xfId="7" applyNumberFormat="1" applyFont="1" applyFill="1" applyBorder="1"/>
    <xf numFmtId="43" fontId="74" fillId="2" borderId="48" xfId="7" applyFont="1" applyFill="1" applyBorder="1"/>
    <xf numFmtId="168" fontId="74" fillId="2" borderId="48" xfId="623" applyNumberFormat="1" applyFont="1" applyFill="1" applyBorder="1" applyAlignment="1"/>
    <xf numFmtId="1" fontId="74" fillId="2" borderId="48" xfId="291" applyNumberFormat="1" applyFont="1" applyFill="1" applyBorder="1" applyAlignment="1">
      <alignment horizontal="center" wrapText="1"/>
    </xf>
    <xf numFmtId="168" fontId="74" fillId="2" borderId="48" xfId="623" applyNumberFormat="1" applyFont="1" applyFill="1" applyBorder="1"/>
    <xf numFmtId="10" fontId="74" fillId="2" borderId="48" xfId="624" applyNumberFormat="1" applyFont="1" applyFill="1" applyBorder="1"/>
    <xf numFmtId="168" fontId="74" fillId="2" borderId="42" xfId="7" applyNumberFormat="1" applyFont="1" applyFill="1" applyBorder="1"/>
    <xf numFmtId="166" fontId="74" fillId="2" borderId="48" xfId="623" applyNumberFormat="1" applyFont="1" applyFill="1" applyBorder="1"/>
    <xf numFmtId="0" fontId="66" fillId="2" borderId="0" xfId="0" applyFont="1" applyFill="1"/>
    <xf numFmtId="168" fontId="74" fillId="2" borderId="0" xfId="291" applyNumberFormat="1" applyFont="1" applyFill="1"/>
    <xf numFmtId="168" fontId="0" fillId="0" borderId="0" xfId="0" applyNumberFormat="1"/>
    <xf numFmtId="43" fontId="0" fillId="0" borderId="0" xfId="0" applyNumberFormat="1"/>
    <xf numFmtId="0" fontId="0" fillId="0" borderId="0" xfId="0" applyFont="1"/>
    <xf numFmtId="43" fontId="14" fillId="0" borderId="45" xfId="1" applyNumberFormat="1" applyFont="1" applyBorder="1"/>
    <xf numFmtId="168" fontId="9" fillId="0" borderId="0" xfId="1" applyNumberFormat="1" applyFont="1"/>
    <xf numFmtId="43" fontId="9" fillId="0" borderId="0" xfId="1" applyFont="1"/>
    <xf numFmtId="0" fontId="14" fillId="0" borderId="0" xfId="0" applyFont="1" applyFill="1" applyBorder="1" applyAlignment="1">
      <alignment horizontal="center" vertical="center" wrapText="1"/>
    </xf>
    <xf numFmtId="166" fontId="12" fillId="0" borderId="0" xfId="0" applyNumberFormat="1" applyFont="1"/>
    <xf numFmtId="166" fontId="12" fillId="91" borderId="37" xfId="0" applyNumberFormat="1" applyFont="1" applyFill="1" applyBorder="1" applyAlignment="1">
      <alignment vertical="center"/>
    </xf>
    <xf numFmtId="43" fontId="12" fillId="91" borderId="37" xfId="1" applyNumberFormat="1" applyFont="1" applyFill="1" applyBorder="1" applyAlignment="1">
      <alignment vertical="center"/>
    </xf>
    <xf numFmtId="0" fontId="12" fillId="7" borderId="1" xfId="301" applyFont="1" applyFill="1" applyBorder="1"/>
    <xf numFmtId="168" fontId="12" fillId="7" borderId="1" xfId="1" applyNumberFormat="1" applyFont="1" applyFill="1" applyBorder="1"/>
    <xf numFmtId="168" fontId="12" fillId="0" borderId="1" xfId="0" applyNumberFormat="1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/>
    </xf>
    <xf numFmtId="180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79" fillId="0" borderId="0" xfId="0" applyFont="1" applyFill="1" applyBorder="1" applyAlignment="1"/>
    <xf numFmtId="168" fontId="14" fillId="0" borderId="41" xfId="1" applyNumberFormat="1" applyFont="1" applyBorder="1"/>
    <xf numFmtId="15" fontId="15" fillId="0" borderId="0" xfId="1" applyNumberFormat="1" applyFont="1" applyFill="1" applyBorder="1" applyAlignment="1">
      <alignment horizontal="center" vertical="center"/>
    </xf>
    <xf numFmtId="168" fontId="68" fillId="0" borderId="0" xfId="1" applyNumberFormat="1" applyFont="1"/>
    <xf numFmtId="43" fontId="68" fillId="0" borderId="0" xfId="1" applyFont="1"/>
    <xf numFmtId="165" fontId="66" fillId="0" borderId="0" xfId="0" applyNumberFormat="1" applyFont="1" applyFill="1"/>
    <xf numFmtId="43" fontId="12" fillId="7" borderId="0" xfId="7" applyFont="1" applyFill="1" applyBorder="1"/>
    <xf numFmtId="43" fontId="12" fillId="7" borderId="0" xfId="7" applyNumberFormat="1" applyFont="1" applyFill="1"/>
    <xf numFmtId="39" fontId="12" fillId="0" borderId="0" xfId="291" applyNumberFormat="1" applyFont="1"/>
    <xf numFmtId="168" fontId="12" fillId="0" borderId="38" xfId="7" applyNumberFormat="1" applyFont="1" applyFill="1" applyBorder="1"/>
    <xf numFmtId="168" fontId="83" fillId="2" borderId="49" xfId="1" applyNumberFormat="1" applyFont="1" applyFill="1" applyBorder="1" applyAlignment="1"/>
    <xf numFmtId="43" fontId="49" fillId="7" borderId="0" xfId="1" applyFont="1" applyFill="1"/>
    <xf numFmtId="168" fontId="12" fillId="87" borderId="38" xfId="1" applyNumberFormat="1" applyFont="1" applyFill="1" applyBorder="1"/>
    <xf numFmtId="0" fontId="68" fillId="0" borderId="67" xfId="0" applyFont="1" applyBorder="1" applyAlignment="1">
      <alignment horizontal="center"/>
    </xf>
    <xf numFmtId="0" fontId="68" fillId="0" borderId="68" xfId="0" applyFont="1" applyBorder="1" applyAlignment="1">
      <alignment horizontal="center"/>
    </xf>
    <xf numFmtId="0" fontId="68" fillId="0" borderId="69" xfId="0" applyFont="1" applyBorder="1" applyAlignment="1">
      <alignment horizontal="center" wrapText="1"/>
    </xf>
    <xf numFmtId="0" fontId="68" fillId="0" borderId="70" xfId="0" applyFont="1" applyBorder="1" applyAlignment="1">
      <alignment horizontal="center"/>
    </xf>
    <xf numFmtId="3" fontId="0" fillId="0" borderId="0" xfId="0" applyNumberFormat="1"/>
    <xf numFmtId="173" fontId="12" fillId="0" borderId="48" xfId="622" applyNumberFormat="1" applyFont="1" applyFill="1" applyBorder="1" applyAlignment="1"/>
    <xf numFmtId="0" fontId="74" fillId="0" borderId="0" xfId="291" applyFont="1" applyFill="1"/>
    <xf numFmtId="0" fontId="74" fillId="0" borderId="48" xfId="291" applyFont="1" applyFill="1" applyBorder="1" applyAlignment="1">
      <alignment vertical="center" wrapText="1"/>
    </xf>
    <xf numFmtId="167" fontId="74" fillId="0" borderId="48" xfId="291" applyNumberFormat="1" applyFont="1" applyFill="1" applyBorder="1"/>
    <xf numFmtId="168" fontId="74" fillId="0" borderId="48" xfId="7" applyNumberFormat="1" applyFont="1" applyFill="1" applyBorder="1"/>
    <xf numFmtId="43" fontId="74" fillId="0" borderId="48" xfId="7" applyFont="1" applyFill="1" applyBorder="1"/>
    <xf numFmtId="168" fontId="74" fillId="0" borderId="48" xfId="623" applyNumberFormat="1" applyFont="1" applyFill="1" applyBorder="1" applyAlignment="1"/>
    <xf numFmtId="1" fontId="74" fillId="0" borderId="48" xfId="291" applyNumberFormat="1" applyFont="1" applyFill="1" applyBorder="1" applyAlignment="1">
      <alignment horizontal="center" wrapText="1"/>
    </xf>
    <xf numFmtId="168" fontId="74" fillId="0" borderId="48" xfId="623" applyNumberFormat="1" applyFont="1" applyFill="1" applyBorder="1"/>
    <xf numFmtId="10" fontId="74" fillId="0" borderId="48" xfId="624" applyNumberFormat="1" applyFont="1" applyFill="1" applyBorder="1"/>
    <xf numFmtId="168" fontId="74" fillId="0" borderId="42" xfId="7" applyNumberFormat="1" applyFont="1" applyFill="1" applyBorder="1"/>
    <xf numFmtId="166" fontId="74" fillId="0" borderId="48" xfId="623" applyNumberFormat="1" applyFont="1" applyFill="1" applyBorder="1"/>
    <xf numFmtId="168" fontId="74" fillId="0" borderId="0" xfId="291" applyNumberFormat="1" applyFont="1" applyFill="1"/>
    <xf numFmtId="0" fontId="0" fillId="0" borderId="0" xfId="693" applyFont="1"/>
    <xf numFmtId="0" fontId="2" fillId="0" borderId="0" xfId="693"/>
    <xf numFmtId="15" fontId="0" fillId="0" borderId="0" xfId="693" applyNumberFormat="1" applyFont="1"/>
    <xf numFmtId="0" fontId="119" fillId="0" borderId="0" xfId="693" applyFont="1"/>
    <xf numFmtId="0" fontId="119" fillId="0" borderId="14" xfId="693" applyFont="1" applyBorder="1" applyAlignment="1">
      <alignment horizontal="center" vertical="center"/>
    </xf>
    <xf numFmtId="0" fontId="119" fillId="0" borderId="14" xfId="693" applyFont="1" applyBorder="1" applyAlignment="1">
      <alignment horizontal="center" vertical="center" wrapText="1"/>
    </xf>
    <xf numFmtId="168" fontId="0" fillId="0" borderId="0" xfId="694" applyNumberFormat="1" applyFont="1"/>
    <xf numFmtId="168" fontId="2" fillId="0" borderId="0" xfId="694" applyNumberFormat="1"/>
    <xf numFmtId="168" fontId="2" fillId="0" borderId="0" xfId="693" applyNumberFormat="1"/>
    <xf numFmtId="43" fontId="2" fillId="0" borderId="0" xfId="694"/>
    <xf numFmtId="15" fontId="2" fillId="0" borderId="0" xfId="693" applyNumberFormat="1"/>
    <xf numFmtId="43" fontId="2" fillId="0" borderId="0" xfId="693" applyNumberFormat="1"/>
    <xf numFmtId="168" fontId="0" fillId="0" borderId="47" xfId="693" applyNumberFormat="1" applyFont="1" applyBorder="1"/>
    <xf numFmtId="165" fontId="2" fillId="0" borderId="0" xfId="693" applyNumberFormat="1"/>
    <xf numFmtId="168" fontId="120" fillId="0" borderId="0" xfId="694" applyNumberFormat="1" applyFont="1"/>
    <xf numFmtId="0" fontId="120" fillId="0" borderId="0" xfId="693" applyFont="1"/>
    <xf numFmtId="0" fontId="119" fillId="0" borderId="71" xfId="693" applyFont="1" applyBorder="1" applyAlignment="1">
      <alignment horizontal="center" vertical="center"/>
    </xf>
    <xf numFmtId="0" fontId="119" fillId="0" borderId="63" xfId="693" applyFont="1" applyBorder="1" applyAlignment="1">
      <alignment horizontal="center" vertical="center"/>
    </xf>
    <xf numFmtId="0" fontId="119" fillId="0" borderId="72" xfId="693" applyFont="1" applyBorder="1" applyAlignment="1">
      <alignment horizontal="center" vertical="center"/>
    </xf>
    <xf numFmtId="0" fontId="0" fillId="0" borderId="73" xfId="693" applyFont="1" applyBorder="1" applyAlignment="1">
      <alignment horizontal="center" vertical="center"/>
    </xf>
    <xf numFmtId="0" fontId="0" fillId="0" borderId="74" xfId="693" applyFont="1" applyBorder="1" applyAlignment="1">
      <alignment horizontal="center" vertical="center"/>
    </xf>
    <xf numFmtId="168" fontId="0" fillId="0" borderId="74" xfId="693" applyNumberFormat="1" applyFont="1" applyBorder="1" applyAlignment="1">
      <alignment horizontal="center" vertical="center"/>
    </xf>
    <xf numFmtId="0" fontId="0" fillId="0" borderId="75" xfId="693" applyFont="1" applyBorder="1" applyAlignment="1">
      <alignment horizontal="left" vertical="center"/>
    </xf>
    <xf numFmtId="0" fontId="0" fillId="0" borderId="76" xfId="693" applyFont="1" applyBorder="1" applyAlignment="1">
      <alignment horizontal="center" vertical="center"/>
    </xf>
    <xf numFmtId="0" fontId="0" fillId="0" borderId="64" xfId="693" applyFont="1" applyBorder="1" applyAlignment="1">
      <alignment horizontal="center" vertical="center"/>
    </xf>
    <xf numFmtId="168" fontId="2" fillId="0" borderId="64" xfId="693" applyNumberFormat="1" applyBorder="1"/>
    <xf numFmtId="0" fontId="0" fillId="0" borderId="56" xfId="693" applyFont="1" applyBorder="1"/>
    <xf numFmtId="0" fontId="119" fillId="0" borderId="3" xfId="693" applyFont="1" applyBorder="1"/>
    <xf numFmtId="0" fontId="2" fillId="0" borderId="4" xfId="693" applyBorder="1"/>
    <xf numFmtId="0" fontId="2" fillId="0" borderId="5" xfId="693" applyBorder="1"/>
    <xf numFmtId="0" fontId="0" fillId="0" borderId="53" xfId="693" quotePrefix="1" applyFont="1" applyBorder="1"/>
    <xf numFmtId="0" fontId="0" fillId="0" borderId="25" xfId="693" applyFont="1" applyBorder="1"/>
    <xf numFmtId="168" fontId="2" fillId="0" borderId="25" xfId="693" applyNumberFormat="1" applyBorder="1"/>
    <xf numFmtId="0" fontId="0" fillId="0" borderId="55" xfId="693" quotePrefix="1" applyFont="1" applyBorder="1"/>
    <xf numFmtId="0" fontId="0" fillId="0" borderId="26" xfId="693" applyFont="1" applyBorder="1"/>
    <xf numFmtId="168" fontId="2" fillId="0" borderId="26" xfId="693" applyNumberFormat="1" applyBorder="1"/>
    <xf numFmtId="0" fontId="119" fillId="0" borderId="4" xfId="693" applyFont="1" applyBorder="1"/>
    <xf numFmtId="0" fontId="0" fillId="0" borderId="50" xfId="693" quotePrefix="1" applyFont="1" applyBorder="1"/>
    <xf numFmtId="0" fontId="0" fillId="0" borderId="24" xfId="693" applyFont="1" applyBorder="1"/>
    <xf numFmtId="168" fontId="2" fillId="0" borderId="24" xfId="693" applyNumberFormat="1" applyBorder="1"/>
    <xf numFmtId="0" fontId="0" fillId="0" borderId="52" xfId="693" applyFont="1" applyBorder="1"/>
    <xf numFmtId="0" fontId="0" fillId="0" borderId="54" xfId="693" applyFont="1" applyBorder="1"/>
    <xf numFmtId="0" fontId="0" fillId="0" borderId="57" xfId="693" applyFont="1" applyBorder="1"/>
    <xf numFmtId="0" fontId="0" fillId="0" borderId="24" xfId="693" quotePrefix="1" applyFont="1" applyBorder="1"/>
    <xf numFmtId="0" fontId="0" fillId="0" borderId="25" xfId="693" quotePrefix="1" applyFont="1" applyBorder="1"/>
    <xf numFmtId="0" fontId="68" fillId="0" borderId="0" xfId="0" applyFont="1" applyBorder="1" applyAlignment="1">
      <alignment horizontal="center"/>
    </xf>
    <xf numFmtId="3" fontId="68" fillId="0" borderId="0" xfId="0" applyNumberFormat="1" applyFont="1"/>
    <xf numFmtId="170" fontId="0" fillId="0" borderId="0" xfId="3" applyNumberFormat="1" applyFont="1"/>
    <xf numFmtId="43" fontId="12" fillId="0" borderId="0" xfId="0" applyNumberFormat="1" applyFont="1" applyBorder="1"/>
    <xf numFmtId="15" fontId="14" fillId="0" borderId="55" xfId="1" applyNumberFormat="1" applyFont="1" applyFill="1" applyBorder="1" applyAlignment="1">
      <alignment vertical="center"/>
    </xf>
    <xf numFmtId="168" fontId="14" fillId="0" borderId="0" xfId="0" quotePrefix="1" applyNumberFormat="1" applyFont="1"/>
    <xf numFmtId="166" fontId="13" fillId="0" borderId="0" xfId="3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15" fontId="14" fillId="0" borderId="0" xfId="0" applyNumberFormat="1" applyFont="1"/>
    <xf numFmtId="168" fontId="14" fillId="0" borderId="0" xfId="0" applyNumberFormat="1" applyFont="1"/>
    <xf numFmtId="15" fontId="14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68" fontId="14" fillId="0" borderId="0" xfId="1" applyNumberFormat="1" applyFont="1" applyFill="1"/>
    <xf numFmtId="168" fontId="14" fillId="0" borderId="0" xfId="0" applyNumberFormat="1" applyFont="1" applyFill="1"/>
    <xf numFmtId="43" fontId="106" fillId="2" borderId="0" xfId="1" applyFont="1" applyFill="1"/>
    <xf numFmtId="178" fontId="54" fillId="0" borderId="0" xfId="1" applyNumberFormat="1" applyFont="1" applyFill="1" applyBorder="1"/>
    <xf numFmtId="0" fontId="14" fillId="0" borderId="0" xfId="0" applyFont="1" applyFill="1" applyAlignment="1">
      <alignment horizontal="center"/>
    </xf>
    <xf numFmtId="43" fontId="4" fillId="0" borderId="0" xfId="1" applyFont="1" applyBorder="1"/>
    <xf numFmtId="168" fontId="74" fillId="94" borderId="0" xfId="1" applyNumberFormat="1" applyFont="1" applyFill="1"/>
    <xf numFmtId="4" fontId="14" fillId="0" borderId="0" xfId="0" applyNumberFormat="1" applyFont="1"/>
    <xf numFmtId="0" fontId="12" fillId="0" borderId="0" xfId="1" applyNumberFormat="1" applyFont="1" applyFill="1" applyBorder="1"/>
    <xf numFmtId="184" fontId="12" fillId="0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/>
    <xf numFmtId="0" fontId="116" fillId="0" borderId="0" xfId="291" applyFont="1" applyFill="1"/>
    <xf numFmtId="0" fontId="116" fillId="0" borderId="48" xfId="291" applyFont="1" applyFill="1" applyBorder="1" applyAlignment="1">
      <alignment vertical="center" wrapText="1"/>
    </xf>
    <xf numFmtId="0" fontId="116" fillId="0" borderId="48" xfId="291" applyFont="1" applyFill="1" applyBorder="1" applyAlignment="1">
      <alignment horizontal="center" vertical="center" wrapText="1"/>
    </xf>
    <xf numFmtId="167" fontId="116" fillId="0" borderId="48" xfId="291" applyNumberFormat="1" applyFont="1" applyFill="1" applyBorder="1"/>
    <xf numFmtId="168" fontId="116" fillId="0" borderId="48" xfId="622" applyNumberFormat="1" applyFont="1" applyFill="1" applyBorder="1"/>
    <xf numFmtId="43" fontId="116" fillId="0" borderId="48" xfId="622" applyFont="1" applyFill="1" applyBorder="1"/>
    <xf numFmtId="168" fontId="116" fillId="0" borderId="48" xfId="623" applyNumberFormat="1" applyFont="1" applyFill="1" applyBorder="1" applyAlignment="1"/>
    <xf numFmtId="168" fontId="116" fillId="0" borderId="48" xfId="622" applyNumberFormat="1" applyFont="1" applyFill="1" applyBorder="1" applyAlignment="1">
      <alignment horizontal="center" wrapText="1"/>
    </xf>
    <xf numFmtId="43" fontId="116" fillId="0" borderId="48" xfId="622" applyFont="1" applyFill="1" applyBorder="1" applyAlignment="1"/>
    <xf numFmtId="173" fontId="116" fillId="0" borderId="48" xfId="622" applyNumberFormat="1" applyFont="1" applyFill="1" applyBorder="1" applyAlignment="1"/>
    <xf numFmtId="168" fontId="116" fillId="0" borderId="48" xfId="623" applyNumberFormat="1" applyFont="1" applyFill="1" applyBorder="1"/>
    <xf numFmtId="168" fontId="116" fillId="0" borderId="42" xfId="622" applyNumberFormat="1" applyFont="1" applyFill="1" applyBorder="1"/>
    <xf numFmtId="166" fontId="116" fillId="0" borderId="48" xfId="622" applyNumberFormat="1" applyFont="1" applyFill="1" applyBorder="1"/>
    <xf numFmtId="0" fontId="116" fillId="89" borderId="0" xfId="291" applyFont="1" applyFill="1"/>
    <xf numFmtId="168" fontId="116" fillId="89" borderId="0" xfId="622" applyNumberFormat="1" applyFont="1" applyFill="1"/>
    <xf numFmtId="0" fontId="121" fillId="0" borderId="0" xfId="291" applyFont="1" applyFill="1"/>
    <xf numFmtId="0" fontId="121" fillId="0" borderId="48" xfId="291" applyFont="1" applyFill="1" applyBorder="1" applyAlignment="1">
      <alignment vertical="center" wrapText="1"/>
    </xf>
    <xf numFmtId="167" fontId="121" fillId="0" borderId="48" xfId="291" applyNumberFormat="1" applyFont="1" applyFill="1" applyBorder="1"/>
    <xf numFmtId="168" fontId="121" fillId="0" borderId="48" xfId="7" applyNumberFormat="1" applyFont="1" applyFill="1" applyBorder="1"/>
    <xf numFmtId="43" fontId="121" fillId="0" borderId="48" xfId="7" applyFont="1" applyFill="1" applyBorder="1"/>
    <xf numFmtId="168" fontId="121" fillId="0" borderId="48" xfId="623" applyNumberFormat="1" applyFont="1" applyFill="1" applyBorder="1" applyAlignment="1"/>
    <xf numFmtId="1" fontId="121" fillId="0" borderId="48" xfId="291" applyNumberFormat="1" applyFont="1" applyFill="1" applyBorder="1" applyAlignment="1">
      <alignment horizontal="center" wrapText="1"/>
    </xf>
    <xf numFmtId="168" fontId="121" fillId="0" borderId="48" xfId="623" applyNumberFormat="1" applyFont="1" applyFill="1" applyBorder="1"/>
    <xf numFmtId="10" fontId="121" fillId="0" borderId="48" xfId="624" applyNumberFormat="1" applyFont="1" applyFill="1" applyBorder="1"/>
    <xf numFmtId="168" fontId="121" fillId="0" borderId="42" xfId="7" applyNumberFormat="1" applyFont="1" applyFill="1" applyBorder="1"/>
    <xf numFmtId="166" fontId="121" fillId="0" borderId="48" xfId="623" applyNumberFormat="1" applyFont="1" applyFill="1" applyBorder="1"/>
    <xf numFmtId="168" fontId="122" fillId="0" borderId="0" xfId="0" applyNumberFormat="1" applyFont="1" applyFill="1"/>
    <xf numFmtId="0" fontId="122" fillId="0" borderId="0" xfId="0" applyFont="1" applyFill="1"/>
    <xf numFmtId="165" fontId="122" fillId="0" borderId="0" xfId="0" applyNumberFormat="1" applyFont="1" applyFill="1"/>
    <xf numFmtId="168" fontId="121" fillId="0" borderId="0" xfId="291" applyNumberFormat="1" applyFont="1" applyFill="1"/>
    <xf numFmtId="167" fontId="122" fillId="0" borderId="0" xfId="0" applyNumberFormat="1" applyFont="1" applyFill="1"/>
    <xf numFmtId="167" fontId="116" fillId="89" borderId="0" xfId="291" applyNumberFormat="1" applyFont="1" applyFill="1"/>
    <xf numFmtId="168" fontId="12" fillId="0" borderId="0" xfId="622" quotePrefix="1" applyNumberFormat="1" applyFont="1" applyBorder="1"/>
    <xf numFmtId="168" fontId="116" fillId="0" borderId="48" xfId="7" applyNumberFormat="1" applyFont="1" applyFill="1" applyBorder="1"/>
    <xf numFmtId="43" fontId="116" fillId="0" borderId="48" xfId="7" applyFont="1" applyFill="1" applyBorder="1"/>
    <xf numFmtId="1" fontId="116" fillId="0" borderId="48" xfId="291" applyNumberFormat="1" applyFont="1" applyFill="1" applyBorder="1" applyAlignment="1">
      <alignment horizontal="center" wrapText="1"/>
    </xf>
    <xf numFmtId="10" fontId="116" fillId="0" borderId="48" xfId="624" applyNumberFormat="1" applyFont="1" applyFill="1" applyBorder="1"/>
    <xf numFmtId="168" fontId="116" fillId="0" borderId="42" xfId="7" applyNumberFormat="1" applyFont="1" applyFill="1" applyBorder="1"/>
    <xf numFmtId="166" fontId="116" fillId="0" borderId="48" xfId="623" applyNumberFormat="1" applyFont="1" applyFill="1" applyBorder="1"/>
    <xf numFmtId="168" fontId="123" fillId="0" borderId="0" xfId="0" applyNumberFormat="1" applyFont="1" applyFill="1"/>
    <xf numFmtId="0" fontId="123" fillId="0" borderId="0" xfId="0" applyFont="1" applyFill="1"/>
    <xf numFmtId="165" fontId="123" fillId="0" borderId="0" xfId="0" applyNumberFormat="1" applyFont="1" applyFill="1"/>
    <xf numFmtId="168" fontId="116" fillId="0" borderId="0" xfId="291" applyNumberFormat="1" applyFont="1" applyFill="1"/>
    <xf numFmtId="167" fontId="123" fillId="0" borderId="0" xfId="0" applyNumberFormat="1" applyFont="1" applyFill="1"/>
    <xf numFmtId="4" fontId="8" fillId="0" borderId="0" xfId="291" applyNumberFormat="1"/>
    <xf numFmtId="168" fontId="8" fillId="0" borderId="0" xfId="1" applyNumberFormat="1" applyFont="1"/>
    <xf numFmtId="15" fontId="0" fillId="0" borderId="0" xfId="0" applyNumberFormat="1" applyFont="1"/>
    <xf numFmtId="43" fontId="14" fillId="0" borderId="0" xfId="1" applyNumberFormat="1" applyFont="1" applyBorder="1"/>
    <xf numFmtId="0" fontId="119" fillId="0" borderId="0" xfId="715" applyFont="1"/>
    <xf numFmtId="0" fontId="1" fillId="0" borderId="0" xfId="715"/>
    <xf numFmtId="0" fontId="1" fillId="0" borderId="1" xfId="715" applyBorder="1"/>
    <xf numFmtId="0" fontId="119" fillId="0" borderId="1" xfId="715" applyFont="1" applyBorder="1"/>
    <xf numFmtId="4" fontId="119" fillId="0" borderId="1" xfId="715" applyNumberFormat="1" applyFont="1" applyBorder="1"/>
    <xf numFmtId="179" fontId="1" fillId="0" borderId="1" xfId="715" applyNumberFormat="1" applyFont="1" applyBorder="1"/>
    <xf numFmtId="4" fontId="1" fillId="0" borderId="1" xfId="715" applyNumberFormat="1" applyFont="1" applyBorder="1"/>
    <xf numFmtId="0" fontId="1" fillId="0" borderId="1" xfId="715" applyFont="1" applyBorder="1"/>
    <xf numFmtId="4" fontId="1" fillId="0" borderId="0" xfId="715" applyNumberFormat="1"/>
    <xf numFmtId="178" fontId="0" fillId="0" borderId="0" xfId="714" applyNumberFormat="1" applyFont="1"/>
    <xf numFmtId="0" fontId="1" fillId="94" borderId="0" xfId="715" applyFill="1"/>
    <xf numFmtId="15" fontId="1" fillId="0" borderId="0" xfId="715" applyNumberFormat="1"/>
    <xf numFmtId="165" fontId="1" fillId="0" borderId="0" xfId="715" applyNumberFormat="1"/>
    <xf numFmtId="0" fontId="119" fillId="0" borderId="1" xfId="715" applyFont="1" applyBorder="1" applyAlignment="1">
      <alignment horizontal="center"/>
    </xf>
    <xf numFmtId="0" fontId="1" fillId="0" borderId="0" xfId="715" applyFont="1" applyAlignment="1">
      <alignment horizontal="left"/>
    </xf>
    <xf numFmtId="168" fontId="0" fillId="0" borderId="1" xfId="714" applyNumberFormat="1" applyFont="1" applyBorder="1"/>
    <xf numFmtId="168" fontId="1" fillId="0" borderId="0" xfId="714" applyNumberFormat="1" applyFont="1" applyAlignment="1">
      <alignment horizontal="right"/>
    </xf>
    <xf numFmtId="167" fontId="1" fillId="0" borderId="0" xfId="714" applyNumberFormat="1" applyFont="1" applyAlignment="1">
      <alignment horizontal="right"/>
    </xf>
    <xf numFmtId="10" fontId="1" fillId="0" borderId="0" xfId="723" applyNumberFormat="1" applyFont="1" applyAlignment="1">
      <alignment horizontal="right"/>
    </xf>
    <xf numFmtId="0" fontId="119" fillId="0" borderId="1" xfId="715" applyFont="1" applyFill="1" applyBorder="1"/>
    <xf numFmtId="168" fontId="119" fillId="0" borderId="1" xfId="715" applyNumberFormat="1" applyFont="1" applyBorder="1"/>
    <xf numFmtId="10" fontId="0" fillId="0" borderId="0" xfId="723" applyNumberFormat="1" applyFont="1" applyAlignment="1">
      <alignment horizontal="right"/>
    </xf>
    <xf numFmtId="1" fontId="0" fillId="0" borderId="0" xfId="714" applyNumberFormat="1" applyFont="1" applyAlignment="1">
      <alignment horizontal="right"/>
    </xf>
    <xf numFmtId="1" fontId="0" fillId="0" borderId="0" xfId="723" applyNumberFormat="1" applyFont="1" applyAlignment="1">
      <alignment horizontal="right"/>
    </xf>
    <xf numFmtId="0" fontId="119" fillId="0" borderId="0" xfId="715" applyFont="1" applyAlignment="1">
      <alignment horizontal="center"/>
    </xf>
    <xf numFmtId="168" fontId="119" fillId="0" borderId="0" xfId="714" applyNumberFormat="1" applyFont="1"/>
    <xf numFmtId="168" fontId="0" fillId="0" borderId="0" xfId="714" applyNumberFormat="1" applyFont="1"/>
    <xf numFmtId="165" fontId="0" fillId="0" borderId="0" xfId="714" applyNumberFormat="1" applyFont="1"/>
    <xf numFmtId="3" fontId="119" fillId="0" borderId="0" xfId="715" applyNumberFormat="1" applyFont="1"/>
    <xf numFmtId="3" fontId="1" fillId="0" borderId="0" xfId="715" applyNumberFormat="1"/>
    <xf numFmtId="168" fontId="1" fillId="0" borderId="0" xfId="715" applyNumberFormat="1"/>
    <xf numFmtId="165" fontId="124" fillId="0" borderId="0" xfId="714" applyNumberFormat="1" applyFont="1"/>
    <xf numFmtId="43" fontId="1" fillId="0" borderId="0" xfId="715" applyNumberFormat="1"/>
    <xf numFmtId="0" fontId="119" fillId="0" borderId="1" xfId="715" applyFont="1" applyBorder="1" applyAlignment="1">
      <alignment horizontal="center" vertical="center"/>
    </xf>
    <xf numFmtId="0" fontId="1" fillId="0" borderId="1" xfId="715" applyFont="1" applyBorder="1" applyAlignment="1">
      <alignment horizontal="center" vertical="center"/>
    </xf>
    <xf numFmtId="168" fontId="1" fillId="0" borderId="1" xfId="715" applyNumberFormat="1" applyFont="1" applyBorder="1" applyAlignment="1">
      <alignment horizontal="center" vertical="center"/>
    </xf>
    <xf numFmtId="2" fontId="13" fillId="7" borderId="0" xfId="301" applyNumberFormat="1" applyFont="1" applyFill="1"/>
    <xf numFmtId="168" fontId="12" fillId="0" borderId="40" xfId="1" applyNumberFormat="1" applyFont="1" applyBorder="1"/>
    <xf numFmtId="168" fontId="12" fillId="0" borderId="40" xfId="1" applyNumberFormat="1" applyFont="1" applyFill="1" applyBorder="1"/>
    <xf numFmtId="168" fontId="12" fillId="0" borderId="45" xfId="1" applyNumberFormat="1" applyFont="1" applyFill="1" applyBorder="1"/>
    <xf numFmtId="194" fontId="12" fillId="0" borderId="0" xfId="1" applyNumberFormat="1" applyFont="1" applyFill="1" applyBorder="1"/>
    <xf numFmtId="195" fontId="12" fillId="0" borderId="0" xfId="1" applyNumberFormat="1" applyFont="1" applyFill="1" applyBorder="1"/>
    <xf numFmtId="196" fontId="0" fillId="0" borderId="0" xfId="0" applyNumberFormat="1"/>
    <xf numFmtId="10" fontId="14" fillId="0" borderId="0" xfId="3" applyNumberFormat="1" applyFont="1"/>
    <xf numFmtId="43" fontId="92" fillId="7" borderId="0" xfId="1" applyFont="1" applyFill="1"/>
    <xf numFmtId="43" fontId="90" fillId="7" borderId="0" xfId="1" applyFont="1" applyFill="1" applyBorder="1"/>
    <xf numFmtId="165" fontId="50" fillId="0" borderId="0" xfId="0" applyNumberFormat="1" applyFont="1" applyFill="1" applyAlignment="1">
      <alignment vertical="center"/>
    </xf>
    <xf numFmtId="4" fontId="125" fillId="0" borderId="0" xfId="0" applyNumberFormat="1" applyFont="1"/>
    <xf numFmtId="0" fontId="15" fillId="0" borderId="1" xfId="0" applyFont="1" applyBorder="1" applyAlignment="1">
      <alignment horizontal="center"/>
    </xf>
    <xf numFmtId="164" fontId="14" fillId="0" borderId="0" xfId="649" applyFont="1"/>
    <xf numFmtId="3" fontId="125" fillId="0" borderId="0" xfId="0" applyNumberFormat="1" applyFont="1"/>
    <xf numFmtId="10" fontId="68" fillId="0" borderId="0" xfId="0" applyNumberFormat="1" applyFont="1"/>
    <xf numFmtId="168" fontId="15" fillId="0" borderId="0" xfId="1" applyNumberFormat="1" applyFont="1" applyFill="1"/>
    <xf numFmtId="173" fontId="15" fillId="0" borderId="0" xfId="1" applyNumberFormat="1" applyFont="1" applyFill="1" applyAlignment="1">
      <alignment horizontal="center"/>
    </xf>
    <xf numFmtId="10" fontId="14" fillId="0" borderId="0" xfId="3" applyNumberFormat="1" applyFont="1" applyFill="1"/>
    <xf numFmtId="173" fontId="14" fillId="0" borderId="0" xfId="1" applyNumberFormat="1" applyFont="1" applyFill="1" applyAlignment="1">
      <alignment horizontal="center"/>
    </xf>
    <xf numFmtId="43" fontId="14" fillId="0" borderId="41" xfId="1" applyFont="1" applyFill="1" applyBorder="1"/>
    <xf numFmtId="43" fontId="14" fillId="0" borderId="43" xfId="1" applyFont="1" applyFill="1" applyBorder="1"/>
    <xf numFmtId="43" fontId="14" fillId="0" borderId="46" xfId="1" applyFont="1" applyFill="1" applyBorder="1"/>
    <xf numFmtId="43" fontId="14" fillId="0" borderId="39" xfId="1" applyFont="1" applyBorder="1"/>
    <xf numFmtId="43" fontId="14" fillId="0" borderId="42" xfId="1" applyFont="1" applyBorder="1"/>
    <xf numFmtId="43" fontId="14" fillId="0" borderId="44" xfId="1" applyFont="1" applyBorder="1"/>
    <xf numFmtId="168" fontId="12" fillId="0" borderId="39" xfId="1" applyNumberFormat="1" applyFont="1" applyBorder="1"/>
    <xf numFmtId="168" fontId="12" fillId="0" borderId="42" xfId="1" applyNumberFormat="1" applyFont="1" applyBorder="1"/>
    <xf numFmtId="168" fontId="15" fillId="0" borderId="0" xfId="1" applyNumberFormat="1" applyFont="1" applyAlignment="1">
      <alignment horizontal="center"/>
    </xf>
    <xf numFmtId="168" fontId="74" fillId="0" borderId="0" xfId="1" applyNumberFormat="1" applyFont="1"/>
    <xf numFmtId="197" fontId="102" fillId="7" borderId="0" xfId="7" applyNumberFormat="1" applyFont="1" applyFill="1" applyBorder="1" applyAlignment="1">
      <alignment horizontal="right"/>
    </xf>
    <xf numFmtId="198" fontId="90" fillId="7" borderId="0" xfId="301" applyNumberFormat="1" applyFont="1" applyFill="1"/>
    <xf numFmtId="199" fontId="90" fillId="7" borderId="0" xfId="301" applyNumberFormat="1" applyFont="1" applyFill="1"/>
    <xf numFmtId="164" fontId="0" fillId="0" borderId="24" xfId="649" applyFont="1" applyBorder="1"/>
    <xf numFmtId="164" fontId="0" fillId="0" borderId="25" xfId="649" applyFont="1" applyBorder="1"/>
    <xf numFmtId="0" fontId="15" fillId="0" borderId="7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/>
    </xf>
    <xf numFmtId="43" fontId="12" fillId="0" borderId="25" xfId="1" applyNumberFormat="1" applyFont="1" applyFill="1" applyBorder="1" applyAlignment="1">
      <alignment horizontal="center"/>
    </xf>
    <xf numFmtId="164" fontId="0" fillId="0" borderId="26" xfId="649" applyFont="1" applyBorder="1"/>
    <xf numFmtId="43" fontId="14" fillId="0" borderId="54" xfId="1" applyFont="1" applyBorder="1"/>
    <xf numFmtId="164" fontId="83" fillId="0" borderId="1" xfId="649" applyFont="1" applyFill="1" applyBorder="1" applyAlignment="1">
      <alignment horizontal="center" vertical="center" wrapText="1"/>
    </xf>
    <xf numFmtId="164" fontId="83" fillId="0" borderId="1" xfId="649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168" fontId="13" fillId="0" borderId="6" xfId="1" applyNumberFormat="1" applyFont="1" applyFill="1" applyBorder="1" applyAlignment="1">
      <alignment horizontal="center" vertical="center"/>
    </xf>
    <xf numFmtId="15" fontId="13" fillId="0" borderId="6" xfId="0" applyNumberFormat="1" applyFont="1" applyFill="1" applyBorder="1" applyAlignment="1">
      <alignment horizontal="center" vertical="center"/>
    </xf>
    <xf numFmtId="15" fontId="13" fillId="0" borderId="6" xfId="0" applyNumberFormat="1" applyFont="1" applyFill="1" applyBorder="1" applyAlignment="1">
      <alignment horizontal="center" vertical="center" wrapText="1"/>
    </xf>
    <xf numFmtId="10" fontId="13" fillId="0" borderId="6" xfId="3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168" fontId="13" fillId="0" borderId="6" xfId="1" applyNumberFormat="1" applyFont="1" applyFill="1" applyBorder="1" applyAlignment="1">
      <alignment horizontal="center" vertical="center" wrapText="1"/>
    </xf>
    <xf numFmtId="43" fontId="12" fillId="0" borderId="48" xfId="1" applyFont="1" applyFill="1" applyBorder="1"/>
    <xf numFmtId="43" fontId="14" fillId="0" borderId="48" xfId="1" applyFont="1" applyBorder="1"/>
    <xf numFmtId="43" fontId="12" fillId="87" borderId="38" xfId="1" applyFont="1" applyFill="1" applyBorder="1"/>
    <xf numFmtId="173" fontId="8" fillId="0" borderId="0" xfId="649" applyNumberFormat="1" applyFont="1" applyFill="1"/>
    <xf numFmtId="173" fontId="83" fillId="0" borderId="1" xfId="649" applyNumberFormat="1" applyFont="1" applyFill="1" applyBorder="1" applyAlignment="1">
      <alignment horizontal="center" vertical="center" wrapText="1"/>
    </xf>
    <xf numFmtId="173" fontId="0" fillId="0" borderId="0" xfId="649" applyNumberFormat="1" applyFont="1"/>
    <xf numFmtId="173" fontId="12" fillId="0" borderId="0" xfId="1" applyNumberFormat="1" applyFont="1" applyFill="1" applyBorder="1" applyAlignment="1">
      <alignment horizontal="center"/>
    </xf>
    <xf numFmtId="3" fontId="12" fillId="2" borderId="0" xfId="0" applyNumberFormat="1" applyFont="1" applyFill="1" applyAlignment="1">
      <alignment horizontal="center" vertical="center"/>
    </xf>
    <xf numFmtId="43" fontId="0" fillId="0" borderId="0" xfId="1" applyFont="1" applyFill="1" applyBorder="1"/>
    <xf numFmtId="173" fontId="68" fillId="0" borderId="0" xfId="649" applyNumberFormat="1" applyFont="1"/>
    <xf numFmtId="0" fontId="49" fillId="0" borderId="0" xfId="499" applyFont="1" applyFill="1" applyBorder="1" applyAlignment="1">
      <alignment horizontal="center" vertical="center"/>
    </xf>
    <xf numFmtId="0" fontId="49" fillId="0" borderId="0" xfId="499" applyFont="1" applyFill="1" applyBorder="1"/>
    <xf numFmtId="168" fontId="49" fillId="0" borderId="0" xfId="458" applyNumberFormat="1" applyFont="1" applyFill="1" applyBorder="1"/>
    <xf numFmtId="15" fontId="49" fillId="0" borderId="0" xfId="498" applyNumberFormat="1" applyFont="1" applyFill="1" applyBorder="1" applyAlignment="1">
      <alignment horizontal="center" vertical="center"/>
    </xf>
    <xf numFmtId="15" fontId="49" fillId="0" borderId="0" xfId="499" applyNumberFormat="1" applyFont="1" applyFill="1" applyBorder="1" applyAlignment="1">
      <alignment horizontal="center" vertical="center"/>
    </xf>
    <xf numFmtId="10" fontId="49" fillId="0" borderId="0" xfId="8" applyNumberFormat="1" applyFont="1" applyFill="1" applyBorder="1" applyAlignment="1">
      <alignment horizontal="center"/>
    </xf>
    <xf numFmtId="168" fontId="49" fillId="0" borderId="0" xfId="458" applyNumberFormat="1" applyFont="1" applyFill="1" applyBorder="1" applyAlignment="1">
      <alignment horizontal="center" vertical="center"/>
    </xf>
    <xf numFmtId="4" fontId="49" fillId="0" borderId="0" xfId="498" applyNumberFormat="1" applyFont="1" applyFill="1" applyBorder="1" applyAlignment="1">
      <alignment horizontal="center" vertical="center"/>
    </xf>
    <xf numFmtId="168" fontId="49" fillId="0" borderId="0" xfId="423" applyNumberFormat="1" applyFont="1" applyFill="1" applyBorder="1"/>
    <xf numFmtId="168" fontId="126" fillId="0" borderId="0" xfId="1" applyNumberFormat="1" applyFont="1" applyFill="1"/>
    <xf numFmtId="14" fontId="126" fillId="0" borderId="0" xfId="0" applyNumberFormat="1" applyFont="1" applyFill="1"/>
    <xf numFmtId="168" fontId="126" fillId="0" borderId="0" xfId="0" applyNumberFormat="1" applyFont="1" applyFill="1"/>
    <xf numFmtId="15" fontId="126" fillId="0" borderId="0" xfId="0" applyNumberFormat="1" applyFont="1" applyFill="1"/>
    <xf numFmtId="0" fontId="126" fillId="0" borderId="0" xfId="0" applyFont="1" applyFill="1"/>
    <xf numFmtId="0" fontId="74" fillId="0" borderId="1" xfId="0" applyFont="1" applyFill="1" applyBorder="1" applyAlignment="1">
      <alignment horizontal="center" vertical="center"/>
    </xf>
    <xf numFmtId="0" fontId="74" fillId="0" borderId="1" xfId="0" quotePrefix="1" applyFont="1" applyFill="1" applyBorder="1" applyAlignment="1">
      <alignment horizontal="left" vertical="center"/>
    </xf>
    <xf numFmtId="0" fontId="74" fillId="0" borderId="1" xfId="0" applyFont="1" applyFill="1" applyBorder="1" applyAlignment="1">
      <alignment horizontal="center" vertical="center" wrapText="1"/>
    </xf>
    <xf numFmtId="15" fontId="74" fillId="0" borderId="1" xfId="0" applyNumberFormat="1" applyFont="1" applyFill="1" applyBorder="1" applyAlignment="1">
      <alignment horizontal="center" vertical="center"/>
    </xf>
    <xf numFmtId="4" fontId="74" fillId="0" borderId="1" xfId="1" applyNumberFormat="1" applyFont="1" applyFill="1" applyBorder="1" applyAlignment="1">
      <alignment horizontal="center" vertical="center"/>
    </xf>
    <xf numFmtId="170" fontId="74" fillId="0" borderId="1" xfId="1" applyNumberFormat="1" applyFont="1" applyFill="1" applyBorder="1" applyAlignment="1">
      <alignment horizontal="center" vertical="center"/>
    </xf>
    <xf numFmtId="168" fontId="74" fillId="0" borderId="1" xfId="1" applyNumberFormat="1" applyFont="1" applyFill="1" applyBorder="1" applyAlignment="1">
      <alignment horizontal="center" vertical="center" wrapText="1"/>
    </xf>
    <xf numFmtId="168" fontId="74" fillId="0" borderId="1" xfId="0" applyNumberFormat="1" applyFont="1" applyFill="1" applyBorder="1" applyAlignment="1">
      <alignment horizontal="center" vertical="center"/>
    </xf>
    <xf numFmtId="179" fontId="74" fillId="0" borderId="1" xfId="0" applyNumberFormat="1" applyFont="1" applyFill="1" applyBorder="1" applyAlignment="1">
      <alignment horizontal="center" vertical="center"/>
    </xf>
    <xf numFmtId="173" fontId="74" fillId="0" borderId="1" xfId="0" applyNumberFormat="1" applyFont="1" applyFill="1" applyBorder="1" applyAlignment="1">
      <alignment horizontal="center" vertical="center"/>
    </xf>
    <xf numFmtId="180" fontId="7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Border="1" applyAlignment="1"/>
    <xf numFmtId="10" fontId="15" fillId="0" borderId="0" xfId="3" applyNumberFormat="1" applyFont="1" applyAlignment="1">
      <alignment horizontal="center"/>
    </xf>
    <xf numFmtId="10" fontId="74" fillId="0" borderId="0" xfId="3" applyNumberFormat="1" applyFont="1"/>
    <xf numFmtId="10" fontId="12" fillId="0" borderId="0" xfId="3" applyNumberFormat="1" applyFont="1"/>
    <xf numFmtId="10" fontId="15" fillId="0" borderId="0" xfId="3" applyNumberFormat="1" applyFont="1" applyFill="1" applyAlignment="1">
      <alignment horizontal="center"/>
    </xf>
    <xf numFmtId="43" fontId="15" fillId="0" borderId="0" xfId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10" fontId="15" fillId="0" borderId="0" xfId="3" applyNumberFormat="1" applyFont="1"/>
    <xf numFmtId="43" fontId="12" fillId="7" borderId="0" xfId="1" applyFont="1" applyFill="1"/>
    <xf numFmtId="0" fontId="13" fillId="0" borderId="0" xfId="0" applyFont="1" applyFill="1" applyAlignment="1">
      <alignment horizontal="left"/>
    </xf>
    <xf numFmtId="173" fontId="103" fillId="90" borderId="0" xfId="7" applyNumberFormat="1" applyFont="1" applyFill="1" applyBorder="1" applyAlignment="1">
      <alignment horizontal="right"/>
    </xf>
    <xf numFmtId="43" fontId="74" fillId="7" borderId="0" xfId="1" applyFont="1" applyFill="1" applyBorder="1"/>
    <xf numFmtId="43" fontId="8" fillId="0" borderId="0" xfId="0" applyNumberFormat="1" applyFont="1" applyFill="1"/>
    <xf numFmtId="173" fontId="74" fillId="0" borderId="1" xfId="1" applyNumberFormat="1" applyFont="1" applyFill="1" applyBorder="1" applyAlignment="1">
      <alignment horizontal="center" vertical="center"/>
    </xf>
    <xf numFmtId="164" fontId="9" fillId="0" borderId="0" xfId="649" applyFont="1" applyBorder="1"/>
    <xf numFmtId="173" fontId="9" fillId="0" borderId="0" xfId="649" applyNumberFormat="1" applyFont="1"/>
    <xf numFmtId="0" fontId="13" fillId="0" borderId="0" xfId="0" applyFont="1" applyFill="1" applyAlignment="1">
      <alignment horizontal="left"/>
    </xf>
    <xf numFmtId="43" fontId="12" fillId="0" borderId="0" xfId="1" applyNumberFormat="1" applyFont="1" applyFill="1" applyBorder="1" applyAlignment="1">
      <alignment horizontal="center"/>
    </xf>
    <xf numFmtId="43" fontId="0" fillId="0" borderId="0" xfId="649" applyNumberFormat="1" applyFont="1"/>
    <xf numFmtId="200" fontId="12" fillId="0" borderId="0" xfId="1" applyNumberFormat="1" applyFont="1" applyFill="1" applyBorder="1"/>
    <xf numFmtId="43" fontId="49" fillId="0" borderId="0" xfId="1" applyFont="1" applyFill="1" applyAlignment="1">
      <alignment horizontal="center"/>
    </xf>
    <xf numFmtId="0" fontId="49" fillId="0" borderId="1" xfId="0" quotePrefix="1" applyFont="1" applyFill="1" applyBorder="1" applyAlignment="1">
      <alignment horizontal="left" vertical="center"/>
    </xf>
    <xf numFmtId="170" fontId="49" fillId="0" borderId="1" xfId="3" applyNumberFormat="1" applyFont="1" applyFill="1" applyBorder="1" applyAlignment="1">
      <alignment horizontal="center" vertical="center"/>
    </xf>
    <xf numFmtId="179" fontId="49" fillId="0" borderId="1" xfId="0" applyNumberFormat="1" applyFont="1" applyFill="1" applyBorder="1" applyAlignment="1">
      <alignment horizontal="center" vertical="center"/>
    </xf>
    <xf numFmtId="180" fontId="49" fillId="0" borderId="1" xfId="0" applyNumberFormat="1" applyFont="1" applyFill="1" applyBorder="1" applyAlignment="1">
      <alignment horizontal="center" vertical="center"/>
    </xf>
    <xf numFmtId="43" fontId="126" fillId="0" borderId="0" xfId="1" applyNumberFormat="1" applyFont="1" applyFill="1"/>
    <xf numFmtId="43" fontId="0" fillId="0" borderId="0" xfId="0" applyNumberFormat="1" applyFill="1"/>
    <xf numFmtId="0" fontId="94" fillId="71" borderId="37" xfId="301" applyFont="1" applyFill="1" applyBorder="1" applyAlignment="1">
      <alignment horizontal="center" vertical="center" wrapText="1"/>
    </xf>
    <xf numFmtId="0" fontId="94" fillId="71" borderId="38" xfId="301" applyFont="1" applyFill="1" applyBorder="1" applyAlignment="1">
      <alignment horizontal="center" vertical="center" wrapText="1"/>
    </xf>
    <xf numFmtId="172" fontId="13" fillId="71" borderId="10" xfId="301" applyNumberFormat="1" applyFont="1" applyFill="1" applyBorder="1" applyAlignment="1">
      <alignment horizontal="left"/>
    </xf>
    <xf numFmtId="0" fontId="95" fillId="0" borderId="2" xfId="0" applyFont="1" applyBorder="1" applyAlignment="1">
      <alignment horizontal="left"/>
    </xf>
    <xf numFmtId="43" fontId="90" fillId="7" borderId="40" xfId="7" applyFont="1" applyFill="1" applyBorder="1" applyAlignment="1">
      <alignment horizontal="center"/>
    </xf>
    <xf numFmtId="0" fontId="89" fillId="7" borderId="0" xfId="301" applyFont="1" applyFill="1" applyAlignment="1">
      <alignment horizontal="center"/>
    </xf>
    <xf numFmtId="0" fontId="89" fillId="71" borderId="10" xfId="301" applyFont="1" applyFill="1" applyBorder="1" applyAlignment="1">
      <alignment horizontal="left"/>
    </xf>
    <xf numFmtId="0" fontId="89" fillId="71" borderId="14" xfId="301" applyFont="1" applyFill="1" applyBorder="1" applyAlignment="1">
      <alignment horizontal="left"/>
    </xf>
    <xf numFmtId="0" fontId="89" fillId="71" borderId="2" xfId="301" applyFont="1" applyFill="1" applyBorder="1" applyAlignment="1">
      <alignment horizontal="left"/>
    </xf>
    <xf numFmtId="168" fontId="15" fillId="0" borderId="47" xfId="1" applyNumberFormat="1" applyFont="1" applyFill="1" applyBorder="1" applyAlignment="1">
      <alignment horizontal="center"/>
    </xf>
    <xf numFmtId="168" fontId="83" fillId="2" borderId="49" xfId="1" applyNumberFormat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/>
    </xf>
    <xf numFmtId="43" fontId="13" fillId="0" borderId="2" xfId="1" applyFont="1" applyFill="1" applyBorder="1" applyAlignment="1">
      <alignment horizontal="center"/>
    </xf>
    <xf numFmtId="168" fontId="13" fillId="0" borderId="40" xfId="1" applyNumberFormat="1" applyFont="1" applyFill="1" applyBorder="1" applyAlignment="1">
      <alignment horizontal="center"/>
    </xf>
    <xf numFmtId="168" fontId="13" fillId="0" borderId="40" xfId="1" applyNumberFormat="1" applyFont="1" applyFill="1" applyBorder="1" applyAlignment="1">
      <alignment horizontal="right" vertical="top"/>
    </xf>
    <xf numFmtId="168" fontId="13" fillId="0" borderId="45" xfId="1" applyNumberFormat="1" applyFont="1" applyFill="1" applyBorder="1" applyAlignment="1">
      <alignment horizontal="center"/>
    </xf>
    <xf numFmtId="0" fontId="68" fillId="0" borderId="24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8" fillId="0" borderId="50" xfId="0" applyFont="1" applyBorder="1" applyAlignment="1">
      <alignment horizontal="center"/>
    </xf>
    <xf numFmtId="0" fontId="68" fillId="0" borderId="51" xfId="0" applyFont="1" applyBorder="1" applyAlignment="1">
      <alignment horizontal="center"/>
    </xf>
    <xf numFmtId="0" fontId="68" fillId="0" borderId="3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0" fontId="15" fillId="0" borderId="61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43" fontId="15" fillId="0" borderId="50" xfId="1" applyFont="1" applyFill="1" applyBorder="1" applyAlignment="1">
      <alignment horizontal="center" vertical="center"/>
    </xf>
    <xf numFmtId="43" fontId="15" fillId="0" borderId="51" xfId="1" applyFont="1" applyFill="1" applyBorder="1" applyAlignment="1">
      <alignment horizontal="center" vertical="center"/>
    </xf>
    <xf numFmtId="43" fontId="15" fillId="0" borderId="52" xfId="1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15" fontId="13" fillId="0" borderId="10" xfId="0" applyNumberFormat="1" applyFont="1" applyFill="1" applyBorder="1" applyAlignment="1">
      <alignment horizontal="center" vertical="center"/>
    </xf>
    <xf numFmtId="15" fontId="13" fillId="0" borderId="2" xfId="0" applyNumberFormat="1" applyFont="1" applyFill="1" applyBorder="1" applyAlignment="1">
      <alignment horizontal="center" vertical="center"/>
    </xf>
    <xf numFmtId="172" fontId="13" fillId="3" borderId="8" xfId="0" applyNumberFormat="1" applyFont="1" applyFill="1" applyBorder="1" applyAlignment="1">
      <alignment horizontal="center" vertical="center"/>
    </xf>
    <xf numFmtId="172" fontId="13" fillId="3" borderId="7" xfId="0" applyNumberFormat="1" applyFont="1" applyFill="1" applyBorder="1" applyAlignment="1">
      <alignment horizontal="center" vertical="center"/>
    </xf>
    <xf numFmtId="15" fontId="13" fillId="3" borderId="10" xfId="0" applyNumberFormat="1" applyFont="1" applyFill="1" applyBorder="1" applyAlignment="1">
      <alignment horizontal="center" vertical="center"/>
    </xf>
    <xf numFmtId="15" fontId="13" fillId="3" borderId="2" xfId="0" applyNumberFormat="1" applyFont="1" applyFill="1" applyBorder="1" applyAlignment="1">
      <alignment horizontal="center" vertical="center"/>
    </xf>
    <xf numFmtId="0" fontId="47" fillId="0" borderId="63" xfId="291" applyFont="1" applyBorder="1" applyAlignment="1">
      <alignment horizontal="center" vertical="center" wrapText="1"/>
    </xf>
    <xf numFmtId="0" fontId="47" fillId="0" borderId="64" xfId="291" applyFont="1" applyBorder="1" applyAlignment="1">
      <alignment horizontal="center" vertical="center" wrapText="1"/>
    </xf>
    <xf numFmtId="0" fontId="109" fillId="0" borderId="0" xfId="291" applyFont="1" applyAlignment="1">
      <alignment horizontal="left" vertical="center"/>
    </xf>
    <xf numFmtId="168" fontId="47" fillId="0" borderId="63" xfId="7" applyNumberFormat="1" applyFont="1" applyBorder="1" applyAlignment="1">
      <alignment horizontal="center" vertical="center" wrapText="1"/>
    </xf>
    <xf numFmtId="168" fontId="47" fillId="0" borderId="64" xfId="7" applyNumberFormat="1" applyFont="1" applyBorder="1" applyAlignment="1">
      <alignment horizontal="center" vertical="center" wrapText="1"/>
    </xf>
    <xf numFmtId="0" fontId="47" fillId="0" borderId="24" xfId="291" applyFont="1" applyBorder="1" applyAlignment="1">
      <alignment horizontal="center" vertical="center" wrapText="1"/>
    </xf>
    <xf numFmtId="0" fontId="47" fillId="0" borderId="26" xfId="291" applyFont="1" applyBorder="1" applyAlignment="1">
      <alignment horizontal="center" vertical="center" wrapText="1"/>
    </xf>
    <xf numFmtId="0" fontId="47" fillId="0" borderId="24" xfId="291" applyFont="1" applyBorder="1" applyAlignment="1">
      <alignment horizontal="center" vertical="center"/>
    </xf>
    <xf numFmtId="0" fontId="47" fillId="0" borderId="26" xfId="291" applyFont="1" applyBorder="1" applyAlignment="1">
      <alignment horizontal="center" vertical="center"/>
    </xf>
    <xf numFmtId="15" fontId="13" fillId="3" borderId="0" xfId="0" applyNumberFormat="1" applyFont="1" applyFill="1" applyBorder="1" applyAlignment="1">
      <alignment horizontal="center" vertical="center"/>
    </xf>
    <xf numFmtId="0" fontId="13" fillId="3" borderId="37" xfId="0" applyFont="1" applyFill="1" applyBorder="1" applyAlignment="1">
      <alignment horizontal="center" vertical="center" wrapText="1"/>
    </xf>
    <xf numFmtId="0" fontId="13" fillId="3" borderId="38" xfId="0" applyFont="1" applyFill="1" applyBorder="1" applyAlignment="1">
      <alignment horizontal="center" vertical="center" wrapText="1"/>
    </xf>
    <xf numFmtId="43" fontId="15" fillId="3" borderId="37" xfId="1" applyNumberFormat="1" applyFont="1" applyFill="1" applyBorder="1" applyAlignment="1">
      <alignment horizontal="center" vertical="center" wrapText="1"/>
    </xf>
    <xf numFmtId="43" fontId="15" fillId="3" borderId="38" xfId="1" applyNumberFormat="1" applyFont="1" applyFill="1" applyBorder="1" applyAlignment="1">
      <alignment horizontal="center" vertical="center" wrapText="1"/>
    </xf>
    <xf numFmtId="43" fontId="15" fillId="3" borderId="10" xfId="1" applyNumberFormat="1" applyFont="1" applyFill="1" applyBorder="1" applyAlignment="1">
      <alignment horizontal="center" vertical="center" wrapText="1"/>
    </xf>
    <xf numFmtId="43" fontId="15" fillId="3" borderId="2" xfId="1" applyNumberFormat="1" applyFont="1" applyFill="1" applyBorder="1" applyAlignment="1">
      <alignment horizontal="center" vertical="center" wrapText="1"/>
    </xf>
    <xf numFmtId="43" fontId="15" fillId="3" borderId="14" xfId="1" applyNumberFormat="1" applyFont="1" applyFill="1" applyBorder="1" applyAlignment="1">
      <alignment horizontal="center" vertical="center" wrapText="1"/>
    </xf>
    <xf numFmtId="166" fontId="13" fillId="3" borderId="37" xfId="0" applyNumberFormat="1" applyFont="1" applyFill="1" applyBorder="1" applyAlignment="1">
      <alignment horizontal="center" vertical="center" wrapText="1"/>
    </xf>
    <xf numFmtId="166" fontId="13" fillId="3" borderId="38" xfId="0" applyNumberFormat="1" applyFont="1" applyFill="1" applyBorder="1" applyAlignment="1">
      <alignment horizontal="center" vertical="center" wrapText="1"/>
    </xf>
    <xf numFmtId="43" fontId="81" fillId="2" borderId="45" xfId="621" applyNumberFormat="1" applyFont="1" applyFill="1" applyBorder="1" applyAlignment="1">
      <alignment horizontal="center"/>
    </xf>
    <xf numFmtId="168" fontId="15" fillId="0" borderId="1" xfId="1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0" fontId="15" fillId="0" borderId="1" xfId="3" applyNumberFormat="1" applyFont="1" applyBorder="1" applyAlignment="1">
      <alignment horizontal="center" vertical="center" wrapText="1"/>
    </xf>
    <xf numFmtId="10" fontId="15" fillId="0" borderId="37" xfId="3" applyNumberFormat="1" applyFont="1" applyBorder="1" applyAlignment="1">
      <alignment horizontal="center" vertical="center" wrapText="1"/>
    </xf>
    <xf numFmtId="10" fontId="15" fillId="0" borderId="38" xfId="3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5" fillId="0" borderId="1" xfId="0" applyFont="1" applyBorder="1" applyAlignment="1">
      <alignment horizontal="center"/>
    </xf>
    <xf numFmtId="172" fontId="108" fillId="8" borderId="8" xfId="0" applyNumberFormat="1" applyFont="1" applyFill="1" applyBorder="1" applyAlignment="1">
      <alignment horizontal="center"/>
    </xf>
    <xf numFmtId="172" fontId="108" fillId="8" borderId="7" xfId="0" applyNumberFormat="1" applyFont="1" applyFill="1" applyBorder="1" applyAlignment="1">
      <alignment horizontal="center"/>
    </xf>
    <xf numFmtId="4" fontId="119" fillId="0" borderId="1" xfId="715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justify" vertical="justify" wrapText="1"/>
    </xf>
  </cellXfs>
  <cellStyles count="747">
    <cellStyle name="20% - Accent1 2" xfId="9"/>
    <cellStyle name="20% - Accent1 2 2" xfId="427"/>
    <cellStyle name="20% - Accent1 3" xfId="10"/>
    <cellStyle name="20% - Accent1 4" xfId="11"/>
    <cellStyle name="20% - Accent1 5" xfId="12"/>
    <cellStyle name="20% - Accent1 6" xfId="375"/>
    <cellStyle name="20% - Accent2 2" xfId="13"/>
    <cellStyle name="20% - Accent2 2 2" xfId="428"/>
    <cellStyle name="20% - Accent2 3" xfId="14"/>
    <cellStyle name="20% - Accent2 4" xfId="15"/>
    <cellStyle name="20% - Accent2 5" xfId="16"/>
    <cellStyle name="20% - Accent2 6" xfId="376"/>
    <cellStyle name="20% - Accent3 2" xfId="17"/>
    <cellStyle name="20% - Accent3 2 2" xfId="429"/>
    <cellStyle name="20% - Accent3 3" xfId="18"/>
    <cellStyle name="20% - Accent3 4" xfId="19"/>
    <cellStyle name="20% - Accent3 5" xfId="20"/>
    <cellStyle name="20% - Accent3 6" xfId="377"/>
    <cellStyle name="20% - Accent4 2" xfId="21"/>
    <cellStyle name="20% - Accent4 2 2" xfId="430"/>
    <cellStyle name="20% - Accent4 3" xfId="22"/>
    <cellStyle name="20% - Accent4 4" xfId="23"/>
    <cellStyle name="20% - Accent4 5" xfId="24"/>
    <cellStyle name="20% - Accent4 6" xfId="378"/>
    <cellStyle name="20% - Accent5 2" xfId="25"/>
    <cellStyle name="20% - Accent5 2 2" xfId="431"/>
    <cellStyle name="20% - Accent5 3" xfId="26"/>
    <cellStyle name="20% - Accent5 4" xfId="27"/>
    <cellStyle name="20% - Accent5 5" xfId="28"/>
    <cellStyle name="20% - Accent5 6" xfId="379"/>
    <cellStyle name="20% - Accent6 2" xfId="29"/>
    <cellStyle name="20% - Accent6 2 2" xfId="432"/>
    <cellStyle name="20% - Accent6 3" xfId="30"/>
    <cellStyle name="20% - Accent6 4" xfId="31"/>
    <cellStyle name="20% - Accent6 5" xfId="32"/>
    <cellStyle name="20% - Accent6 6" xfId="380"/>
    <cellStyle name="40% - Accent1 2" xfId="33"/>
    <cellStyle name="40% - Accent1 2 2" xfId="433"/>
    <cellStyle name="40% - Accent1 3" xfId="34"/>
    <cellStyle name="40% - Accent1 4" xfId="35"/>
    <cellStyle name="40% - Accent1 5" xfId="36"/>
    <cellStyle name="40% - Accent1 6" xfId="381"/>
    <cellStyle name="40% - Accent2 2" xfId="37"/>
    <cellStyle name="40% - Accent2 2 2" xfId="434"/>
    <cellStyle name="40% - Accent2 3" xfId="38"/>
    <cellStyle name="40% - Accent2 4" xfId="39"/>
    <cellStyle name="40% - Accent2 5" xfId="40"/>
    <cellStyle name="40% - Accent2 6" xfId="382"/>
    <cellStyle name="40% - Accent3 2" xfId="41"/>
    <cellStyle name="40% - Accent3 2 2" xfId="435"/>
    <cellStyle name="40% - Accent3 3" xfId="42"/>
    <cellStyle name="40% - Accent3 4" xfId="43"/>
    <cellStyle name="40% - Accent3 5" xfId="44"/>
    <cellStyle name="40% - Accent3 6" xfId="383"/>
    <cellStyle name="40% - Accent4 2" xfId="45"/>
    <cellStyle name="40% - Accent4 2 2" xfId="436"/>
    <cellStyle name="40% - Accent4 3" xfId="46"/>
    <cellStyle name="40% - Accent4 4" xfId="47"/>
    <cellStyle name="40% - Accent4 5" xfId="48"/>
    <cellStyle name="40% - Accent4 6" xfId="384"/>
    <cellStyle name="40% - Accent5 2" xfId="49"/>
    <cellStyle name="40% - Accent5 2 2" xfId="437"/>
    <cellStyle name="40% - Accent5 3" xfId="50"/>
    <cellStyle name="40% - Accent5 4" xfId="51"/>
    <cellStyle name="40% - Accent5 5" xfId="52"/>
    <cellStyle name="40% - Accent5 6" xfId="385"/>
    <cellStyle name="40% - Accent6 2" xfId="53"/>
    <cellStyle name="40% - Accent6 2 2" xfId="438"/>
    <cellStyle name="40% - Accent6 3" xfId="54"/>
    <cellStyle name="40% - Accent6 4" xfId="55"/>
    <cellStyle name="40% - Accent6 5" xfId="56"/>
    <cellStyle name="40% - Accent6 6" xfId="386"/>
    <cellStyle name="60% - Accent1 2" xfId="57"/>
    <cellStyle name="60% - Accent1 2 2" xfId="439"/>
    <cellStyle name="60% - Accent1 3" xfId="58"/>
    <cellStyle name="60% - Accent1 4" xfId="59"/>
    <cellStyle name="60% - Accent1 5" xfId="60"/>
    <cellStyle name="60% - Accent1 6" xfId="387"/>
    <cellStyle name="60% - Accent2 2" xfId="61"/>
    <cellStyle name="60% - Accent2 2 2" xfId="440"/>
    <cellStyle name="60% - Accent2 3" xfId="62"/>
    <cellStyle name="60% - Accent2 4" xfId="63"/>
    <cellStyle name="60% - Accent2 5" xfId="64"/>
    <cellStyle name="60% - Accent2 6" xfId="388"/>
    <cellStyle name="60% - Accent3 2" xfId="65"/>
    <cellStyle name="60% - Accent3 2 2" xfId="441"/>
    <cellStyle name="60% - Accent3 3" xfId="66"/>
    <cellStyle name="60% - Accent3 4" xfId="67"/>
    <cellStyle name="60% - Accent3 5" xfId="68"/>
    <cellStyle name="60% - Accent3 6" xfId="389"/>
    <cellStyle name="60% - Accent4 2" xfId="69"/>
    <cellStyle name="60% - Accent4 2 2" xfId="442"/>
    <cellStyle name="60% - Accent4 3" xfId="70"/>
    <cellStyle name="60% - Accent4 4" xfId="71"/>
    <cellStyle name="60% - Accent4 5" xfId="72"/>
    <cellStyle name="60% - Accent4 6" xfId="390"/>
    <cellStyle name="60% - Accent5 2" xfId="73"/>
    <cellStyle name="60% - Accent5 2 2" xfId="443"/>
    <cellStyle name="60% - Accent5 3" xfId="74"/>
    <cellStyle name="60% - Accent5 4" xfId="75"/>
    <cellStyle name="60% - Accent5 5" xfId="76"/>
    <cellStyle name="60% - Accent5 6" xfId="391"/>
    <cellStyle name="60% - Accent6 2" xfId="77"/>
    <cellStyle name="60% - Accent6 2 2" xfId="444"/>
    <cellStyle name="60% - Accent6 3" xfId="78"/>
    <cellStyle name="60% - Accent6 4" xfId="79"/>
    <cellStyle name="60% - Accent6 5" xfId="80"/>
    <cellStyle name="60% - Accent6 6" xfId="392"/>
    <cellStyle name="Accent1 2" xfId="81"/>
    <cellStyle name="Accent1 2 2" xfId="445"/>
    <cellStyle name="Accent1 3" xfId="82"/>
    <cellStyle name="Accent1 4" xfId="83"/>
    <cellStyle name="Accent1 5" xfId="84"/>
    <cellStyle name="Accent1 6" xfId="393"/>
    <cellStyle name="Accent2 2" xfId="85"/>
    <cellStyle name="Accent2 2 2" xfId="446"/>
    <cellStyle name="Accent2 3" xfId="86"/>
    <cellStyle name="Accent2 4" xfId="87"/>
    <cellStyle name="Accent2 5" xfId="88"/>
    <cellStyle name="Accent2 6" xfId="394"/>
    <cellStyle name="Accent3 2" xfId="89"/>
    <cellStyle name="Accent3 2 2" xfId="447"/>
    <cellStyle name="Accent3 3" xfId="90"/>
    <cellStyle name="Accent3 4" xfId="91"/>
    <cellStyle name="Accent3 5" xfId="92"/>
    <cellStyle name="Accent3 6" xfId="395"/>
    <cellStyle name="Accent4 2" xfId="93"/>
    <cellStyle name="Accent4 2 2" xfId="448"/>
    <cellStyle name="Accent4 3" xfId="94"/>
    <cellStyle name="Accent4 4" xfId="95"/>
    <cellStyle name="Accent4 5" xfId="96"/>
    <cellStyle name="Accent4 6" xfId="396"/>
    <cellStyle name="Accent5 2" xfId="97"/>
    <cellStyle name="Accent5 2 2" xfId="449"/>
    <cellStyle name="Accent5 3" xfId="98"/>
    <cellStyle name="Accent5 4" xfId="99"/>
    <cellStyle name="Accent5 5" xfId="100"/>
    <cellStyle name="Accent5 6" xfId="397"/>
    <cellStyle name="Accent6 2" xfId="101"/>
    <cellStyle name="Accent6 2 2" xfId="450"/>
    <cellStyle name="Accent6 3" xfId="102"/>
    <cellStyle name="Accent6 4" xfId="103"/>
    <cellStyle name="Accent6 5" xfId="104"/>
    <cellStyle name="Accent6 6" xfId="398"/>
    <cellStyle name="Bad 2" xfId="105"/>
    <cellStyle name="Bad 2 2" xfId="451"/>
    <cellStyle name="Bad 3" xfId="106"/>
    <cellStyle name="Bad 4" xfId="107"/>
    <cellStyle name="Bad 5" xfId="108"/>
    <cellStyle name="Bad 6" xfId="399"/>
    <cellStyle name="Body" xfId="109"/>
    <cellStyle name="Calc Currency (0)" xfId="110"/>
    <cellStyle name="Calc Currency (0) 10" xfId="111"/>
    <cellStyle name="Calc Currency (0) 11" xfId="112"/>
    <cellStyle name="Calc Currency (0) 12" xfId="113"/>
    <cellStyle name="Calc Currency (0) 13" xfId="114"/>
    <cellStyle name="Calc Currency (0) 14" xfId="452"/>
    <cellStyle name="Calc Currency (0) 2" xfId="115"/>
    <cellStyle name="Calc Currency (0) 2 2" xfId="453"/>
    <cellStyle name="Calc Currency (0) 3" xfId="116"/>
    <cellStyle name="Calc Currency (0) 4" xfId="117"/>
    <cellStyle name="Calc Currency (0) 5" xfId="118"/>
    <cellStyle name="Calc Currency (0) 6" xfId="119"/>
    <cellStyle name="Calc Currency (0) 7" xfId="120"/>
    <cellStyle name="Calc Currency (0) 8" xfId="121"/>
    <cellStyle name="Calc Currency (0) 9" xfId="122"/>
    <cellStyle name="Calculation 2" xfId="123"/>
    <cellStyle name="Calculation 2 2" xfId="454"/>
    <cellStyle name="Calculation 3" xfId="124"/>
    <cellStyle name="Calculation 4" xfId="125"/>
    <cellStyle name="Calculation 5" xfId="126"/>
    <cellStyle name="Calculation 6" xfId="400"/>
    <cellStyle name="Check Cell 2" xfId="127"/>
    <cellStyle name="Check Cell 2 2" xfId="455"/>
    <cellStyle name="Check Cell 3" xfId="128"/>
    <cellStyle name="Check Cell 4" xfId="129"/>
    <cellStyle name="Check Cell 5" xfId="130"/>
    <cellStyle name="Check Cell 6" xfId="401"/>
    <cellStyle name="Comma" xfId="1" builtinId="3"/>
    <cellStyle name="Comma [0]" xfId="649" builtinId="6"/>
    <cellStyle name="Comma 10" xfId="620"/>
    <cellStyle name="Comma 10 2" xfId="644"/>
    <cellStyle name="Comma 10 3" xfId="650"/>
    <cellStyle name="Comma 10 4" xfId="651"/>
    <cellStyle name="Comma 11" xfId="4"/>
    <cellStyle name="Comma 11 2" xfId="652"/>
    <cellStyle name="Comma 11 3" xfId="653"/>
    <cellStyle name="Comma 11 4" xfId="654"/>
    <cellStyle name="Comma 11 5" xfId="697"/>
    <cellStyle name="Comma 12" xfId="627"/>
    <cellStyle name="Comma 12 2" xfId="655"/>
    <cellStyle name="Comma 12 2 2" xfId="714"/>
    <cellStyle name="Comma 12 3" xfId="698"/>
    <cellStyle name="Comma 13" xfId="656"/>
    <cellStyle name="Comma 14" xfId="694"/>
    <cellStyle name="Comma 15" xfId="724"/>
    <cellStyle name="Comma 16" xfId="631"/>
    <cellStyle name="Comma 16 2" xfId="712"/>
    <cellStyle name="Comma 17" xfId="725"/>
    <cellStyle name="Comma 18" xfId="726"/>
    <cellStyle name="Comma 19" xfId="727"/>
    <cellStyle name="Comma 2" xfId="7"/>
    <cellStyle name="Comma 2 2" xfId="423"/>
    <cellStyle name="Comma 2 2 2" xfId="648"/>
    <cellStyle name="Comma 2 2 3" xfId="728"/>
    <cellStyle name="Comma 2 3" xfId="456"/>
    <cellStyle name="Comma 2 3 2" xfId="699"/>
    <cellStyle name="Comma 2 4" xfId="457"/>
    <cellStyle name="Comma 2 5" xfId="458"/>
    <cellStyle name="Comma 2 5 2" xfId="646"/>
    <cellStyle name="Comma 2 6" xfId="634"/>
    <cellStyle name="Comma 2 7" xfId="729"/>
    <cellStyle name="Comma 20" xfId="657"/>
    <cellStyle name="Comma 20 2" xfId="635"/>
    <cellStyle name="Comma 27" xfId="730"/>
    <cellStyle name="Comma 3" xfId="422"/>
    <cellStyle name="Comma 3 2" xfId="636"/>
    <cellStyle name="Comma 3 2 2" xfId="658"/>
    <cellStyle name="Comma 3 2 3" xfId="659"/>
    <cellStyle name="Comma 3 2 4" xfId="731"/>
    <cellStyle name="Comma 3 3" xfId="660"/>
    <cellStyle name="Comma 3 4" xfId="661"/>
    <cellStyle name="Comma 3 5" xfId="662"/>
    <cellStyle name="Comma 3 6" xfId="663"/>
    <cellStyle name="Comma 3 7" xfId="664"/>
    <cellStyle name="Comma 3 8" xfId="665"/>
    <cellStyle name="Comma 3 9" xfId="732"/>
    <cellStyle name="Comma 33" xfId="733"/>
    <cellStyle name="Comma 4" xfId="131"/>
    <cellStyle name="Comma 4 2" xfId="623"/>
    <cellStyle name="Comma 4 2 2" xfId="666"/>
    <cellStyle name="Comma 4 3" xfId="667"/>
    <cellStyle name="Comma 48" xfId="734"/>
    <cellStyle name="Comma 5" xfId="424"/>
    <cellStyle name="Comma 5 2" xfId="459"/>
    <cellStyle name="Comma 5 2 2" xfId="668"/>
    <cellStyle name="Comma 5 2 3" xfId="669"/>
    <cellStyle name="Comma 5 2 4" xfId="670"/>
    <cellStyle name="Comma 5 3" xfId="622"/>
    <cellStyle name="Comma 5 3 2" xfId="671"/>
    <cellStyle name="Comma 5 4" xfId="672"/>
    <cellStyle name="Comma 5 5" xfId="673"/>
    <cellStyle name="Comma 5 6" xfId="674"/>
    <cellStyle name="Comma 5 7" xfId="675"/>
    <cellStyle name="Comma 5 8" xfId="695"/>
    <cellStyle name="Comma 6" xfId="460"/>
    <cellStyle name="Comma 6 2" xfId="676"/>
    <cellStyle name="Comma 7" xfId="132"/>
    <cellStyle name="Comma 7 2" xfId="461"/>
    <cellStyle name="Comma 7 2 2" xfId="677"/>
    <cellStyle name="Comma 7 3" xfId="678"/>
    <cellStyle name="Comma 7 4" xfId="700"/>
    <cellStyle name="Comma 8" xfId="5"/>
    <cellStyle name="Comma 8 2" xfId="679"/>
    <cellStyle name="Comma 8 3" xfId="701"/>
    <cellStyle name="Comma 9" xfId="133"/>
    <cellStyle name="Comma 9 2" xfId="680"/>
    <cellStyle name="Comma 9 3" xfId="681"/>
    <cellStyle name="Comma 9 4" xfId="682"/>
    <cellStyle name="Comma 9 5" xfId="702"/>
    <cellStyle name="Component" xfId="134"/>
    <cellStyle name="Copied" xfId="135"/>
    <cellStyle name="Currency 2" xfId="462"/>
    <cellStyle name="Custom - Style8" xfId="136"/>
    <cellStyle name="Data   - Style2" xfId="137"/>
    <cellStyle name="Description" xfId="138"/>
    <cellStyle name="Entered" xfId="139"/>
    <cellStyle name="Euro" xfId="625"/>
    <cellStyle name="Explanatory Text 2" xfId="140"/>
    <cellStyle name="Explanatory Text 2 2" xfId="463"/>
    <cellStyle name="Explanatory Text 3" xfId="141"/>
    <cellStyle name="Explanatory Text 4" xfId="142"/>
    <cellStyle name="Explanatory Text 5" xfId="143"/>
    <cellStyle name="Explanatory Text 6" xfId="402"/>
    <cellStyle name="Feature" xfId="144"/>
    <cellStyle name="Good 2" xfId="145"/>
    <cellStyle name="Good 2 2" xfId="464"/>
    <cellStyle name="Good 3" xfId="146"/>
    <cellStyle name="Good 4" xfId="147"/>
    <cellStyle name="Good 5" xfId="148"/>
    <cellStyle name="Good 6" xfId="403"/>
    <cellStyle name="Grey" xfId="149"/>
    <cellStyle name="Grey 10" xfId="150"/>
    <cellStyle name="Grey 11" xfId="151"/>
    <cellStyle name="Grey 12" xfId="152"/>
    <cellStyle name="Grey 13" xfId="153"/>
    <cellStyle name="Grey 14" xfId="154"/>
    <cellStyle name="Grey 15" xfId="155"/>
    <cellStyle name="Grey 16" xfId="156"/>
    <cellStyle name="Grey 17" xfId="157"/>
    <cellStyle name="Grey 18" xfId="158"/>
    <cellStyle name="Grey 19" xfId="159"/>
    <cellStyle name="Grey 2" xfId="160"/>
    <cellStyle name="Grey 20" xfId="161"/>
    <cellStyle name="Grey 21" xfId="162"/>
    <cellStyle name="Grey 22" xfId="163"/>
    <cellStyle name="Grey 23" xfId="164"/>
    <cellStyle name="Grey 24" xfId="165"/>
    <cellStyle name="Grey 25" xfId="166"/>
    <cellStyle name="Grey 26" xfId="167"/>
    <cellStyle name="Grey 27" xfId="168"/>
    <cellStyle name="Grey 28" xfId="169"/>
    <cellStyle name="Grey 3" xfId="170"/>
    <cellStyle name="Grey 4" xfId="171"/>
    <cellStyle name="Grey 5" xfId="172"/>
    <cellStyle name="Grey 6" xfId="173"/>
    <cellStyle name="Grey 7" xfId="174"/>
    <cellStyle name="Grey 8" xfId="175"/>
    <cellStyle name="Grey 9" xfId="176"/>
    <cellStyle name="Header1" xfId="177"/>
    <cellStyle name="Header1 10" xfId="178"/>
    <cellStyle name="Header1 11" xfId="179"/>
    <cellStyle name="Header1 12" xfId="180"/>
    <cellStyle name="Header1 13" xfId="181"/>
    <cellStyle name="Header1 14" xfId="182"/>
    <cellStyle name="Header1 15" xfId="183"/>
    <cellStyle name="Header1 16" xfId="184"/>
    <cellStyle name="Header1 17" xfId="185"/>
    <cellStyle name="Header1 18" xfId="186"/>
    <cellStyle name="Header1 19" xfId="187"/>
    <cellStyle name="Header1 2" xfId="188"/>
    <cellStyle name="Header1 20" xfId="189"/>
    <cellStyle name="Header1 21" xfId="190"/>
    <cellStyle name="Header1 22" xfId="191"/>
    <cellStyle name="Header1 23" xfId="192"/>
    <cellStyle name="Header1 24" xfId="193"/>
    <cellStyle name="Header1 25" xfId="194"/>
    <cellStyle name="Header1 26" xfId="195"/>
    <cellStyle name="Header1 27" xfId="196"/>
    <cellStyle name="Header1 28" xfId="197"/>
    <cellStyle name="Header1 3" xfId="198"/>
    <cellStyle name="Header1 4" xfId="199"/>
    <cellStyle name="Header1 5" xfId="200"/>
    <cellStyle name="Header1 6" xfId="201"/>
    <cellStyle name="Header1 7" xfId="202"/>
    <cellStyle name="Header1 8" xfId="203"/>
    <cellStyle name="Header1 9" xfId="204"/>
    <cellStyle name="Header2" xfId="205"/>
    <cellStyle name="Header2 10" xfId="206"/>
    <cellStyle name="Header2 11" xfId="207"/>
    <cellStyle name="Header2 12" xfId="208"/>
    <cellStyle name="Header2 13" xfId="209"/>
    <cellStyle name="Header2 14" xfId="210"/>
    <cellStyle name="Header2 15" xfId="211"/>
    <cellStyle name="Header2 16" xfId="212"/>
    <cellStyle name="Header2 17" xfId="213"/>
    <cellStyle name="Header2 18" xfId="214"/>
    <cellStyle name="Header2 19" xfId="215"/>
    <cellStyle name="Header2 2" xfId="216"/>
    <cellStyle name="Header2 20" xfId="217"/>
    <cellStyle name="Header2 21" xfId="218"/>
    <cellStyle name="Header2 22" xfId="219"/>
    <cellStyle name="Header2 23" xfId="220"/>
    <cellStyle name="Header2 24" xfId="221"/>
    <cellStyle name="Header2 25" xfId="222"/>
    <cellStyle name="Header2 26" xfId="223"/>
    <cellStyle name="Header2 27" xfId="224"/>
    <cellStyle name="Header2 28" xfId="225"/>
    <cellStyle name="Header2 3" xfId="226"/>
    <cellStyle name="Header2 4" xfId="227"/>
    <cellStyle name="Header2 5" xfId="228"/>
    <cellStyle name="Header2 6" xfId="229"/>
    <cellStyle name="Header2 7" xfId="230"/>
    <cellStyle name="Header2 8" xfId="231"/>
    <cellStyle name="Header2 9" xfId="232"/>
    <cellStyle name="Heading 1 2" xfId="233"/>
    <cellStyle name="Heading 1 2 2" xfId="465"/>
    <cellStyle name="Heading 1 3" xfId="234"/>
    <cellStyle name="Heading 1 4" xfId="235"/>
    <cellStyle name="Heading 1 5" xfId="236"/>
    <cellStyle name="Heading 1 6" xfId="404"/>
    <cellStyle name="Heading 2 2" xfId="237"/>
    <cellStyle name="Heading 2 2 2" xfId="466"/>
    <cellStyle name="Heading 2 3" xfId="238"/>
    <cellStyle name="Heading 2 4" xfId="239"/>
    <cellStyle name="Heading 2 5" xfId="240"/>
    <cellStyle name="Heading 2 6" xfId="405"/>
    <cellStyle name="Heading 3 2" xfId="241"/>
    <cellStyle name="Heading 3 2 2" xfId="467"/>
    <cellStyle name="Heading 3 3" xfId="242"/>
    <cellStyle name="Heading 3 4" xfId="243"/>
    <cellStyle name="Heading 3 5" xfId="244"/>
    <cellStyle name="Heading 3 6" xfId="406"/>
    <cellStyle name="Heading 4 2" xfId="245"/>
    <cellStyle name="Heading 4 2 2" xfId="468"/>
    <cellStyle name="Heading 4 3" xfId="246"/>
    <cellStyle name="Heading 4 4" xfId="247"/>
    <cellStyle name="Heading 4 5" xfId="248"/>
    <cellStyle name="Heading 4 6" xfId="407"/>
    <cellStyle name="Hyperlink 2" xfId="249"/>
    <cellStyle name="Input [yellow]" xfId="250"/>
    <cellStyle name="Input [yellow] 10" xfId="251"/>
    <cellStyle name="Input [yellow] 11" xfId="252"/>
    <cellStyle name="Input [yellow] 12" xfId="253"/>
    <cellStyle name="Input [yellow] 13" xfId="254"/>
    <cellStyle name="Input [yellow] 14" xfId="255"/>
    <cellStyle name="Input [yellow] 15" xfId="256"/>
    <cellStyle name="Input [yellow] 16" xfId="257"/>
    <cellStyle name="Input [yellow] 17" xfId="258"/>
    <cellStyle name="Input [yellow] 18" xfId="259"/>
    <cellStyle name="Input [yellow] 19" xfId="260"/>
    <cellStyle name="Input [yellow] 2" xfId="261"/>
    <cellStyle name="Input [yellow] 20" xfId="262"/>
    <cellStyle name="Input [yellow] 21" xfId="263"/>
    <cellStyle name="Input [yellow] 22" xfId="264"/>
    <cellStyle name="Input [yellow] 23" xfId="265"/>
    <cellStyle name="Input [yellow] 24" xfId="266"/>
    <cellStyle name="Input [yellow] 25" xfId="267"/>
    <cellStyle name="Input [yellow] 26" xfId="268"/>
    <cellStyle name="Input [yellow] 27" xfId="269"/>
    <cellStyle name="Input [yellow] 28" xfId="270"/>
    <cellStyle name="Input [yellow] 3" xfId="271"/>
    <cellStyle name="Input [yellow] 4" xfId="272"/>
    <cellStyle name="Input [yellow] 5" xfId="273"/>
    <cellStyle name="Input [yellow] 6" xfId="274"/>
    <cellStyle name="Input [yellow] 7" xfId="275"/>
    <cellStyle name="Input [yellow] 8" xfId="276"/>
    <cellStyle name="Input [yellow] 9" xfId="277"/>
    <cellStyle name="Input 10" xfId="469"/>
    <cellStyle name="Input 11" xfId="470"/>
    <cellStyle name="Input 12" xfId="471"/>
    <cellStyle name="Input 13" xfId="472"/>
    <cellStyle name="Input 14" xfId="473"/>
    <cellStyle name="Input 15" xfId="474"/>
    <cellStyle name="Input 16" xfId="475"/>
    <cellStyle name="Input 17" xfId="476"/>
    <cellStyle name="Input 18" xfId="477"/>
    <cellStyle name="Input 19" xfId="478"/>
    <cellStyle name="Input 2" xfId="278"/>
    <cellStyle name="Input 2 2" xfId="479"/>
    <cellStyle name="Input 20" xfId="480"/>
    <cellStyle name="Input 21" xfId="481"/>
    <cellStyle name="Input 22" xfId="482"/>
    <cellStyle name="Input 23" xfId="483"/>
    <cellStyle name="Input 24" xfId="484"/>
    <cellStyle name="Input 25" xfId="485"/>
    <cellStyle name="Input 26" xfId="486"/>
    <cellStyle name="Input 27" xfId="487"/>
    <cellStyle name="Input 28" xfId="683"/>
    <cellStyle name="Input 3" xfId="279"/>
    <cellStyle name="Input 4" xfId="280"/>
    <cellStyle name="Input 5" xfId="281"/>
    <cellStyle name="Input 6" xfId="408"/>
    <cellStyle name="Input 7" xfId="409"/>
    <cellStyle name="Input 8" xfId="488"/>
    <cellStyle name="Input 9" xfId="489"/>
    <cellStyle name="Labels - Style3" xfId="282"/>
    <cellStyle name="Linked Cell 2" xfId="283"/>
    <cellStyle name="Linked Cell 2 2" xfId="490"/>
    <cellStyle name="Linked Cell 3" xfId="284"/>
    <cellStyle name="Linked Cell 4" xfId="285"/>
    <cellStyle name="Linked Cell 5" xfId="286"/>
    <cellStyle name="Linked Cell 6" xfId="410"/>
    <cellStyle name="Neutral 2" xfId="287"/>
    <cellStyle name="Neutral 2 2" xfId="491"/>
    <cellStyle name="Neutral 3" xfId="288"/>
    <cellStyle name="Neutral 4" xfId="289"/>
    <cellStyle name="Neutral 5" xfId="290"/>
    <cellStyle name="Neutral 6" xfId="411"/>
    <cellStyle name="Normal" xfId="0" builtinId="0"/>
    <cellStyle name="Normal - Style1" xfId="291"/>
    <cellStyle name="Normal - Style1 2" xfId="492"/>
    <cellStyle name="Normal 10" xfId="2"/>
    <cellStyle name="Normal 10 2" xfId="493"/>
    <cellStyle name="Normal 11" xfId="292"/>
    <cellStyle name="Normal 12" xfId="293"/>
    <cellStyle name="Normal 13" xfId="294"/>
    <cellStyle name="Normal 14" xfId="295"/>
    <cellStyle name="Normal 15" xfId="296"/>
    <cellStyle name="Normal 16" xfId="297"/>
    <cellStyle name="Normal 16 2" xfId="494"/>
    <cellStyle name="Normal 17" xfId="298"/>
    <cellStyle name="Normal 17 2" xfId="495"/>
    <cellStyle name="Normal 18" xfId="299"/>
    <cellStyle name="Normal 18 2" xfId="496"/>
    <cellStyle name="Normal 19" xfId="300"/>
    <cellStyle name="Normal 19 2" xfId="497"/>
    <cellStyle name="Normal 2" xfId="301"/>
    <cellStyle name="Normal 2 10" xfId="302"/>
    <cellStyle name="Normal 2 11" xfId="303"/>
    <cellStyle name="Normal 2 12" xfId="304"/>
    <cellStyle name="Normal 2 13" xfId="305"/>
    <cellStyle name="Normal 2 14" xfId="306"/>
    <cellStyle name="Normal 2 15" xfId="307"/>
    <cellStyle name="Normal 2 16" xfId="308"/>
    <cellStyle name="Normal 2 17" xfId="309"/>
    <cellStyle name="Normal 2 18" xfId="310"/>
    <cellStyle name="Normal 2 19" xfId="311"/>
    <cellStyle name="Normal 2 2" xfId="312"/>
    <cellStyle name="Normal 2 20" xfId="313"/>
    <cellStyle name="Normal 2 21" xfId="314"/>
    <cellStyle name="Normal 2 22" xfId="315"/>
    <cellStyle name="Normal 2 23" xfId="316"/>
    <cellStyle name="Normal 2 24" xfId="317"/>
    <cellStyle name="Normal 2 25" xfId="318"/>
    <cellStyle name="Normal 2 26" xfId="319"/>
    <cellStyle name="Normal 2 27" xfId="498"/>
    <cellStyle name="Normal 2 27 2" xfId="633"/>
    <cellStyle name="Normal 2 27 3" xfId="643"/>
    <cellStyle name="Normal 2 28" xfId="499"/>
    <cellStyle name="Normal 2 28 2" xfId="632"/>
    <cellStyle name="Normal 2 29" xfId="684"/>
    <cellStyle name="Normal 2 3" xfId="320"/>
    <cellStyle name="Normal 2 4" xfId="321"/>
    <cellStyle name="Normal 2 5" xfId="322"/>
    <cellStyle name="Normal 2 6" xfId="323"/>
    <cellStyle name="Normal 2 7" xfId="324"/>
    <cellStyle name="Normal 2 8" xfId="325"/>
    <cellStyle name="Normal 2 9" xfId="326"/>
    <cellStyle name="Normal 2_AIF T Bills valuaiton - 19.04.2012" xfId="735"/>
    <cellStyle name="Normal 20" xfId="327"/>
    <cellStyle name="Normal 20 2" xfId="500"/>
    <cellStyle name="Normal 21" xfId="328"/>
    <cellStyle name="Normal 21 2" xfId="501"/>
    <cellStyle name="Normal 22" xfId="329"/>
    <cellStyle name="Normal 22 2" xfId="502"/>
    <cellStyle name="Normal 23" xfId="330"/>
    <cellStyle name="Normal 24" xfId="331"/>
    <cellStyle name="Normal 25" xfId="332"/>
    <cellStyle name="Normal 26" xfId="333"/>
    <cellStyle name="Normal 26 2" xfId="715"/>
    <cellStyle name="Normal 26 3" xfId="703"/>
    <cellStyle name="Normal 27" xfId="6"/>
    <cellStyle name="Normal 28" xfId="334"/>
    <cellStyle name="Normal 29" xfId="335"/>
    <cellStyle name="Normal 3" xfId="336"/>
    <cellStyle name="Normal 3 2" xfId="420"/>
    <cellStyle name="Normal 3 2 2" xfId="685"/>
    <cellStyle name="Normal 3 2 2 2" xfId="716"/>
    <cellStyle name="Normal 3 2 3" xfId="704"/>
    <cellStyle name="Normal 3 3" xfId="503"/>
    <cellStyle name="Normal 3 4" xfId="504"/>
    <cellStyle name="Normal 3 4 2" xfId="717"/>
    <cellStyle name="Normal 3 4 3" xfId="705"/>
    <cellStyle name="Normal 3 5" xfId="713"/>
    <cellStyle name="Normal 3 6" xfId="696"/>
    <cellStyle name="Normal 30" xfId="412"/>
    <cellStyle name="Normal 31" xfId="337"/>
    <cellStyle name="Normal 32" xfId="413"/>
    <cellStyle name="Normal 33" xfId="418"/>
    <cellStyle name="Normal 33 2" xfId="425"/>
    <cellStyle name="Normal 33 3" xfId="718"/>
    <cellStyle name="Normal 33 4" xfId="706"/>
    <cellStyle name="Normal 34" xfId="419"/>
    <cellStyle name="Normal 34 2" xfId="719"/>
    <cellStyle name="Normal 34 3" xfId="707"/>
    <cellStyle name="Normal 35" xfId="421"/>
    <cellStyle name="Normal 36" xfId="505"/>
    <cellStyle name="Normal 37" xfId="506"/>
    <cellStyle name="Normal 38" xfId="507"/>
    <cellStyle name="Normal 39" xfId="508"/>
    <cellStyle name="Normal 4" xfId="338"/>
    <cellStyle name="Normal 4 2" xfId="509"/>
    <cellStyle name="Normal 4 2 2" xfId="510"/>
    <cellStyle name="Normal 4 2 3" xfId="511"/>
    <cellStyle name="Normal 4 2 4" xfId="512"/>
    <cellStyle name="Normal 4 3" xfId="513"/>
    <cellStyle name="Normal 4 3 2" xfId="686"/>
    <cellStyle name="Normal 40" xfId="514"/>
    <cellStyle name="Normal 41" xfId="515"/>
    <cellStyle name="Normal 42" xfId="516"/>
    <cellStyle name="Normal 43" xfId="517"/>
    <cellStyle name="Normal 44" xfId="518"/>
    <cellStyle name="Normal 45" xfId="519"/>
    <cellStyle name="Normal 46" xfId="520"/>
    <cellStyle name="Normal 47" xfId="521"/>
    <cellStyle name="Normal 48" xfId="522"/>
    <cellStyle name="Normal 48 2" xfId="720"/>
    <cellStyle name="Normal 48 3" xfId="708"/>
    <cellStyle name="Normal 49" xfId="523"/>
    <cellStyle name="Normal 5" xfId="339"/>
    <cellStyle name="Normal 5 2" xfId="524"/>
    <cellStyle name="Normal 50" xfId="525"/>
    <cellStyle name="Normal 51" xfId="526"/>
    <cellStyle name="Normal 52" xfId="628"/>
    <cellStyle name="Normal 52 2" xfId="721"/>
    <cellStyle name="Normal 52 3" xfId="709"/>
    <cellStyle name="Normal 53" xfId="637"/>
    <cellStyle name="Normal 54" xfId="638"/>
    <cellStyle name="Normal 55" xfId="639"/>
    <cellStyle name="Normal 56" xfId="640"/>
    <cellStyle name="Normal 57" xfId="687"/>
    <cellStyle name="Normal 58" xfId="693"/>
    <cellStyle name="Normal 59" xfId="736"/>
    <cellStyle name="Normal 6" xfId="340"/>
    <cellStyle name="Normal 6 2" xfId="527"/>
    <cellStyle name="Normal 60" xfId="737"/>
    <cellStyle name="Normal 61" xfId="738"/>
    <cellStyle name="Normal 62" xfId="739"/>
    <cellStyle name="Normal 7" xfId="341"/>
    <cellStyle name="Normal 7 2" xfId="528"/>
    <cellStyle name="Normal 72" xfId="740"/>
    <cellStyle name="Normal 75" xfId="741"/>
    <cellStyle name="Normal 8" xfId="342"/>
    <cellStyle name="Normal 9" xfId="343"/>
    <cellStyle name="Normal_Dec 8_AMF T Bills valuaiton - 20.04.2010" xfId="621"/>
    <cellStyle name="Note 2" xfId="344"/>
    <cellStyle name="Note 2 2" xfId="529"/>
    <cellStyle name="Note 2 3" xfId="530"/>
    <cellStyle name="Note 2 4" xfId="531"/>
    <cellStyle name="Note 3" xfId="345"/>
    <cellStyle name="Note 3 2" xfId="532"/>
    <cellStyle name="Note 4" xfId="346"/>
    <cellStyle name="Note 4 2" xfId="533"/>
    <cellStyle name="Note 5" xfId="347"/>
    <cellStyle name="Note 5 2" xfId="348"/>
    <cellStyle name="Note 5 3" xfId="722"/>
    <cellStyle name="Note 5 4" xfId="710"/>
    <cellStyle name="Note 6" xfId="414"/>
    <cellStyle name="Note 7" xfId="641"/>
    <cellStyle name="Option" xfId="349"/>
    <cellStyle name="Output 2" xfId="350"/>
    <cellStyle name="Output 2 2" xfId="534"/>
    <cellStyle name="Output 3" xfId="351"/>
    <cellStyle name="Output 4" xfId="352"/>
    <cellStyle name="Output 5" xfId="353"/>
    <cellStyle name="Output 6" xfId="415"/>
    <cellStyle name="Percent" xfId="3" builtinId="5"/>
    <cellStyle name="Percent [2]" xfId="354"/>
    <cellStyle name="Percent [2] 2" xfId="535"/>
    <cellStyle name="Percent 10" xfId="536"/>
    <cellStyle name="Percent 11" xfId="537"/>
    <cellStyle name="Percent 12" xfId="538"/>
    <cellStyle name="Percent 13" xfId="539"/>
    <cellStyle name="Percent 14" xfId="540"/>
    <cellStyle name="Percent 15" xfId="541"/>
    <cellStyle name="Percent 16" xfId="542"/>
    <cellStyle name="Percent 17" xfId="543"/>
    <cellStyle name="Percent 18" xfId="544"/>
    <cellStyle name="Percent 18 2" xfId="545"/>
    <cellStyle name="Percent 18 3" xfId="546"/>
    <cellStyle name="Percent 19" xfId="547"/>
    <cellStyle name="Percent 19 2" xfId="548"/>
    <cellStyle name="Percent 19 3" xfId="549"/>
    <cellStyle name="Percent 2" xfId="8"/>
    <cellStyle name="Percent 2 2" xfId="550"/>
    <cellStyle name="Percent 2 2 2" xfId="645"/>
    <cellStyle name="Percent 2 2 3" xfId="742"/>
    <cellStyle name="Percent 2 3" xfId="629"/>
    <cellStyle name="Percent 2 4" xfId="642"/>
    <cellStyle name="Percent 2 4 2" xfId="647"/>
    <cellStyle name="Percent 2 5" xfId="743"/>
    <cellStyle name="Percent 20" xfId="551"/>
    <cellStyle name="Percent 21" xfId="552"/>
    <cellStyle name="Percent 22" xfId="553"/>
    <cellStyle name="Percent 23" xfId="554"/>
    <cellStyle name="Percent 24" xfId="555"/>
    <cellStyle name="Percent 25" xfId="556"/>
    <cellStyle name="Percent 26" xfId="557"/>
    <cellStyle name="Percent 26 2" xfId="558"/>
    <cellStyle name="Percent 27" xfId="559"/>
    <cellStyle name="Percent 27 2" xfId="560"/>
    <cellStyle name="Percent 28" xfId="561"/>
    <cellStyle name="Percent 28 2" xfId="562"/>
    <cellStyle name="Percent 29" xfId="563"/>
    <cellStyle name="Percent 29 2" xfId="564"/>
    <cellStyle name="Percent 3" xfId="426"/>
    <cellStyle name="Percent 3 2" xfId="624"/>
    <cellStyle name="Percent 3 2 2" xfId="688"/>
    <cellStyle name="Percent 3 3" xfId="689"/>
    <cellStyle name="Percent 30" xfId="565"/>
    <cellStyle name="Percent 31" xfId="566"/>
    <cellStyle name="Percent 32" xfId="567"/>
    <cellStyle name="Percent 33" xfId="568"/>
    <cellStyle name="Percent 34" xfId="569"/>
    <cellStyle name="Percent 35" xfId="570"/>
    <cellStyle name="Percent 36" xfId="571"/>
    <cellStyle name="Percent 37" xfId="572"/>
    <cellStyle name="Percent 38" xfId="573"/>
    <cellStyle name="Percent 39" xfId="574"/>
    <cellStyle name="Percent 4" xfId="575"/>
    <cellStyle name="Percent 40" xfId="576"/>
    <cellStyle name="Percent 41" xfId="577"/>
    <cellStyle name="Percent 42" xfId="578"/>
    <cellStyle name="Percent 43" xfId="579"/>
    <cellStyle name="Percent 44" xfId="580"/>
    <cellStyle name="Percent 45" xfId="581"/>
    <cellStyle name="Percent 46" xfId="582"/>
    <cellStyle name="Percent 47" xfId="583"/>
    <cellStyle name="Percent 48" xfId="584"/>
    <cellStyle name="Percent 49" xfId="585"/>
    <cellStyle name="Percent 5" xfId="586"/>
    <cellStyle name="Percent 50" xfId="587"/>
    <cellStyle name="Percent 51" xfId="588"/>
    <cellStyle name="Percent 52" xfId="589"/>
    <cellStyle name="Percent 53" xfId="590"/>
    <cellStyle name="Percent 54" xfId="630"/>
    <cellStyle name="Percent 54 2" xfId="723"/>
    <cellStyle name="Percent 54 3" xfId="711"/>
    <cellStyle name="Percent 55" xfId="690"/>
    <cellStyle name="Percent 56" xfId="744"/>
    <cellStyle name="Percent 57" xfId="745"/>
    <cellStyle name="Percent 58" xfId="746"/>
    <cellStyle name="Percent 6" xfId="591"/>
    <cellStyle name="Percent 7" xfId="592"/>
    <cellStyle name="Percent 7 2" xfId="691"/>
    <cellStyle name="Percent 8" xfId="593"/>
    <cellStyle name="Percent 9" xfId="594"/>
    <cellStyle name="Reset  - Style7" xfId="355"/>
    <cellStyle name="RevList" xfId="356"/>
    <cellStyle name="Style 1" xfId="626"/>
    <cellStyle name="Subtotal" xfId="357"/>
    <cellStyle name="Table  - Style6" xfId="358"/>
    <cellStyle name="Title  - Style1" xfId="359"/>
    <cellStyle name="Title 10" xfId="595"/>
    <cellStyle name="Title 11" xfId="596"/>
    <cellStyle name="Title 12" xfId="597"/>
    <cellStyle name="Title 13" xfId="598"/>
    <cellStyle name="Title 14" xfId="599"/>
    <cellStyle name="Title 15" xfId="600"/>
    <cellStyle name="Title 16" xfId="601"/>
    <cellStyle name="Title 17" xfId="602"/>
    <cellStyle name="Title 18" xfId="603"/>
    <cellStyle name="Title 19" xfId="604"/>
    <cellStyle name="Title 2" xfId="360"/>
    <cellStyle name="Title 2 2" xfId="605"/>
    <cellStyle name="Title 20" xfId="606"/>
    <cellStyle name="Title 21" xfId="607"/>
    <cellStyle name="Title 22" xfId="608"/>
    <cellStyle name="Title 23" xfId="609"/>
    <cellStyle name="Title 24" xfId="610"/>
    <cellStyle name="Title 25" xfId="611"/>
    <cellStyle name="Title 26" xfId="612"/>
    <cellStyle name="Title 27" xfId="613"/>
    <cellStyle name="Title 28" xfId="692"/>
    <cellStyle name="Title 3" xfId="361"/>
    <cellStyle name="Title 4" xfId="362"/>
    <cellStyle name="Title 5" xfId="363"/>
    <cellStyle name="Title 6" xfId="614"/>
    <cellStyle name="Title 7" xfId="615"/>
    <cellStyle name="Title 8" xfId="616"/>
    <cellStyle name="Title 9" xfId="617"/>
    <cellStyle name="Total 2" xfId="364"/>
    <cellStyle name="Total 2 2" xfId="618"/>
    <cellStyle name="Total 3" xfId="365"/>
    <cellStyle name="Total 4" xfId="366"/>
    <cellStyle name="Total 5" xfId="367"/>
    <cellStyle name="Total 6" xfId="416"/>
    <cellStyle name="TotCol - Style5" xfId="368"/>
    <cellStyle name="TotRow - Style4" xfId="369"/>
    <cellStyle name="Value" xfId="370"/>
    <cellStyle name="Warning Text 2" xfId="371"/>
    <cellStyle name="Warning Text 2 2" xfId="619"/>
    <cellStyle name="Warning Text 3" xfId="372"/>
    <cellStyle name="Warning Text 4" xfId="373"/>
    <cellStyle name="Warning Text 5" xfId="374"/>
    <cellStyle name="Warning Text 6" xfId="4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ed\Documents%20and%20Settings\ali.jabbar\Desktop\Atlas%20Asset%20Management\PRIC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nvest_and_Bankinf_Ops\Pricing%202021\2.CGF\Capital%20Growth%20Fund%20-%20NAV%20-%2031-Dec-202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Invest_and_Bankinf_Ops\Pricing%202018\02%20-%20CGF\Capital%20Growth%20Fund%20NAV%20-%2009.05.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Pricing%202020\1.%20Managed\Managed%20Fund%20NAV%2010-March-20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nvest_and_Bankinf_Ops\Pricing%202022\Dividend%20-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%202022/Dividend%20-%20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_drive/FA/UNITPRICE_INVEST_BObank/Invest_and_Bankinf_Ops/Pricing%202022/Dividend%20-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Users\kubra\AppData\Local\Temp\notesFFF692\CGF%20051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Documents%20and%20Settings\ali.jabbar\Desktop\Atlas%20Asset%20Management\PRIC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ra\Documents%20and%20Settings\ali.jabbar\Desktop\Atlas%20Asset%20Management\PRIC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ed\Documents%20and%20Settings\trainee\Desktop\N.B.P\Report-2003\Sec-Mat\Dec-2003\3112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Documents%20and%20Settings\trainee\Desktop\N.B.P\Report-2003\Sec-Mat\Dec-2003\3112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ra\Documents%20and%20Settings\trainee\Desktop\N.B.P\Report-2003\Sec-Mat\Dec-2003\3112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fauditors\sharing\Audit%20Back%20up\ubl\FJ%20June\T_Bills%20PIB%20FIB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ckup\20180103\Pricing%202017\02%20-%20CGF\Capital%20Growth%20Fund%20NAV%20-%2031-Dec-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t_Drive\Dept_Drive\Users\RTariq\AppData\Local\Microsoft\Windows\INetCache\Content.Outlook\9DM1K2DO\3.%20%205%20Listed%20%20Equity%20and%20Open%20end%20Mutual%20Fund%20-%2031.01.2018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I25">
            <v>730</v>
          </cell>
          <cell r="J25">
            <v>0.1232</v>
          </cell>
        </row>
        <row r="26">
          <cell r="I26">
            <v>731</v>
          </cell>
          <cell r="J26">
            <v>0.12320575342465753</v>
          </cell>
        </row>
        <row r="27">
          <cell r="I27">
            <v>732</v>
          </cell>
          <cell r="J27">
            <v>0.12321150684931508</v>
          </cell>
        </row>
        <row r="28">
          <cell r="I28">
            <v>733</v>
          </cell>
          <cell r="J28">
            <v>0.1232172602739726</v>
          </cell>
        </row>
        <row r="29">
          <cell r="I29">
            <v>734</v>
          </cell>
          <cell r="J29">
            <v>0.12322301369863015</v>
          </cell>
        </row>
        <row r="30">
          <cell r="I30">
            <v>735</v>
          </cell>
          <cell r="J30">
            <v>0.12322876712328767</v>
          </cell>
        </row>
        <row r="31">
          <cell r="I31">
            <v>736</v>
          </cell>
          <cell r="J31">
            <v>0.1232345205479452</v>
          </cell>
        </row>
        <row r="32">
          <cell r="I32">
            <v>737</v>
          </cell>
          <cell r="J32">
            <v>0.12324027397260275</v>
          </cell>
        </row>
        <row r="33">
          <cell r="I33">
            <v>738</v>
          </cell>
          <cell r="J33">
            <v>0.12324602739726027</v>
          </cell>
        </row>
        <row r="34">
          <cell r="I34">
            <v>739</v>
          </cell>
          <cell r="J34">
            <v>0.12325178082191782</v>
          </cell>
        </row>
        <row r="35">
          <cell r="I35">
            <v>740</v>
          </cell>
          <cell r="J35">
            <v>0.12325753424657535</v>
          </cell>
        </row>
        <row r="36">
          <cell r="I36">
            <v>741</v>
          </cell>
          <cell r="J36">
            <v>0.12326328767123287</v>
          </cell>
        </row>
        <row r="37">
          <cell r="I37">
            <v>742</v>
          </cell>
          <cell r="J37">
            <v>0.12326904109589042</v>
          </cell>
        </row>
        <row r="38">
          <cell r="I38">
            <v>743</v>
          </cell>
          <cell r="J38">
            <v>0.12327479452054795</v>
          </cell>
        </row>
        <row r="39">
          <cell r="I39">
            <v>744</v>
          </cell>
          <cell r="J39">
            <v>0.12328054794520549</v>
          </cell>
        </row>
        <row r="40">
          <cell r="I40">
            <v>745</v>
          </cell>
          <cell r="J40">
            <v>0.12328630136986302</v>
          </cell>
        </row>
        <row r="41">
          <cell r="I41">
            <v>746</v>
          </cell>
          <cell r="J41">
            <v>0.12329205479452054</v>
          </cell>
        </row>
        <row r="42">
          <cell r="I42">
            <v>747</v>
          </cell>
          <cell r="J42">
            <v>0.12329780821917809</v>
          </cell>
        </row>
        <row r="43">
          <cell r="I43">
            <v>748</v>
          </cell>
          <cell r="J43">
            <v>0.12330356164383562</v>
          </cell>
        </row>
        <row r="44">
          <cell r="I44">
            <v>749</v>
          </cell>
          <cell r="J44">
            <v>0.12330931506849316</v>
          </cell>
        </row>
        <row r="45">
          <cell r="I45">
            <v>750</v>
          </cell>
          <cell r="J45">
            <v>0.12331506849315069</v>
          </cell>
        </row>
        <row r="46">
          <cell r="I46">
            <v>751</v>
          </cell>
          <cell r="J46">
            <v>0.12332082191780823</v>
          </cell>
        </row>
        <row r="47">
          <cell r="I47">
            <v>752</v>
          </cell>
          <cell r="J47">
            <v>0.12332657534246576</v>
          </cell>
        </row>
        <row r="48">
          <cell r="I48">
            <v>753</v>
          </cell>
          <cell r="J48">
            <v>0.12333232876712329</v>
          </cell>
        </row>
        <row r="49">
          <cell r="I49">
            <v>754</v>
          </cell>
          <cell r="J49">
            <v>0.12333808219178083</v>
          </cell>
        </row>
        <row r="50">
          <cell r="I50">
            <v>755</v>
          </cell>
          <cell r="J50">
            <v>0.12334383561643836</v>
          </cell>
        </row>
        <row r="51">
          <cell r="I51">
            <v>756</v>
          </cell>
          <cell r="J51">
            <v>0.1233495890410959</v>
          </cell>
        </row>
        <row r="52">
          <cell r="I52">
            <v>757</v>
          </cell>
          <cell r="J52">
            <v>0.12335534246575343</v>
          </cell>
        </row>
        <row r="53">
          <cell r="I53">
            <v>758</v>
          </cell>
          <cell r="J53">
            <v>0.12336109589041096</v>
          </cell>
        </row>
        <row r="54">
          <cell r="I54">
            <v>759</v>
          </cell>
          <cell r="J54">
            <v>0.1233668493150685</v>
          </cell>
        </row>
        <row r="55">
          <cell r="I55">
            <v>760</v>
          </cell>
          <cell r="J55">
            <v>0.12337260273972603</v>
          </cell>
        </row>
        <row r="56">
          <cell r="I56">
            <v>761</v>
          </cell>
          <cell r="J56">
            <v>0.12337835616438357</v>
          </cell>
        </row>
        <row r="57">
          <cell r="I57">
            <v>762</v>
          </cell>
          <cell r="J57">
            <v>0.1233841095890411</v>
          </cell>
        </row>
        <row r="58">
          <cell r="I58">
            <v>763</v>
          </cell>
          <cell r="J58">
            <v>0.12338986301369863</v>
          </cell>
        </row>
        <row r="59">
          <cell r="I59">
            <v>764</v>
          </cell>
          <cell r="J59">
            <v>0.12339561643835617</v>
          </cell>
        </row>
        <row r="60">
          <cell r="I60">
            <v>765</v>
          </cell>
          <cell r="J60">
            <v>0.1234013698630137</v>
          </cell>
        </row>
        <row r="61">
          <cell r="I61">
            <v>766</v>
          </cell>
          <cell r="J61">
            <v>0.12340712328767124</v>
          </cell>
        </row>
        <row r="62">
          <cell r="I62">
            <v>767</v>
          </cell>
          <cell r="J62">
            <v>0.12341287671232877</v>
          </cell>
        </row>
        <row r="63">
          <cell r="I63">
            <v>768</v>
          </cell>
          <cell r="J63">
            <v>0.1234186301369863</v>
          </cell>
        </row>
        <row r="64">
          <cell r="I64">
            <v>769</v>
          </cell>
          <cell r="J64">
            <v>0.12342438356164384</v>
          </cell>
        </row>
        <row r="65">
          <cell r="I65">
            <v>770</v>
          </cell>
          <cell r="J65">
            <v>0.12343013698630137</v>
          </cell>
        </row>
        <row r="66">
          <cell r="I66">
            <v>771</v>
          </cell>
          <cell r="J66">
            <v>0.12343589041095891</v>
          </cell>
        </row>
        <row r="67">
          <cell r="I67">
            <v>772</v>
          </cell>
          <cell r="J67">
            <v>0.12344164383561644</v>
          </cell>
        </row>
        <row r="68">
          <cell r="I68">
            <v>773</v>
          </cell>
          <cell r="J68">
            <v>0.12344739726027397</v>
          </cell>
        </row>
        <row r="69">
          <cell r="I69">
            <v>774</v>
          </cell>
          <cell r="J69">
            <v>0.12345315068493151</v>
          </cell>
        </row>
        <row r="70">
          <cell r="I70">
            <v>775</v>
          </cell>
          <cell r="J70">
            <v>0.12345890410958904</v>
          </cell>
        </row>
        <row r="71">
          <cell r="I71">
            <v>776</v>
          </cell>
          <cell r="J71">
            <v>0.12346465753424658</v>
          </cell>
        </row>
        <row r="72">
          <cell r="I72">
            <v>777</v>
          </cell>
          <cell r="J72">
            <v>0.12347041095890411</v>
          </cell>
        </row>
        <row r="73">
          <cell r="I73">
            <v>778</v>
          </cell>
          <cell r="J73">
            <v>0.12347616438356164</v>
          </cell>
        </row>
        <row r="74">
          <cell r="I74">
            <v>779</v>
          </cell>
          <cell r="J74">
            <v>0.12348191780821918</v>
          </cell>
        </row>
        <row r="75">
          <cell r="I75">
            <v>780</v>
          </cell>
          <cell r="J75">
            <v>0.12348767123287671</v>
          </cell>
        </row>
        <row r="76">
          <cell r="I76">
            <v>781</v>
          </cell>
          <cell r="J76">
            <v>0.12349342465753425</v>
          </cell>
        </row>
        <row r="77">
          <cell r="I77">
            <v>782</v>
          </cell>
          <cell r="J77">
            <v>0.12349917808219178</v>
          </cell>
        </row>
        <row r="78">
          <cell r="I78">
            <v>783</v>
          </cell>
          <cell r="J78">
            <v>0.12350493150684931</v>
          </cell>
        </row>
        <row r="79">
          <cell r="I79">
            <v>784</v>
          </cell>
          <cell r="J79">
            <v>0.12351068493150685</v>
          </cell>
        </row>
        <row r="80">
          <cell r="I80">
            <v>785</v>
          </cell>
          <cell r="J80">
            <v>0.12351643835616438</v>
          </cell>
        </row>
        <row r="81">
          <cell r="I81">
            <v>786</v>
          </cell>
          <cell r="J81">
            <v>0.12352219178082192</v>
          </cell>
        </row>
        <row r="82">
          <cell r="I82">
            <v>787</v>
          </cell>
          <cell r="J82">
            <v>0.12352794520547945</v>
          </cell>
        </row>
        <row r="83">
          <cell r="I83">
            <v>788</v>
          </cell>
          <cell r="J83">
            <v>0.123533698630137</v>
          </cell>
        </row>
        <row r="84">
          <cell r="I84">
            <v>789</v>
          </cell>
          <cell r="J84">
            <v>0.12353945205479452</v>
          </cell>
        </row>
        <row r="85">
          <cell r="I85">
            <v>790</v>
          </cell>
          <cell r="J85">
            <v>0.12354520547945205</v>
          </cell>
        </row>
        <row r="86">
          <cell r="I86">
            <v>791</v>
          </cell>
          <cell r="J86">
            <v>0.1235509589041096</v>
          </cell>
        </row>
        <row r="87">
          <cell r="I87">
            <v>792</v>
          </cell>
          <cell r="J87">
            <v>0.12355671232876712</v>
          </cell>
        </row>
        <row r="88">
          <cell r="I88">
            <v>793</v>
          </cell>
          <cell r="J88">
            <v>0.12356246575342467</v>
          </cell>
        </row>
        <row r="89">
          <cell r="I89">
            <v>794</v>
          </cell>
          <cell r="J89">
            <v>0.12356821917808219</v>
          </cell>
        </row>
        <row r="90">
          <cell r="I90">
            <v>795</v>
          </cell>
          <cell r="J90">
            <v>0.12357397260273972</v>
          </cell>
        </row>
        <row r="91">
          <cell r="I91">
            <v>796</v>
          </cell>
          <cell r="J91">
            <v>0.12357972602739727</v>
          </cell>
        </row>
        <row r="92">
          <cell r="I92">
            <v>797</v>
          </cell>
          <cell r="J92">
            <v>0.12358547945205479</v>
          </cell>
        </row>
        <row r="93">
          <cell r="I93">
            <v>798</v>
          </cell>
          <cell r="J93">
            <v>0.12359123287671234</v>
          </cell>
        </row>
        <row r="94">
          <cell r="I94">
            <v>799</v>
          </cell>
          <cell r="J94">
            <v>0.12359698630136987</v>
          </cell>
        </row>
        <row r="95">
          <cell r="I95">
            <v>800</v>
          </cell>
          <cell r="J95">
            <v>0.12360273972602739</v>
          </cell>
        </row>
        <row r="96">
          <cell r="I96">
            <v>801</v>
          </cell>
          <cell r="J96">
            <v>0.12360849315068494</v>
          </cell>
        </row>
        <row r="97">
          <cell r="I97">
            <v>802</v>
          </cell>
          <cell r="J97">
            <v>0.12361424657534247</v>
          </cell>
        </row>
        <row r="98">
          <cell r="I98">
            <v>803</v>
          </cell>
          <cell r="J98">
            <v>0.12362000000000001</v>
          </cell>
        </row>
        <row r="99">
          <cell r="I99">
            <v>804</v>
          </cell>
          <cell r="J99">
            <v>0.12362575342465754</v>
          </cell>
        </row>
        <row r="100">
          <cell r="I100">
            <v>805</v>
          </cell>
          <cell r="J100">
            <v>0.12363150684931506</v>
          </cell>
        </row>
        <row r="101">
          <cell r="I101">
            <v>806</v>
          </cell>
          <cell r="J101">
            <v>0.12363726027397261</v>
          </cell>
        </row>
        <row r="102">
          <cell r="I102">
            <v>807</v>
          </cell>
          <cell r="J102">
            <v>0.12364301369863014</v>
          </cell>
        </row>
        <row r="103">
          <cell r="I103">
            <v>808</v>
          </cell>
          <cell r="J103">
            <v>0.12364876712328768</v>
          </cell>
        </row>
        <row r="104">
          <cell r="I104">
            <v>809</v>
          </cell>
          <cell r="J104">
            <v>0.12365452054794521</v>
          </cell>
        </row>
        <row r="105">
          <cell r="I105">
            <v>810</v>
          </cell>
          <cell r="J105">
            <v>0.12366027397260274</v>
          </cell>
        </row>
        <row r="106">
          <cell r="I106">
            <v>811</v>
          </cell>
          <cell r="J106">
            <v>0.12366602739726028</v>
          </cell>
        </row>
        <row r="107">
          <cell r="I107">
            <v>812</v>
          </cell>
          <cell r="J107">
            <v>0.12367178082191781</v>
          </cell>
        </row>
        <row r="108">
          <cell r="I108">
            <v>813</v>
          </cell>
          <cell r="J108">
            <v>0.12367753424657535</v>
          </cell>
        </row>
        <row r="109">
          <cell r="I109">
            <v>814</v>
          </cell>
          <cell r="J109">
            <v>0.12368328767123288</v>
          </cell>
        </row>
        <row r="110">
          <cell r="I110">
            <v>815</v>
          </cell>
          <cell r="J110">
            <v>0.12368904109589041</v>
          </cell>
        </row>
        <row r="111">
          <cell r="I111">
            <v>816</v>
          </cell>
          <cell r="J111">
            <v>0.12369479452054795</v>
          </cell>
        </row>
        <row r="112">
          <cell r="I112">
            <v>817</v>
          </cell>
          <cell r="J112">
            <v>0.12370054794520548</v>
          </cell>
        </row>
        <row r="113">
          <cell r="I113">
            <v>818</v>
          </cell>
          <cell r="J113">
            <v>0.12370630136986302</v>
          </cell>
        </row>
        <row r="114">
          <cell r="I114">
            <v>819</v>
          </cell>
          <cell r="J114">
            <v>0.12371205479452055</v>
          </cell>
        </row>
        <row r="115">
          <cell r="I115">
            <v>820</v>
          </cell>
          <cell r="J115">
            <v>0.12371780821917808</v>
          </cell>
        </row>
        <row r="116">
          <cell r="I116">
            <v>821</v>
          </cell>
          <cell r="J116">
            <v>0.12372356164383562</v>
          </cell>
        </row>
        <row r="117">
          <cell r="I117">
            <v>822</v>
          </cell>
          <cell r="J117">
            <v>0.12372931506849315</v>
          </cell>
        </row>
        <row r="118">
          <cell r="I118">
            <v>823</v>
          </cell>
          <cell r="J118">
            <v>0.12373506849315069</v>
          </cell>
        </row>
        <row r="119">
          <cell r="I119">
            <v>824</v>
          </cell>
          <cell r="J119">
            <v>0.12374082191780822</v>
          </cell>
        </row>
        <row r="120">
          <cell r="I120">
            <v>825</v>
          </cell>
          <cell r="J120">
            <v>0.12374657534246576</v>
          </cell>
        </row>
        <row r="121">
          <cell r="I121">
            <v>826</v>
          </cell>
          <cell r="J121">
            <v>0.12375232876712329</v>
          </cell>
        </row>
        <row r="122">
          <cell r="I122">
            <v>827</v>
          </cell>
          <cell r="J122">
            <v>0.12375808219178082</v>
          </cell>
        </row>
        <row r="123">
          <cell r="I123">
            <v>828</v>
          </cell>
          <cell r="J123">
            <v>0.12376383561643836</v>
          </cell>
        </row>
        <row r="124">
          <cell r="I124">
            <v>829</v>
          </cell>
          <cell r="J124">
            <v>0.12376958904109589</v>
          </cell>
        </row>
        <row r="125">
          <cell r="I125">
            <v>830</v>
          </cell>
          <cell r="J125">
            <v>0.12377534246575343</v>
          </cell>
        </row>
        <row r="126">
          <cell r="I126">
            <v>831</v>
          </cell>
          <cell r="J126">
            <v>0.12378109589041096</v>
          </cell>
        </row>
        <row r="127">
          <cell r="I127">
            <v>832</v>
          </cell>
          <cell r="J127">
            <v>0.12378684931506849</v>
          </cell>
        </row>
        <row r="128">
          <cell r="I128">
            <v>833</v>
          </cell>
          <cell r="J128">
            <v>0.12379260273972603</v>
          </cell>
        </row>
        <row r="129">
          <cell r="I129">
            <v>834</v>
          </cell>
          <cell r="J129">
            <v>0.12379835616438356</v>
          </cell>
        </row>
        <row r="130">
          <cell r="I130">
            <v>835</v>
          </cell>
          <cell r="J130">
            <v>0.1238041095890411</v>
          </cell>
        </row>
        <row r="131">
          <cell r="I131">
            <v>836</v>
          </cell>
          <cell r="J131">
            <v>0.12380986301369863</v>
          </cell>
        </row>
        <row r="132">
          <cell r="I132">
            <v>837</v>
          </cell>
          <cell r="J132">
            <v>0.12381561643835616</v>
          </cell>
        </row>
        <row r="133">
          <cell r="I133">
            <v>838</v>
          </cell>
          <cell r="J133">
            <v>0.1238213698630137</v>
          </cell>
        </row>
        <row r="134">
          <cell r="I134">
            <v>839</v>
          </cell>
          <cell r="J134">
            <v>0.12382712328767123</v>
          </cell>
        </row>
        <row r="135">
          <cell r="I135">
            <v>840</v>
          </cell>
          <cell r="J135">
            <v>0.12383287671232877</v>
          </cell>
        </row>
        <row r="136">
          <cell r="I136">
            <v>841</v>
          </cell>
          <cell r="J136">
            <v>0.1238386301369863</v>
          </cell>
        </row>
        <row r="137">
          <cell r="I137">
            <v>842</v>
          </cell>
          <cell r="J137">
            <v>0.12384438356164383</v>
          </cell>
        </row>
        <row r="138">
          <cell r="I138">
            <v>843</v>
          </cell>
          <cell r="J138">
            <v>0.12385013698630137</v>
          </cell>
        </row>
        <row r="139">
          <cell r="I139">
            <v>844</v>
          </cell>
          <cell r="J139">
            <v>0.1238558904109589</v>
          </cell>
        </row>
        <row r="140">
          <cell r="I140">
            <v>845</v>
          </cell>
          <cell r="J140">
            <v>0.12386164383561644</v>
          </cell>
        </row>
        <row r="141">
          <cell r="I141">
            <v>846</v>
          </cell>
          <cell r="J141">
            <v>0.12386739726027397</v>
          </cell>
        </row>
        <row r="142">
          <cell r="I142">
            <v>847</v>
          </cell>
          <cell r="J142">
            <v>0.1238731506849315</v>
          </cell>
        </row>
        <row r="143">
          <cell r="I143">
            <v>848</v>
          </cell>
          <cell r="J143">
            <v>0.12387890410958904</v>
          </cell>
        </row>
        <row r="144">
          <cell r="I144">
            <v>849</v>
          </cell>
          <cell r="J144">
            <v>0.12388465753424657</v>
          </cell>
        </row>
        <row r="145">
          <cell r="I145">
            <v>850</v>
          </cell>
          <cell r="J145">
            <v>0.12389041095890412</v>
          </cell>
        </row>
        <row r="146">
          <cell r="I146">
            <v>851</v>
          </cell>
          <cell r="J146">
            <v>0.12389616438356164</v>
          </cell>
        </row>
        <row r="147">
          <cell r="I147">
            <v>852</v>
          </cell>
          <cell r="J147">
            <v>0.12390191780821917</v>
          </cell>
        </row>
        <row r="148">
          <cell r="I148">
            <v>853</v>
          </cell>
          <cell r="J148">
            <v>0.12390767123287671</v>
          </cell>
        </row>
        <row r="149">
          <cell r="I149">
            <v>854</v>
          </cell>
          <cell r="J149">
            <v>0.12391342465753424</v>
          </cell>
        </row>
        <row r="150">
          <cell r="I150">
            <v>855</v>
          </cell>
          <cell r="J150">
            <v>0.12391917808219179</v>
          </cell>
        </row>
        <row r="151">
          <cell r="I151">
            <v>856</v>
          </cell>
          <cell r="J151">
            <v>0.12392493150684931</v>
          </cell>
        </row>
        <row r="152">
          <cell r="I152">
            <v>857</v>
          </cell>
          <cell r="J152">
            <v>0.12393068493150684</v>
          </cell>
        </row>
        <row r="153">
          <cell r="I153">
            <v>858</v>
          </cell>
          <cell r="J153">
            <v>0.12393643835616439</v>
          </cell>
        </row>
        <row r="154">
          <cell r="I154">
            <v>859</v>
          </cell>
          <cell r="J154">
            <v>0.12394219178082191</v>
          </cell>
        </row>
        <row r="155">
          <cell r="I155">
            <v>860</v>
          </cell>
          <cell r="J155">
            <v>0.12394794520547946</v>
          </cell>
        </row>
        <row r="156">
          <cell r="I156">
            <v>861</v>
          </cell>
          <cell r="J156">
            <v>0.12395369863013699</v>
          </cell>
        </row>
        <row r="157">
          <cell r="I157">
            <v>862</v>
          </cell>
          <cell r="J157">
            <v>0.12395945205479453</v>
          </cell>
        </row>
        <row r="158">
          <cell r="I158">
            <v>863</v>
          </cell>
          <cell r="J158">
            <v>0.12396520547945206</v>
          </cell>
        </row>
        <row r="159">
          <cell r="I159">
            <v>864</v>
          </cell>
          <cell r="J159">
            <v>0.12397095890410958</v>
          </cell>
        </row>
        <row r="160">
          <cell r="I160">
            <v>865</v>
          </cell>
          <cell r="J160">
            <v>0.12397671232876713</v>
          </cell>
        </row>
        <row r="161">
          <cell r="I161">
            <v>866</v>
          </cell>
          <cell r="J161">
            <v>0.12398246575342466</v>
          </cell>
        </row>
        <row r="162">
          <cell r="I162">
            <v>867</v>
          </cell>
          <cell r="J162">
            <v>0.1239882191780822</v>
          </cell>
        </row>
        <row r="163">
          <cell r="I163">
            <v>868</v>
          </cell>
          <cell r="J163">
            <v>0.12399397260273973</v>
          </cell>
        </row>
        <row r="164">
          <cell r="I164">
            <v>869</v>
          </cell>
          <cell r="J164">
            <v>0.12399972602739726</v>
          </cell>
        </row>
        <row r="165">
          <cell r="I165">
            <v>870</v>
          </cell>
          <cell r="J165">
            <v>0.1240054794520548</v>
          </cell>
        </row>
        <row r="166">
          <cell r="I166">
            <v>871</v>
          </cell>
          <cell r="J166">
            <v>0.12401123287671233</v>
          </cell>
        </row>
        <row r="167">
          <cell r="I167">
            <v>872</v>
          </cell>
          <cell r="J167">
            <v>0.12401698630136987</v>
          </cell>
        </row>
        <row r="168">
          <cell r="I168">
            <v>873</v>
          </cell>
          <cell r="J168">
            <v>0.1240227397260274</v>
          </cell>
        </row>
        <row r="169">
          <cell r="I169">
            <v>874</v>
          </cell>
          <cell r="J169">
            <v>0.12402849315068493</v>
          </cell>
        </row>
        <row r="170">
          <cell r="I170">
            <v>875</v>
          </cell>
          <cell r="J170">
            <v>0.12403424657534247</v>
          </cell>
        </row>
        <row r="171">
          <cell r="I171">
            <v>876</v>
          </cell>
          <cell r="J171">
            <v>0.12404</v>
          </cell>
        </row>
        <row r="172">
          <cell r="I172">
            <v>877</v>
          </cell>
          <cell r="J172">
            <v>0.12404575342465754</v>
          </cell>
        </row>
        <row r="173">
          <cell r="I173">
            <v>878</v>
          </cell>
          <cell r="J173">
            <v>0.12405150684931507</v>
          </cell>
        </row>
        <row r="174">
          <cell r="I174">
            <v>879</v>
          </cell>
          <cell r="J174">
            <v>0.1240572602739726</v>
          </cell>
        </row>
        <row r="175">
          <cell r="I175">
            <v>880</v>
          </cell>
          <cell r="J175">
            <v>0.12406301369863014</v>
          </cell>
        </row>
        <row r="176">
          <cell r="I176">
            <v>881</v>
          </cell>
          <cell r="J176">
            <v>0.12406876712328767</v>
          </cell>
        </row>
        <row r="177">
          <cell r="I177">
            <v>882</v>
          </cell>
          <cell r="J177">
            <v>0.12407452054794521</v>
          </cell>
        </row>
        <row r="178">
          <cell r="I178">
            <v>883</v>
          </cell>
          <cell r="J178">
            <v>0.12408027397260274</v>
          </cell>
        </row>
        <row r="179">
          <cell r="I179">
            <v>884</v>
          </cell>
          <cell r="J179">
            <v>0.12408602739726027</v>
          </cell>
        </row>
        <row r="180">
          <cell r="I180">
            <v>885</v>
          </cell>
          <cell r="J180">
            <v>0.12409178082191781</v>
          </cell>
        </row>
        <row r="181">
          <cell r="I181">
            <v>886</v>
          </cell>
          <cell r="J181">
            <v>0.12409753424657534</v>
          </cell>
        </row>
        <row r="182">
          <cell r="I182">
            <v>887</v>
          </cell>
          <cell r="J182">
            <v>0.12410328767123288</v>
          </cell>
        </row>
        <row r="183">
          <cell r="I183">
            <v>888</v>
          </cell>
          <cell r="J183">
            <v>0.12410904109589041</v>
          </cell>
        </row>
        <row r="184">
          <cell r="I184">
            <v>889</v>
          </cell>
          <cell r="J184">
            <v>0.12411479452054794</v>
          </cell>
        </row>
        <row r="185">
          <cell r="I185">
            <v>890</v>
          </cell>
          <cell r="J185">
            <v>0.12412054794520548</v>
          </cell>
        </row>
        <row r="186">
          <cell r="I186">
            <v>891</v>
          </cell>
          <cell r="J186">
            <v>0.12412630136986301</v>
          </cell>
        </row>
        <row r="187">
          <cell r="I187">
            <v>892</v>
          </cell>
          <cell r="J187">
            <v>0.12413205479452055</v>
          </cell>
        </row>
        <row r="188">
          <cell r="I188">
            <v>893</v>
          </cell>
          <cell r="J188">
            <v>0.12413780821917808</v>
          </cell>
        </row>
        <row r="189">
          <cell r="I189">
            <v>894</v>
          </cell>
          <cell r="J189">
            <v>0.12414356164383561</v>
          </cell>
        </row>
        <row r="190">
          <cell r="I190">
            <v>895</v>
          </cell>
          <cell r="J190">
            <v>0.12414931506849315</v>
          </cell>
        </row>
        <row r="191">
          <cell r="I191">
            <v>896</v>
          </cell>
          <cell r="J191">
            <v>0.12415506849315068</v>
          </cell>
        </row>
        <row r="192">
          <cell r="I192">
            <v>897</v>
          </cell>
          <cell r="J192">
            <v>0.12416082191780822</v>
          </cell>
        </row>
        <row r="193">
          <cell r="I193">
            <v>898</v>
          </cell>
          <cell r="J193">
            <v>0.12416657534246575</v>
          </cell>
        </row>
        <row r="194">
          <cell r="I194">
            <v>899</v>
          </cell>
          <cell r="J194">
            <v>0.12417232876712329</v>
          </cell>
        </row>
        <row r="195">
          <cell r="I195">
            <v>900</v>
          </cell>
          <cell r="J195">
            <v>0.12417808219178082</v>
          </cell>
        </row>
        <row r="196">
          <cell r="I196">
            <v>901</v>
          </cell>
          <cell r="J196">
            <v>0.12418383561643835</v>
          </cell>
        </row>
        <row r="197">
          <cell r="I197">
            <v>902</v>
          </cell>
          <cell r="J197">
            <v>0.12418958904109589</v>
          </cell>
        </row>
        <row r="198">
          <cell r="I198">
            <v>903</v>
          </cell>
          <cell r="J198">
            <v>0.12419534246575342</v>
          </cell>
        </row>
        <row r="199">
          <cell r="I199">
            <v>904</v>
          </cell>
          <cell r="J199">
            <v>0.12420109589041096</v>
          </cell>
        </row>
        <row r="200">
          <cell r="I200">
            <v>905</v>
          </cell>
          <cell r="J200">
            <v>0.12420684931506849</v>
          </cell>
        </row>
        <row r="201">
          <cell r="I201">
            <v>906</v>
          </cell>
          <cell r="J201">
            <v>0.12421260273972602</v>
          </cell>
        </row>
        <row r="202">
          <cell r="I202">
            <v>907</v>
          </cell>
          <cell r="J202">
            <v>0.12421835616438356</v>
          </cell>
        </row>
        <row r="203">
          <cell r="I203">
            <v>908</v>
          </cell>
          <cell r="J203">
            <v>0.12422410958904109</v>
          </cell>
        </row>
        <row r="204">
          <cell r="I204">
            <v>909</v>
          </cell>
          <cell r="J204">
            <v>0.12422986301369864</v>
          </cell>
        </row>
        <row r="205">
          <cell r="I205">
            <v>910</v>
          </cell>
          <cell r="J205">
            <v>0.12423561643835616</v>
          </cell>
        </row>
        <row r="206">
          <cell r="I206">
            <v>911</v>
          </cell>
          <cell r="J206">
            <v>0.12424136986301369</v>
          </cell>
        </row>
        <row r="207">
          <cell r="I207">
            <v>912</v>
          </cell>
          <cell r="J207">
            <v>0.12424712328767124</v>
          </cell>
        </row>
        <row r="208">
          <cell r="I208">
            <v>913</v>
          </cell>
          <cell r="J208">
            <v>0.12425287671232876</v>
          </cell>
        </row>
        <row r="209">
          <cell r="I209">
            <v>914</v>
          </cell>
          <cell r="J209">
            <v>0.12425863013698631</v>
          </cell>
        </row>
        <row r="210">
          <cell r="I210">
            <v>915</v>
          </cell>
          <cell r="J210">
            <v>0.12426438356164383</v>
          </cell>
        </row>
        <row r="211">
          <cell r="I211">
            <v>916</v>
          </cell>
          <cell r="J211">
            <v>0.12427013698630136</v>
          </cell>
        </row>
        <row r="212">
          <cell r="I212">
            <v>917</v>
          </cell>
          <cell r="J212">
            <v>0.12427589041095891</v>
          </cell>
        </row>
        <row r="213">
          <cell r="I213">
            <v>918</v>
          </cell>
          <cell r="J213">
            <v>0.12428164383561643</v>
          </cell>
        </row>
        <row r="214">
          <cell r="I214">
            <v>919</v>
          </cell>
          <cell r="J214">
            <v>0.12428739726027398</v>
          </cell>
        </row>
        <row r="215">
          <cell r="I215">
            <v>920</v>
          </cell>
          <cell r="J215">
            <v>0.12429315068493151</v>
          </cell>
        </row>
        <row r="216">
          <cell r="I216">
            <v>921</v>
          </cell>
          <cell r="J216">
            <v>0.12429890410958903</v>
          </cell>
        </row>
        <row r="217">
          <cell r="I217">
            <v>922</v>
          </cell>
          <cell r="J217">
            <v>0.12430465753424658</v>
          </cell>
        </row>
        <row r="218">
          <cell r="I218">
            <v>923</v>
          </cell>
          <cell r="J218">
            <v>0.12431041095890411</v>
          </cell>
        </row>
        <row r="219">
          <cell r="I219">
            <v>924</v>
          </cell>
          <cell r="J219">
            <v>0.12431616438356165</v>
          </cell>
        </row>
        <row r="220">
          <cell r="I220">
            <v>925</v>
          </cell>
          <cell r="J220">
            <v>0.12432191780821918</v>
          </cell>
        </row>
        <row r="221">
          <cell r="I221">
            <v>926</v>
          </cell>
          <cell r="J221">
            <v>0.1243276712328767</v>
          </cell>
        </row>
        <row r="222">
          <cell r="I222">
            <v>927</v>
          </cell>
          <cell r="J222">
            <v>0.12433342465753425</v>
          </cell>
        </row>
        <row r="223">
          <cell r="I223">
            <v>928</v>
          </cell>
          <cell r="J223">
            <v>0.12433917808219178</v>
          </cell>
        </row>
        <row r="224">
          <cell r="I224">
            <v>929</v>
          </cell>
          <cell r="J224">
            <v>0.12434493150684932</v>
          </cell>
        </row>
        <row r="225">
          <cell r="I225">
            <v>930</v>
          </cell>
          <cell r="J225">
            <v>0.12435068493150685</v>
          </cell>
        </row>
        <row r="226">
          <cell r="I226">
            <v>931</v>
          </cell>
          <cell r="J226">
            <v>0.12435643835616439</v>
          </cell>
        </row>
        <row r="227">
          <cell r="I227">
            <v>932</v>
          </cell>
          <cell r="J227">
            <v>0.12436219178082192</v>
          </cell>
        </row>
        <row r="228">
          <cell r="I228">
            <v>933</v>
          </cell>
          <cell r="J228">
            <v>0.12436794520547945</v>
          </cell>
        </row>
        <row r="229">
          <cell r="I229">
            <v>934</v>
          </cell>
          <cell r="J229">
            <v>0.12437369863013699</v>
          </cell>
        </row>
        <row r="230">
          <cell r="I230">
            <v>935</v>
          </cell>
          <cell r="J230">
            <v>0.12437945205479452</v>
          </cell>
        </row>
        <row r="231">
          <cell r="I231">
            <v>936</v>
          </cell>
          <cell r="J231">
            <v>0.12438520547945206</v>
          </cell>
        </row>
        <row r="232">
          <cell r="I232">
            <v>937</v>
          </cell>
          <cell r="J232">
            <v>0.12439095890410959</v>
          </cell>
        </row>
        <row r="233">
          <cell r="I233">
            <v>938</v>
          </cell>
          <cell r="J233">
            <v>0.12439671232876712</v>
          </cell>
        </row>
        <row r="234">
          <cell r="I234">
            <v>939</v>
          </cell>
          <cell r="J234">
            <v>0.12440246575342466</v>
          </cell>
        </row>
        <row r="235">
          <cell r="I235">
            <v>940</v>
          </cell>
          <cell r="J235">
            <v>0.12440821917808219</v>
          </cell>
        </row>
        <row r="236">
          <cell r="I236">
            <v>941</v>
          </cell>
          <cell r="J236">
            <v>0.12441397260273973</v>
          </cell>
        </row>
        <row r="237">
          <cell r="I237">
            <v>942</v>
          </cell>
          <cell r="J237">
            <v>0.12441972602739726</v>
          </cell>
        </row>
        <row r="238">
          <cell r="I238">
            <v>943</v>
          </cell>
          <cell r="J238">
            <v>0.12442547945205479</v>
          </cell>
        </row>
        <row r="239">
          <cell r="I239">
            <v>944</v>
          </cell>
          <cell r="J239">
            <v>0.12443123287671233</v>
          </cell>
        </row>
        <row r="240">
          <cell r="I240">
            <v>945</v>
          </cell>
          <cell r="J240">
            <v>0.12443698630136986</v>
          </cell>
        </row>
        <row r="241">
          <cell r="I241">
            <v>946</v>
          </cell>
          <cell r="J241">
            <v>0.1244427397260274</v>
          </cell>
        </row>
        <row r="242">
          <cell r="I242">
            <v>947</v>
          </cell>
          <cell r="J242">
            <v>0.12444849315068493</v>
          </cell>
        </row>
        <row r="243">
          <cell r="I243">
            <v>948</v>
          </cell>
          <cell r="J243">
            <v>0.12445424657534246</v>
          </cell>
        </row>
        <row r="244">
          <cell r="I244">
            <v>949</v>
          </cell>
          <cell r="J244">
            <v>0.12446</v>
          </cell>
        </row>
        <row r="245">
          <cell r="I245">
            <v>950</v>
          </cell>
          <cell r="J245">
            <v>0.12446575342465753</v>
          </cell>
        </row>
        <row r="246">
          <cell r="I246">
            <v>951</v>
          </cell>
          <cell r="J246">
            <v>0.12447150684931507</v>
          </cell>
        </row>
        <row r="247">
          <cell r="I247">
            <v>952</v>
          </cell>
          <cell r="J247">
            <v>0.1244772602739726</v>
          </cell>
        </row>
        <row r="248">
          <cell r="I248">
            <v>953</v>
          </cell>
          <cell r="J248">
            <v>0.12448301369863013</v>
          </cell>
        </row>
        <row r="249">
          <cell r="I249">
            <v>954</v>
          </cell>
          <cell r="J249">
            <v>0.12448876712328767</v>
          </cell>
        </row>
        <row r="250">
          <cell r="I250">
            <v>955</v>
          </cell>
          <cell r="J250">
            <v>0.1244945205479452</v>
          </cell>
        </row>
        <row r="251">
          <cell r="I251">
            <v>956</v>
          </cell>
          <cell r="J251">
            <v>0.12450027397260274</v>
          </cell>
        </row>
        <row r="252">
          <cell r="I252">
            <v>957</v>
          </cell>
          <cell r="J252">
            <v>0.12450602739726027</v>
          </cell>
        </row>
        <row r="253">
          <cell r="I253">
            <v>958</v>
          </cell>
          <cell r="J253">
            <v>0.1245117808219178</v>
          </cell>
        </row>
        <row r="254">
          <cell r="I254">
            <v>959</v>
          </cell>
          <cell r="J254">
            <v>0.12451753424657534</v>
          </cell>
        </row>
        <row r="255">
          <cell r="I255">
            <v>960</v>
          </cell>
          <cell r="J255">
            <v>0.12452328767123287</v>
          </cell>
        </row>
        <row r="256">
          <cell r="I256">
            <v>961</v>
          </cell>
          <cell r="J256">
            <v>0.12452904109589041</v>
          </cell>
        </row>
        <row r="257">
          <cell r="I257">
            <v>962</v>
          </cell>
          <cell r="J257">
            <v>0.12453479452054794</v>
          </cell>
        </row>
        <row r="258">
          <cell r="I258">
            <v>963</v>
          </cell>
          <cell r="J258">
            <v>0.12454054794520547</v>
          </cell>
        </row>
        <row r="259">
          <cell r="I259">
            <v>964</v>
          </cell>
          <cell r="J259">
            <v>0.12454630136986301</v>
          </cell>
        </row>
        <row r="260">
          <cell r="I260">
            <v>965</v>
          </cell>
          <cell r="J260">
            <v>0.12455205479452054</v>
          </cell>
        </row>
        <row r="261">
          <cell r="I261">
            <v>966</v>
          </cell>
          <cell r="J261">
            <v>0.12455780821917808</v>
          </cell>
        </row>
        <row r="262">
          <cell r="I262">
            <v>967</v>
          </cell>
          <cell r="J262">
            <v>0.12456356164383561</v>
          </cell>
        </row>
        <row r="263">
          <cell r="I263">
            <v>968</v>
          </cell>
          <cell r="J263">
            <v>0.12456931506849314</v>
          </cell>
        </row>
        <row r="264">
          <cell r="I264">
            <v>969</v>
          </cell>
          <cell r="J264">
            <v>0.12457506849315068</v>
          </cell>
        </row>
        <row r="265">
          <cell r="I265">
            <v>970</v>
          </cell>
          <cell r="J265">
            <v>0.12458082191780821</v>
          </cell>
        </row>
        <row r="266">
          <cell r="I266">
            <v>971</v>
          </cell>
          <cell r="J266">
            <v>0.12458657534246576</v>
          </cell>
        </row>
        <row r="267">
          <cell r="I267">
            <v>972</v>
          </cell>
          <cell r="J267">
            <v>0.12459232876712328</v>
          </cell>
        </row>
        <row r="268">
          <cell r="I268">
            <v>973</v>
          </cell>
          <cell r="J268">
            <v>0.12459808219178083</v>
          </cell>
        </row>
        <row r="269">
          <cell r="I269">
            <v>974</v>
          </cell>
          <cell r="J269">
            <v>0.12460383561643835</v>
          </cell>
        </row>
        <row r="270">
          <cell r="I270">
            <v>975</v>
          </cell>
          <cell r="J270">
            <v>0.12460958904109588</v>
          </cell>
        </row>
        <row r="271">
          <cell r="I271">
            <v>976</v>
          </cell>
          <cell r="J271">
            <v>0.12461534246575343</v>
          </cell>
        </row>
        <row r="272">
          <cell r="I272">
            <v>977</v>
          </cell>
          <cell r="J272">
            <v>0.12462109589041095</v>
          </cell>
        </row>
        <row r="273">
          <cell r="I273">
            <v>978</v>
          </cell>
          <cell r="J273">
            <v>0.1246268493150685</v>
          </cell>
        </row>
        <row r="274">
          <cell r="I274">
            <v>979</v>
          </cell>
          <cell r="J274">
            <v>0.12463260273972603</v>
          </cell>
        </row>
        <row r="275">
          <cell r="I275">
            <v>980</v>
          </cell>
          <cell r="J275">
            <v>0.12463835616438355</v>
          </cell>
        </row>
        <row r="276">
          <cell r="I276">
            <v>981</v>
          </cell>
          <cell r="J276">
            <v>0.1246441095890411</v>
          </cell>
        </row>
        <row r="277">
          <cell r="I277">
            <v>982</v>
          </cell>
          <cell r="J277">
            <v>0.12464986301369863</v>
          </cell>
        </row>
        <row r="278">
          <cell r="I278">
            <v>983</v>
          </cell>
          <cell r="J278">
            <v>0.12465561643835617</v>
          </cell>
        </row>
        <row r="279">
          <cell r="I279">
            <v>984</v>
          </cell>
          <cell r="J279">
            <v>0.1246613698630137</v>
          </cell>
        </row>
        <row r="280">
          <cell r="I280">
            <v>985</v>
          </cell>
          <cell r="J280">
            <v>0.12466712328767122</v>
          </cell>
        </row>
        <row r="281">
          <cell r="I281">
            <v>986</v>
          </cell>
          <cell r="J281">
            <v>0.12467287671232877</v>
          </cell>
        </row>
        <row r="282">
          <cell r="I282">
            <v>987</v>
          </cell>
          <cell r="J282">
            <v>0.1246786301369863</v>
          </cell>
        </row>
        <row r="283">
          <cell r="I283">
            <v>988</v>
          </cell>
          <cell r="J283">
            <v>0.12468438356164384</v>
          </cell>
        </row>
        <row r="284">
          <cell r="I284">
            <v>989</v>
          </cell>
          <cell r="J284">
            <v>0.12469013698630137</v>
          </cell>
        </row>
        <row r="285">
          <cell r="I285">
            <v>990</v>
          </cell>
          <cell r="J285">
            <v>0.1246958904109589</v>
          </cell>
        </row>
        <row r="286">
          <cell r="I286">
            <v>991</v>
          </cell>
          <cell r="J286">
            <v>0.12470164383561644</v>
          </cell>
        </row>
        <row r="287">
          <cell r="I287">
            <v>992</v>
          </cell>
          <cell r="J287">
            <v>0.12470739726027397</v>
          </cell>
        </row>
        <row r="288">
          <cell r="I288">
            <v>993</v>
          </cell>
          <cell r="J288">
            <v>0.12471315068493151</v>
          </cell>
        </row>
        <row r="289">
          <cell r="I289">
            <v>994</v>
          </cell>
          <cell r="J289">
            <v>0.12471890410958904</v>
          </cell>
        </row>
        <row r="290">
          <cell r="I290">
            <v>995</v>
          </cell>
          <cell r="J290">
            <v>0.12472465753424657</v>
          </cell>
        </row>
        <row r="291">
          <cell r="I291">
            <v>996</v>
          </cell>
          <cell r="J291">
            <v>0.12473041095890411</v>
          </cell>
        </row>
        <row r="292">
          <cell r="I292">
            <v>997</v>
          </cell>
          <cell r="J292">
            <v>0.12473616438356164</v>
          </cell>
        </row>
        <row r="293">
          <cell r="I293">
            <v>998</v>
          </cell>
          <cell r="J293">
            <v>0.12474191780821918</v>
          </cell>
        </row>
        <row r="294">
          <cell r="I294">
            <v>999</v>
          </cell>
          <cell r="J294">
            <v>0.12474767123287671</v>
          </cell>
        </row>
        <row r="295">
          <cell r="I295">
            <v>1000</v>
          </cell>
          <cell r="J295">
            <v>0.12475342465753424</v>
          </cell>
        </row>
        <row r="296">
          <cell r="I296">
            <v>1001</v>
          </cell>
          <cell r="J296">
            <v>0.12475917808219178</v>
          </cell>
        </row>
        <row r="297">
          <cell r="I297">
            <v>1002</v>
          </cell>
          <cell r="J297">
            <v>0.12476493150684931</v>
          </cell>
        </row>
        <row r="298">
          <cell r="I298">
            <v>1003</v>
          </cell>
          <cell r="J298">
            <v>0.12477068493150685</v>
          </cell>
        </row>
        <row r="299">
          <cell r="I299">
            <v>1004</v>
          </cell>
          <cell r="J299">
            <v>0.12477643835616438</v>
          </cell>
        </row>
        <row r="300">
          <cell r="I300">
            <v>1005</v>
          </cell>
          <cell r="J300">
            <v>0.12478219178082192</v>
          </cell>
        </row>
        <row r="301">
          <cell r="I301">
            <v>1006</v>
          </cell>
          <cell r="J301">
            <v>0.12478794520547945</v>
          </cell>
        </row>
        <row r="302">
          <cell r="I302">
            <v>1007</v>
          </cell>
          <cell r="J302">
            <v>0.12479369863013698</v>
          </cell>
        </row>
        <row r="303">
          <cell r="I303">
            <v>1008</v>
          </cell>
          <cell r="J303">
            <v>0.12479945205479452</v>
          </cell>
        </row>
        <row r="304">
          <cell r="I304">
            <v>1009</v>
          </cell>
          <cell r="J304">
            <v>0.12480520547945205</v>
          </cell>
        </row>
        <row r="305">
          <cell r="I305">
            <v>1010</v>
          </cell>
          <cell r="J305">
            <v>0.12481095890410959</v>
          </cell>
        </row>
        <row r="306">
          <cell r="I306">
            <v>1011</v>
          </cell>
          <cell r="J306">
            <v>0.12481671232876712</v>
          </cell>
        </row>
        <row r="307">
          <cell r="I307">
            <v>1012</v>
          </cell>
          <cell r="J307">
            <v>0.12482246575342465</v>
          </cell>
        </row>
        <row r="308">
          <cell r="I308">
            <v>1013</v>
          </cell>
          <cell r="J308">
            <v>0.12482821917808219</v>
          </cell>
        </row>
        <row r="309">
          <cell r="I309">
            <v>1014</v>
          </cell>
          <cell r="J309">
            <v>0.12483397260273972</v>
          </cell>
        </row>
        <row r="310">
          <cell r="I310">
            <v>1015</v>
          </cell>
          <cell r="J310">
            <v>0.12483972602739726</v>
          </cell>
        </row>
        <row r="311">
          <cell r="I311">
            <v>1016</v>
          </cell>
          <cell r="J311">
            <v>0.12484547945205479</v>
          </cell>
        </row>
        <row r="312">
          <cell r="I312">
            <v>1017</v>
          </cell>
          <cell r="J312">
            <v>0.12485123287671232</v>
          </cell>
        </row>
        <row r="313">
          <cell r="I313">
            <v>1018</v>
          </cell>
          <cell r="J313">
            <v>0.12485698630136986</v>
          </cell>
        </row>
        <row r="314">
          <cell r="I314">
            <v>1019</v>
          </cell>
          <cell r="J314">
            <v>0.12486273972602739</v>
          </cell>
        </row>
        <row r="315">
          <cell r="I315">
            <v>1020</v>
          </cell>
          <cell r="J315">
            <v>0.12486849315068493</v>
          </cell>
        </row>
        <row r="316">
          <cell r="I316">
            <v>1021</v>
          </cell>
          <cell r="J316">
            <v>0.12487424657534246</v>
          </cell>
        </row>
        <row r="317">
          <cell r="I317">
            <v>1022</v>
          </cell>
          <cell r="J317">
            <v>0.12487999999999999</v>
          </cell>
        </row>
        <row r="318">
          <cell r="I318">
            <v>1023</v>
          </cell>
          <cell r="J318">
            <v>0.12488575342465753</v>
          </cell>
        </row>
        <row r="319">
          <cell r="I319">
            <v>1024</v>
          </cell>
          <cell r="J319">
            <v>0.12489150684931506</v>
          </cell>
        </row>
        <row r="320">
          <cell r="I320">
            <v>1025</v>
          </cell>
          <cell r="J320">
            <v>0.1248972602739726</v>
          </cell>
        </row>
        <row r="321">
          <cell r="I321">
            <v>1026</v>
          </cell>
          <cell r="J321">
            <v>0.12490301369863013</v>
          </cell>
        </row>
        <row r="322">
          <cell r="I322">
            <v>1027</v>
          </cell>
          <cell r="J322">
            <v>0.12490876712328766</v>
          </cell>
        </row>
        <row r="323">
          <cell r="I323">
            <v>1028</v>
          </cell>
          <cell r="J323">
            <v>0.1249145205479452</v>
          </cell>
        </row>
        <row r="324">
          <cell r="I324">
            <v>1029</v>
          </cell>
          <cell r="J324">
            <v>0.12492027397260273</v>
          </cell>
        </row>
        <row r="325">
          <cell r="I325">
            <v>1030</v>
          </cell>
          <cell r="J325">
            <v>0.12492602739726028</v>
          </cell>
        </row>
        <row r="326">
          <cell r="I326">
            <v>1031</v>
          </cell>
          <cell r="J326">
            <v>0.1249317808219178</v>
          </cell>
        </row>
        <row r="327">
          <cell r="I327">
            <v>1032</v>
          </cell>
          <cell r="J327">
            <v>0.12493753424657533</v>
          </cell>
        </row>
        <row r="328">
          <cell r="I328">
            <v>1033</v>
          </cell>
          <cell r="J328">
            <v>0.12494328767123287</v>
          </cell>
        </row>
        <row r="329">
          <cell r="I329">
            <v>1034</v>
          </cell>
          <cell r="J329">
            <v>0.1249490410958904</v>
          </cell>
        </row>
        <row r="330">
          <cell r="I330">
            <v>1035</v>
          </cell>
          <cell r="J330">
            <v>0.12495479452054795</v>
          </cell>
        </row>
        <row r="331">
          <cell r="I331">
            <v>1036</v>
          </cell>
          <cell r="J331">
            <v>0.12496054794520547</v>
          </cell>
        </row>
        <row r="332">
          <cell r="I332">
            <v>1037</v>
          </cell>
          <cell r="J332">
            <v>0.124966301369863</v>
          </cell>
        </row>
        <row r="333">
          <cell r="I333">
            <v>1038</v>
          </cell>
          <cell r="J333">
            <v>0.12497205479452055</v>
          </cell>
        </row>
        <row r="334">
          <cell r="I334">
            <v>1039</v>
          </cell>
          <cell r="J334">
            <v>0.12497780821917807</v>
          </cell>
        </row>
        <row r="335">
          <cell r="I335">
            <v>1040</v>
          </cell>
          <cell r="J335">
            <v>0.12498356164383562</v>
          </cell>
        </row>
        <row r="336">
          <cell r="I336">
            <v>1041</v>
          </cell>
          <cell r="J336">
            <v>0.12498931506849315</v>
          </cell>
        </row>
        <row r="337">
          <cell r="I337">
            <v>1042</v>
          </cell>
          <cell r="J337">
            <v>0.12499506849315067</v>
          </cell>
        </row>
        <row r="338">
          <cell r="I338">
            <v>1043</v>
          </cell>
          <cell r="J338">
            <v>0.1250008219178082</v>
          </cell>
        </row>
        <row r="339">
          <cell r="I339">
            <v>1044</v>
          </cell>
          <cell r="J339">
            <v>0.12500657534246576</v>
          </cell>
        </row>
        <row r="340">
          <cell r="I340">
            <v>1045</v>
          </cell>
          <cell r="J340">
            <v>0.12501232876712329</v>
          </cell>
        </row>
        <row r="341">
          <cell r="I341">
            <v>1046</v>
          </cell>
          <cell r="J341">
            <v>0.12501808219178082</v>
          </cell>
        </row>
        <row r="342">
          <cell r="I342">
            <v>1047</v>
          </cell>
          <cell r="J342">
            <v>0.12502383561643834</v>
          </cell>
        </row>
        <row r="343">
          <cell r="I343">
            <v>1048</v>
          </cell>
          <cell r="J343">
            <v>0.12502958904109587</v>
          </cell>
        </row>
        <row r="344">
          <cell r="I344">
            <v>1049</v>
          </cell>
          <cell r="J344">
            <v>0.12503534246575343</v>
          </cell>
        </row>
        <row r="345">
          <cell r="I345">
            <v>1050</v>
          </cell>
          <cell r="J345">
            <v>0.12504109589041096</v>
          </cell>
        </row>
        <row r="346">
          <cell r="I346">
            <v>1051</v>
          </cell>
          <cell r="J346">
            <v>0.12504684931506849</v>
          </cell>
        </row>
        <row r="347">
          <cell r="I347">
            <v>1052</v>
          </cell>
          <cell r="J347">
            <v>0.12505260273972602</v>
          </cell>
        </row>
        <row r="348">
          <cell r="I348">
            <v>1053</v>
          </cell>
          <cell r="J348">
            <v>0.12505835616438354</v>
          </cell>
        </row>
        <row r="349">
          <cell r="I349">
            <v>1054</v>
          </cell>
          <cell r="J349">
            <v>0.1250641095890411</v>
          </cell>
        </row>
        <row r="350">
          <cell r="I350">
            <v>1055</v>
          </cell>
          <cell r="J350">
            <v>0.12506986301369863</v>
          </cell>
        </row>
        <row r="351">
          <cell r="I351">
            <v>1056</v>
          </cell>
          <cell r="J351">
            <v>0.12507561643835616</v>
          </cell>
        </row>
        <row r="352">
          <cell r="I352">
            <v>1057</v>
          </cell>
          <cell r="J352">
            <v>0.12508136986301369</v>
          </cell>
        </row>
        <row r="353">
          <cell r="I353">
            <v>1058</v>
          </cell>
          <cell r="J353">
            <v>0.12508712328767121</v>
          </cell>
        </row>
        <row r="354">
          <cell r="I354">
            <v>1059</v>
          </cell>
          <cell r="J354">
            <v>0.12509287671232877</v>
          </cell>
        </row>
        <row r="355">
          <cell r="I355">
            <v>1060</v>
          </cell>
          <cell r="J355">
            <v>0.1250986301369863</v>
          </cell>
        </row>
        <row r="356">
          <cell r="I356">
            <v>1061</v>
          </cell>
          <cell r="J356">
            <v>0.12510438356164383</v>
          </cell>
        </row>
        <row r="357">
          <cell r="I357">
            <v>1062</v>
          </cell>
          <cell r="J357">
            <v>0.12511013698630136</v>
          </cell>
        </row>
        <row r="358">
          <cell r="I358">
            <v>1063</v>
          </cell>
          <cell r="J358">
            <v>0.12511589041095891</v>
          </cell>
        </row>
        <row r="359">
          <cell r="I359">
            <v>1064</v>
          </cell>
          <cell r="J359">
            <v>0.12512164383561644</v>
          </cell>
        </row>
        <row r="360">
          <cell r="I360">
            <v>1065</v>
          </cell>
          <cell r="J360">
            <v>0.12512739726027397</v>
          </cell>
        </row>
        <row r="361">
          <cell r="I361">
            <v>1066</v>
          </cell>
          <cell r="J361">
            <v>0.1251331506849315</v>
          </cell>
        </row>
        <row r="362">
          <cell r="I362">
            <v>1067</v>
          </cell>
          <cell r="J362">
            <v>0.12513890410958903</v>
          </cell>
        </row>
        <row r="363">
          <cell r="I363">
            <v>1068</v>
          </cell>
          <cell r="J363">
            <v>0.12514465753424658</v>
          </cell>
        </row>
        <row r="364">
          <cell r="I364">
            <v>1069</v>
          </cell>
          <cell r="J364">
            <v>0.12515041095890411</v>
          </cell>
        </row>
        <row r="365">
          <cell r="I365">
            <v>1070</v>
          </cell>
          <cell r="J365">
            <v>0.12515616438356164</v>
          </cell>
        </row>
        <row r="366">
          <cell r="I366">
            <v>1071</v>
          </cell>
          <cell r="J366">
            <v>0.12516191780821917</v>
          </cell>
        </row>
        <row r="367">
          <cell r="I367">
            <v>1072</v>
          </cell>
          <cell r="J367">
            <v>0.1251676712328767</v>
          </cell>
        </row>
        <row r="368">
          <cell r="I368">
            <v>1073</v>
          </cell>
          <cell r="J368">
            <v>0.12517342465753425</v>
          </cell>
        </row>
        <row r="369">
          <cell r="I369">
            <v>1074</v>
          </cell>
          <cell r="J369">
            <v>0.12517917808219178</v>
          </cell>
        </row>
        <row r="370">
          <cell r="I370">
            <v>1075</v>
          </cell>
          <cell r="J370">
            <v>0.12518493150684931</v>
          </cell>
        </row>
        <row r="371">
          <cell r="I371">
            <v>1076</v>
          </cell>
          <cell r="J371">
            <v>0.12519068493150684</v>
          </cell>
        </row>
        <row r="372">
          <cell r="I372">
            <v>1077</v>
          </cell>
          <cell r="J372">
            <v>0.12519643835616437</v>
          </cell>
        </row>
        <row r="373">
          <cell r="I373">
            <v>1078</v>
          </cell>
          <cell r="J373">
            <v>0.12520219178082193</v>
          </cell>
        </row>
        <row r="374">
          <cell r="I374">
            <v>1079</v>
          </cell>
          <cell r="J374">
            <v>0.12520794520547945</v>
          </cell>
        </row>
        <row r="375">
          <cell r="I375">
            <v>1080</v>
          </cell>
          <cell r="J375">
            <v>0.12521369863013698</v>
          </cell>
        </row>
        <row r="376">
          <cell r="I376">
            <v>1081</v>
          </cell>
          <cell r="J376">
            <v>0.12521945205479451</v>
          </cell>
        </row>
        <row r="377">
          <cell r="I377">
            <v>1082</v>
          </cell>
          <cell r="J377">
            <v>0.12522520547945204</v>
          </cell>
        </row>
        <row r="378">
          <cell r="I378">
            <v>1083</v>
          </cell>
          <cell r="J378">
            <v>0.1252309589041096</v>
          </cell>
        </row>
        <row r="379">
          <cell r="I379">
            <v>1084</v>
          </cell>
          <cell r="J379">
            <v>0.12523671232876712</v>
          </cell>
        </row>
        <row r="380">
          <cell r="I380">
            <v>1085</v>
          </cell>
          <cell r="J380">
            <v>0.12524246575342465</v>
          </cell>
        </row>
        <row r="381">
          <cell r="I381">
            <v>1086</v>
          </cell>
          <cell r="J381">
            <v>0.12524821917808218</v>
          </cell>
        </row>
        <row r="382">
          <cell r="I382">
            <v>1087</v>
          </cell>
          <cell r="J382">
            <v>0.12525397260273971</v>
          </cell>
        </row>
        <row r="383">
          <cell r="I383">
            <v>1088</v>
          </cell>
          <cell r="J383">
            <v>0.12525972602739727</v>
          </cell>
        </row>
        <row r="384">
          <cell r="I384">
            <v>1089</v>
          </cell>
          <cell r="J384">
            <v>0.1252654794520548</v>
          </cell>
        </row>
        <row r="385">
          <cell r="I385">
            <v>1090</v>
          </cell>
          <cell r="J385">
            <v>0.12527123287671232</v>
          </cell>
        </row>
        <row r="386">
          <cell r="I386">
            <v>1091</v>
          </cell>
          <cell r="J386">
            <v>0.12527698630136985</v>
          </cell>
        </row>
        <row r="387">
          <cell r="I387">
            <v>1092</v>
          </cell>
          <cell r="J387">
            <v>0.12528273972602738</v>
          </cell>
        </row>
        <row r="388">
          <cell r="I388">
            <v>1093</v>
          </cell>
          <cell r="J388">
            <v>0.12528849315068494</v>
          </cell>
        </row>
        <row r="389">
          <cell r="I389">
            <v>1094</v>
          </cell>
          <cell r="J389">
            <v>0.12529424657534247</v>
          </cell>
        </row>
        <row r="390">
          <cell r="I390">
            <v>1095</v>
          </cell>
          <cell r="J390">
            <v>0.12529999999999999</v>
          </cell>
        </row>
        <row r="391">
          <cell r="I391">
            <v>1096</v>
          </cell>
          <cell r="J391">
            <v>0.12530931506849313</v>
          </cell>
        </row>
        <row r="392">
          <cell r="I392">
            <v>1097</v>
          </cell>
          <cell r="J392">
            <v>0.1253186301369863</v>
          </cell>
        </row>
        <row r="393">
          <cell r="I393">
            <v>1098</v>
          </cell>
          <cell r="J393">
            <v>0.12532794520547944</v>
          </cell>
        </row>
        <row r="394">
          <cell r="I394">
            <v>1099</v>
          </cell>
          <cell r="J394">
            <v>0.1253372602739726</v>
          </cell>
        </row>
        <row r="395">
          <cell r="I395">
            <v>1100</v>
          </cell>
          <cell r="J395">
            <v>0.12534657534246574</v>
          </cell>
        </row>
        <row r="396">
          <cell r="I396">
            <v>1101</v>
          </cell>
          <cell r="J396">
            <v>0.1253558904109589</v>
          </cell>
        </row>
        <row r="397">
          <cell r="I397">
            <v>1102</v>
          </cell>
          <cell r="J397">
            <v>0.12536520547945204</v>
          </cell>
        </row>
        <row r="398">
          <cell r="I398">
            <v>1103</v>
          </cell>
          <cell r="J398">
            <v>0.12537452054794521</v>
          </cell>
        </row>
        <row r="399">
          <cell r="I399">
            <v>1104</v>
          </cell>
          <cell r="J399">
            <v>0.12538383561643834</v>
          </cell>
        </row>
        <row r="400">
          <cell r="I400">
            <v>1105</v>
          </cell>
          <cell r="J400">
            <v>0.12539315068493151</v>
          </cell>
        </row>
        <row r="401">
          <cell r="I401">
            <v>1106</v>
          </cell>
          <cell r="J401">
            <v>0.12540246575342465</v>
          </cell>
        </row>
        <row r="402">
          <cell r="I402">
            <v>1107</v>
          </cell>
          <cell r="J402">
            <v>0.12541178082191781</v>
          </cell>
        </row>
        <row r="403">
          <cell r="I403">
            <v>1108</v>
          </cell>
          <cell r="J403">
            <v>0.12542109589041095</v>
          </cell>
        </row>
        <row r="404">
          <cell r="I404">
            <v>1109</v>
          </cell>
          <cell r="J404">
            <v>0.12543041095890411</v>
          </cell>
        </row>
        <row r="405">
          <cell r="I405">
            <v>1110</v>
          </cell>
          <cell r="J405">
            <v>0.12543972602739725</v>
          </cell>
        </row>
        <row r="406">
          <cell r="I406">
            <v>1111</v>
          </cell>
          <cell r="J406">
            <v>0.12544904109589042</v>
          </cell>
        </row>
        <row r="407">
          <cell r="I407">
            <v>1112</v>
          </cell>
          <cell r="J407">
            <v>0.12545835616438356</v>
          </cell>
        </row>
        <row r="408">
          <cell r="I408">
            <v>1113</v>
          </cell>
          <cell r="J408">
            <v>0.12546767123287669</v>
          </cell>
        </row>
        <row r="409">
          <cell r="I409">
            <v>1114</v>
          </cell>
          <cell r="J409">
            <v>0.12547698630136986</v>
          </cell>
        </row>
        <row r="410">
          <cell r="I410">
            <v>1115</v>
          </cell>
          <cell r="J410">
            <v>0.125486301369863</v>
          </cell>
        </row>
        <row r="411">
          <cell r="I411">
            <v>1116</v>
          </cell>
          <cell r="J411">
            <v>0.12549561643835616</v>
          </cell>
        </row>
        <row r="412">
          <cell r="I412">
            <v>1117</v>
          </cell>
          <cell r="J412">
            <v>0.1255049315068493</v>
          </cell>
        </row>
        <row r="413">
          <cell r="I413">
            <v>1118</v>
          </cell>
          <cell r="J413">
            <v>0.12551424657534246</v>
          </cell>
        </row>
        <row r="414">
          <cell r="I414">
            <v>1119</v>
          </cell>
          <cell r="J414">
            <v>0.1255235616438356</v>
          </cell>
        </row>
        <row r="415">
          <cell r="I415">
            <v>1120</v>
          </cell>
          <cell r="J415">
            <v>0.12553287671232877</v>
          </cell>
        </row>
        <row r="416">
          <cell r="I416">
            <v>1121</v>
          </cell>
          <cell r="J416">
            <v>0.1255421917808219</v>
          </cell>
        </row>
        <row r="417">
          <cell r="I417">
            <v>1122</v>
          </cell>
          <cell r="J417">
            <v>0.12555150684931507</v>
          </cell>
        </row>
        <row r="418">
          <cell r="I418">
            <v>1123</v>
          </cell>
          <cell r="J418">
            <v>0.12556082191780821</v>
          </cell>
        </row>
        <row r="419">
          <cell r="I419">
            <v>1124</v>
          </cell>
          <cell r="J419">
            <v>0.12557013698630137</v>
          </cell>
        </row>
        <row r="420">
          <cell r="I420">
            <v>1125</v>
          </cell>
          <cell r="J420">
            <v>0.12557945205479451</v>
          </cell>
        </row>
        <row r="421">
          <cell r="I421">
            <v>1126</v>
          </cell>
          <cell r="J421">
            <v>0.12558876712328768</v>
          </cell>
        </row>
        <row r="422">
          <cell r="I422">
            <v>1127</v>
          </cell>
          <cell r="J422">
            <v>0.12559808219178081</v>
          </cell>
        </row>
        <row r="423">
          <cell r="I423">
            <v>1128</v>
          </cell>
          <cell r="J423">
            <v>0.12560739726027398</v>
          </cell>
        </row>
        <row r="424">
          <cell r="I424">
            <v>1129</v>
          </cell>
          <cell r="J424">
            <v>0.12561671232876712</v>
          </cell>
        </row>
        <row r="425">
          <cell r="I425">
            <v>1130</v>
          </cell>
          <cell r="J425">
            <v>0.12562602739726025</v>
          </cell>
        </row>
        <row r="426">
          <cell r="I426">
            <v>1131</v>
          </cell>
          <cell r="J426">
            <v>0.12563534246575342</v>
          </cell>
        </row>
        <row r="427">
          <cell r="I427">
            <v>1132</v>
          </cell>
          <cell r="J427">
            <v>0.12564465753424656</v>
          </cell>
        </row>
        <row r="428">
          <cell r="I428">
            <v>1133</v>
          </cell>
          <cell r="J428">
            <v>0.12565397260273972</v>
          </cell>
        </row>
        <row r="429">
          <cell r="I429">
            <v>1134</v>
          </cell>
          <cell r="J429">
            <v>0.12566328767123286</v>
          </cell>
        </row>
        <row r="430">
          <cell r="I430">
            <v>1135</v>
          </cell>
          <cell r="J430">
            <v>0.12567260273972602</v>
          </cell>
        </row>
        <row r="431">
          <cell r="I431">
            <v>1136</v>
          </cell>
          <cell r="J431">
            <v>0.12568191780821916</v>
          </cell>
        </row>
        <row r="432">
          <cell r="I432">
            <v>1137</v>
          </cell>
          <cell r="J432">
            <v>0.12569123287671233</v>
          </cell>
        </row>
        <row r="433">
          <cell r="I433">
            <v>1138</v>
          </cell>
          <cell r="J433">
            <v>0.12570054794520547</v>
          </cell>
        </row>
        <row r="434">
          <cell r="I434">
            <v>1139</v>
          </cell>
          <cell r="J434">
            <v>0.12570986301369863</v>
          </cell>
        </row>
        <row r="435">
          <cell r="I435">
            <v>1140</v>
          </cell>
          <cell r="J435">
            <v>0.12571917808219177</v>
          </cell>
        </row>
        <row r="436">
          <cell r="I436">
            <v>1141</v>
          </cell>
          <cell r="J436">
            <v>0.12572849315068493</v>
          </cell>
        </row>
        <row r="437">
          <cell r="I437">
            <v>1142</v>
          </cell>
          <cell r="J437">
            <v>0.12573780821917807</v>
          </cell>
        </row>
        <row r="438">
          <cell r="I438">
            <v>1143</v>
          </cell>
          <cell r="J438">
            <v>0.12574712328767124</v>
          </cell>
        </row>
        <row r="439">
          <cell r="I439">
            <v>1144</v>
          </cell>
          <cell r="J439">
            <v>0.12575643835616437</v>
          </cell>
        </row>
        <row r="440">
          <cell r="I440">
            <v>1145</v>
          </cell>
          <cell r="J440">
            <v>0.12576575342465754</v>
          </cell>
        </row>
        <row r="441">
          <cell r="I441">
            <v>1146</v>
          </cell>
          <cell r="J441">
            <v>0.12577506849315068</v>
          </cell>
        </row>
        <row r="442">
          <cell r="I442">
            <v>1147</v>
          </cell>
          <cell r="J442">
            <v>0.12578438356164384</v>
          </cell>
        </row>
        <row r="443">
          <cell r="I443">
            <v>1148</v>
          </cell>
          <cell r="J443">
            <v>0.12579369863013698</v>
          </cell>
        </row>
        <row r="444">
          <cell r="I444">
            <v>1149</v>
          </cell>
          <cell r="J444">
            <v>0.12580301369863012</v>
          </cell>
        </row>
        <row r="445">
          <cell r="I445">
            <v>1150</v>
          </cell>
          <cell r="J445">
            <v>0.12581232876712328</v>
          </cell>
        </row>
        <row r="446">
          <cell r="I446">
            <v>1151</v>
          </cell>
          <cell r="J446">
            <v>0.12582164383561642</v>
          </cell>
        </row>
        <row r="447">
          <cell r="I447">
            <v>1152</v>
          </cell>
          <cell r="J447">
            <v>0.12583095890410959</v>
          </cell>
        </row>
        <row r="448">
          <cell r="I448">
            <v>1153</v>
          </cell>
          <cell r="J448">
            <v>0.12584027397260272</v>
          </cell>
        </row>
        <row r="449">
          <cell r="I449">
            <v>1154</v>
          </cell>
          <cell r="J449">
            <v>0.12584958904109589</v>
          </cell>
        </row>
        <row r="450">
          <cell r="I450">
            <v>1155</v>
          </cell>
          <cell r="J450">
            <v>0.12585890410958903</v>
          </cell>
        </row>
        <row r="451">
          <cell r="I451">
            <v>1156</v>
          </cell>
          <cell r="J451">
            <v>0.12586821917808219</v>
          </cell>
        </row>
        <row r="452">
          <cell r="I452">
            <v>1157</v>
          </cell>
          <cell r="J452">
            <v>0.12587753424657533</v>
          </cell>
        </row>
        <row r="453">
          <cell r="I453">
            <v>1158</v>
          </cell>
          <cell r="J453">
            <v>0.12588684931506849</v>
          </cell>
        </row>
        <row r="454">
          <cell r="I454">
            <v>1159</v>
          </cell>
          <cell r="J454">
            <v>0.12589616438356163</v>
          </cell>
        </row>
        <row r="455">
          <cell r="I455">
            <v>1160</v>
          </cell>
          <cell r="J455">
            <v>0.1259054794520548</v>
          </cell>
        </row>
        <row r="456">
          <cell r="I456">
            <v>1161</v>
          </cell>
          <cell r="J456">
            <v>0.12591479452054793</v>
          </cell>
        </row>
        <row r="457">
          <cell r="I457">
            <v>1162</v>
          </cell>
          <cell r="J457">
            <v>0.1259241095890411</v>
          </cell>
        </row>
        <row r="458">
          <cell r="I458">
            <v>1163</v>
          </cell>
          <cell r="J458">
            <v>0.12593342465753424</v>
          </cell>
        </row>
        <row r="459">
          <cell r="I459">
            <v>1164</v>
          </cell>
          <cell r="J459">
            <v>0.1259427397260274</v>
          </cell>
        </row>
        <row r="460">
          <cell r="I460">
            <v>1165</v>
          </cell>
          <cell r="J460">
            <v>0.12595205479452054</v>
          </cell>
        </row>
        <row r="461">
          <cell r="I461">
            <v>1166</v>
          </cell>
          <cell r="J461">
            <v>0.12596136986301368</v>
          </cell>
        </row>
        <row r="462">
          <cell r="I462">
            <v>1167</v>
          </cell>
          <cell r="J462">
            <v>0.12597068493150684</v>
          </cell>
        </row>
        <row r="463">
          <cell r="I463">
            <v>1168</v>
          </cell>
          <cell r="J463">
            <v>0.12597999999999998</v>
          </cell>
        </row>
        <row r="464">
          <cell r="I464">
            <v>1169</v>
          </cell>
          <cell r="J464">
            <v>0.12598931506849315</v>
          </cell>
        </row>
        <row r="465">
          <cell r="I465">
            <v>1170</v>
          </cell>
          <cell r="J465">
            <v>0.12599863013698628</v>
          </cell>
        </row>
        <row r="466">
          <cell r="I466">
            <v>1171</v>
          </cell>
          <cell r="J466">
            <v>0.12600794520547945</v>
          </cell>
        </row>
        <row r="467">
          <cell r="I467">
            <v>1172</v>
          </cell>
          <cell r="J467">
            <v>0.12601726027397259</v>
          </cell>
        </row>
        <row r="468">
          <cell r="I468">
            <v>1173</v>
          </cell>
          <cell r="J468">
            <v>0.12602657534246575</v>
          </cell>
        </row>
        <row r="469">
          <cell r="I469">
            <v>1174</v>
          </cell>
          <cell r="J469">
            <v>0.12603589041095889</v>
          </cell>
        </row>
        <row r="470">
          <cell r="I470">
            <v>1175</v>
          </cell>
          <cell r="J470">
            <v>0.12604520547945205</v>
          </cell>
        </row>
        <row r="471">
          <cell r="I471">
            <v>1176</v>
          </cell>
          <cell r="J471">
            <v>0.12605452054794519</v>
          </cell>
        </row>
        <row r="472">
          <cell r="I472">
            <v>1177</v>
          </cell>
          <cell r="J472">
            <v>0.12606383561643836</v>
          </cell>
        </row>
        <row r="473">
          <cell r="I473">
            <v>1178</v>
          </cell>
          <cell r="J473">
            <v>0.1260731506849315</v>
          </cell>
        </row>
        <row r="474">
          <cell r="I474">
            <v>1179</v>
          </cell>
          <cell r="J474">
            <v>0.12608246575342466</v>
          </cell>
        </row>
        <row r="475">
          <cell r="I475">
            <v>1180</v>
          </cell>
          <cell r="J475">
            <v>0.1260917808219178</v>
          </cell>
        </row>
        <row r="476">
          <cell r="I476">
            <v>1181</v>
          </cell>
          <cell r="J476">
            <v>0.12610109589041096</v>
          </cell>
        </row>
        <row r="477">
          <cell r="I477">
            <v>1182</v>
          </cell>
          <cell r="J477">
            <v>0.1261104109589041</v>
          </cell>
        </row>
        <row r="478">
          <cell r="I478">
            <v>1183</v>
          </cell>
          <cell r="J478">
            <v>0.12611972602739724</v>
          </cell>
        </row>
        <row r="479">
          <cell r="I479">
            <v>1184</v>
          </cell>
          <cell r="J479">
            <v>0.1261290410958904</v>
          </cell>
        </row>
        <row r="480">
          <cell r="I480">
            <v>1185</v>
          </cell>
          <cell r="J480">
            <v>0.12613835616438354</v>
          </cell>
        </row>
        <row r="481">
          <cell r="I481">
            <v>1186</v>
          </cell>
          <cell r="J481">
            <v>0.12614767123287671</v>
          </cell>
        </row>
        <row r="482">
          <cell r="I482">
            <v>1187</v>
          </cell>
          <cell r="J482">
            <v>0.12615698630136984</v>
          </cell>
        </row>
        <row r="483">
          <cell r="I483">
            <v>1188</v>
          </cell>
          <cell r="J483">
            <v>0.12616630136986301</v>
          </cell>
        </row>
        <row r="484">
          <cell r="I484">
            <v>1189</v>
          </cell>
          <cell r="J484">
            <v>0.12617561643835615</v>
          </cell>
        </row>
        <row r="485">
          <cell r="I485">
            <v>1190</v>
          </cell>
          <cell r="J485">
            <v>0.12618493150684931</v>
          </cell>
        </row>
        <row r="486">
          <cell r="I486">
            <v>1191</v>
          </cell>
          <cell r="J486">
            <v>0.12619424657534245</v>
          </cell>
        </row>
        <row r="487">
          <cell r="I487">
            <v>1192</v>
          </cell>
          <cell r="J487">
            <v>0.12620356164383562</v>
          </cell>
        </row>
        <row r="488">
          <cell r="I488">
            <v>1193</v>
          </cell>
          <cell r="J488">
            <v>0.12621287671232875</v>
          </cell>
        </row>
        <row r="489">
          <cell r="I489">
            <v>1194</v>
          </cell>
          <cell r="J489">
            <v>0.12622219178082192</v>
          </cell>
        </row>
        <row r="490">
          <cell r="I490">
            <v>1195</v>
          </cell>
          <cell r="J490">
            <v>0.12623150684931506</v>
          </cell>
        </row>
        <row r="491">
          <cell r="I491">
            <v>1196</v>
          </cell>
          <cell r="J491">
            <v>0.12624082191780822</v>
          </cell>
        </row>
        <row r="492">
          <cell r="I492">
            <v>1197</v>
          </cell>
          <cell r="J492">
            <v>0.12625013698630136</v>
          </cell>
        </row>
        <row r="493">
          <cell r="I493">
            <v>1198</v>
          </cell>
          <cell r="J493">
            <v>0.12625945205479452</v>
          </cell>
        </row>
        <row r="494">
          <cell r="I494">
            <v>1199</v>
          </cell>
          <cell r="J494">
            <v>0.12626876712328766</v>
          </cell>
        </row>
        <row r="495">
          <cell r="I495">
            <v>1200</v>
          </cell>
          <cell r="J495">
            <v>0.1262780821917808</v>
          </cell>
        </row>
        <row r="496">
          <cell r="I496">
            <v>1201</v>
          </cell>
          <cell r="J496">
            <v>0.12628739726027396</v>
          </cell>
        </row>
        <row r="497">
          <cell r="I497">
            <v>1202</v>
          </cell>
          <cell r="J497">
            <v>0.1262967123287671</v>
          </cell>
        </row>
        <row r="498">
          <cell r="I498">
            <v>1203</v>
          </cell>
          <cell r="J498">
            <v>0.12630602739726027</v>
          </cell>
        </row>
        <row r="499">
          <cell r="I499">
            <v>1204</v>
          </cell>
          <cell r="J499">
            <v>0.12631534246575341</v>
          </cell>
        </row>
        <row r="500">
          <cell r="I500">
            <v>1205</v>
          </cell>
          <cell r="J500">
            <v>0.12632465753424657</v>
          </cell>
        </row>
        <row r="501">
          <cell r="I501">
            <v>1206</v>
          </cell>
          <cell r="J501">
            <v>0.12633397260273971</v>
          </cell>
        </row>
        <row r="502">
          <cell r="I502">
            <v>1207</v>
          </cell>
          <cell r="J502">
            <v>0.12634328767123287</v>
          </cell>
        </row>
        <row r="503">
          <cell r="I503">
            <v>1208</v>
          </cell>
          <cell r="J503">
            <v>0.12635260273972601</v>
          </cell>
        </row>
        <row r="504">
          <cell r="I504">
            <v>1209</v>
          </cell>
          <cell r="J504">
            <v>0.12636191780821918</v>
          </cell>
        </row>
        <row r="505">
          <cell r="I505">
            <v>1210</v>
          </cell>
          <cell r="J505">
            <v>0.12637123287671231</v>
          </cell>
        </row>
        <row r="506">
          <cell r="I506">
            <v>1211</v>
          </cell>
          <cell r="J506">
            <v>0.12638054794520548</v>
          </cell>
        </row>
        <row r="507">
          <cell r="I507">
            <v>1212</v>
          </cell>
          <cell r="J507">
            <v>0.12638986301369862</v>
          </cell>
        </row>
        <row r="508">
          <cell r="I508">
            <v>1213</v>
          </cell>
          <cell r="J508">
            <v>0.12639917808219178</v>
          </cell>
        </row>
        <row r="509">
          <cell r="I509">
            <v>1214</v>
          </cell>
          <cell r="J509">
            <v>0.12640849315068492</v>
          </cell>
        </row>
        <row r="510">
          <cell r="I510">
            <v>1215</v>
          </cell>
          <cell r="J510">
            <v>0.12641780821917808</v>
          </cell>
        </row>
        <row r="511">
          <cell r="I511">
            <v>1216</v>
          </cell>
          <cell r="J511">
            <v>0.12642712328767122</v>
          </cell>
        </row>
        <row r="512">
          <cell r="I512">
            <v>1217</v>
          </cell>
          <cell r="J512">
            <v>0.12643643835616436</v>
          </cell>
        </row>
        <row r="513">
          <cell r="I513">
            <v>1218</v>
          </cell>
          <cell r="J513">
            <v>0.12644575342465753</v>
          </cell>
        </row>
        <row r="514">
          <cell r="I514">
            <v>1219</v>
          </cell>
          <cell r="J514">
            <v>0.12645506849315066</v>
          </cell>
        </row>
        <row r="515">
          <cell r="I515">
            <v>1220</v>
          </cell>
          <cell r="J515">
            <v>0.12646438356164383</v>
          </cell>
        </row>
        <row r="516">
          <cell r="I516">
            <v>1221</v>
          </cell>
          <cell r="J516">
            <v>0.12647369863013697</v>
          </cell>
        </row>
        <row r="517">
          <cell r="I517">
            <v>1222</v>
          </cell>
          <cell r="J517">
            <v>0.12648301369863013</v>
          </cell>
        </row>
        <row r="518">
          <cell r="I518">
            <v>1223</v>
          </cell>
          <cell r="J518">
            <v>0.12649232876712327</v>
          </cell>
        </row>
        <row r="519">
          <cell r="I519">
            <v>1224</v>
          </cell>
          <cell r="J519">
            <v>0.12650164383561643</v>
          </cell>
        </row>
        <row r="520">
          <cell r="I520">
            <v>1225</v>
          </cell>
          <cell r="J520">
            <v>0.12651095890410957</v>
          </cell>
        </row>
        <row r="521">
          <cell r="I521">
            <v>1226</v>
          </cell>
          <cell r="J521">
            <v>0.12652027397260274</v>
          </cell>
        </row>
        <row r="522">
          <cell r="I522">
            <v>1227</v>
          </cell>
          <cell r="J522">
            <v>0.12652958904109587</v>
          </cell>
        </row>
        <row r="523">
          <cell r="I523">
            <v>1228</v>
          </cell>
          <cell r="J523">
            <v>0.12653890410958904</v>
          </cell>
        </row>
        <row r="524">
          <cell r="I524">
            <v>1229</v>
          </cell>
          <cell r="J524">
            <v>0.12654821917808218</v>
          </cell>
        </row>
        <row r="525">
          <cell r="I525">
            <v>1230</v>
          </cell>
          <cell r="J525">
            <v>0.12655753424657534</v>
          </cell>
        </row>
        <row r="526">
          <cell r="I526">
            <v>1231</v>
          </cell>
          <cell r="J526">
            <v>0.12656684931506848</v>
          </cell>
        </row>
        <row r="527">
          <cell r="I527">
            <v>1232</v>
          </cell>
          <cell r="J527">
            <v>0.12657616438356165</v>
          </cell>
        </row>
        <row r="528">
          <cell r="I528">
            <v>1233</v>
          </cell>
          <cell r="J528">
            <v>0.12658547945205478</v>
          </cell>
        </row>
        <row r="529">
          <cell r="I529">
            <v>1234</v>
          </cell>
          <cell r="J529">
            <v>0.12659479452054795</v>
          </cell>
        </row>
        <row r="530">
          <cell r="I530">
            <v>1235</v>
          </cell>
          <cell r="J530">
            <v>0.12660410958904109</v>
          </cell>
        </row>
        <row r="531">
          <cell r="I531">
            <v>1236</v>
          </cell>
          <cell r="J531">
            <v>0.12661342465753422</v>
          </cell>
        </row>
        <row r="532">
          <cell r="I532">
            <v>1237</v>
          </cell>
          <cell r="J532">
            <v>0.12662273972602739</v>
          </cell>
        </row>
        <row r="533">
          <cell r="I533">
            <v>1238</v>
          </cell>
          <cell r="J533">
            <v>0.12663205479452053</v>
          </cell>
        </row>
        <row r="534">
          <cell r="I534">
            <v>1239</v>
          </cell>
          <cell r="J534">
            <v>0.12664136986301369</v>
          </cell>
        </row>
        <row r="535">
          <cell r="I535">
            <v>1240</v>
          </cell>
          <cell r="J535">
            <v>0.12665068493150683</v>
          </cell>
        </row>
        <row r="536">
          <cell r="I536">
            <v>1241</v>
          </cell>
          <cell r="J536">
            <v>0.12665999999999999</v>
          </cell>
        </row>
        <row r="537">
          <cell r="I537">
            <v>1242</v>
          </cell>
          <cell r="J537">
            <v>0.12666931506849313</v>
          </cell>
        </row>
        <row r="538">
          <cell r="I538">
            <v>1243</v>
          </cell>
          <cell r="J538">
            <v>0.1266786301369863</v>
          </cell>
        </row>
        <row r="539">
          <cell r="I539">
            <v>1244</v>
          </cell>
          <cell r="J539">
            <v>0.12668794520547944</v>
          </cell>
        </row>
        <row r="540">
          <cell r="I540">
            <v>1245</v>
          </cell>
          <cell r="J540">
            <v>0.1266972602739726</v>
          </cell>
        </row>
        <row r="541">
          <cell r="I541">
            <v>1246</v>
          </cell>
          <cell r="J541">
            <v>0.12670657534246574</v>
          </cell>
        </row>
        <row r="542">
          <cell r="I542">
            <v>1247</v>
          </cell>
          <cell r="J542">
            <v>0.1267158904109589</v>
          </cell>
        </row>
        <row r="543">
          <cell r="I543">
            <v>1248</v>
          </cell>
          <cell r="J543">
            <v>0.12672520547945204</v>
          </cell>
        </row>
        <row r="544">
          <cell r="I544">
            <v>1249</v>
          </cell>
          <cell r="J544">
            <v>0.12673452054794521</v>
          </cell>
        </row>
        <row r="545">
          <cell r="I545">
            <v>1250</v>
          </cell>
          <cell r="J545">
            <v>0.12674383561643834</v>
          </cell>
        </row>
        <row r="546">
          <cell r="I546">
            <v>1251</v>
          </cell>
          <cell r="J546">
            <v>0.12675315068493151</v>
          </cell>
        </row>
        <row r="547">
          <cell r="I547">
            <v>1252</v>
          </cell>
          <cell r="J547">
            <v>0.12676246575342465</v>
          </cell>
        </row>
        <row r="548">
          <cell r="I548">
            <v>1253</v>
          </cell>
          <cell r="J548">
            <v>0.12677178082191778</v>
          </cell>
        </row>
        <row r="549">
          <cell r="I549">
            <v>1254</v>
          </cell>
          <cell r="J549">
            <v>0.12678109589041095</v>
          </cell>
        </row>
        <row r="550">
          <cell r="I550">
            <v>1255</v>
          </cell>
          <cell r="J550">
            <v>0.12679041095890409</v>
          </cell>
        </row>
        <row r="551">
          <cell r="I551">
            <v>1256</v>
          </cell>
          <cell r="J551">
            <v>0.12679972602739725</v>
          </cell>
        </row>
        <row r="552">
          <cell r="I552">
            <v>1257</v>
          </cell>
          <cell r="J552">
            <v>0.12680904109589039</v>
          </cell>
        </row>
        <row r="553">
          <cell r="I553">
            <v>1258</v>
          </cell>
          <cell r="J553">
            <v>0.12681835616438356</v>
          </cell>
        </row>
        <row r="554">
          <cell r="I554">
            <v>1259</v>
          </cell>
          <cell r="J554">
            <v>0.12682767123287669</v>
          </cell>
        </row>
        <row r="555">
          <cell r="I555">
            <v>1260</v>
          </cell>
          <cell r="J555">
            <v>0.12683698630136986</v>
          </cell>
        </row>
        <row r="556">
          <cell r="I556">
            <v>1261</v>
          </cell>
          <cell r="J556">
            <v>0.126846301369863</v>
          </cell>
        </row>
        <row r="557">
          <cell r="I557">
            <v>1262</v>
          </cell>
          <cell r="J557">
            <v>0.12685561643835616</v>
          </cell>
        </row>
        <row r="558">
          <cell r="I558">
            <v>1263</v>
          </cell>
          <cell r="J558">
            <v>0.1268649315068493</v>
          </cell>
        </row>
        <row r="559">
          <cell r="I559">
            <v>1264</v>
          </cell>
          <cell r="J559">
            <v>0.12687424657534246</v>
          </cell>
        </row>
        <row r="560">
          <cell r="I560">
            <v>1265</v>
          </cell>
          <cell r="J560">
            <v>0.1268835616438356</v>
          </cell>
        </row>
        <row r="561">
          <cell r="I561">
            <v>1266</v>
          </cell>
          <cell r="J561">
            <v>0.12689287671232877</v>
          </cell>
        </row>
        <row r="562">
          <cell r="I562">
            <v>1267</v>
          </cell>
          <cell r="J562">
            <v>0.1269021917808219</v>
          </cell>
        </row>
        <row r="563">
          <cell r="I563">
            <v>1268</v>
          </cell>
          <cell r="J563">
            <v>0.12691150684931507</v>
          </cell>
        </row>
        <row r="564">
          <cell r="I564">
            <v>1269</v>
          </cell>
          <cell r="J564">
            <v>0.12692082191780821</v>
          </cell>
        </row>
        <row r="565">
          <cell r="I565">
            <v>1270</v>
          </cell>
          <cell r="J565">
            <v>0.12693013698630135</v>
          </cell>
        </row>
        <row r="566">
          <cell r="I566">
            <v>1271</v>
          </cell>
          <cell r="J566">
            <v>0.12693945205479451</v>
          </cell>
        </row>
        <row r="567">
          <cell r="I567">
            <v>1272</v>
          </cell>
          <cell r="J567">
            <v>0.12694876712328765</v>
          </cell>
        </row>
        <row r="568">
          <cell r="I568">
            <v>1273</v>
          </cell>
          <cell r="J568">
            <v>0.12695808219178081</v>
          </cell>
        </row>
        <row r="569">
          <cell r="I569">
            <v>1274</v>
          </cell>
          <cell r="J569">
            <v>0.12696739726027395</v>
          </cell>
        </row>
        <row r="570">
          <cell r="I570">
            <v>1275</v>
          </cell>
          <cell r="J570">
            <v>0.12697671232876712</v>
          </cell>
        </row>
        <row r="571">
          <cell r="I571">
            <v>1276</v>
          </cell>
          <cell r="J571">
            <v>0.12698602739726025</v>
          </cell>
        </row>
        <row r="572">
          <cell r="I572">
            <v>1277</v>
          </cell>
          <cell r="J572">
            <v>0.12699534246575342</v>
          </cell>
        </row>
        <row r="573">
          <cell r="I573">
            <v>1278</v>
          </cell>
          <cell r="J573">
            <v>0.12700465753424656</v>
          </cell>
        </row>
        <row r="574">
          <cell r="I574">
            <v>1279</v>
          </cell>
          <cell r="J574">
            <v>0.12701397260273972</v>
          </cell>
        </row>
        <row r="575">
          <cell r="I575">
            <v>1280</v>
          </cell>
          <cell r="J575">
            <v>0.12702328767123286</v>
          </cell>
        </row>
        <row r="576">
          <cell r="I576">
            <v>1281</v>
          </cell>
          <cell r="J576">
            <v>0.12703260273972602</v>
          </cell>
        </row>
        <row r="577">
          <cell r="I577">
            <v>1282</v>
          </cell>
          <cell r="J577">
            <v>0.12704191780821916</v>
          </cell>
        </row>
        <row r="578">
          <cell r="I578">
            <v>1283</v>
          </cell>
          <cell r="J578">
            <v>0.12705123287671233</v>
          </cell>
        </row>
        <row r="579">
          <cell r="I579">
            <v>1284</v>
          </cell>
          <cell r="J579">
            <v>0.12706054794520547</v>
          </cell>
        </row>
        <row r="580">
          <cell r="I580">
            <v>1285</v>
          </cell>
          <cell r="J580">
            <v>0.12706986301369863</v>
          </cell>
        </row>
        <row r="581">
          <cell r="I581">
            <v>1286</v>
          </cell>
          <cell r="J581">
            <v>0.12707917808219177</v>
          </cell>
        </row>
        <row r="582">
          <cell r="I582">
            <v>1287</v>
          </cell>
          <cell r="J582">
            <v>0.12708849315068491</v>
          </cell>
        </row>
        <row r="583">
          <cell r="I583">
            <v>1288</v>
          </cell>
          <cell r="J583">
            <v>0.12709780821917807</v>
          </cell>
        </row>
        <row r="584">
          <cell r="I584">
            <v>1289</v>
          </cell>
          <cell r="J584">
            <v>0.12710712328767121</v>
          </cell>
        </row>
        <row r="585">
          <cell r="I585">
            <v>1290</v>
          </cell>
          <cell r="J585">
            <v>0.12711643835616437</v>
          </cell>
        </row>
        <row r="586">
          <cell r="I586">
            <v>1291</v>
          </cell>
          <cell r="J586">
            <v>0.12712575342465751</v>
          </cell>
        </row>
        <row r="587">
          <cell r="I587">
            <v>1292</v>
          </cell>
          <cell r="J587">
            <v>0.12713506849315068</v>
          </cell>
        </row>
        <row r="588">
          <cell r="I588">
            <v>1293</v>
          </cell>
          <cell r="J588">
            <v>0.12714438356164381</v>
          </cell>
        </row>
        <row r="589">
          <cell r="I589">
            <v>1294</v>
          </cell>
          <cell r="J589">
            <v>0.12715369863013698</v>
          </cell>
        </row>
        <row r="590">
          <cell r="I590">
            <v>1295</v>
          </cell>
          <cell r="J590">
            <v>0.12716301369863012</v>
          </cell>
        </row>
        <row r="591">
          <cell r="I591">
            <v>1296</v>
          </cell>
          <cell r="J591">
            <v>0.12717232876712328</v>
          </cell>
        </row>
        <row r="592">
          <cell r="I592">
            <v>1297</v>
          </cell>
          <cell r="J592">
            <v>0.12718164383561642</v>
          </cell>
        </row>
        <row r="593">
          <cell r="I593">
            <v>1298</v>
          </cell>
          <cell r="J593">
            <v>0.12719095890410959</v>
          </cell>
        </row>
        <row r="594">
          <cell r="I594">
            <v>1299</v>
          </cell>
          <cell r="J594">
            <v>0.12720027397260272</v>
          </cell>
        </row>
        <row r="595">
          <cell r="I595">
            <v>1300</v>
          </cell>
          <cell r="J595">
            <v>0.12720958904109589</v>
          </cell>
        </row>
        <row r="596">
          <cell r="I596">
            <v>1301</v>
          </cell>
          <cell r="J596">
            <v>0.12721890410958903</v>
          </cell>
        </row>
        <row r="597">
          <cell r="I597">
            <v>1302</v>
          </cell>
          <cell r="J597">
            <v>0.12722821917808219</v>
          </cell>
        </row>
        <row r="598">
          <cell r="I598">
            <v>1303</v>
          </cell>
          <cell r="J598">
            <v>0.12723753424657533</v>
          </cell>
        </row>
        <row r="599">
          <cell r="I599">
            <v>1304</v>
          </cell>
          <cell r="J599">
            <v>0.12724684931506847</v>
          </cell>
        </row>
        <row r="600">
          <cell r="I600">
            <v>1305</v>
          </cell>
          <cell r="J600">
            <v>0.12725616438356163</v>
          </cell>
        </row>
        <row r="601">
          <cell r="I601">
            <v>1306</v>
          </cell>
          <cell r="J601">
            <v>0.12726547945205477</v>
          </cell>
        </row>
        <row r="602">
          <cell r="I602">
            <v>1307</v>
          </cell>
          <cell r="J602">
            <v>0.12727479452054793</v>
          </cell>
        </row>
        <row r="603">
          <cell r="I603">
            <v>1308</v>
          </cell>
          <cell r="J603">
            <v>0.12728410958904107</v>
          </cell>
        </row>
        <row r="604">
          <cell r="I604">
            <v>1309</v>
          </cell>
          <cell r="J604">
            <v>0.12729342465753424</v>
          </cell>
        </row>
        <row r="605">
          <cell r="I605">
            <v>1310</v>
          </cell>
          <cell r="J605">
            <v>0.12730273972602738</v>
          </cell>
        </row>
        <row r="606">
          <cell r="I606">
            <v>1311</v>
          </cell>
          <cell r="J606">
            <v>0.12731205479452054</v>
          </cell>
        </row>
        <row r="607">
          <cell r="I607">
            <v>1312</v>
          </cell>
          <cell r="J607">
            <v>0.12732136986301368</v>
          </cell>
        </row>
        <row r="608">
          <cell r="I608">
            <v>1313</v>
          </cell>
          <cell r="J608">
            <v>0.12733068493150684</v>
          </cell>
        </row>
        <row r="609">
          <cell r="I609">
            <v>1314</v>
          </cell>
          <cell r="J609">
            <v>0.12733999999999998</v>
          </cell>
        </row>
        <row r="610">
          <cell r="I610">
            <v>1315</v>
          </cell>
          <cell r="J610">
            <v>0.12734931506849315</v>
          </cell>
        </row>
        <row r="611">
          <cell r="I611">
            <v>1316</v>
          </cell>
          <cell r="J611">
            <v>0.12735863013698628</v>
          </cell>
        </row>
        <row r="612">
          <cell r="I612">
            <v>1317</v>
          </cell>
          <cell r="J612">
            <v>0.12736794520547945</v>
          </cell>
        </row>
        <row r="613">
          <cell r="I613">
            <v>1318</v>
          </cell>
          <cell r="J613">
            <v>0.12737726027397259</v>
          </cell>
        </row>
        <row r="614">
          <cell r="I614">
            <v>1319</v>
          </cell>
          <cell r="J614">
            <v>0.12738657534246575</v>
          </cell>
        </row>
        <row r="615">
          <cell r="I615">
            <v>1320</v>
          </cell>
          <cell r="J615">
            <v>0.12739589041095889</v>
          </cell>
        </row>
        <row r="616">
          <cell r="I616">
            <v>1321</v>
          </cell>
          <cell r="J616">
            <v>0.12740520547945205</v>
          </cell>
        </row>
        <row r="617">
          <cell r="I617">
            <v>1322</v>
          </cell>
          <cell r="J617">
            <v>0.12741452054794519</v>
          </cell>
        </row>
        <row r="618">
          <cell r="I618">
            <v>1323</v>
          </cell>
          <cell r="J618">
            <v>0.12742383561643833</v>
          </cell>
        </row>
        <row r="619">
          <cell r="I619">
            <v>1324</v>
          </cell>
          <cell r="J619">
            <v>0.1274331506849315</v>
          </cell>
        </row>
        <row r="620">
          <cell r="I620">
            <v>1325</v>
          </cell>
          <cell r="J620">
            <v>0.12744246575342463</v>
          </cell>
        </row>
        <row r="621">
          <cell r="I621">
            <v>1326</v>
          </cell>
          <cell r="J621">
            <v>0.1274517808219178</v>
          </cell>
        </row>
        <row r="622">
          <cell r="I622">
            <v>1327</v>
          </cell>
          <cell r="J622">
            <v>0.12746109589041094</v>
          </cell>
        </row>
        <row r="623">
          <cell r="I623">
            <v>1328</v>
          </cell>
          <cell r="J623">
            <v>0.1274704109589041</v>
          </cell>
        </row>
        <row r="624">
          <cell r="I624">
            <v>1329</v>
          </cell>
          <cell r="J624">
            <v>0.12747972602739724</v>
          </cell>
        </row>
        <row r="625">
          <cell r="I625">
            <v>1330</v>
          </cell>
          <cell r="J625">
            <v>0.1274890410958904</v>
          </cell>
        </row>
        <row r="626">
          <cell r="I626">
            <v>1331</v>
          </cell>
          <cell r="J626">
            <v>0.12749835616438354</v>
          </cell>
        </row>
        <row r="627">
          <cell r="I627">
            <v>1332</v>
          </cell>
          <cell r="J627">
            <v>0.12750767123287671</v>
          </cell>
        </row>
        <row r="628">
          <cell r="I628">
            <v>1333</v>
          </cell>
          <cell r="J628">
            <v>0.12751698630136984</v>
          </cell>
        </row>
        <row r="629">
          <cell r="I629">
            <v>1334</v>
          </cell>
          <cell r="J629">
            <v>0.12752630136986301</v>
          </cell>
        </row>
        <row r="630">
          <cell r="I630">
            <v>1335</v>
          </cell>
          <cell r="J630">
            <v>0.12753561643835615</v>
          </cell>
        </row>
        <row r="631">
          <cell r="I631">
            <v>1336</v>
          </cell>
          <cell r="J631">
            <v>0.12754493150684931</v>
          </cell>
        </row>
        <row r="632">
          <cell r="I632">
            <v>1337</v>
          </cell>
          <cell r="J632">
            <v>0.12755424657534245</v>
          </cell>
        </row>
        <row r="633">
          <cell r="I633">
            <v>1338</v>
          </cell>
          <cell r="J633">
            <v>0.12756356164383562</v>
          </cell>
        </row>
        <row r="634">
          <cell r="I634">
            <v>1339</v>
          </cell>
          <cell r="J634">
            <v>0.12757287671232875</v>
          </cell>
        </row>
        <row r="635">
          <cell r="I635">
            <v>1340</v>
          </cell>
          <cell r="J635">
            <v>0.12758219178082189</v>
          </cell>
        </row>
        <row r="636">
          <cell r="I636">
            <v>1341</v>
          </cell>
          <cell r="J636">
            <v>0.12759150684931506</v>
          </cell>
        </row>
        <row r="637">
          <cell r="I637">
            <v>1342</v>
          </cell>
          <cell r="J637">
            <v>0.12760082191780819</v>
          </cell>
        </row>
        <row r="638">
          <cell r="I638">
            <v>1343</v>
          </cell>
          <cell r="J638">
            <v>0.12761013698630136</v>
          </cell>
        </row>
        <row r="639">
          <cell r="I639">
            <v>1344</v>
          </cell>
          <cell r="J639">
            <v>0.1276194520547945</v>
          </cell>
        </row>
        <row r="640">
          <cell r="I640">
            <v>1345</v>
          </cell>
          <cell r="J640">
            <v>0.12762876712328766</v>
          </cell>
        </row>
        <row r="641">
          <cell r="I641">
            <v>1346</v>
          </cell>
          <cell r="J641">
            <v>0.1276380821917808</v>
          </cell>
        </row>
        <row r="642">
          <cell r="I642">
            <v>1347</v>
          </cell>
          <cell r="J642">
            <v>0.12764739726027396</v>
          </cell>
        </row>
        <row r="643">
          <cell r="I643">
            <v>1348</v>
          </cell>
          <cell r="J643">
            <v>0.1276567123287671</v>
          </cell>
        </row>
        <row r="644">
          <cell r="I644">
            <v>1349</v>
          </cell>
          <cell r="J644">
            <v>0.12766602739726027</v>
          </cell>
        </row>
        <row r="645">
          <cell r="I645">
            <v>1350</v>
          </cell>
          <cell r="J645">
            <v>0.12767534246575341</v>
          </cell>
        </row>
        <row r="646">
          <cell r="I646">
            <v>1351</v>
          </cell>
          <cell r="J646">
            <v>0.12768465753424657</v>
          </cell>
        </row>
        <row r="647">
          <cell r="I647">
            <v>1352</v>
          </cell>
          <cell r="J647">
            <v>0.12769397260273971</v>
          </cell>
        </row>
        <row r="648">
          <cell r="I648">
            <v>1353</v>
          </cell>
          <cell r="J648">
            <v>0.12770328767123287</v>
          </cell>
        </row>
        <row r="649">
          <cell r="I649">
            <v>1354</v>
          </cell>
          <cell r="J649">
            <v>0.12771260273972601</v>
          </cell>
        </row>
        <row r="650">
          <cell r="I650">
            <v>1355</v>
          </cell>
          <cell r="J650">
            <v>0.12772191780821918</v>
          </cell>
        </row>
        <row r="651">
          <cell r="I651">
            <v>1356</v>
          </cell>
          <cell r="J651">
            <v>0.12773123287671231</v>
          </cell>
        </row>
        <row r="652">
          <cell r="I652">
            <v>1357</v>
          </cell>
          <cell r="J652">
            <v>0.12774054794520545</v>
          </cell>
        </row>
        <row r="653">
          <cell r="I653">
            <v>1358</v>
          </cell>
          <cell r="J653">
            <v>0.12774986301369862</v>
          </cell>
        </row>
        <row r="654">
          <cell r="I654">
            <v>1359</v>
          </cell>
          <cell r="J654">
            <v>0.12775917808219175</v>
          </cell>
        </row>
        <row r="655">
          <cell r="I655">
            <v>1360</v>
          </cell>
          <cell r="J655">
            <v>0.12776849315068492</v>
          </cell>
        </row>
        <row r="656">
          <cell r="I656">
            <v>1361</v>
          </cell>
          <cell r="J656">
            <v>0.12777780821917806</v>
          </cell>
        </row>
        <row r="657">
          <cell r="I657">
            <v>1362</v>
          </cell>
          <cell r="J657">
            <v>0.12778712328767122</v>
          </cell>
        </row>
        <row r="658">
          <cell r="I658">
            <v>1363</v>
          </cell>
          <cell r="J658">
            <v>0.12779643835616436</v>
          </cell>
        </row>
        <row r="659">
          <cell r="I659">
            <v>1364</v>
          </cell>
          <cell r="J659">
            <v>0.12780575342465753</v>
          </cell>
        </row>
        <row r="660">
          <cell r="I660">
            <v>1365</v>
          </cell>
          <cell r="J660">
            <v>0.12781506849315066</v>
          </cell>
        </row>
        <row r="661">
          <cell r="I661">
            <v>1366</v>
          </cell>
          <cell r="J661">
            <v>0.12782438356164383</v>
          </cell>
        </row>
        <row r="662">
          <cell r="I662">
            <v>1367</v>
          </cell>
          <cell r="J662">
            <v>0.12783369863013697</v>
          </cell>
        </row>
        <row r="663">
          <cell r="I663">
            <v>1368</v>
          </cell>
          <cell r="J663">
            <v>0.12784301369863013</v>
          </cell>
        </row>
        <row r="664">
          <cell r="I664">
            <v>1369</v>
          </cell>
          <cell r="J664">
            <v>0.12785232876712327</v>
          </cell>
        </row>
        <row r="665">
          <cell r="I665">
            <v>1370</v>
          </cell>
          <cell r="J665">
            <v>0.12786164383561643</v>
          </cell>
        </row>
        <row r="666">
          <cell r="I666">
            <v>1371</v>
          </cell>
          <cell r="J666">
            <v>0.12787095890410957</v>
          </cell>
        </row>
        <row r="667">
          <cell r="I667">
            <v>1372</v>
          </cell>
          <cell r="J667">
            <v>0.12788027397260274</v>
          </cell>
        </row>
        <row r="668">
          <cell r="I668">
            <v>1373</v>
          </cell>
          <cell r="J668">
            <v>0.12788958904109587</v>
          </cell>
        </row>
        <row r="669">
          <cell r="I669">
            <v>1374</v>
          </cell>
          <cell r="J669">
            <v>0.12789890410958901</v>
          </cell>
        </row>
        <row r="670">
          <cell r="I670">
            <v>1375</v>
          </cell>
          <cell r="J670">
            <v>0.12790821917808218</v>
          </cell>
        </row>
        <row r="671">
          <cell r="I671">
            <v>1376</v>
          </cell>
          <cell r="J671">
            <v>0.12791753424657532</v>
          </cell>
        </row>
        <row r="672">
          <cell r="I672">
            <v>1377</v>
          </cell>
          <cell r="J672">
            <v>0.12792684931506848</v>
          </cell>
        </row>
        <row r="673">
          <cell r="I673">
            <v>1378</v>
          </cell>
          <cell r="J673">
            <v>0.12793616438356162</v>
          </cell>
        </row>
        <row r="674">
          <cell r="I674">
            <v>1379</v>
          </cell>
          <cell r="J674">
            <v>0.12794547945205478</v>
          </cell>
        </row>
        <row r="675">
          <cell r="I675">
            <v>1380</v>
          </cell>
          <cell r="J675">
            <v>0.12795479452054792</v>
          </cell>
        </row>
        <row r="676">
          <cell r="I676">
            <v>1381</v>
          </cell>
          <cell r="J676">
            <v>0.12796410958904109</v>
          </cell>
        </row>
        <row r="677">
          <cell r="I677">
            <v>1382</v>
          </cell>
          <cell r="J677">
            <v>0.12797342465753422</v>
          </cell>
        </row>
        <row r="678">
          <cell r="I678">
            <v>1383</v>
          </cell>
          <cell r="J678">
            <v>0.12798273972602739</v>
          </cell>
        </row>
        <row r="679">
          <cell r="I679">
            <v>1384</v>
          </cell>
          <cell r="J679">
            <v>0.12799205479452053</v>
          </cell>
        </row>
        <row r="680">
          <cell r="I680">
            <v>1385</v>
          </cell>
          <cell r="J680">
            <v>0.12800136986301369</v>
          </cell>
        </row>
        <row r="681">
          <cell r="I681">
            <v>1386</v>
          </cell>
          <cell r="J681">
            <v>0.12801068493150683</v>
          </cell>
        </row>
        <row r="682">
          <cell r="I682">
            <v>1387</v>
          </cell>
          <cell r="J682">
            <v>0.12801999999999999</v>
          </cell>
        </row>
        <row r="683">
          <cell r="I683">
            <v>1388</v>
          </cell>
          <cell r="J683">
            <v>0.12802931506849313</v>
          </cell>
        </row>
        <row r="684">
          <cell r="I684">
            <v>1389</v>
          </cell>
          <cell r="J684">
            <v>0.1280386301369863</v>
          </cell>
        </row>
        <row r="685">
          <cell r="I685">
            <v>1390</v>
          </cell>
          <cell r="J685">
            <v>0.12804794520547944</v>
          </cell>
        </row>
        <row r="686">
          <cell r="I686">
            <v>1391</v>
          </cell>
          <cell r="J686">
            <v>0.12805726027397257</v>
          </cell>
        </row>
        <row r="687">
          <cell r="I687">
            <v>1392</v>
          </cell>
          <cell r="J687">
            <v>0.12806657534246574</v>
          </cell>
        </row>
        <row r="688">
          <cell r="I688">
            <v>1393</v>
          </cell>
          <cell r="J688">
            <v>0.12807589041095888</v>
          </cell>
        </row>
        <row r="689">
          <cell r="I689">
            <v>1394</v>
          </cell>
          <cell r="J689">
            <v>0.12808520547945204</v>
          </cell>
        </row>
        <row r="690">
          <cell r="I690">
            <v>1395</v>
          </cell>
          <cell r="J690">
            <v>0.12809452054794518</v>
          </cell>
        </row>
        <row r="691">
          <cell r="I691">
            <v>1396</v>
          </cell>
          <cell r="J691">
            <v>0.12810383561643834</v>
          </cell>
        </row>
        <row r="692">
          <cell r="I692">
            <v>1397</v>
          </cell>
          <cell r="J692">
            <v>0.12811315068493148</v>
          </cell>
        </row>
        <row r="693">
          <cell r="I693">
            <v>1398</v>
          </cell>
          <cell r="J693">
            <v>0.12812246575342465</v>
          </cell>
        </row>
        <row r="694">
          <cell r="I694">
            <v>1399</v>
          </cell>
          <cell r="J694">
            <v>0.12813178082191778</v>
          </cell>
        </row>
        <row r="695">
          <cell r="I695">
            <v>1400</v>
          </cell>
          <cell r="J695">
            <v>0.12814109589041095</v>
          </cell>
        </row>
        <row r="696">
          <cell r="I696">
            <v>1401</v>
          </cell>
          <cell r="J696">
            <v>0.12815041095890409</v>
          </cell>
        </row>
        <row r="697">
          <cell r="I697">
            <v>1402</v>
          </cell>
          <cell r="J697">
            <v>0.12815972602739725</v>
          </cell>
        </row>
        <row r="698">
          <cell r="I698">
            <v>1403</v>
          </cell>
          <cell r="J698">
            <v>0.12816904109589039</v>
          </cell>
        </row>
        <row r="699">
          <cell r="I699">
            <v>1404</v>
          </cell>
          <cell r="J699">
            <v>0.12817835616438356</v>
          </cell>
        </row>
        <row r="700">
          <cell r="I700">
            <v>1405</v>
          </cell>
          <cell r="J700">
            <v>0.12818767123287669</v>
          </cell>
        </row>
        <row r="701">
          <cell r="I701">
            <v>1406</v>
          </cell>
          <cell r="J701">
            <v>0.12819698630136986</v>
          </cell>
        </row>
        <row r="702">
          <cell r="I702">
            <v>1407</v>
          </cell>
          <cell r="J702">
            <v>0.128206301369863</v>
          </cell>
        </row>
        <row r="703">
          <cell r="I703">
            <v>1408</v>
          </cell>
          <cell r="J703">
            <v>0.12821561643835616</v>
          </cell>
        </row>
        <row r="704">
          <cell r="I704">
            <v>1409</v>
          </cell>
          <cell r="J704">
            <v>0.1282249315068493</v>
          </cell>
        </row>
        <row r="705">
          <cell r="I705">
            <v>1410</v>
          </cell>
          <cell r="J705">
            <v>0.12823424657534244</v>
          </cell>
        </row>
        <row r="706">
          <cell r="I706">
            <v>1411</v>
          </cell>
          <cell r="J706">
            <v>0.1282435616438356</v>
          </cell>
        </row>
        <row r="707">
          <cell r="I707">
            <v>1412</v>
          </cell>
          <cell r="J707">
            <v>0.12825287671232874</v>
          </cell>
        </row>
        <row r="708">
          <cell r="I708">
            <v>1413</v>
          </cell>
          <cell r="J708">
            <v>0.1282621917808219</v>
          </cell>
        </row>
        <row r="709">
          <cell r="I709">
            <v>1414</v>
          </cell>
          <cell r="J709">
            <v>0.12827150684931504</v>
          </cell>
        </row>
        <row r="710">
          <cell r="I710">
            <v>1415</v>
          </cell>
          <cell r="J710">
            <v>0.12828082191780821</v>
          </cell>
        </row>
        <row r="711">
          <cell r="I711">
            <v>1416</v>
          </cell>
          <cell r="J711">
            <v>0.12829013698630135</v>
          </cell>
        </row>
        <row r="712">
          <cell r="I712">
            <v>1417</v>
          </cell>
          <cell r="J712">
            <v>0.12829945205479451</v>
          </cell>
        </row>
        <row r="713">
          <cell r="I713">
            <v>1418</v>
          </cell>
          <cell r="J713">
            <v>0.12830876712328765</v>
          </cell>
        </row>
        <row r="714">
          <cell r="I714">
            <v>1419</v>
          </cell>
          <cell r="J714">
            <v>0.12831808219178081</v>
          </cell>
        </row>
        <row r="715">
          <cell r="I715">
            <v>1420</v>
          </cell>
          <cell r="J715">
            <v>0.12832739726027395</v>
          </cell>
        </row>
        <row r="716">
          <cell r="I716">
            <v>1421</v>
          </cell>
          <cell r="J716">
            <v>0.12833671232876712</v>
          </cell>
        </row>
        <row r="717">
          <cell r="I717">
            <v>1422</v>
          </cell>
          <cell r="J717">
            <v>0.12834602739726025</v>
          </cell>
        </row>
        <row r="718">
          <cell r="I718">
            <v>1423</v>
          </cell>
          <cell r="J718">
            <v>0.12835534246575342</v>
          </cell>
        </row>
        <row r="719">
          <cell r="I719">
            <v>1424</v>
          </cell>
          <cell r="J719">
            <v>0.12836465753424656</v>
          </cell>
        </row>
        <row r="720">
          <cell r="I720">
            <v>1425</v>
          </cell>
          <cell r="J720">
            <v>0.12837397260273969</v>
          </cell>
        </row>
        <row r="721">
          <cell r="I721">
            <v>1426</v>
          </cell>
          <cell r="J721">
            <v>0.12838328767123286</v>
          </cell>
        </row>
        <row r="722">
          <cell r="I722">
            <v>1427</v>
          </cell>
          <cell r="J722">
            <v>0.128392602739726</v>
          </cell>
        </row>
        <row r="723">
          <cell r="I723">
            <v>1428</v>
          </cell>
          <cell r="J723">
            <v>0.12840191780821916</v>
          </cell>
        </row>
        <row r="724">
          <cell r="I724">
            <v>1429</v>
          </cell>
          <cell r="J724">
            <v>0.1284112328767123</v>
          </cell>
        </row>
        <row r="725">
          <cell r="I725">
            <v>1430</v>
          </cell>
          <cell r="J725">
            <v>0.12842054794520547</v>
          </cell>
        </row>
        <row r="726">
          <cell r="I726">
            <v>1431</v>
          </cell>
          <cell r="J726">
            <v>0.1284298630136986</v>
          </cell>
        </row>
        <row r="727">
          <cell r="I727">
            <v>1432</v>
          </cell>
          <cell r="J727">
            <v>0.12843917808219177</v>
          </cell>
        </row>
        <row r="728">
          <cell r="I728">
            <v>1433</v>
          </cell>
          <cell r="J728">
            <v>0.12844849315068491</v>
          </cell>
        </row>
        <row r="729">
          <cell r="I729">
            <v>1434</v>
          </cell>
          <cell r="J729">
            <v>0.12845780821917807</v>
          </cell>
        </row>
        <row r="730">
          <cell r="I730">
            <v>1435</v>
          </cell>
          <cell r="J730">
            <v>0.12846712328767121</v>
          </cell>
        </row>
        <row r="731">
          <cell r="I731">
            <v>1436</v>
          </cell>
          <cell r="J731">
            <v>0.12847643835616437</v>
          </cell>
        </row>
        <row r="732">
          <cell r="I732">
            <v>1437</v>
          </cell>
          <cell r="J732">
            <v>0.12848575342465751</v>
          </cell>
        </row>
        <row r="733">
          <cell r="I733">
            <v>1438</v>
          </cell>
          <cell r="J733">
            <v>0.12849506849315068</v>
          </cell>
        </row>
        <row r="734">
          <cell r="I734">
            <v>1439</v>
          </cell>
          <cell r="J734">
            <v>0.12850438356164381</v>
          </cell>
        </row>
        <row r="735">
          <cell r="I735">
            <v>1440</v>
          </cell>
          <cell r="J735">
            <v>0.12851369863013698</v>
          </cell>
        </row>
        <row r="736">
          <cell r="I736">
            <v>1441</v>
          </cell>
          <cell r="J736">
            <v>0.12852301369863012</v>
          </cell>
        </row>
        <row r="737">
          <cell r="I737">
            <v>1442</v>
          </cell>
          <cell r="J737">
            <v>0.12853232876712328</v>
          </cell>
        </row>
        <row r="738">
          <cell r="I738">
            <v>1443</v>
          </cell>
          <cell r="J738">
            <v>0.12854164383561642</v>
          </cell>
        </row>
        <row r="739">
          <cell r="I739">
            <v>1444</v>
          </cell>
          <cell r="J739">
            <v>0.12855095890410956</v>
          </cell>
        </row>
        <row r="740">
          <cell r="I740">
            <v>1445</v>
          </cell>
          <cell r="J740">
            <v>0.12856027397260272</v>
          </cell>
        </row>
        <row r="741">
          <cell r="I741">
            <v>1446</v>
          </cell>
          <cell r="J741">
            <v>0.12856958904109586</v>
          </cell>
        </row>
        <row r="742">
          <cell r="I742">
            <v>1447</v>
          </cell>
          <cell r="J742">
            <v>0.12857890410958903</v>
          </cell>
        </row>
        <row r="743">
          <cell r="I743">
            <v>1448</v>
          </cell>
          <cell r="J743">
            <v>0.12858821917808216</v>
          </cell>
        </row>
        <row r="744">
          <cell r="I744">
            <v>1449</v>
          </cell>
          <cell r="J744">
            <v>0.12859753424657533</v>
          </cell>
        </row>
        <row r="745">
          <cell r="I745">
            <v>1450</v>
          </cell>
          <cell r="J745">
            <v>0.12860684931506847</v>
          </cell>
        </row>
        <row r="746">
          <cell r="I746">
            <v>1451</v>
          </cell>
          <cell r="J746">
            <v>0.12861616438356163</v>
          </cell>
        </row>
        <row r="747">
          <cell r="I747">
            <v>1452</v>
          </cell>
          <cell r="J747">
            <v>0.12862547945205477</v>
          </cell>
        </row>
        <row r="748">
          <cell r="I748">
            <v>1453</v>
          </cell>
          <cell r="J748">
            <v>0.12863479452054793</v>
          </cell>
        </row>
        <row r="749">
          <cell r="I749">
            <v>1454</v>
          </cell>
          <cell r="J749">
            <v>0.12864410958904107</v>
          </cell>
        </row>
        <row r="750">
          <cell r="I750">
            <v>1455</v>
          </cell>
          <cell r="J750">
            <v>0.12865342465753424</v>
          </cell>
        </row>
        <row r="751">
          <cell r="I751">
            <v>1456</v>
          </cell>
          <cell r="J751">
            <v>0.12866273972602738</v>
          </cell>
        </row>
        <row r="752">
          <cell r="I752">
            <v>1457</v>
          </cell>
          <cell r="J752">
            <v>0.12867205479452054</v>
          </cell>
        </row>
        <row r="753">
          <cell r="I753">
            <v>1458</v>
          </cell>
          <cell r="J753">
            <v>0.12868136986301368</v>
          </cell>
        </row>
        <row r="754">
          <cell r="I754">
            <v>1459</v>
          </cell>
          <cell r="J754">
            <v>0.12869068493150684</v>
          </cell>
        </row>
        <row r="755">
          <cell r="I755">
            <v>1460</v>
          </cell>
          <cell r="J755">
            <v>0.12869999999999998</v>
          </cell>
        </row>
        <row r="756">
          <cell r="I756">
            <v>1461</v>
          </cell>
          <cell r="J756">
            <v>0.12869999999999998</v>
          </cell>
        </row>
        <row r="757">
          <cell r="I757">
            <v>1462</v>
          </cell>
          <cell r="J757">
            <v>0.12870356164383559</v>
          </cell>
        </row>
        <row r="758">
          <cell r="I758">
            <v>1463</v>
          </cell>
          <cell r="J758">
            <v>0.12870712328767123</v>
          </cell>
        </row>
        <row r="759">
          <cell r="I759">
            <v>1464</v>
          </cell>
          <cell r="J759">
            <v>0.12871068493150684</v>
          </cell>
        </row>
        <row r="760">
          <cell r="I760">
            <v>1465</v>
          </cell>
          <cell r="J760">
            <v>0.12871424657534244</v>
          </cell>
        </row>
        <row r="761">
          <cell r="I761">
            <v>1466</v>
          </cell>
          <cell r="J761">
            <v>0.12871780821917805</v>
          </cell>
        </row>
        <row r="762">
          <cell r="I762">
            <v>1467</v>
          </cell>
          <cell r="J762">
            <v>0.12872136986301369</v>
          </cell>
        </row>
        <row r="763">
          <cell r="I763">
            <v>1468</v>
          </cell>
          <cell r="J763">
            <v>0.1287249315068493</v>
          </cell>
        </row>
        <row r="764">
          <cell r="I764">
            <v>1469</v>
          </cell>
          <cell r="J764">
            <v>0.12872849315068491</v>
          </cell>
        </row>
        <row r="765">
          <cell r="I765">
            <v>1470</v>
          </cell>
          <cell r="J765">
            <v>0.12873205479452052</v>
          </cell>
        </row>
        <row r="766">
          <cell r="I766">
            <v>1471</v>
          </cell>
          <cell r="J766">
            <v>0.12873561643835615</v>
          </cell>
        </row>
        <row r="767">
          <cell r="I767">
            <v>1472</v>
          </cell>
          <cell r="J767">
            <v>0.12873917808219176</v>
          </cell>
        </row>
        <row r="768">
          <cell r="I768">
            <v>1473</v>
          </cell>
          <cell r="J768">
            <v>0.12874273972602737</v>
          </cell>
        </row>
        <row r="769">
          <cell r="I769">
            <v>1474</v>
          </cell>
          <cell r="J769">
            <v>0.12874630136986301</v>
          </cell>
        </row>
        <row r="770">
          <cell r="I770">
            <v>1475</v>
          </cell>
          <cell r="J770">
            <v>0.12874986301369862</v>
          </cell>
        </row>
        <row r="771">
          <cell r="I771">
            <v>1476</v>
          </cell>
          <cell r="J771">
            <v>0.12875342465753423</v>
          </cell>
        </row>
        <row r="772">
          <cell r="I772">
            <v>1477</v>
          </cell>
          <cell r="J772">
            <v>0.12875698630136984</v>
          </cell>
        </row>
        <row r="773">
          <cell r="I773">
            <v>1478</v>
          </cell>
          <cell r="J773">
            <v>0.12876054794520547</v>
          </cell>
        </row>
        <row r="774">
          <cell r="I774">
            <v>1479</v>
          </cell>
          <cell r="J774">
            <v>0.12876410958904108</v>
          </cell>
        </row>
        <row r="775">
          <cell r="I775">
            <v>1480</v>
          </cell>
          <cell r="J775">
            <v>0.12876767123287669</v>
          </cell>
        </row>
        <row r="776">
          <cell r="I776">
            <v>1481</v>
          </cell>
          <cell r="J776">
            <v>0.1287712328767123</v>
          </cell>
        </row>
        <row r="777">
          <cell r="I777">
            <v>1482</v>
          </cell>
          <cell r="J777">
            <v>0.12877479452054794</v>
          </cell>
        </row>
        <row r="778">
          <cell r="I778">
            <v>1483</v>
          </cell>
          <cell r="J778">
            <v>0.12877835616438355</v>
          </cell>
        </row>
        <row r="779">
          <cell r="I779">
            <v>1484</v>
          </cell>
          <cell r="J779">
            <v>0.12878191780821915</v>
          </cell>
        </row>
        <row r="780">
          <cell r="I780">
            <v>1485</v>
          </cell>
          <cell r="J780">
            <v>0.12878547945205479</v>
          </cell>
        </row>
        <row r="781">
          <cell r="I781">
            <v>1486</v>
          </cell>
          <cell r="J781">
            <v>0.1287890410958904</v>
          </cell>
        </row>
        <row r="782">
          <cell r="I782">
            <v>1487</v>
          </cell>
          <cell r="J782">
            <v>0.12879260273972601</v>
          </cell>
        </row>
        <row r="783">
          <cell r="I783">
            <v>1488</v>
          </cell>
          <cell r="J783">
            <v>0.12879616438356162</v>
          </cell>
        </row>
        <row r="784">
          <cell r="I784">
            <v>1489</v>
          </cell>
          <cell r="J784">
            <v>0.12879972602739725</v>
          </cell>
        </row>
        <row r="785">
          <cell r="I785">
            <v>1490</v>
          </cell>
          <cell r="J785">
            <v>0.12880328767123286</v>
          </cell>
        </row>
        <row r="786">
          <cell r="I786">
            <v>1491</v>
          </cell>
          <cell r="J786">
            <v>0.12880684931506847</v>
          </cell>
        </row>
        <row r="787">
          <cell r="I787">
            <v>1492</v>
          </cell>
          <cell r="J787">
            <v>0.12881041095890408</v>
          </cell>
        </row>
        <row r="788">
          <cell r="I788">
            <v>1493</v>
          </cell>
          <cell r="J788">
            <v>0.12881397260273972</v>
          </cell>
        </row>
        <row r="789">
          <cell r="I789">
            <v>1494</v>
          </cell>
          <cell r="J789">
            <v>0.12881753424657533</v>
          </cell>
        </row>
        <row r="790">
          <cell r="I790">
            <v>1495</v>
          </cell>
          <cell r="J790">
            <v>0.12882109589041094</v>
          </cell>
        </row>
        <row r="791">
          <cell r="I791">
            <v>1496</v>
          </cell>
          <cell r="J791">
            <v>0.12882465753424654</v>
          </cell>
        </row>
        <row r="792">
          <cell r="I792">
            <v>1497</v>
          </cell>
          <cell r="J792">
            <v>0.12882821917808218</v>
          </cell>
        </row>
        <row r="793">
          <cell r="I793">
            <v>1498</v>
          </cell>
          <cell r="J793">
            <v>0.12883178082191779</v>
          </cell>
        </row>
        <row r="794">
          <cell r="I794">
            <v>1499</v>
          </cell>
          <cell r="J794">
            <v>0.1288353424657534</v>
          </cell>
        </row>
        <row r="795">
          <cell r="I795">
            <v>1500</v>
          </cell>
          <cell r="J795">
            <v>0.12883890410958904</v>
          </cell>
        </row>
        <row r="796">
          <cell r="I796">
            <v>1501</v>
          </cell>
          <cell r="J796">
            <v>0.12884246575342465</v>
          </cell>
        </row>
        <row r="797">
          <cell r="I797">
            <v>1502</v>
          </cell>
          <cell r="J797">
            <v>0.12884602739726025</v>
          </cell>
        </row>
        <row r="798">
          <cell r="I798">
            <v>1503</v>
          </cell>
          <cell r="J798">
            <v>0.12884958904109586</v>
          </cell>
        </row>
        <row r="799">
          <cell r="I799">
            <v>1504</v>
          </cell>
          <cell r="J799">
            <v>0.1288531506849315</v>
          </cell>
        </row>
        <row r="800">
          <cell r="I800">
            <v>1505</v>
          </cell>
          <cell r="J800">
            <v>0.12885671232876711</v>
          </cell>
        </row>
        <row r="801">
          <cell r="I801">
            <v>1506</v>
          </cell>
          <cell r="J801">
            <v>0.12886027397260272</v>
          </cell>
        </row>
        <row r="802">
          <cell r="I802">
            <v>1507</v>
          </cell>
          <cell r="J802">
            <v>0.12886383561643833</v>
          </cell>
        </row>
        <row r="803">
          <cell r="I803">
            <v>1508</v>
          </cell>
          <cell r="J803">
            <v>0.12886739726027396</v>
          </cell>
        </row>
        <row r="804">
          <cell r="I804">
            <v>1509</v>
          </cell>
          <cell r="J804">
            <v>0.12887095890410957</v>
          </cell>
        </row>
        <row r="805">
          <cell r="I805">
            <v>1510</v>
          </cell>
          <cell r="J805">
            <v>0.12887452054794518</v>
          </cell>
        </row>
        <row r="806">
          <cell r="I806">
            <v>1511</v>
          </cell>
          <cell r="J806">
            <v>0.12887808219178082</v>
          </cell>
        </row>
        <row r="807">
          <cell r="I807">
            <v>1512</v>
          </cell>
          <cell r="J807">
            <v>0.12888164383561643</v>
          </cell>
        </row>
        <row r="808">
          <cell r="I808">
            <v>1513</v>
          </cell>
          <cell r="J808">
            <v>0.12888520547945204</v>
          </cell>
        </row>
        <row r="809">
          <cell r="I809">
            <v>1514</v>
          </cell>
          <cell r="J809">
            <v>0.12888876712328765</v>
          </cell>
        </row>
        <row r="810">
          <cell r="I810">
            <v>1515</v>
          </cell>
          <cell r="J810">
            <v>0.12889232876712328</v>
          </cell>
        </row>
        <row r="811">
          <cell r="I811">
            <v>1516</v>
          </cell>
          <cell r="J811">
            <v>0.12889589041095889</v>
          </cell>
        </row>
        <row r="812">
          <cell r="I812">
            <v>1517</v>
          </cell>
          <cell r="J812">
            <v>0.1288994520547945</v>
          </cell>
        </row>
        <row r="813">
          <cell r="I813">
            <v>1518</v>
          </cell>
          <cell r="J813">
            <v>0.12890301369863011</v>
          </cell>
        </row>
        <row r="814">
          <cell r="I814">
            <v>1519</v>
          </cell>
          <cell r="J814">
            <v>0.12890657534246575</v>
          </cell>
        </row>
        <row r="815">
          <cell r="I815">
            <v>1520</v>
          </cell>
          <cell r="J815">
            <v>0.12891013698630135</v>
          </cell>
        </row>
        <row r="816">
          <cell r="I816">
            <v>1521</v>
          </cell>
          <cell r="J816">
            <v>0.12891369863013696</v>
          </cell>
        </row>
        <row r="817">
          <cell r="I817">
            <v>1522</v>
          </cell>
          <cell r="J817">
            <v>0.1289172602739726</v>
          </cell>
        </row>
        <row r="818">
          <cell r="I818">
            <v>1523</v>
          </cell>
          <cell r="J818">
            <v>0.12892082191780821</v>
          </cell>
        </row>
        <row r="819">
          <cell r="I819">
            <v>1524</v>
          </cell>
          <cell r="J819">
            <v>0.12892438356164382</v>
          </cell>
        </row>
        <row r="820">
          <cell r="I820">
            <v>1525</v>
          </cell>
          <cell r="J820">
            <v>0.12892794520547943</v>
          </cell>
        </row>
        <row r="821">
          <cell r="I821">
            <v>1526</v>
          </cell>
          <cell r="J821">
            <v>0.12893150684931506</v>
          </cell>
        </row>
        <row r="822">
          <cell r="I822">
            <v>1527</v>
          </cell>
          <cell r="J822">
            <v>0.12893506849315067</v>
          </cell>
        </row>
        <row r="823">
          <cell r="I823">
            <v>1528</v>
          </cell>
          <cell r="J823">
            <v>0.12893863013698628</v>
          </cell>
        </row>
        <row r="824">
          <cell r="I824">
            <v>1529</v>
          </cell>
          <cell r="J824">
            <v>0.12894219178082189</v>
          </cell>
        </row>
        <row r="825">
          <cell r="I825">
            <v>1530</v>
          </cell>
          <cell r="J825">
            <v>0.12894575342465753</v>
          </cell>
        </row>
        <row r="826">
          <cell r="I826">
            <v>1531</v>
          </cell>
          <cell r="J826">
            <v>0.12894931506849314</v>
          </cell>
        </row>
        <row r="827">
          <cell r="I827">
            <v>1532</v>
          </cell>
          <cell r="J827">
            <v>0.12895287671232875</v>
          </cell>
        </row>
        <row r="828">
          <cell r="I828">
            <v>1533</v>
          </cell>
          <cell r="J828">
            <v>0.12895643835616438</v>
          </cell>
        </row>
        <row r="829">
          <cell r="I829">
            <v>1534</v>
          </cell>
          <cell r="J829">
            <v>0.12895999999999999</v>
          </cell>
        </row>
        <row r="830">
          <cell r="I830">
            <v>1535</v>
          </cell>
          <cell r="J830">
            <v>0.1289635616438356</v>
          </cell>
        </row>
        <row r="831">
          <cell r="I831">
            <v>1536</v>
          </cell>
          <cell r="J831">
            <v>0.12896712328767121</v>
          </cell>
        </row>
        <row r="832">
          <cell r="I832">
            <v>1537</v>
          </cell>
          <cell r="J832">
            <v>0.12897068493150685</v>
          </cell>
        </row>
        <row r="833">
          <cell r="I833">
            <v>1538</v>
          </cell>
          <cell r="J833">
            <v>0.12897424657534245</v>
          </cell>
        </row>
        <row r="834">
          <cell r="I834">
            <v>1539</v>
          </cell>
          <cell r="J834">
            <v>0.12897780821917806</v>
          </cell>
        </row>
        <row r="835">
          <cell r="I835">
            <v>1540</v>
          </cell>
          <cell r="J835">
            <v>0.12898136986301367</v>
          </cell>
        </row>
        <row r="836">
          <cell r="I836">
            <v>1541</v>
          </cell>
          <cell r="J836">
            <v>0.12898493150684931</v>
          </cell>
        </row>
        <row r="837">
          <cell r="I837">
            <v>1542</v>
          </cell>
          <cell r="J837">
            <v>0.12898849315068492</v>
          </cell>
        </row>
        <row r="838">
          <cell r="I838">
            <v>1543</v>
          </cell>
          <cell r="J838">
            <v>0.12899205479452053</v>
          </cell>
        </row>
        <row r="839">
          <cell r="I839">
            <v>1544</v>
          </cell>
          <cell r="J839">
            <v>0.12899561643835616</v>
          </cell>
        </row>
        <row r="840">
          <cell r="I840">
            <v>1545</v>
          </cell>
          <cell r="J840">
            <v>0.12899917808219177</v>
          </cell>
        </row>
        <row r="841">
          <cell r="I841">
            <v>1546</v>
          </cell>
          <cell r="J841">
            <v>0.12900273972602738</v>
          </cell>
        </row>
        <row r="842">
          <cell r="I842">
            <v>1547</v>
          </cell>
          <cell r="J842">
            <v>0.12900630136986299</v>
          </cell>
        </row>
        <row r="843">
          <cell r="I843">
            <v>1548</v>
          </cell>
          <cell r="J843">
            <v>0.12900986301369863</v>
          </cell>
        </row>
        <row r="844">
          <cell r="I844">
            <v>1549</v>
          </cell>
          <cell r="J844">
            <v>0.12901342465753424</v>
          </cell>
        </row>
        <row r="845">
          <cell r="I845">
            <v>1550</v>
          </cell>
          <cell r="J845">
            <v>0.12901698630136985</v>
          </cell>
        </row>
        <row r="846">
          <cell r="I846">
            <v>1551</v>
          </cell>
          <cell r="J846">
            <v>0.12902054794520545</v>
          </cell>
        </row>
        <row r="847">
          <cell r="I847">
            <v>1552</v>
          </cell>
          <cell r="J847">
            <v>0.12902410958904109</v>
          </cell>
        </row>
        <row r="848">
          <cell r="I848">
            <v>1553</v>
          </cell>
          <cell r="J848">
            <v>0.1290276712328767</v>
          </cell>
        </row>
        <row r="849">
          <cell r="I849">
            <v>1554</v>
          </cell>
          <cell r="J849">
            <v>0.12903123287671231</v>
          </cell>
        </row>
        <row r="850">
          <cell r="I850">
            <v>1555</v>
          </cell>
          <cell r="J850">
            <v>0.12903479452054792</v>
          </cell>
        </row>
        <row r="851">
          <cell r="I851">
            <v>1556</v>
          </cell>
          <cell r="J851">
            <v>0.12903835616438356</v>
          </cell>
        </row>
        <row r="852">
          <cell r="I852">
            <v>1557</v>
          </cell>
          <cell r="J852">
            <v>0.12904191780821916</v>
          </cell>
        </row>
        <row r="853">
          <cell r="I853">
            <v>1558</v>
          </cell>
          <cell r="J853">
            <v>0.12904547945205477</v>
          </cell>
        </row>
        <row r="854">
          <cell r="I854">
            <v>1559</v>
          </cell>
          <cell r="J854">
            <v>0.12904904109589041</v>
          </cell>
        </row>
        <row r="855">
          <cell r="I855">
            <v>1560</v>
          </cell>
          <cell r="J855">
            <v>0.12905260273972602</v>
          </cell>
        </row>
        <row r="856">
          <cell r="I856">
            <v>1561</v>
          </cell>
          <cell r="J856">
            <v>0.12905616438356163</v>
          </cell>
        </row>
        <row r="857">
          <cell r="I857">
            <v>1562</v>
          </cell>
          <cell r="J857">
            <v>0.12905972602739724</v>
          </cell>
        </row>
        <row r="858">
          <cell r="I858">
            <v>1563</v>
          </cell>
          <cell r="J858">
            <v>0.12906328767123287</v>
          </cell>
        </row>
        <row r="859">
          <cell r="I859">
            <v>1564</v>
          </cell>
          <cell r="J859">
            <v>0.12906684931506848</v>
          </cell>
        </row>
        <row r="860">
          <cell r="I860">
            <v>1565</v>
          </cell>
          <cell r="J860">
            <v>0.12907041095890409</v>
          </cell>
        </row>
        <row r="861">
          <cell r="I861">
            <v>1566</v>
          </cell>
          <cell r="J861">
            <v>0.1290739726027397</v>
          </cell>
        </row>
        <row r="862">
          <cell r="I862">
            <v>1567</v>
          </cell>
          <cell r="J862">
            <v>0.12907753424657534</v>
          </cell>
        </row>
        <row r="863">
          <cell r="I863">
            <v>1568</v>
          </cell>
          <cell r="J863">
            <v>0.12908109589041095</v>
          </cell>
        </row>
        <row r="864">
          <cell r="I864">
            <v>1569</v>
          </cell>
          <cell r="J864">
            <v>0.12908465753424656</v>
          </cell>
        </row>
        <row r="865">
          <cell r="I865">
            <v>1570</v>
          </cell>
          <cell r="J865">
            <v>0.12908821917808219</v>
          </cell>
        </row>
        <row r="866">
          <cell r="I866">
            <v>1571</v>
          </cell>
          <cell r="J866">
            <v>0.1290917808219178</v>
          </cell>
        </row>
        <row r="867">
          <cell r="I867">
            <v>1572</v>
          </cell>
          <cell r="J867">
            <v>0.12909534246575341</v>
          </cell>
        </row>
        <row r="868">
          <cell r="I868">
            <v>1573</v>
          </cell>
          <cell r="J868">
            <v>0.12909890410958902</v>
          </cell>
        </row>
        <row r="869">
          <cell r="I869">
            <v>1574</v>
          </cell>
          <cell r="J869">
            <v>0.12910246575342466</v>
          </cell>
        </row>
        <row r="870">
          <cell r="I870">
            <v>1575</v>
          </cell>
          <cell r="J870">
            <v>0.12910602739726026</v>
          </cell>
        </row>
        <row r="871">
          <cell r="I871">
            <v>1576</v>
          </cell>
          <cell r="J871">
            <v>0.12910958904109587</v>
          </cell>
        </row>
        <row r="872">
          <cell r="I872">
            <v>1577</v>
          </cell>
          <cell r="J872">
            <v>0.12911315068493148</v>
          </cell>
        </row>
        <row r="873">
          <cell r="I873">
            <v>1578</v>
          </cell>
          <cell r="J873">
            <v>0.12911671232876712</v>
          </cell>
        </row>
        <row r="874">
          <cell r="I874">
            <v>1579</v>
          </cell>
          <cell r="J874">
            <v>0.12912027397260273</v>
          </cell>
        </row>
        <row r="875">
          <cell r="I875">
            <v>1580</v>
          </cell>
          <cell r="J875">
            <v>0.12912383561643834</v>
          </cell>
        </row>
        <row r="876">
          <cell r="I876">
            <v>1581</v>
          </cell>
          <cell r="J876">
            <v>0.12912739726027397</v>
          </cell>
        </row>
        <row r="877">
          <cell r="I877">
            <v>1582</v>
          </cell>
          <cell r="J877">
            <v>0.12913095890410958</v>
          </cell>
        </row>
        <row r="878">
          <cell r="I878">
            <v>1583</v>
          </cell>
          <cell r="J878">
            <v>0.12913452054794519</v>
          </cell>
        </row>
        <row r="879">
          <cell r="I879">
            <v>1584</v>
          </cell>
          <cell r="J879">
            <v>0.1291380821917808</v>
          </cell>
        </row>
        <row r="880">
          <cell r="I880">
            <v>1585</v>
          </cell>
          <cell r="J880">
            <v>0.12914164383561644</v>
          </cell>
        </row>
        <row r="881">
          <cell r="I881">
            <v>1586</v>
          </cell>
          <cell r="J881">
            <v>0.12914520547945205</v>
          </cell>
        </row>
        <row r="882">
          <cell r="I882">
            <v>1587</v>
          </cell>
          <cell r="J882">
            <v>0.12914876712328766</v>
          </cell>
        </row>
        <row r="883">
          <cell r="I883">
            <v>1588</v>
          </cell>
          <cell r="J883">
            <v>0.12915232876712326</v>
          </cell>
        </row>
        <row r="884">
          <cell r="I884">
            <v>1589</v>
          </cell>
          <cell r="J884">
            <v>0.1291558904109589</v>
          </cell>
        </row>
        <row r="885">
          <cell r="I885">
            <v>1590</v>
          </cell>
          <cell r="J885">
            <v>0.12915945205479451</v>
          </cell>
        </row>
        <row r="886">
          <cell r="I886">
            <v>1591</v>
          </cell>
          <cell r="J886">
            <v>0.12916301369863012</v>
          </cell>
        </row>
        <row r="887">
          <cell r="I887">
            <v>1592</v>
          </cell>
          <cell r="J887">
            <v>0.12916657534246576</v>
          </cell>
        </row>
        <row r="888">
          <cell r="I888">
            <v>1593</v>
          </cell>
          <cell r="J888">
            <v>0.12917013698630136</v>
          </cell>
        </row>
        <row r="889">
          <cell r="I889">
            <v>1594</v>
          </cell>
          <cell r="J889">
            <v>0.12917369863013697</v>
          </cell>
        </row>
        <row r="890">
          <cell r="I890">
            <v>1595</v>
          </cell>
          <cell r="J890">
            <v>0.12917726027397258</v>
          </cell>
        </row>
        <row r="891">
          <cell r="I891">
            <v>1596</v>
          </cell>
          <cell r="J891">
            <v>0.12918082191780822</v>
          </cell>
        </row>
        <row r="892">
          <cell r="I892">
            <v>1597</v>
          </cell>
          <cell r="J892">
            <v>0.12918438356164383</v>
          </cell>
        </row>
        <row r="893">
          <cell r="I893">
            <v>1598</v>
          </cell>
          <cell r="J893">
            <v>0.12918794520547944</v>
          </cell>
        </row>
        <row r="894">
          <cell r="I894">
            <v>1599</v>
          </cell>
          <cell r="J894">
            <v>0.12919150684931505</v>
          </cell>
        </row>
        <row r="895">
          <cell r="I895">
            <v>1600</v>
          </cell>
          <cell r="J895">
            <v>0.12919506849315068</v>
          </cell>
        </row>
        <row r="896">
          <cell r="I896">
            <v>1601</v>
          </cell>
          <cell r="J896">
            <v>0.12919863013698629</v>
          </cell>
        </row>
        <row r="897">
          <cell r="I897">
            <v>1602</v>
          </cell>
          <cell r="J897">
            <v>0.1292021917808219</v>
          </cell>
        </row>
        <row r="898">
          <cell r="I898">
            <v>1603</v>
          </cell>
          <cell r="J898">
            <v>0.12920575342465754</v>
          </cell>
        </row>
        <row r="899">
          <cell r="I899">
            <v>1604</v>
          </cell>
          <cell r="J899">
            <v>0.12920931506849315</v>
          </cell>
        </row>
        <row r="900">
          <cell r="I900">
            <v>1605</v>
          </cell>
          <cell r="J900">
            <v>0.12921287671232876</v>
          </cell>
        </row>
        <row r="901">
          <cell r="I901">
            <v>1606</v>
          </cell>
          <cell r="J901">
            <v>0.12921643835616436</v>
          </cell>
        </row>
        <row r="902">
          <cell r="I902">
            <v>1607</v>
          </cell>
          <cell r="J902">
            <v>0.12922</v>
          </cell>
        </row>
        <row r="903">
          <cell r="I903">
            <v>1608</v>
          </cell>
          <cell r="J903">
            <v>0.12922356164383561</v>
          </cell>
        </row>
        <row r="904">
          <cell r="I904">
            <v>1609</v>
          </cell>
          <cell r="J904">
            <v>0.12922712328767122</v>
          </cell>
        </row>
        <row r="905">
          <cell r="I905">
            <v>1610</v>
          </cell>
          <cell r="J905">
            <v>0.12923068493150683</v>
          </cell>
        </row>
        <row r="906">
          <cell r="I906">
            <v>1611</v>
          </cell>
          <cell r="J906">
            <v>0.12923424657534247</v>
          </cell>
        </row>
        <row r="907">
          <cell r="I907">
            <v>1612</v>
          </cell>
          <cell r="J907">
            <v>0.12923780821917807</v>
          </cell>
        </row>
        <row r="908">
          <cell r="I908">
            <v>1613</v>
          </cell>
          <cell r="J908">
            <v>0.12924136986301368</v>
          </cell>
        </row>
        <row r="909">
          <cell r="I909">
            <v>1614</v>
          </cell>
          <cell r="J909">
            <v>0.12924493150684929</v>
          </cell>
        </row>
        <row r="910">
          <cell r="I910">
            <v>1615</v>
          </cell>
          <cell r="J910">
            <v>0.12924849315068493</v>
          </cell>
        </row>
        <row r="911">
          <cell r="I911">
            <v>1616</v>
          </cell>
          <cell r="J911">
            <v>0.12925205479452054</v>
          </cell>
        </row>
        <row r="912">
          <cell r="I912">
            <v>1617</v>
          </cell>
          <cell r="J912">
            <v>0.12925561643835615</v>
          </cell>
        </row>
        <row r="913">
          <cell r="I913">
            <v>1618</v>
          </cell>
          <cell r="J913">
            <v>0.12925917808219178</v>
          </cell>
        </row>
        <row r="914">
          <cell r="I914">
            <v>1619</v>
          </cell>
          <cell r="J914">
            <v>0.12926273972602739</v>
          </cell>
        </row>
        <row r="915">
          <cell r="I915">
            <v>1620</v>
          </cell>
          <cell r="J915">
            <v>0.129266301369863</v>
          </cell>
        </row>
        <row r="916">
          <cell r="I916">
            <v>1621</v>
          </cell>
          <cell r="J916">
            <v>0.12926986301369861</v>
          </cell>
        </row>
        <row r="917">
          <cell r="I917">
            <v>1622</v>
          </cell>
          <cell r="J917">
            <v>0.12927342465753425</v>
          </cell>
        </row>
        <row r="918">
          <cell r="I918">
            <v>1623</v>
          </cell>
          <cell r="J918">
            <v>0.12927698630136986</v>
          </cell>
        </row>
        <row r="919">
          <cell r="I919">
            <v>1624</v>
          </cell>
          <cell r="J919">
            <v>0.12928054794520547</v>
          </cell>
        </row>
        <row r="920">
          <cell r="I920">
            <v>1625</v>
          </cell>
          <cell r="J920">
            <v>0.12928410958904107</v>
          </cell>
        </row>
        <row r="921">
          <cell r="I921">
            <v>1626</v>
          </cell>
          <cell r="J921">
            <v>0.12928767123287671</v>
          </cell>
        </row>
        <row r="922">
          <cell r="I922">
            <v>1627</v>
          </cell>
          <cell r="J922">
            <v>0.12929123287671232</v>
          </cell>
        </row>
        <row r="923">
          <cell r="I923">
            <v>1628</v>
          </cell>
          <cell r="J923">
            <v>0.12929479452054793</v>
          </cell>
        </row>
        <row r="924">
          <cell r="I924">
            <v>1629</v>
          </cell>
          <cell r="J924">
            <v>0.12929835616438357</v>
          </cell>
        </row>
        <row r="925">
          <cell r="I925">
            <v>1630</v>
          </cell>
          <cell r="J925">
            <v>0.12930191780821917</v>
          </cell>
        </row>
        <row r="926">
          <cell r="I926">
            <v>1631</v>
          </cell>
          <cell r="J926">
            <v>0.12930547945205478</v>
          </cell>
        </row>
        <row r="927">
          <cell r="I927">
            <v>1632</v>
          </cell>
          <cell r="J927">
            <v>0.12930904109589039</v>
          </cell>
        </row>
        <row r="928">
          <cell r="I928">
            <v>1633</v>
          </cell>
          <cell r="J928">
            <v>0.12931260273972603</v>
          </cell>
        </row>
        <row r="929">
          <cell r="I929">
            <v>1634</v>
          </cell>
          <cell r="J929">
            <v>0.12931616438356164</v>
          </cell>
        </row>
        <row r="930">
          <cell r="I930">
            <v>1635</v>
          </cell>
          <cell r="J930">
            <v>0.12931972602739725</v>
          </cell>
        </row>
        <row r="931">
          <cell r="I931">
            <v>1636</v>
          </cell>
          <cell r="J931">
            <v>0.12932328767123286</v>
          </cell>
        </row>
        <row r="932">
          <cell r="I932">
            <v>1637</v>
          </cell>
          <cell r="J932">
            <v>0.12932684931506849</v>
          </cell>
        </row>
        <row r="933">
          <cell r="I933">
            <v>1638</v>
          </cell>
          <cell r="J933">
            <v>0.1293304109589041</v>
          </cell>
        </row>
        <row r="934">
          <cell r="I934">
            <v>1639</v>
          </cell>
          <cell r="J934">
            <v>0.12933397260273971</v>
          </cell>
        </row>
        <row r="935">
          <cell r="I935">
            <v>1640</v>
          </cell>
          <cell r="J935">
            <v>0.12933753424657535</v>
          </cell>
        </row>
        <row r="936">
          <cell r="I936">
            <v>1641</v>
          </cell>
          <cell r="J936">
            <v>0.12934109589041096</v>
          </cell>
        </row>
        <row r="937">
          <cell r="I937">
            <v>1642</v>
          </cell>
          <cell r="J937">
            <v>0.12934465753424657</v>
          </cell>
        </row>
        <row r="938">
          <cell r="I938">
            <v>1643</v>
          </cell>
          <cell r="J938">
            <v>0.12934821917808217</v>
          </cell>
        </row>
        <row r="939">
          <cell r="I939">
            <v>1644</v>
          </cell>
          <cell r="J939">
            <v>0.12935178082191781</v>
          </cell>
        </row>
        <row r="940">
          <cell r="I940">
            <v>1645</v>
          </cell>
          <cell r="J940">
            <v>0.12935534246575342</v>
          </cell>
        </row>
        <row r="941">
          <cell r="I941">
            <v>1646</v>
          </cell>
          <cell r="J941">
            <v>0.12935890410958903</v>
          </cell>
        </row>
        <row r="942">
          <cell r="I942">
            <v>1647</v>
          </cell>
          <cell r="J942">
            <v>0.12936246575342464</v>
          </cell>
        </row>
        <row r="943">
          <cell r="I943">
            <v>1648</v>
          </cell>
          <cell r="J943">
            <v>0.12936602739726027</v>
          </cell>
        </row>
        <row r="944">
          <cell r="I944">
            <v>1649</v>
          </cell>
          <cell r="J944">
            <v>0.12936958904109588</v>
          </cell>
        </row>
        <row r="945">
          <cell r="I945">
            <v>1650</v>
          </cell>
          <cell r="J945">
            <v>0.12937315068493149</v>
          </cell>
        </row>
        <row r="946">
          <cell r="I946">
            <v>1651</v>
          </cell>
          <cell r="J946">
            <v>0.12937671232876713</v>
          </cell>
        </row>
        <row r="947">
          <cell r="I947">
            <v>1652</v>
          </cell>
          <cell r="J947">
            <v>0.12938027397260274</v>
          </cell>
        </row>
        <row r="948">
          <cell r="I948">
            <v>1653</v>
          </cell>
          <cell r="J948">
            <v>0.12938383561643835</v>
          </cell>
        </row>
        <row r="949">
          <cell r="I949">
            <v>1654</v>
          </cell>
          <cell r="J949">
            <v>0.12938739726027396</v>
          </cell>
        </row>
        <row r="950">
          <cell r="I950">
            <v>1655</v>
          </cell>
          <cell r="J950">
            <v>0.12939095890410959</v>
          </cell>
        </row>
        <row r="951">
          <cell r="I951">
            <v>1656</v>
          </cell>
          <cell r="J951">
            <v>0.1293945205479452</v>
          </cell>
        </row>
        <row r="952">
          <cell r="I952">
            <v>1657</v>
          </cell>
          <cell r="J952">
            <v>0.12939808219178081</v>
          </cell>
        </row>
        <row r="953">
          <cell r="I953">
            <v>1658</v>
          </cell>
          <cell r="J953">
            <v>0.12940164383561642</v>
          </cell>
        </row>
        <row r="954">
          <cell r="I954">
            <v>1659</v>
          </cell>
          <cell r="J954">
            <v>0.12940520547945206</v>
          </cell>
        </row>
        <row r="955">
          <cell r="I955">
            <v>1660</v>
          </cell>
          <cell r="J955">
            <v>0.12940876712328767</v>
          </cell>
        </row>
        <row r="956">
          <cell r="I956">
            <v>1661</v>
          </cell>
          <cell r="J956">
            <v>0.12941232876712327</v>
          </cell>
        </row>
        <row r="957">
          <cell r="I957">
            <v>1662</v>
          </cell>
          <cell r="J957">
            <v>0.12941589041095891</v>
          </cell>
        </row>
        <row r="958">
          <cell r="I958">
            <v>1663</v>
          </cell>
          <cell r="J958">
            <v>0.12941945205479452</v>
          </cell>
        </row>
        <row r="959">
          <cell r="I959">
            <v>1664</v>
          </cell>
          <cell r="J959">
            <v>0.12942301369863013</v>
          </cell>
        </row>
        <row r="960">
          <cell r="I960">
            <v>1665</v>
          </cell>
          <cell r="J960">
            <v>0.12942657534246574</v>
          </cell>
        </row>
        <row r="961">
          <cell r="I961">
            <v>1666</v>
          </cell>
          <cell r="J961">
            <v>0.12943013698630138</v>
          </cell>
        </row>
        <row r="962">
          <cell r="I962">
            <v>1667</v>
          </cell>
          <cell r="J962">
            <v>0.12943369863013698</v>
          </cell>
        </row>
        <row r="963">
          <cell r="I963">
            <v>1668</v>
          </cell>
          <cell r="J963">
            <v>0.12943726027397259</v>
          </cell>
        </row>
        <row r="964">
          <cell r="I964">
            <v>1669</v>
          </cell>
          <cell r="J964">
            <v>0.1294408219178082</v>
          </cell>
        </row>
        <row r="965">
          <cell r="I965">
            <v>1670</v>
          </cell>
          <cell r="J965">
            <v>0.12944438356164384</v>
          </cell>
        </row>
        <row r="966">
          <cell r="I966">
            <v>1671</v>
          </cell>
          <cell r="J966">
            <v>0.12944794520547945</v>
          </cell>
        </row>
        <row r="967">
          <cell r="I967">
            <v>1672</v>
          </cell>
          <cell r="J967">
            <v>0.12945150684931506</v>
          </cell>
        </row>
        <row r="968">
          <cell r="I968">
            <v>1673</v>
          </cell>
          <cell r="J968">
            <v>0.12945506849315069</v>
          </cell>
        </row>
        <row r="969">
          <cell r="I969">
            <v>1674</v>
          </cell>
          <cell r="J969">
            <v>0.1294586301369863</v>
          </cell>
        </row>
        <row r="970">
          <cell r="I970">
            <v>1675</v>
          </cell>
          <cell r="J970">
            <v>0.12946219178082191</v>
          </cell>
        </row>
        <row r="971">
          <cell r="I971">
            <v>1676</v>
          </cell>
          <cell r="J971">
            <v>0.12946575342465752</v>
          </cell>
        </row>
        <row r="972">
          <cell r="I972">
            <v>1677</v>
          </cell>
          <cell r="J972">
            <v>0.12946931506849316</v>
          </cell>
        </row>
        <row r="973">
          <cell r="I973">
            <v>1678</v>
          </cell>
          <cell r="J973">
            <v>0.12947287671232877</v>
          </cell>
        </row>
        <row r="974">
          <cell r="I974">
            <v>1679</v>
          </cell>
          <cell r="J974">
            <v>0.12947643835616438</v>
          </cell>
        </row>
        <row r="975">
          <cell r="I975">
            <v>1680</v>
          </cell>
          <cell r="J975">
            <v>0.12947999999999998</v>
          </cell>
        </row>
        <row r="976">
          <cell r="I976">
            <v>1681</v>
          </cell>
          <cell r="J976">
            <v>0.12948356164383562</v>
          </cell>
        </row>
        <row r="977">
          <cell r="I977">
            <v>1682</v>
          </cell>
          <cell r="J977">
            <v>0.12948712328767123</v>
          </cell>
        </row>
        <row r="978">
          <cell r="I978">
            <v>1683</v>
          </cell>
          <cell r="J978">
            <v>0.12949068493150684</v>
          </cell>
        </row>
        <row r="979">
          <cell r="I979">
            <v>1684</v>
          </cell>
          <cell r="J979">
            <v>0.12949424657534245</v>
          </cell>
        </row>
        <row r="980">
          <cell r="I980">
            <v>1685</v>
          </cell>
          <cell r="J980">
            <v>0.12949780821917808</v>
          </cell>
        </row>
        <row r="981">
          <cell r="I981">
            <v>1686</v>
          </cell>
          <cell r="J981">
            <v>0.12950136986301369</v>
          </cell>
        </row>
        <row r="982">
          <cell r="I982">
            <v>1687</v>
          </cell>
          <cell r="J982">
            <v>0.1295049315068493</v>
          </cell>
        </row>
        <row r="983">
          <cell r="I983">
            <v>1688</v>
          </cell>
          <cell r="J983">
            <v>0.12950849315068494</v>
          </cell>
        </row>
        <row r="984">
          <cell r="I984">
            <v>1689</v>
          </cell>
          <cell r="J984">
            <v>0.12951205479452055</v>
          </cell>
        </row>
        <row r="985">
          <cell r="I985">
            <v>1690</v>
          </cell>
          <cell r="J985">
            <v>0.12951561643835616</v>
          </cell>
        </row>
        <row r="986">
          <cell r="I986">
            <v>1691</v>
          </cell>
          <cell r="J986">
            <v>0.12951917808219177</v>
          </cell>
        </row>
        <row r="987">
          <cell r="I987">
            <v>1692</v>
          </cell>
          <cell r="J987">
            <v>0.1295227397260274</v>
          </cell>
        </row>
        <row r="988">
          <cell r="I988">
            <v>1693</v>
          </cell>
          <cell r="J988">
            <v>0.12952630136986301</v>
          </cell>
        </row>
        <row r="989">
          <cell r="I989">
            <v>1694</v>
          </cell>
          <cell r="J989">
            <v>0.12952986301369862</v>
          </cell>
        </row>
        <row r="990">
          <cell r="I990">
            <v>1695</v>
          </cell>
          <cell r="J990">
            <v>0.12953342465753423</v>
          </cell>
        </row>
        <row r="991">
          <cell r="I991">
            <v>1696</v>
          </cell>
          <cell r="J991">
            <v>0.12953698630136987</v>
          </cell>
        </row>
        <row r="992">
          <cell r="I992">
            <v>1697</v>
          </cell>
          <cell r="J992">
            <v>0.12954054794520548</v>
          </cell>
        </row>
        <row r="993">
          <cell r="I993">
            <v>1698</v>
          </cell>
          <cell r="J993">
            <v>0.12954410958904108</v>
          </cell>
        </row>
        <row r="994">
          <cell r="I994">
            <v>1699</v>
          </cell>
          <cell r="J994">
            <v>0.12954767123287672</v>
          </cell>
        </row>
        <row r="995">
          <cell r="I995">
            <v>1700</v>
          </cell>
          <cell r="J995">
            <v>0.12955123287671233</v>
          </cell>
        </row>
        <row r="996">
          <cell r="I996">
            <v>1701</v>
          </cell>
          <cell r="J996">
            <v>0.12955479452054794</v>
          </cell>
        </row>
        <row r="997">
          <cell r="I997">
            <v>1702</v>
          </cell>
          <cell r="J997">
            <v>0.12955835616438355</v>
          </cell>
        </row>
        <row r="998">
          <cell r="I998">
            <v>1703</v>
          </cell>
          <cell r="J998">
            <v>0.12956191780821918</v>
          </cell>
        </row>
        <row r="999">
          <cell r="I999">
            <v>1704</v>
          </cell>
          <cell r="J999">
            <v>0.12956547945205479</v>
          </cell>
        </row>
        <row r="1000">
          <cell r="I1000">
            <v>1705</v>
          </cell>
          <cell r="J1000">
            <v>0.1295690410958904</v>
          </cell>
        </row>
        <row r="1001">
          <cell r="I1001">
            <v>1706</v>
          </cell>
          <cell r="J1001">
            <v>0.12957260273972601</v>
          </cell>
        </row>
        <row r="1002">
          <cell r="I1002">
            <v>1707</v>
          </cell>
          <cell r="J1002">
            <v>0.12957616438356165</v>
          </cell>
        </row>
        <row r="1003">
          <cell r="I1003">
            <v>1708</v>
          </cell>
          <cell r="J1003">
            <v>0.12957972602739726</v>
          </cell>
        </row>
        <row r="1004">
          <cell r="I1004">
            <v>1709</v>
          </cell>
          <cell r="J1004">
            <v>0.12958328767123287</v>
          </cell>
        </row>
        <row r="1005">
          <cell r="I1005">
            <v>1710</v>
          </cell>
          <cell r="J1005">
            <v>0.1295868493150685</v>
          </cell>
        </row>
        <row r="1006">
          <cell r="I1006">
            <v>1711</v>
          </cell>
          <cell r="J1006">
            <v>0.12959041095890411</v>
          </cell>
        </row>
        <row r="1007">
          <cell r="I1007">
            <v>1712</v>
          </cell>
          <cell r="J1007">
            <v>0.12959397260273972</v>
          </cell>
        </row>
        <row r="1008">
          <cell r="I1008">
            <v>1713</v>
          </cell>
          <cell r="J1008">
            <v>0.12959753424657533</v>
          </cell>
        </row>
        <row r="1009">
          <cell r="I1009">
            <v>1714</v>
          </cell>
          <cell r="J1009">
            <v>0.12960109589041097</v>
          </cell>
        </row>
        <row r="1010">
          <cell r="I1010">
            <v>1715</v>
          </cell>
          <cell r="J1010">
            <v>0.12960465753424658</v>
          </cell>
        </row>
        <row r="1011">
          <cell r="I1011">
            <v>1716</v>
          </cell>
          <cell r="J1011">
            <v>0.12960821917808218</v>
          </cell>
        </row>
        <row r="1012">
          <cell r="I1012">
            <v>1717</v>
          </cell>
          <cell r="J1012">
            <v>0.12961178082191779</v>
          </cell>
        </row>
        <row r="1013">
          <cell r="I1013">
            <v>1718</v>
          </cell>
          <cell r="J1013">
            <v>0.12961534246575343</v>
          </cell>
        </row>
        <row r="1014">
          <cell r="I1014">
            <v>1719</v>
          </cell>
          <cell r="J1014">
            <v>0.12961890410958904</v>
          </cell>
        </row>
        <row r="1015">
          <cell r="I1015">
            <v>1720</v>
          </cell>
          <cell r="J1015">
            <v>0.12962246575342465</v>
          </cell>
        </row>
        <row r="1016">
          <cell r="I1016">
            <v>1721</v>
          </cell>
          <cell r="J1016">
            <v>0.12962602739726029</v>
          </cell>
        </row>
        <row r="1017">
          <cell r="I1017">
            <v>1722</v>
          </cell>
          <cell r="J1017">
            <v>0.12962958904109589</v>
          </cell>
        </row>
        <row r="1018">
          <cell r="I1018">
            <v>1723</v>
          </cell>
          <cell r="J1018">
            <v>0.1296331506849315</v>
          </cell>
        </row>
        <row r="1019">
          <cell r="I1019">
            <v>1724</v>
          </cell>
          <cell r="J1019">
            <v>0.12963671232876711</v>
          </cell>
        </row>
        <row r="1020">
          <cell r="I1020">
            <v>1725</v>
          </cell>
          <cell r="J1020">
            <v>0.12964027397260275</v>
          </cell>
        </row>
        <row r="1021">
          <cell r="I1021">
            <v>1726</v>
          </cell>
          <cell r="J1021">
            <v>0.12964383561643836</v>
          </cell>
        </row>
        <row r="1022">
          <cell r="I1022">
            <v>1727</v>
          </cell>
          <cell r="J1022">
            <v>0.12964739726027397</v>
          </cell>
        </row>
        <row r="1023">
          <cell r="I1023">
            <v>1728</v>
          </cell>
          <cell r="J1023">
            <v>0.12965095890410958</v>
          </cell>
        </row>
        <row r="1024">
          <cell r="I1024">
            <v>1729</v>
          </cell>
          <cell r="J1024">
            <v>0.12965452054794521</v>
          </cell>
        </row>
        <row r="1025">
          <cell r="I1025">
            <v>1730</v>
          </cell>
          <cell r="J1025">
            <v>0.12965808219178082</v>
          </cell>
        </row>
        <row r="1026">
          <cell r="I1026">
            <v>1731</v>
          </cell>
          <cell r="J1026">
            <v>0.12966164383561643</v>
          </cell>
        </row>
        <row r="1027">
          <cell r="I1027">
            <v>1732</v>
          </cell>
          <cell r="J1027">
            <v>0.12966520547945207</v>
          </cell>
        </row>
        <row r="1028">
          <cell r="I1028">
            <v>1733</v>
          </cell>
          <cell r="J1028">
            <v>0.12966876712328768</v>
          </cell>
        </row>
        <row r="1029">
          <cell r="I1029">
            <v>1734</v>
          </cell>
          <cell r="J1029">
            <v>0.12967232876712328</v>
          </cell>
        </row>
        <row r="1030">
          <cell r="I1030">
            <v>1735</v>
          </cell>
          <cell r="J1030">
            <v>0.12967589041095889</v>
          </cell>
        </row>
        <row r="1031">
          <cell r="I1031">
            <v>1736</v>
          </cell>
          <cell r="J1031">
            <v>0.12967945205479453</v>
          </cell>
        </row>
        <row r="1032">
          <cell r="I1032">
            <v>1737</v>
          </cell>
          <cell r="J1032">
            <v>0.12968301369863014</v>
          </cell>
        </row>
        <row r="1033">
          <cell r="I1033">
            <v>1738</v>
          </cell>
          <cell r="J1033">
            <v>0.12968657534246575</v>
          </cell>
        </row>
        <row r="1034">
          <cell r="I1034">
            <v>1739</v>
          </cell>
          <cell r="J1034">
            <v>0.12969013698630136</v>
          </cell>
        </row>
        <row r="1035">
          <cell r="I1035">
            <v>1740</v>
          </cell>
          <cell r="J1035">
            <v>0.12969369863013699</v>
          </cell>
        </row>
        <row r="1036">
          <cell r="I1036">
            <v>1741</v>
          </cell>
          <cell r="J1036">
            <v>0.1296972602739726</v>
          </cell>
        </row>
        <row r="1037">
          <cell r="I1037">
            <v>1742</v>
          </cell>
          <cell r="J1037">
            <v>0.12970082191780821</v>
          </cell>
        </row>
        <row r="1038">
          <cell r="I1038">
            <v>1743</v>
          </cell>
          <cell r="J1038">
            <v>0.12970438356164382</v>
          </cell>
        </row>
        <row r="1039">
          <cell r="I1039">
            <v>1744</v>
          </cell>
          <cell r="J1039">
            <v>0.12970794520547946</v>
          </cell>
        </row>
        <row r="1040">
          <cell r="I1040">
            <v>1745</v>
          </cell>
          <cell r="J1040">
            <v>0.12971150684931507</v>
          </cell>
        </row>
        <row r="1041">
          <cell r="I1041">
            <v>1746</v>
          </cell>
          <cell r="J1041">
            <v>0.12971506849315068</v>
          </cell>
        </row>
        <row r="1042">
          <cell r="I1042">
            <v>1747</v>
          </cell>
          <cell r="J1042">
            <v>0.12971863013698631</v>
          </cell>
        </row>
        <row r="1043">
          <cell r="I1043">
            <v>1748</v>
          </cell>
          <cell r="J1043">
            <v>0.12972219178082192</v>
          </cell>
        </row>
        <row r="1044">
          <cell r="I1044">
            <v>1749</v>
          </cell>
          <cell r="J1044">
            <v>0.12972575342465753</v>
          </cell>
        </row>
        <row r="1045">
          <cell r="I1045">
            <v>1750</v>
          </cell>
          <cell r="J1045">
            <v>0.12972931506849314</v>
          </cell>
        </row>
        <row r="1046">
          <cell r="I1046">
            <v>1751</v>
          </cell>
          <cell r="J1046">
            <v>0.12973287671232878</v>
          </cell>
        </row>
        <row r="1047">
          <cell r="I1047">
            <v>1752</v>
          </cell>
          <cell r="J1047">
            <v>0.12973643835616439</v>
          </cell>
        </row>
        <row r="1048">
          <cell r="I1048">
            <v>1753</v>
          </cell>
          <cell r="J1048">
            <v>0.12973999999999999</v>
          </cell>
        </row>
        <row r="1049">
          <cell r="I1049">
            <v>1754</v>
          </cell>
          <cell r="J1049">
            <v>0.1297435616438356</v>
          </cell>
        </row>
        <row r="1050">
          <cell r="I1050">
            <v>1755</v>
          </cell>
          <cell r="J1050">
            <v>0.12974712328767124</v>
          </cell>
        </row>
        <row r="1051">
          <cell r="I1051">
            <v>1756</v>
          </cell>
          <cell r="J1051">
            <v>0.12975068493150685</v>
          </cell>
        </row>
        <row r="1052">
          <cell r="I1052">
            <v>1757</v>
          </cell>
          <cell r="J1052">
            <v>0.12975424657534246</v>
          </cell>
        </row>
        <row r="1053">
          <cell r="I1053">
            <v>1758</v>
          </cell>
          <cell r="J1053">
            <v>0.12975780821917809</v>
          </cell>
        </row>
        <row r="1054">
          <cell r="I1054">
            <v>1759</v>
          </cell>
          <cell r="J1054">
            <v>0.1297613698630137</v>
          </cell>
        </row>
        <row r="1055">
          <cell r="I1055">
            <v>1760</v>
          </cell>
          <cell r="J1055">
            <v>0.12976493150684931</v>
          </cell>
        </row>
        <row r="1056">
          <cell r="I1056">
            <v>1761</v>
          </cell>
          <cell r="J1056">
            <v>0.12976849315068492</v>
          </cell>
        </row>
        <row r="1057">
          <cell r="I1057">
            <v>1762</v>
          </cell>
          <cell r="J1057">
            <v>0.12977205479452056</v>
          </cell>
        </row>
        <row r="1058">
          <cell r="I1058">
            <v>1763</v>
          </cell>
          <cell r="J1058">
            <v>0.12977561643835617</v>
          </cell>
        </row>
        <row r="1059">
          <cell r="I1059">
            <v>1764</v>
          </cell>
          <cell r="J1059">
            <v>0.12977917808219178</v>
          </cell>
        </row>
        <row r="1060">
          <cell r="I1060">
            <v>1765</v>
          </cell>
          <cell r="J1060">
            <v>0.12978273972602739</v>
          </cell>
        </row>
        <row r="1061">
          <cell r="I1061">
            <v>1766</v>
          </cell>
          <cell r="J1061">
            <v>0.12978630136986302</v>
          </cell>
        </row>
        <row r="1062">
          <cell r="I1062">
            <v>1767</v>
          </cell>
          <cell r="J1062">
            <v>0.12978986301369863</v>
          </cell>
        </row>
        <row r="1063">
          <cell r="I1063">
            <v>1768</v>
          </cell>
          <cell r="J1063">
            <v>0.12979342465753424</v>
          </cell>
        </row>
        <row r="1064">
          <cell r="I1064">
            <v>1769</v>
          </cell>
          <cell r="J1064">
            <v>0.12979698630136988</v>
          </cell>
        </row>
        <row r="1065">
          <cell r="I1065">
            <v>1770</v>
          </cell>
          <cell r="J1065">
            <v>0.12980054794520549</v>
          </cell>
        </row>
        <row r="1066">
          <cell r="I1066">
            <v>1771</v>
          </cell>
          <cell r="J1066">
            <v>0.12980410958904109</v>
          </cell>
        </row>
        <row r="1067">
          <cell r="I1067">
            <v>1772</v>
          </cell>
          <cell r="J1067">
            <v>0.1298076712328767</v>
          </cell>
        </row>
        <row r="1068">
          <cell r="I1068">
            <v>1773</v>
          </cell>
          <cell r="J1068">
            <v>0.12981123287671234</v>
          </cell>
        </row>
        <row r="1069">
          <cell r="I1069">
            <v>1774</v>
          </cell>
          <cell r="J1069">
            <v>0.12981479452054795</v>
          </cell>
        </row>
        <row r="1070">
          <cell r="I1070">
            <v>1775</v>
          </cell>
          <cell r="J1070">
            <v>0.12981835616438356</v>
          </cell>
        </row>
        <row r="1071">
          <cell r="I1071">
            <v>1776</v>
          </cell>
          <cell r="J1071">
            <v>0.12982191780821917</v>
          </cell>
        </row>
        <row r="1072">
          <cell r="I1072">
            <v>1777</v>
          </cell>
          <cell r="J1072">
            <v>0.1298254794520548</v>
          </cell>
        </row>
        <row r="1073">
          <cell r="I1073">
            <v>1778</v>
          </cell>
          <cell r="J1073">
            <v>0.12982904109589041</v>
          </cell>
        </row>
        <row r="1074">
          <cell r="I1074">
            <v>1779</v>
          </cell>
          <cell r="J1074">
            <v>0.12983260273972602</v>
          </cell>
        </row>
        <row r="1075">
          <cell r="I1075">
            <v>1780</v>
          </cell>
          <cell r="J1075">
            <v>0.12983616438356166</v>
          </cell>
        </row>
        <row r="1076">
          <cell r="I1076">
            <v>1781</v>
          </cell>
          <cell r="J1076">
            <v>0.12983972602739727</v>
          </cell>
        </row>
        <row r="1077">
          <cell r="I1077">
            <v>1782</v>
          </cell>
          <cell r="J1077">
            <v>0.12984328767123288</v>
          </cell>
        </row>
        <row r="1078">
          <cell r="I1078">
            <v>1783</v>
          </cell>
          <cell r="J1078">
            <v>0.12984684931506849</v>
          </cell>
        </row>
        <row r="1079">
          <cell r="I1079">
            <v>1784</v>
          </cell>
          <cell r="J1079">
            <v>0.12985041095890412</v>
          </cell>
        </row>
        <row r="1080">
          <cell r="I1080">
            <v>1785</v>
          </cell>
          <cell r="J1080">
            <v>0.12985397260273973</v>
          </cell>
        </row>
        <row r="1081">
          <cell r="I1081">
            <v>1786</v>
          </cell>
          <cell r="J1081">
            <v>0.12985753424657534</v>
          </cell>
        </row>
        <row r="1082">
          <cell r="I1082">
            <v>1787</v>
          </cell>
          <cell r="J1082">
            <v>0.12986109589041095</v>
          </cell>
        </row>
        <row r="1083">
          <cell r="I1083">
            <v>1788</v>
          </cell>
          <cell r="J1083">
            <v>0.12986465753424659</v>
          </cell>
        </row>
        <row r="1084">
          <cell r="I1084">
            <v>1789</v>
          </cell>
          <cell r="J1084">
            <v>0.12986821917808219</v>
          </cell>
        </row>
        <row r="1085">
          <cell r="I1085">
            <v>1790</v>
          </cell>
          <cell r="J1085">
            <v>0.1298717808219178</v>
          </cell>
        </row>
        <row r="1086">
          <cell r="I1086">
            <v>1791</v>
          </cell>
          <cell r="J1086">
            <v>0.12987534246575344</v>
          </cell>
        </row>
        <row r="1087">
          <cell r="I1087">
            <v>1792</v>
          </cell>
          <cell r="J1087">
            <v>0.12987890410958905</v>
          </cell>
        </row>
        <row r="1088">
          <cell r="I1088">
            <v>1793</v>
          </cell>
          <cell r="J1088">
            <v>0.12988246575342466</v>
          </cell>
        </row>
        <row r="1089">
          <cell r="I1089">
            <v>1794</v>
          </cell>
          <cell r="J1089">
            <v>0.12988602739726027</v>
          </cell>
        </row>
        <row r="1090">
          <cell r="I1090">
            <v>1795</v>
          </cell>
          <cell r="J1090">
            <v>0.1298895890410959</v>
          </cell>
        </row>
        <row r="1091">
          <cell r="I1091">
            <v>1796</v>
          </cell>
          <cell r="J1091">
            <v>0.12989315068493151</v>
          </cell>
        </row>
        <row r="1092">
          <cell r="I1092">
            <v>1797</v>
          </cell>
          <cell r="J1092">
            <v>0.12989671232876712</v>
          </cell>
        </row>
        <row r="1093">
          <cell r="I1093">
            <v>1798</v>
          </cell>
          <cell r="J1093">
            <v>0.12990027397260273</v>
          </cell>
        </row>
        <row r="1094">
          <cell r="I1094">
            <v>1799</v>
          </cell>
          <cell r="J1094">
            <v>0.12990383561643837</v>
          </cell>
        </row>
        <row r="1095">
          <cell r="I1095">
            <v>1800</v>
          </cell>
          <cell r="J1095">
            <v>0.12990739726027398</v>
          </cell>
        </row>
        <row r="1096">
          <cell r="I1096">
            <v>1801</v>
          </cell>
          <cell r="J1096">
            <v>0.12991095890410959</v>
          </cell>
        </row>
        <row r="1097">
          <cell r="I1097">
            <v>1802</v>
          </cell>
          <cell r="J1097">
            <v>0.12991452054794519</v>
          </cell>
        </row>
        <row r="1098">
          <cell r="I1098">
            <v>1803</v>
          </cell>
          <cell r="J1098">
            <v>0.12991808219178083</v>
          </cell>
        </row>
        <row r="1099">
          <cell r="I1099">
            <v>1804</v>
          </cell>
          <cell r="J1099">
            <v>0.12992164383561644</v>
          </cell>
        </row>
        <row r="1100">
          <cell r="I1100">
            <v>1805</v>
          </cell>
          <cell r="J1100">
            <v>0.12992520547945205</v>
          </cell>
        </row>
        <row r="1101">
          <cell r="I1101">
            <v>1806</v>
          </cell>
          <cell r="J1101">
            <v>0.12992876712328769</v>
          </cell>
        </row>
        <row r="1102">
          <cell r="I1102">
            <v>1807</v>
          </cell>
          <cell r="J1102">
            <v>0.1299323287671233</v>
          </cell>
        </row>
        <row r="1103">
          <cell r="I1103">
            <v>1808</v>
          </cell>
          <cell r="J1103">
            <v>0.1299358904109589</v>
          </cell>
        </row>
        <row r="1104">
          <cell r="I1104">
            <v>1809</v>
          </cell>
          <cell r="J1104">
            <v>0.12993945205479451</v>
          </cell>
        </row>
        <row r="1105">
          <cell r="I1105">
            <v>1810</v>
          </cell>
          <cell r="J1105">
            <v>0.12994301369863015</v>
          </cell>
        </row>
        <row r="1106">
          <cell r="I1106">
            <v>1811</v>
          </cell>
          <cell r="J1106">
            <v>0.12994657534246576</v>
          </cell>
        </row>
        <row r="1107">
          <cell r="I1107">
            <v>1812</v>
          </cell>
          <cell r="J1107">
            <v>0.12995013698630137</v>
          </cell>
        </row>
        <row r="1108">
          <cell r="I1108">
            <v>1813</v>
          </cell>
          <cell r="J1108">
            <v>0.12995369863013698</v>
          </cell>
        </row>
        <row r="1109">
          <cell r="I1109">
            <v>1814</v>
          </cell>
          <cell r="J1109">
            <v>0.12995726027397261</v>
          </cell>
        </row>
        <row r="1110">
          <cell r="I1110">
            <v>1815</v>
          </cell>
          <cell r="J1110">
            <v>0.12996082191780822</v>
          </cell>
        </row>
        <row r="1111">
          <cell r="I1111">
            <v>1816</v>
          </cell>
          <cell r="J1111">
            <v>0.12996438356164383</v>
          </cell>
        </row>
        <row r="1112">
          <cell r="I1112">
            <v>1817</v>
          </cell>
          <cell r="J1112">
            <v>0.12996794520547947</v>
          </cell>
        </row>
        <row r="1113">
          <cell r="I1113">
            <v>1818</v>
          </cell>
          <cell r="J1113">
            <v>0.12997150684931508</v>
          </cell>
        </row>
        <row r="1114">
          <cell r="I1114">
            <v>1819</v>
          </cell>
          <cell r="J1114">
            <v>0.12997506849315069</v>
          </cell>
        </row>
        <row r="1115">
          <cell r="I1115">
            <v>1820</v>
          </cell>
          <cell r="J1115">
            <v>0.1299786301369863</v>
          </cell>
        </row>
        <row r="1116">
          <cell r="I1116">
            <v>1821</v>
          </cell>
          <cell r="J1116">
            <v>0.12998219178082193</v>
          </cell>
        </row>
        <row r="1117">
          <cell r="I1117">
            <v>1822</v>
          </cell>
          <cell r="J1117">
            <v>0.12998575342465754</v>
          </cell>
        </row>
        <row r="1118">
          <cell r="I1118">
            <v>1823</v>
          </cell>
          <cell r="J1118">
            <v>0.12998931506849315</v>
          </cell>
        </row>
        <row r="1119">
          <cell r="I1119">
            <v>1824</v>
          </cell>
          <cell r="J1119">
            <v>0.12999287671232876</v>
          </cell>
        </row>
        <row r="1120">
          <cell r="I1120">
            <v>1825</v>
          </cell>
          <cell r="J1120">
            <v>0.1299964383561644</v>
          </cell>
        </row>
        <row r="1121">
          <cell r="I1121">
            <v>1826</v>
          </cell>
          <cell r="J1121">
            <v>0.13</v>
          </cell>
        </row>
        <row r="1122">
          <cell r="I1122">
            <v>1827</v>
          </cell>
          <cell r="J1122">
            <v>0.13000164383561644</v>
          </cell>
        </row>
        <row r="1123">
          <cell r="I1123">
            <v>1828</v>
          </cell>
          <cell r="J1123">
            <v>0.13000328767123287</v>
          </cell>
        </row>
        <row r="1124">
          <cell r="I1124">
            <v>1829</v>
          </cell>
          <cell r="J1124">
            <v>0.13000493150684933</v>
          </cell>
        </row>
        <row r="1125">
          <cell r="I1125">
            <v>1830</v>
          </cell>
          <cell r="J1125">
            <v>0.13000657534246576</v>
          </cell>
        </row>
        <row r="1126">
          <cell r="I1126">
            <v>1831</v>
          </cell>
          <cell r="J1126">
            <v>0.1300082191780822</v>
          </cell>
        </row>
        <row r="1127">
          <cell r="I1127">
            <v>1832</v>
          </cell>
          <cell r="J1127">
            <v>0.13000986301369863</v>
          </cell>
        </row>
        <row r="1128">
          <cell r="I1128">
            <v>1833</v>
          </cell>
          <cell r="J1128">
            <v>0.13001150684931506</v>
          </cell>
        </row>
        <row r="1129">
          <cell r="I1129">
            <v>1834</v>
          </cell>
          <cell r="J1129">
            <v>0.13001315068493152</v>
          </cell>
        </row>
        <row r="1130">
          <cell r="I1130">
            <v>1835</v>
          </cell>
          <cell r="J1130">
            <v>0.13001479452054795</v>
          </cell>
        </row>
        <row r="1131">
          <cell r="I1131">
            <v>1836</v>
          </cell>
          <cell r="J1131">
            <v>0.13001643835616439</v>
          </cell>
        </row>
        <row r="1132">
          <cell r="I1132">
            <v>1837</v>
          </cell>
          <cell r="J1132">
            <v>0.13001808219178082</v>
          </cell>
        </row>
        <row r="1133">
          <cell r="I1133">
            <v>1838</v>
          </cell>
          <cell r="J1133">
            <v>0.13001972602739725</v>
          </cell>
        </row>
        <row r="1134">
          <cell r="I1134">
            <v>1839</v>
          </cell>
          <cell r="J1134">
            <v>0.13002136986301371</v>
          </cell>
        </row>
        <row r="1135">
          <cell r="I1135">
            <v>1840</v>
          </cell>
          <cell r="J1135">
            <v>0.13002301369863015</v>
          </cell>
        </row>
        <row r="1136">
          <cell r="I1136">
            <v>1841</v>
          </cell>
          <cell r="J1136">
            <v>0.13002465753424658</v>
          </cell>
        </row>
        <row r="1137">
          <cell r="I1137">
            <v>1842</v>
          </cell>
          <cell r="J1137">
            <v>0.13002630136986301</v>
          </cell>
        </row>
        <row r="1138">
          <cell r="I1138">
            <v>1843</v>
          </cell>
          <cell r="J1138">
            <v>0.13002794520547944</v>
          </cell>
        </row>
        <row r="1139">
          <cell r="I1139">
            <v>1844</v>
          </cell>
          <cell r="J1139">
            <v>0.13002958904109591</v>
          </cell>
        </row>
        <row r="1140">
          <cell r="I1140">
            <v>1845</v>
          </cell>
          <cell r="J1140">
            <v>0.13003123287671234</v>
          </cell>
        </row>
        <row r="1141">
          <cell r="I1141">
            <v>1846</v>
          </cell>
          <cell r="J1141">
            <v>0.13003287671232877</v>
          </cell>
        </row>
        <row r="1142">
          <cell r="I1142">
            <v>1847</v>
          </cell>
          <cell r="J1142">
            <v>0.1300345205479452</v>
          </cell>
        </row>
        <row r="1143">
          <cell r="I1143">
            <v>1848</v>
          </cell>
          <cell r="J1143">
            <v>0.13003616438356164</v>
          </cell>
        </row>
        <row r="1144">
          <cell r="I1144">
            <v>1849</v>
          </cell>
          <cell r="J1144">
            <v>0.1300378082191781</v>
          </cell>
        </row>
        <row r="1145">
          <cell r="I1145">
            <v>1850</v>
          </cell>
          <cell r="J1145">
            <v>0.13003945205479453</v>
          </cell>
        </row>
        <row r="1146">
          <cell r="I1146">
            <v>1851</v>
          </cell>
          <cell r="J1146">
            <v>0.13004109589041096</v>
          </cell>
        </row>
        <row r="1147">
          <cell r="I1147">
            <v>1852</v>
          </cell>
          <cell r="J1147">
            <v>0.1300427397260274</v>
          </cell>
        </row>
        <row r="1148">
          <cell r="I1148">
            <v>1853</v>
          </cell>
          <cell r="J1148">
            <v>0.13004438356164383</v>
          </cell>
        </row>
        <row r="1149">
          <cell r="I1149">
            <v>1854</v>
          </cell>
          <cell r="J1149">
            <v>0.13004602739726029</v>
          </cell>
        </row>
        <row r="1150">
          <cell r="I1150">
            <v>1855</v>
          </cell>
          <cell r="J1150">
            <v>0.13004767123287672</v>
          </cell>
        </row>
        <row r="1151">
          <cell r="I1151">
            <v>1856</v>
          </cell>
          <cell r="J1151">
            <v>0.13004931506849315</v>
          </cell>
        </row>
        <row r="1152">
          <cell r="I1152">
            <v>1857</v>
          </cell>
          <cell r="J1152">
            <v>0.13005095890410959</v>
          </cell>
        </row>
        <row r="1153">
          <cell r="I1153">
            <v>1858</v>
          </cell>
          <cell r="J1153">
            <v>0.13005260273972602</v>
          </cell>
        </row>
        <row r="1154">
          <cell r="I1154">
            <v>1859</v>
          </cell>
          <cell r="J1154">
            <v>0.13005424657534248</v>
          </cell>
        </row>
        <row r="1155">
          <cell r="I1155">
            <v>1860</v>
          </cell>
          <cell r="J1155">
            <v>0.13005589041095891</v>
          </cell>
        </row>
        <row r="1156">
          <cell r="I1156">
            <v>1861</v>
          </cell>
          <cell r="J1156">
            <v>0.13005753424657535</v>
          </cell>
        </row>
        <row r="1157">
          <cell r="I1157">
            <v>1862</v>
          </cell>
          <cell r="J1157">
            <v>0.13005917808219178</v>
          </cell>
        </row>
        <row r="1158">
          <cell r="I1158">
            <v>1863</v>
          </cell>
          <cell r="J1158">
            <v>0.13006082191780821</v>
          </cell>
        </row>
        <row r="1159">
          <cell r="I1159">
            <v>1864</v>
          </cell>
          <cell r="J1159">
            <v>0.13006246575342467</v>
          </cell>
        </row>
        <row r="1160">
          <cell r="I1160">
            <v>1865</v>
          </cell>
          <cell r="J1160">
            <v>0.1300641095890411</v>
          </cell>
        </row>
        <row r="1161">
          <cell r="I1161">
            <v>1866</v>
          </cell>
          <cell r="J1161">
            <v>0.13006575342465754</v>
          </cell>
        </row>
        <row r="1162">
          <cell r="I1162">
            <v>1867</v>
          </cell>
          <cell r="J1162">
            <v>0.13006739726027397</v>
          </cell>
        </row>
        <row r="1163">
          <cell r="I1163">
            <v>1868</v>
          </cell>
          <cell r="J1163">
            <v>0.1300690410958904</v>
          </cell>
        </row>
        <row r="1164">
          <cell r="I1164">
            <v>1869</v>
          </cell>
          <cell r="J1164">
            <v>0.13007068493150686</v>
          </cell>
        </row>
        <row r="1165">
          <cell r="I1165">
            <v>1870</v>
          </cell>
          <cell r="J1165">
            <v>0.1300723287671233</v>
          </cell>
        </row>
        <row r="1166">
          <cell r="I1166">
            <v>1871</v>
          </cell>
          <cell r="J1166">
            <v>0.13007397260273973</v>
          </cell>
        </row>
        <row r="1167">
          <cell r="I1167">
            <v>1872</v>
          </cell>
          <cell r="J1167">
            <v>0.13007561643835616</v>
          </cell>
        </row>
        <row r="1168">
          <cell r="I1168">
            <v>1873</v>
          </cell>
          <cell r="J1168">
            <v>0.13007726027397259</v>
          </cell>
        </row>
        <row r="1169">
          <cell r="I1169">
            <v>1874</v>
          </cell>
          <cell r="J1169">
            <v>0.13007890410958906</v>
          </cell>
        </row>
        <row r="1170">
          <cell r="I1170">
            <v>1875</v>
          </cell>
          <cell r="J1170">
            <v>0.13008054794520549</v>
          </cell>
        </row>
        <row r="1171">
          <cell r="I1171">
            <v>1876</v>
          </cell>
          <cell r="J1171">
            <v>0.13008219178082192</v>
          </cell>
        </row>
        <row r="1172">
          <cell r="I1172">
            <v>1877</v>
          </cell>
          <cell r="J1172">
            <v>0.13008383561643835</v>
          </cell>
        </row>
        <row r="1173">
          <cell r="I1173">
            <v>1878</v>
          </cell>
          <cell r="J1173">
            <v>0.13008547945205479</v>
          </cell>
        </row>
        <row r="1174">
          <cell r="I1174">
            <v>1879</v>
          </cell>
          <cell r="J1174">
            <v>0.13008712328767125</v>
          </cell>
        </row>
        <row r="1175">
          <cell r="I1175">
            <v>1880</v>
          </cell>
          <cell r="J1175">
            <v>0.13008876712328768</v>
          </cell>
        </row>
        <row r="1176">
          <cell r="I1176">
            <v>1881</v>
          </cell>
          <cell r="J1176">
            <v>0.13009041095890411</v>
          </cell>
        </row>
        <row r="1177">
          <cell r="I1177">
            <v>1882</v>
          </cell>
          <cell r="J1177">
            <v>0.13009205479452055</v>
          </cell>
        </row>
        <row r="1178">
          <cell r="I1178">
            <v>1883</v>
          </cell>
          <cell r="J1178">
            <v>0.13009369863013698</v>
          </cell>
        </row>
        <row r="1179">
          <cell r="I1179">
            <v>1884</v>
          </cell>
          <cell r="J1179">
            <v>0.13009534246575344</v>
          </cell>
        </row>
        <row r="1180">
          <cell r="I1180">
            <v>1885</v>
          </cell>
          <cell r="J1180">
            <v>0.13009698630136987</v>
          </cell>
        </row>
        <row r="1181">
          <cell r="I1181">
            <v>1886</v>
          </cell>
          <cell r="J1181">
            <v>0.1300986301369863</v>
          </cell>
        </row>
        <row r="1182">
          <cell r="I1182">
            <v>1887</v>
          </cell>
          <cell r="J1182">
            <v>0.13010027397260274</v>
          </cell>
        </row>
        <row r="1183">
          <cell r="I1183">
            <v>1888</v>
          </cell>
          <cell r="J1183">
            <v>0.13010191780821917</v>
          </cell>
        </row>
        <row r="1184">
          <cell r="I1184">
            <v>1889</v>
          </cell>
          <cell r="J1184">
            <v>0.13010356164383563</v>
          </cell>
        </row>
        <row r="1185">
          <cell r="I1185">
            <v>1890</v>
          </cell>
          <cell r="J1185">
            <v>0.13010520547945206</v>
          </cell>
        </row>
        <row r="1186">
          <cell r="I1186">
            <v>1891</v>
          </cell>
          <cell r="J1186">
            <v>0.1301068493150685</v>
          </cell>
        </row>
        <row r="1187">
          <cell r="I1187">
            <v>1892</v>
          </cell>
          <cell r="J1187">
            <v>0.13010849315068493</v>
          </cell>
        </row>
        <row r="1188">
          <cell r="I1188">
            <v>1893</v>
          </cell>
          <cell r="J1188">
            <v>0.13011013698630136</v>
          </cell>
        </row>
        <row r="1189">
          <cell r="I1189">
            <v>1894</v>
          </cell>
          <cell r="J1189">
            <v>0.13011178082191782</v>
          </cell>
        </row>
        <row r="1190">
          <cell r="I1190">
            <v>1895</v>
          </cell>
          <cell r="J1190">
            <v>0.13011342465753425</v>
          </cell>
        </row>
        <row r="1191">
          <cell r="I1191">
            <v>1896</v>
          </cell>
          <cell r="J1191">
            <v>0.13011506849315069</v>
          </cell>
        </row>
        <row r="1192">
          <cell r="I1192">
            <v>1897</v>
          </cell>
          <cell r="J1192">
            <v>0.13011671232876712</v>
          </cell>
        </row>
        <row r="1193">
          <cell r="I1193">
            <v>1898</v>
          </cell>
          <cell r="J1193">
            <v>0.13011835616438355</v>
          </cell>
        </row>
        <row r="1194">
          <cell r="I1194">
            <v>1899</v>
          </cell>
          <cell r="J1194">
            <v>0.13012000000000001</v>
          </cell>
        </row>
        <row r="1195">
          <cell r="I1195">
            <v>1900</v>
          </cell>
          <cell r="J1195">
            <v>0.13012164383561645</v>
          </cell>
        </row>
        <row r="1196">
          <cell r="I1196">
            <v>1901</v>
          </cell>
          <cell r="J1196">
            <v>0.13012328767123288</v>
          </cell>
        </row>
        <row r="1197">
          <cell r="I1197">
            <v>1902</v>
          </cell>
          <cell r="J1197">
            <v>0.13012493150684931</v>
          </cell>
        </row>
        <row r="1198">
          <cell r="I1198">
            <v>1903</v>
          </cell>
          <cell r="J1198">
            <v>0.13012657534246574</v>
          </cell>
        </row>
        <row r="1199">
          <cell r="I1199">
            <v>1904</v>
          </cell>
          <cell r="J1199">
            <v>0.13012821917808221</v>
          </cell>
        </row>
        <row r="1200">
          <cell r="I1200">
            <v>1905</v>
          </cell>
          <cell r="J1200">
            <v>0.13012986301369864</v>
          </cell>
        </row>
        <row r="1201">
          <cell r="I1201">
            <v>1906</v>
          </cell>
          <cell r="J1201">
            <v>0.13013150684931507</v>
          </cell>
        </row>
        <row r="1202">
          <cell r="I1202">
            <v>1907</v>
          </cell>
          <cell r="J1202">
            <v>0.1301331506849315</v>
          </cell>
        </row>
        <row r="1203">
          <cell r="I1203">
            <v>1908</v>
          </cell>
          <cell r="J1203">
            <v>0.13013479452054794</v>
          </cell>
        </row>
        <row r="1204">
          <cell r="I1204">
            <v>1909</v>
          </cell>
          <cell r="J1204">
            <v>0.1301364383561644</v>
          </cell>
        </row>
        <row r="1205">
          <cell r="I1205">
            <v>1910</v>
          </cell>
          <cell r="J1205">
            <v>0.13013808219178083</v>
          </cell>
        </row>
        <row r="1206">
          <cell r="I1206">
            <v>1911</v>
          </cell>
          <cell r="J1206">
            <v>0.13013972602739726</v>
          </cell>
        </row>
        <row r="1207">
          <cell r="I1207">
            <v>1912</v>
          </cell>
          <cell r="J1207">
            <v>0.1301413698630137</v>
          </cell>
        </row>
        <row r="1208">
          <cell r="I1208">
            <v>1913</v>
          </cell>
          <cell r="J1208">
            <v>0.13014301369863013</v>
          </cell>
        </row>
        <row r="1209">
          <cell r="I1209">
            <v>1914</v>
          </cell>
          <cell r="J1209">
            <v>0.13014465753424659</v>
          </cell>
        </row>
        <row r="1210">
          <cell r="I1210">
            <v>1915</v>
          </cell>
          <cell r="J1210">
            <v>0.13014630136986302</v>
          </cell>
        </row>
        <row r="1211">
          <cell r="I1211">
            <v>1916</v>
          </cell>
          <cell r="J1211">
            <v>0.13014794520547945</v>
          </cell>
        </row>
        <row r="1212">
          <cell r="I1212">
            <v>1917</v>
          </cell>
          <cell r="J1212">
            <v>0.13014958904109589</v>
          </cell>
        </row>
        <row r="1213">
          <cell r="I1213">
            <v>1918</v>
          </cell>
          <cell r="J1213">
            <v>0.13015123287671232</v>
          </cell>
        </row>
        <row r="1214">
          <cell r="I1214">
            <v>1919</v>
          </cell>
          <cell r="J1214">
            <v>0.13015287671232878</v>
          </cell>
        </row>
        <row r="1215">
          <cell r="I1215">
            <v>1920</v>
          </cell>
          <cell r="J1215">
            <v>0.13015452054794521</v>
          </cell>
        </row>
        <row r="1216">
          <cell r="I1216">
            <v>1921</v>
          </cell>
          <cell r="J1216">
            <v>0.13015616438356165</v>
          </cell>
        </row>
        <row r="1217">
          <cell r="I1217">
            <v>1922</v>
          </cell>
          <cell r="J1217">
            <v>0.13015780821917808</v>
          </cell>
        </row>
        <row r="1218">
          <cell r="I1218">
            <v>1923</v>
          </cell>
          <cell r="J1218">
            <v>0.13015945205479451</v>
          </cell>
        </row>
        <row r="1219">
          <cell r="I1219">
            <v>1924</v>
          </cell>
          <cell r="J1219">
            <v>0.13016109589041097</v>
          </cell>
        </row>
        <row r="1220">
          <cell r="I1220">
            <v>1925</v>
          </cell>
          <cell r="J1220">
            <v>0.1301627397260274</v>
          </cell>
        </row>
        <row r="1221">
          <cell r="I1221">
            <v>1926</v>
          </cell>
          <cell r="J1221">
            <v>0.13016438356164384</v>
          </cell>
        </row>
        <row r="1222">
          <cell r="I1222">
            <v>1927</v>
          </cell>
          <cell r="J1222">
            <v>0.13016602739726027</v>
          </cell>
        </row>
        <row r="1223">
          <cell r="I1223">
            <v>1928</v>
          </cell>
          <cell r="J1223">
            <v>0.1301676712328767</v>
          </cell>
        </row>
        <row r="1224">
          <cell r="I1224">
            <v>1929</v>
          </cell>
          <cell r="J1224">
            <v>0.13016931506849316</v>
          </cell>
        </row>
        <row r="1225">
          <cell r="I1225">
            <v>1930</v>
          </cell>
          <cell r="J1225">
            <v>0.1301709589041096</v>
          </cell>
        </row>
        <row r="1226">
          <cell r="I1226">
            <v>1931</v>
          </cell>
          <cell r="J1226">
            <v>0.13017260273972603</v>
          </cell>
        </row>
        <row r="1227">
          <cell r="I1227">
            <v>1932</v>
          </cell>
          <cell r="J1227">
            <v>0.13017424657534246</v>
          </cell>
        </row>
        <row r="1228">
          <cell r="I1228">
            <v>1933</v>
          </cell>
          <cell r="J1228">
            <v>0.13017589041095889</v>
          </cell>
        </row>
        <row r="1229">
          <cell r="I1229">
            <v>1934</v>
          </cell>
          <cell r="J1229">
            <v>0.13017753424657535</v>
          </cell>
        </row>
        <row r="1230">
          <cell r="I1230">
            <v>1935</v>
          </cell>
          <cell r="J1230">
            <v>0.13017917808219179</v>
          </cell>
        </row>
        <row r="1231">
          <cell r="I1231">
            <v>1936</v>
          </cell>
          <cell r="J1231">
            <v>0.13018082191780822</v>
          </cell>
        </row>
        <row r="1232">
          <cell r="I1232">
            <v>1937</v>
          </cell>
          <cell r="J1232">
            <v>0.13018246575342465</v>
          </cell>
        </row>
        <row r="1233">
          <cell r="I1233">
            <v>1938</v>
          </cell>
          <cell r="J1233">
            <v>0.13018410958904109</v>
          </cell>
        </row>
        <row r="1234">
          <cell r="I1234">
            <v>1939</v>
          </cell>
          <cell r="J1234">
            <v>0.13018575342465755</v>
          </cell>
        </row>
        <row r="1235">
          <cell r="I1235">
            <v>1940</v>
          </cell>
          <cell r="J1235">
            <v>0.13018739726027398</v>
          </cell>
        </row>
        <row r="1236">
          <cell r="I1236">
            <v>1941</v>
          </cell>
          <cell r="J1236">
            <v>0.13018904109589041</v>
          </cell>
        </row>
        <row r="1237">
          <cell r="I1237">
            <v>1942</v>
          </cell>
          <cell r="J1237">
            <v>0.13019068493150684</v>
          </cell>
        </row>
        <row r="1238">
          <cell r="I1238">
            <v>1943</v>
          </cell>
          <cell r="J1238">
            <v>0.13019232876712328</v>
          </cell>
        </row>
        <row r="1239">
          <cell r="I1239">
            <v>1944</v>
          </cell>
          <cell r="J1239">
            <v>0.13019397260273974</v>
          </cell>
        </row>
        <row r="1240">
          <cell r="I1240">
            <v>1945</v>
          </cell>
          <cell r="J1240">
            <v>0.13019561643835617</v>
          </cell>
        </row>
        <row r="1241">
          <cell r="I1241">
            <v>1946</v>
          </cell>
          <cell r="J1241">
            <v>0.1301972602739726</v>
          </cell>
        </row>
        <row r="1242">
          <cell r="I1242">
            <v>1947</v>
          </cell>
          <cell r="J1242">
            <v>0.13019890410958904</v>
          </cell>
        </row>
        <row r="1243">
          <cell r="I1243">
            <v>1948</v>
          </cell>
          <cell r="J1243">
            <v>0.13020054794520547</v>
          </cell>
        </row>
        <row r="1244">
          <cell r="I1244">
            <v>1949</v>
          </cell>
          <cell r="J1244">
            <v>0.13020219178082193</v>
          </cell>
        </row>
        <row r="1245">
          <cell r="I1245">
            <v>1950</v>
          </cell>
          <cell r="J1245">
            <v>0.13020383561643836</v>
          </cell>
        </row>
        <row r="1246">
          <cell r="I1246">
            <v>1951</v>
          </cell>
          <cell r="J1246">
            <v>0.1302054794520548</v>
          </cell>
        </row>
        <row r="1247">
          <cell r="I1247">
            <v>1952</v>
          </cell>
          <cell r="J1247">
            <v>0.13020712328767123</v>
          </cell>
        </row>
        <row r="1248">
          <cell r="I1248">
            <v>1953</v>
          </cell>
          <cell r="J1248">
            <v>0.13020876712328766</v>
          </cell>
        </row>
        <row r="1249">
          <cell r="I1249">
            <v>1954</v>
          </cell>
          <cell r="J1249">
            <v>0.13021041095890412</v>
          </cell>
        </row>
        <row r="1250">
          <cell r="I1250">
            <v>1955</v>
          </cell>
          <cell r="J1250">
            <v>0.13021205479452055</v>
          </cell>
        </row>
        <row r="1251">
          <cell r="I1251">
            <v>1956</v>
          </cell>
          <cell r="J1251">
            <v>0.13021369863013699</v>
          </cell>
        </row>
        <row r="1252">
          <cell r="I1252">
            <v>1957</v>
          </cell>
          <cell r="J1252">
            <v>0.13021534246575342</v>
          </cell>
        </row>
        <row r="1253">
          <cell r="I1253">
            <v>1958</v>
          </cell>
          <cell r="J1253">
            <v>0.13021698630136985</v>
          </cell>
        </row>
        <row r="1254">
          <cell r="I1254">
            <v>1959</v>
          </cell>
          <cell r="J1254">
            <v>0.13021863013698631</v>
          </cell>
        </row>
        <row r="1255">
          <cell r="I1255">
            <v>1960</v>
          </cell>
          <cell r="J1255">
            <v>0.13022027397260275</v>
          </cell>
        </row>
        <row r="1256">
          <cell r="I1256">
            <v>1961</v>
          </cell>
          <cell r="J1256">
            <v>0.13022191780821918</v>
          </cell>
        </row>
        <row r="1257">
          <cell r="I1257">
            <v>1962</v>
          </cell>
          <cell r="J1257">
            <v>0.13022356164383561</v>
          </cell>
        </row>
        <row r="1258">
          <cell r="I1258">
            <v>1963</v>
          </cell>
          <cell r="J1258">
            <v>0.13022520547945204</v>
          </cell>
        </row>
        <row r="1259">
          <cell r="I1259">
            <v>1964</v>
          </cell>
          <cell r="J1259">
            <v>0.1302268493150685</v>
          </cell>
        </row>
        <row r="1260">
          <cell r="I1260">
            <v>1965</v>
          </cell>
          <cell r="J1260">
            <v>0.13022849315068494</v>
          </cell>
        </row>
        <row r="1261">
          <cell r="I1261">
            <v>1966</v>
          </cell>
          <cell r="J1261">
            <v>0.13023013698630137</v>
          </cell>
        </row>
        <row r="1262">
          <cell r="I1262">
            <v>1967</v>
          </cell>
          <cell r="J1262">
            <v>0.1302317808219178</v>
          </cell>
        </row>
        <row r="1263">
          <cell r="I1263">
            <v>1968</v>
          </cell>
          <cell r="J1263">
            <v>0.13023342465753424</v>
          </cell>
        </row>
        <row r="1264">
          <cell r="I1264">
            <v>1969</v>
          </cell>
          <cell r="J1264">
            <v>0.1302350684931507</v>
          </cell>
        </row>
        <row r="1265">
          <cell r="I1265">
            <v>1970</v>
          </cell>
          <cell r="J1265">
            <v>0.13023671232876713</v>
          </cell>
        </row>
        <row r="1266">
          <cell r="I1266">
            <v>1971</v>
          </cell>
          <cell r="J1266">
            <v>0.13023835616438356</v>
          </cell>
        </row>
        <row r="1267">
          <cell r="I1267">
            <v>1972</v>
          </cell>
          <cell r="J1267">
            <v>0.13023999999999999</v>
          </cell>
        </row>
        <row r="1268">
          <cell r="I1268">
            <v>1973</v>
          </cell>
          <cell r="J1268">
            <v>0.13024164383561643</v>
          </cell>
        </row>
        <row r="1269">
          <cell r="I1269">
            <v>1974</v>
          </cell>
          <cell r="J1269">
            <v>0.13024328767123289</v>
          </cell>
        </row>
        <row r="1270">
          <cell r="I1270">
            <v>1975</v>
          </cell>
          <cell r="J1270">
            <v>0.13024493150684932</v>
          </cell>
        </row>
        <row r="1271">
          <cell r="I1271">
            <v>1976</v>
          </cell>
          <cell r="J1271">
            <v>0.13024657534246575</v>
          </cell>
        </row>
        <row r="1272">
          <cell r="I1272">
            <v>1977</v>
          </cell>
          <cell r="J1272">
            <v>0.13024821917808219</v>
          </cell>
        </row>
        <row r="1273">
          <cell r="I1273">
            <v>1978</v>
          </cell>
          <cell r="J1273">
            <v>0.13024986301369862</v>
          </cell>
        </row>
        <row r="1274">
          <cell r="I1274">
            <v>1979</v>
          </cell>
          <cell r="J1274">
            <v>0.13025150684931508</v>
          </cell>
        </row>
        <row r="1275">
          <cell r="I1275">
            <v>1980</v>
          </cell>
          <cell r="J1275">
            <v>0.13025315068493151</v>
          </cell>
        </row>
        <row r="1276">
          <cell r="I1276">
            <v>1981</v>
          </cell>
          <cell r="J1276">
            <v>0.13025479452054795</v>
          </cell>
        </row>
        <row r="1277">
          <cell r="I1277">
            <v>1982</v>
          </cell>
          <cell r="J1277">
            <v>0.13025643835616438</v>
          </cell>
        </row>
        <row r="1278">
          <cell r="I1278">
            <v>1983</v>
          </cell>
          <cell r="J1278">
            <v>0.13025808219178081</v>
          </cell>
        </row>
        <row r="1279">
          <cell r="I1279">
            <v>1984</v>
          </cell>
          <cell r="J1279">
            <v>0.13025972602739727</v>
          </cell>
        </row>
        <row r="1280">
          <cell r="I1280">
            <v>1985</v>
          </cell>
          <cell r="J1280">
            <v>0.1302613698630137</v>
          </cell>
        </row>
        <row r="1281">
          <cell r="I1281">
            <v>1986</v>
          </cell>
          <cell r="J1281">
            <v>0.13026301369863014</v>
          </cell>
        </row>
        <row r="1282">
          <cell r="I1282">
            <v>1987</v>
          </cell>
          <cell r="J1282">
            <v>0.13026465753424657</v>
          </cell>
        </row>
        <row r="1283">
          <cell r="I1283">
            <v>1988</v>
          </cell>
          <cell r="J1283">
            <v>0.130266301369863</v>
          </cell>
        </row>
        <row r="1284">
          <cell r="I1284">
            <v>1989</v>
          </cell>
          <cell r="J1284">
            <v>0.13026794520547946</v>
          </cell>
        </row>
        <row r="1285">
          <cell r="I1285">
            <v>1990</v>
          </cell>
          <cell r="J1285">
            <v>0.1302695890410959</v>
          </cell>
        </row>
        <row r="1286">
          <cell r="I1286">
            <v>1991</v>
          </cell>
          <cell r="J1286">
            <v>0.13027123287671233</v>
          </cell>
        </row>
        <row r="1287">
          <cell r="I1287">
            <v>1992</v>
          </cell>
          <cell r="J1287">
            <v>0.13027287671232876</v>
          </cell>
        </row>
        <row r="1288">
          <cell r="I1288">
            <v>1993</v>
          </cell>
          <cell r="J1288">
            <v>0.13027452054794519</v>
          </cell>
        </row>
        <row r="1289">
          <cell r="I1289">
            <v>1994</v>
          </cell>
          <cell r="J1289">
            <v>0.13027616438356165</v>
          </cell>
        </row>
        <row r="1290">
          <cell r="I1290">
            <v>1995</v>
          </cell>
          <cell r="J1290">
            <v>0.13027780821917809</v>
          </cell>
        </row>
        <row r="1291">
          <cell r="I1291">
            <v>1996</v>
          </cell>
          <cell r="J1291">
            <v>0.13027945205479452</v>
          </cell>
        </row>
        <row r="1292">
          <cell r="I1292">
            <v>1997</v>
          </cell>
          <cell r="J1292">
            <v>0.13028109589041095</v>
          </cell>
        </row>
        <row r="1293">
          <cell r="I1293">
            <v>1998</v>
          </cell>
          <cell r="J1293">
            <v>0.13028273972602739</v>
          </cell>
        </row>
        <row r="1294">
          <cell r="I1294">
            <v>1999</v>
          </cell>
          <cell r="J1294">
            <v>0.13028438356164385</v>
          </cell>
        </row>
        <row r="1295">
          <cell r="I1295">
            <v>2000</v>
          </cell>
          <cell r="J1295">
            <v>0.13028602739726028</v>
          </cell>
        </row>
        <row r="1296">
          <cell r="I1296">
            <v>2001</v>
          </cell>
          <cell r="J1296">
            <v>0.13028767123287671</v>
          </cell>
        </row>
        <row r="1297">
          <cell r="I1297">
            <v>2002</v>
          </cell>
          <cell r="J1297">
            <v>0.13028931506849314</v>
          </cell>
        </row>
        <row r="1298">
          <cell r="I1298">
            <v>2003</v>
          </cell>
          <cell r="J1298">
            <v>0.13029095890410958</v>
          </cell>
        </row>
        <row r="1299">
          <cell r="I1299">
            <v>2004</v>
          </cell>
          <cell r="J1299">
            <v>0.13029260273972604</v>
          </cell>
        </row>
        <row r="1300">
          <cell r="I1300">
            <v>2005</v>
          </cell>
          <cell r="J1300">
            <v>0.13029424657534247</v>
          </cell>
        </row>
        <row r="1301">
          <cell r="I1301">
            <v>2006</v>
          </cell>
          <cell r="J1301">
            <v>0.1302958904109589</v>
          </cell>
        </row>
        <row r="1302">
          <cell r="I1302">
            <v>2007</v>
          </cell>
          <cell r="J1302">
            <v>0.13029753424657534</v>
          </cell>
        </row>
        <row r="1303">
          <cell r="I1303">
            <v>2008</v>
          </cell>
          <cell r="J1303">
            <v>0.13029917808219177</v>
          </cell>
        </row>
        <row r="1304">
          <cell r="I1304">
            <v>2009</v>
          </cell>
          <cell r="J1304">
            <v>0.13030082191780823</v>
          </cell>
        </row>
        <row r="1305">
          <cell r="I1305">
            <v>2010</v>
          </cell>
          <cell r="J1305">
            <v>0.13030246575342466</v>
          </cell>
        </row>
        <row r="1306">
          <cell r="I1306">
            <v>2011</v>
          </cell>
          <cell r="J1306">
            <v>0.13030410958904109</v>
          </cell>
        </row>
        <row r="1307">
          <cell r="I1307">
            <v>2012</v>
          </cell>
          <cell r="J1307">
            <v>0.13030575342465753</v>
          </cell>
        </row>
        <row r="1308">
          <cell r="I1308">
            <v>2013</v>
          </cell>
          <cell r="J1308">
            <v>0.13030739726027396</v>
          </cell>
        </row>
        <row r="1309">
          <cell r="I1309">
            <v>2014</v>
          </cell>
          <cell r="J1309">
            <v>0.13030904109589042</v>
          </cell>
        </row>
        <row r="1310">
          <cell r="I1310">
            <v>2015</v>
          </cell>
          <cell r="J1310">
            <v>0.13031068493150685</v>
          </cell>
        </row>
        <row r="1311">
          <cell r="I1311">
            <v>2016</v>
          </cell>
          <cell r="J1311">
            <v>0.13031232876712329</v>
          </cell>
        </row>
        <row r="1312">
          <cell r="I1312">
            <v>2017</v>
          </cell>
          <cell r="J1312">
            <v>0.13031397260273972</v>
          </cell>
        </row>
        <row r="1313">
          <cell r="I1313">
            <v>2018</v>
          </cell>
          <cell r="J1313">
            <v>0.13031561643835615</v>
          </cell>
        </row>
        <row r="1314">
          <cell r="I1314">
            <v>2019</v>
          </cell>
          <cell r="J1314">
            <v>0.13031726027397261</v>
          </cell>
        </row>
        <row r="1315">
          <cell r="I1315">
            <v>2020</v>
          </cell>
          <cell r="J1315">
            <v>0.13031890410958905</v>
          </cell>
        </row>
        <row r="1316">
          <cell r="I1316">
            <v>2021</v>
          </cell>
          <cell r="J1316">
            <v>0.13032054794520548</v>
          </cell>
        </row>
        <row r="1317">
          <cell r="I1317">
            <v>2022</v>
          </cell>
          <cell r="J1317">
            <v>0.13032219178082191</v>
          </cell>
        </row>
        <row r="1318">
          <cell r="I1318">
            <v>2023</v>
          </cell>
          <cell r="J1318">
            <v>0.13032383561643834</v>
          </cell>
        </row>
        <row r="1319">
          <cell r="I1319">
            <v>2024</v>
          </cell>
          <cell r="J1319">
            <v>0.1303254794520548</v>
          </cell>
        </row>
        <row r="1320">
          <cell r="I1320">
            <v>2025</v>
          </cell>
          <cell r="J1320">
            <v>0.13032712328767124</v>
          </cell>
        </row>
        <row r="1321">
          <cell r="I1321">
            <v>2026</v>
          </cell>
          <cell r="J1321">
            <v>0.13032876712328767</v>
          </cell>
        </row>
        <row r="1322">
          <cell r="I1322">
            <v>2027</v>
          </cell>
          <cell r="J1322">
            <v>0.1303304109589041</v>
          </cell>
        </row>
        <row r="1323">
          <cell r="I1323">
            <v>2028</v>
          </cell>
          <cell r="J1323">
            <v>0.13033205479452054</v>
          </cell>
        </row>
        <row r="1324">
          <cell r="I1324">
            <v>2029</v>
          </cell>
          <cell r="J1324">
            <v>0.130333698630137</v>
          </cell>
        </row>
        <row r="1325">
          <cell r="I1325">
            <v>2030</v>
          </cell>
          <cell r="J1325">
            <v>0.13033534246575343</v>
          </cell>
        </row>
        <row r="1326">
          <cell r="I1326">
            <v>2031</v>
          </cell>
          <cell r="J1326">
            <v>0.13033698630136986</v>
          </cell>
        </row>
        <row r="1327">
          <cell r="I1327">
            <v>2032</v>
          </cell>
          <cell r="J1327">
            <v>0.13033863013698629</v>
          </cell>
        </row>
        <row r="1328">
          <cell r="I1328">
            <v>2033</v>
          </cell>
          <cell r="J1328">
            <v>0.13034027397260273</v>
          </cell>
        </row>
        <row r="1329">
          <cell r="I1329">
            <v>2034</v>
          </cell>
          <cell r="J1329">
            <v>0.13034191780821919</v>
          </cell>
        </row>
        <row r="1330">
          <cell r="I1330">
            <v>2035</v>
          </cell>
          <cell r="J1330">
            <v>0.13034356164383562</v>
          </cell>
        </row>
        <row r="1331">
          <cell r="I1331">
            <v>2036</v>
          </cell>
          <cell r="J1331">
            <v>0.13034520547945205</v>
          </cell>
        </row>
        <row r="1332">
          <cell r="I1332">
            <v>2037</v>
          </cell>
          <cell r="J1332">
            <v>0.13034684931506849</v>
          </cell>
        </row>
        <row r="1333">
          <cell r="I1333">
            <v>2038</v>
          </cell>
          <cell r="J1333">
            <v>0.13034849315068492</v>
          </cell>
        </row>
        <row r="1334">
          <cell r="I1334">
            <v>2039</v>
          </cell>
          <cell r="J1334">
            <v>0.13035013698630138</v>
          </cell>
        </row>
        <row r="1335">
          <cell r="I1335">
            <v>2040</v>
          </cell>
          <cell r="J1335">
            <v>0.13035178082191781</v>
          </cell>
        </row>
        <row r="1336">
          <cell r="I1336">
            <v>2041</v>
          </cell>
          <cell r="J1336">
            <v>0.13035342465753424</v>
          </cell>
        </row>
        <row r="1337">
          <cell r="I1337">
            <v>2042</v>
          </cell>
          <cell r="J1337">
            <v>0.13035506849315068</v>
          </cell>
        </row>
        <row r="1338">
          <cell r="I1338">
            <v>2043</v>
          </cell>
          <cell r="J1338">
            <v>0.13035671232876711</v>
          </cell>
        </row>
        <row r="1339">
          <cell r="I1339">
            <v>2044</v>
          </cell>
          <cell r="J1339">
            <v>0.13035835616438357</v>
          </cell>
        </row>
        <row r="1340">
          <cell r="I1340">
            <v>2045</v>
          </cell>
          <cell r="J1340">
            <v>0.13036</v>
          </cell>
        </row>
        <row r="1341">
          <cell r="I1341">
            <v>2046</v>
          </cell>
          <cell r="J1341">
            <v>0.13036164383561644</v>
          </cell>
        </row>
        <row r="1342">
          <cell r="I1342">
            <v>2047</v>
          </cell>
          <cell r="J1342">
            <v>0.13036328767123287</v>
          </cell>
        </row>
        <row r="1343">
          <cell r="I1343">
            <v>2048</v>
          </cell>
          <cell r="J1343">
            <v>0.1303649315068493</v>
          </cell>
        </row>
        <row r="1344">
          <cell r="I1344">
            <v>2049</v>
          </cell>
          <cell r="J1344">
            <v>0.13036657534246576</v>
          </cell>
        </row>
        <row r="1345">
          <cell r="I1345">
            <v>2050</v>
          </cell>
          <cell r="J1345">
            <v>0.1303682191780822</v>
          </cell>
        </row>
        <row r="1346">
          <cell r="I1346">
            <v>2051</v>
          </cell>
          <cell r="J1346">
            <v>0.13036986301369863</v>
          </cell>
        </row>
        <row r="1347">
          <cell r="I1347">
            <v>2052</v>
          </cell>
          <cell r="J1347">
            <v>0.13037150684931506</v>
          </cell>
        </row>
        <row r="1348">
          <cell r="I1348">
            <v>2053</v>
          </cell>
          <cell r="J1348">
            <v>0.13037315068493149</v>
          </cell>
        </row>
        <row r="1349">
          <cell r="I1349">
            <v>2054</v>
          </cell>
          <cell r="J1349">
            <v>0.13037479452054795</v>
          </cell>
        </row>
        <row r="1350">
          <cell r="I1350">
            <v>2055</v>
          </cell>
          <cell r="J1350">
            <v>0.13037643835616439</v>
          </cell>
        </row>
        <row r="1351">
          <cell r="I1351">
            <v>2056</v>
          </cell>
          <cell r="J1351">
            <v>0.13037808219178082</v>
          </cell>
        </row>
        <row r="1352">
          <cell r="I1352">
            <v>2057</v>
          </cell>
          <cell r="J1352">
            <v>0.13037972602739725</v>
          </cell>
        </row>
        <row r="1353">
          <cell r="I1353">
            <v>2058</v>
          </cell>
          <cell r="J1353">
            <v>0.13038136986301369</v>
          </cell>
        </row>
        <row r="1354">
          <cell r="I1354">
            <v>2059</v>
          </cell>
          <cell r="J1354">
            <v>0.13038301369863015</v>
          </cell>
        </row>
        <row r="1355">
          <cell r="I1355">
            <v>2060</v>
          </cell>
          <cell r="J1355">
            <v>0.13038465753424658</v>
          </cell>
        </row>
        <row r="1356">
          <cell r="I1356">
            <v>2061</v>
          </cell>
          <cell r="J1356">
            <v>0.13038630136986301</v>
          </cell>
        </row>
        <row r="1357">
          <cell r="I1357">
            <v>2062</v>
          </cell>
          <cell r="J1357">
            <v>0.13038794520547944</v>
          </cell>
        </row>
        <row r="1358">
          <cell r="I1358">
            <v>2063</v>
          </cell>
          <cell r="J1358">
            <v>0.13038958904109588</v>
          </cell>
        </row>
        <row r="1359">
          <cell r="I1359">
            <v>2064</v>
          </cell>
          <cell r="J1359">
            <v>0.13039123287671234</v>
          </cell>
        </row>
        <row r="1360">
          <cell r="I1360">
            <v>2065</v>
          </cell>
          <cell r="J1360">
            <v>0.13039287671232877</v>
          </cell>
        </row>
        <row r="1361">
          <cell r="I1361">
            <v>2066</v>
          </cell>
          <cell r="J1361">
            <v>0.1303945205479452</v>
          </cell>
        </row>
        <row r="1362">
          <cell r="I1362">
            <v>2067</v>
          </cell>
          <cell r="J1362">
            <v>0.13039616438356164</v>
          </cell>
        </row>
        <row r="1363">
          <cell r="I1363">
            <v>2068</v>
          </cell>
          <cell r="J1363">
            <v>0.13039780821917807</v>
          </cell>
        </row>
        <row r="1364">
          <cell r="I1364">
            <v>2069</v>
          </cell>
          <cell r="J1364">
            <v>0.13039945205479453</v>
          </cell>
        </row>
        <row r="1365">
          <cell r="I1365">
            <v>2070</v>
          </cell>
          <cell r="J1365">
            <v>0.13040109589041096</v>
          </cell>
        </row>
        <row r="1366">
          <cell r="I1366">
            <v>2071</v>
          </cell>
          <cell r="J1366">
            <v>0.13040273972602739</v>
          </cell>
        </row>
        <row r="1367">
          <cell r="I1367">
            <v>2072</v>
          </cell>
          <cell r="J1367">
            <v>0.13040438356164383</v>
          </cell>
        </row>
        <row r="1368">
          <cell r="I1368">
            <v>2073</v>
          </cell>
          <cell r="J1368">
            <v>0.13040602739726026</v>
          </cell>
        </row>
        <row r="1369">
          <cell r="I1369">
            <v>2074</v>
          </cell>
          <cell r="J1369">
            <v>0.13040767123287672</v>
          </cell>
        </row>
        <row r="1370">
          <cell r="I1370">
            <v>2075</v>
          </cell>
          <cell r="J1370">
            <v>0.13040931506849315</v>
          </cell>
        </row>
        <row r="1371">
          <cell r="I1371">
            <v>2076</v>
          </cell>
          <cell r="J1371">
            <v>0.13041095890410959</v>
          </cell>
        </row>
        <row r="1372">
          <cell r="I1372">
            <v>2077</v>
          </cell>
          <cell r="J1372">
            <v>0.13041260273972602</v>
          </cell>
        </row>
        <row r="1373">
          <cell r="I1373">
            <v>2078</v>
          </cell>
          <cell r="J1373">
            <v>0.13041424657534245</v>
          </cell>
        </row>
        <row r="1374">
          <cell r="I1374">
            <v>2079</v>
          </cell>
          <cell r="J1374">
            <v>0.13041589041095891</v>
          </cell>
        </row>
        <row r="1375">
          <cell r="I1375">
            <v>2080</v>
          </cell>
          <cell r="J1375">
            <v>0.13041753424657535</v>
          </cell>
        </row>
        <row r="1376">
          <cell r="I1376">
            <v>2081</v>
          </cell>
          <cell r="J1376">
            <v>0.13041917808219178</v>
          </cell>
        </row>
        <row r="1377">
          <cell r="I1377">
            <v>2082</v>
          </cell>
          <cell r="J1377">
            <v>0.13042082191780821</v>
          </cell>
        </row>
        <row r="1378">
          <cell r="I1378">
            <v>2083</v>
          </cell>
          <cell r="J1378">
            <v>0.13042246575342464</v>
          </cell>
        </row>
        <row r="1379">
          <cell r="I1379">
            <v>2084</v>
          </cell>
          <cell r="J1379">
            <v>0.1304241095890411</v>
          </cell>
        </row>
        <row r="1380">
          <cell r="I1380">
            <v>2085</v>
          </cell>
          <cell r="J1380">
            <v>0.13042575342465754</v>
          </cell>
        </row>
        <row r="1381">
          <cell r="I1381">
            <v>2086</v>
          </cell>
          <cell r="J1381">
            <v>0.13042739726027397</v>
          </cell>
        </row>
        <row r="1382">
          <cell r="I1382">
            <v>2087</v>
          </cell>
          <cell r="J1382">
            <v>0.1304290410958904</v>
          </cell>
        </row>
        <row r="1383">
          <cell r="I1383">
            <v>2088</v>
          </cell>
          <cell r="J1383">
            <v>0.13043068493150684</v>
          </cell>
        </row>
        <row r="1384">
          <cell r="I1384">
            <v>2089</v>
          </cell>
          <cell r="J1384">
            <v>0.1304323287671233</v>
          </cell>
        </row>
        <row r="1385">
          <cell r="I1385">
            <v>2090</v>
          </cell>
          <cell r="J1385">
            <v>0.13043397260273973</v>
          </cell>
        </row>
        <row r="1386">
          <cell r="I1386">
            <v>2091</v>
          </cell>
          <cell r="J1386">
            <v>0.13043561643835616</v>
          </cell>
        </row>
        <row r="1387">
          <cell r="I1387">
            <v>2092</v>
          </cell>
          <cell r="J1387">
            <v>0.13043726027397259</v>
          </cell>
        </row>
        <row r="1388">
          <cell r="I1388">
            <v>2093</v>
          </cell>
          <cell r="J1388">
            <v>0.13043890410958903</v>
          </cell>
        </row>
        <row r="1389">
          <cell r="I1389">
            <v>2094</v>
          </cell>
          <cell r="J1389">
            <v>0.13044054794520549</v>
          </cell>
        </row>
        <row r="1390">
          <cell r="I1390">
            <v>2095</v>
          </cell>
          <cell r="J1390">
            <v>0.13044219178082192</v>
          </cell>
        </row>
        <row r="1391">
          <cell r="I1391">
            <v>2096</v>
          </cell>
          <cell r="J1391">
            <v>0.13044383561643835</v>
          </cell>
        </row>
        <row r="1392">
          <cell r="I1392">
            <v>2097</v>
          </cell>
          <cell r="J1392">
            <v>0.13044547945205479</v>
          </cell>
        </row>
        <row r="1393">
          <cell r="I1393">
            <v>2098</v>
          </cell>
          <cell r="J1393">
            <v>0.13044712328767122</v>
          </cell>
        </row>
        <row r="1394">
          <cell r="I1394">
            <v>2099</v>
          </cell>
          <cell r="J1394">
            <v>0.13044876712328768</v>
          </cell>
        </row>
        <row r="1395">
          <cell r="I1395">
            <v>2100</v>
          </cell>
          <cell r="J1395">
            <v>0.13045041095890411</v>
          </cell>
        </row>
        <row r="1396">
          <cell r="I1396">
            <v>2101</v>
          </cell>
          <cell r="J1396">
            <v>0.13045205479452054</v>
          </cell>
        </row>
        <row r="1397">
          <cell r="I1397">
            <v>2102</v>
          </cell>
          <cell r="J1397">
            <v>0.13045369863013698</v>
          </cell>
        </row>
        <row r="1398">
          <cell r="I1398">
            <v>2103</v>
          </cell>
          <cell r="J1398">
            <v>0.13045534246575341</v>
          </cell>
        </row>
        <row r="1399">
          <cell r="I1399">
            <v>2104</v>
          </cell>
          <cell r="J1399">
            <v>0.13045698630136987</v>
          </cell>
        </row>
        <row r="1400">
          <cell r="I1400">
            <v>2105</v>
          </cell>
          <cell r="J1400">
            <v>0.1304586301369863</v>
          </cell>
        </row>
        <row r="1401">
          <cell r="I1401">
            <v>2106</v>
          </cell>
          <cell r="J1401">
            <v>0.13046027397260274</v>
          </cell>
        </row>
        <row r="1402">
          <cell r="I1402">
            <v>2107</v>
          </cell>
          <cell r="J1402">
            <v>0.13046191780821917</v>
          </cell>
        </row>
        <row r="1403">
          <cell r="I1403">
            <v>2108</v>
          </cell>
          <cell r="J1403">
            <v>0.1304635616438356</v>
          </cell>
        </row>
        <row r="1404">
          <cell r="I1404">
            <v>2109</v>
          </cell>
          <cell r="J1404">
            <v>0.13046520547945206</v>
          </cell>
        </row>
        <row r="1405">
          <cell r="I1405">
            <v>2110</v>
          </cell>
          <cell r="J1405">
            <v>0.13046684931506849</v>
          </cell>
        </row>
        <row r="1406">
          <cell r="I1406">
            <v>2111</v>
          </cell>
          <cell r="J1406">
            <v>0.13046849315068493</v>
          </cell>
        </row>
        <row r="1407">
          <cell r="I1407">
            <v>2112</v>
          </cell>
          <cell r="J1407">
            <v>0.13047013698630136</v>
          </cell>
        </row>
        <row r="1408">
          <cell r="I1408">
            <v>2113</v>
          </cell>
          <cell r="J1408">
            <v>0.13047178082191779</v>
          </cell>
        </row>
        <row r="1409">
          <cell r="I1409">
            <v>2114</v>
          </cell>
          <cell r="J1409">
            <v>0.13047342465753425</v>
          </cell>
        </row>
        <row r="1410">
          <cell r="I1410">
            <v>2115</v>
          </cell>
          <cell r="J1410">
            <v>0.13047506849315069</v>
          </cell>
        </row>
        <row r="1411">
          <cell r="I1411">
            <v>2116</v>
          </cell>
          <cell r="J1411">
            <v>0.13047671232876712</v>
          </cell>
        </row>
        <row r="1412">
          <cell r="I1412">
            <v>2117</v>
          </cell>
          <cell r="J1412">
            <v>0.13047835616438355</v>
          </cell>
        </row>
        <row r="1413">
          <cell r="I1413">
            <v>2118</v>
          </cell>
          <cell r="J1413">
            <v>0.13047999999999998</v>
          </cell>
        </row>
        <row r="1414">
          <cell r="I1414">
            <v>2119</v>
          </cell>
          <cell r="J1414">
            <v>0.13048164383561645</v>
          </cell>
        </row>
        <row r="1415">
          <cell r="I1415">
            <v>2120</v>
          </cell>
          <cell r="J1415">
            <v>0.13048328767123288</v>
          </cell>
        </row>
        <row r="1416">
          <cell r="I1416">
            <v>2121</v>
          </cell>
          <cell r="J1416">
            <v>0.13048493150684931</v>
          </cell>
        </row>
        <row r="1417">
          <cell r="I1417">
            <v>2122</v>
          </cell>
          <cell r="J1417">
            <v>0.13048657534246574</v>
          </cell>
        </row>
        <row r="1418">
          <cell r="I1418">
            <v>2123</v>
          </cell>
          <cell r="J1418">
            <v>0.13048821917808218</v>
          </cell>
        </row>
        <row r="1419">
          <cell r="I1419">
            <v>2124</v>
          </cell>
          <cell r="J1419">
            <v>0.13048986301369864</v>
          </cell>
        </row>
        <row r="1420">
          <cell r="I1420">
            <v>2125</v>
          </cell>
          <cell r="J1420">
            <v>0.13049150684931507</v>
          </cell>
        </row>
        <row r="1421">
          <cell r="I1421">
            <v>2126</v>
          </cell>
          <cell r="J1421">
            <v>0.1304931506849315</v>
          </cell>
        </row>
        <row r="1422">
          <cell r="I1422">
            <v>2127</v>
          </cell>
          <cell r="J1422">
            <v>0.13049479452054794</v>
          </cell>
        </row>
        <row r="1423">
          <cell r="I1423">
            <v>2128</v>
          </cell>
          <cell r="J1423">
            <v>0.13049643835616437</v>
          </cell>
        </row>
        <row r="1424">
          <cell r="I1424">
            <v>2129</v>
          </cell>
          <cell r="J1424">
            <v>0.13049808219178083</v>
          </cell>
        </row>
        <row r="1425">
          <cell r="I1425">
            <v>2130</v>
          </cell>
          <cell r="J1425">
            <v>0.13049972602739726</v>
          </cell>
        </row>
        <row r="1426">
          <cell r="I1426">
            <v>2131</v>
          </cell>
          <cell r="J1426">
            <v>0.13050136986301369</v>
          </cell>
        </row>
        <row r="1427">
          <cell r="I1427">
            <v>2132</v>
          </cell>
          <cell r="J1427">
            <v>0.13050301369863013</v>
          </cell>
        </row>
        <row r="1428">
          <cell r="I1428">
            <v>2133</v>
          </cell>
          <cell r="J1428">
            <v>0.13050465753424656</v>
          </cell>
        </row>
        <row r="1429">
          <cell r="I1429">
            <v>2134</v>
          </cell>
          <cell r="J1429">
            <v>0.13050630136986302</v>
          </cell>
        </row>
        <row r="1430">
          <cell r="I1430">
            <v>2135</v>
          </cell>
          <cell r="J1430">
            <v>0.13050794520547945</v>
          </cell>
        </row>
        <row r="1431">
          <cell r="I1431">
            <v>2136</v>
          </cell>
          <cell r="J1431">
            <v>0.13050958904109589</v>
          </cell>
        </row>
        <row r="1432">
          <cell r="I1432">
            <v>2137</v>
          </cell>
          <cell r="J1432">
            <v>0.13051123287671232</v>
          </cell>
        </row>
        <row r="1433">
          <cell r="I1433">
            <v>2138</v>
          </cell>
          <cell r="J1433">
            <v>0.13051287671232875</v>
          </cell>
        </row>
        <row r="1434">
          <cell r="I1434">
            <v>2139</v>
          </cell>
          <cell r="J1434">
            <v>0.13051452054794521</v>
          </cell>
        </row>
        <row r="1435">
          <cell r="I1435">
            <v>2140</v>
          </cell>
          <cell r="J1435">
            <v>0.13051616438356164</v>
          </cell>
        </row>
        <row r="1436">
          <cell r="I1436">
            <v>2141</v>
          </cell>
          <cell r="J1436">
            <v>0.13051780821917808</v>
          </cell>
        </row>
        <row r="1437">
          <cell r="I1437">
            <v>2142</v>
          </cell>
          <cell r="J1437">
            <v>0.13051945205479451</v>
          </cell>
        </row>
        <row r="1438">
          <cell r="I1438">
            <v>2143</v>
          </cell>
          <cell r="J1438">
            <v>0.13052109589041094</v>
          </cell>
        </row>
        <row r="1439">
          <cell r="I1439">
            <v>2144</v>
          </cell>
          <cell r="J1439">
            <v>0.1305227397260274</v>
          </cell>
        </row>
        <row r="1440">
          <cell r="I1440">
            <v>2145</v>
          </cell>
          <cell r="J1440">
            <v>0.13052438356164384</v>
          </cell>
        </row>
        <row r="1441">
          <cell r="I1441">
            <v>2146</v>
          </cell>
          <cell r="J1441">
            <v>0.13052602739726027</v>
          </cell>
        </row>
        <row r="1442">
          <cell r="I1442">
            <v>2147</v>
          </cell>
          <cell r="J1442">
            <v>0.1305276712328767</v>
          </cell>
        </row>
        <row r="1443">
          <cell r="I1443">
            <v>2148</v>
          </cell>
          <cell r="J1443">
            <v>0.13052931506849313</v>
          </cell>
        </row>
        <row r="1444">
          <cell r="I1444">
            <v>2149</v>
          </cell>
          <cell r="J1444">
            <v>0.1305309589041096</v>
          </cell>
        </row>
        <row r="1445">
          <cell r="I1445">
            <v>2150</v>
          </cell>
          <cell r="J1445">
            <v>0.13053260273972603</v>
          </cell>
        </row>
        <row r="1446">
          <cell r="I1446">
            <v>2151</v>
          </cell>
          <cell r="J1446">
            <v>0.13053424657534246</v>
          </cell>
        </row>
        <row r="1447">
          <cell r="I1447">
            <v>2152</v>
          </cell>
          <cell r="J1447">
            <v>0.13053589041095889</v>
          </cell>
        </row>
        <row r="1448">
          <cell r="I1448">
            <v>2153</v>
          </cell>
          <cell r="J1448">
            <v>0.13053753424657533</v>
          </cell>
        </row>
        <row r="1449">
          <cell r="I1449">
            <v>2154</v>
          </cell>
          <cell r="J1449">
            <v>0.13053917808219179</v>
          </cell>
        </row>
        <row r="1450">
          <cell r="I1450">
            <v>2155</v>
          </cell>
          <cell r="J1450">
            <v>0.13054082191780822</v>
          </cell>
        </row>
        <row r="1451">
          <cell r="I1451">
            <v>2156</v>
          </cell>
          <cell r="J1451">
            <v>0.13054246575342465</v>
          </cell>
        </row>
        <row r="1452">
          <cell r="I1452">
            <v>2157</v>
          </cell>
          <cell r="J1452">
            <v>0.13054410958904109</v>
          </cell>
        </row>
        <row r="1453">
          <cell r="I1453">
            <v>2158</v>
          </cell>
          <cell r="J1453">
            <v>0.13054575342465752</v>
          </cell>
        </row>
        <row r="1454">
          <cell r="I1454">
            <v>2159</v>
          </cell>
          <cell r="J1454">
            <v>0.13054739726027398</v>
          </cell>
        </row>
        <row r="1455">
          <cell r="I1455">
            <v>2160</v>
          </cell>
          <cell r="J1455">
            <v>0.13054904109589041</v>
          </cell>
        </row>
        <row r="1456">
          <cell r="I1456">
            <v>2161</v>
          </cell>
          <cell r="J1456">
            <v>0.13055068493150684</v>
          </cell>
        </row>
        <row r="1457">
          <cell r="I1457">
            <v>2162</v>
          </cell>
          <cell r="J1457">
            <v>0.13055232876712328</v>
          </cell>
        </row>
        <row r="1458">
          <cell r="I1458">
            <v>2163</v>
          </cell>
          <cell r="J1458">
            <v>0.13055397260273971</v>
          </cell>
        </row>
        <row r="1459">
          <cell r="I1459">
            <v>2164</v>
          </cell>
          <cell r="J1459">
            <v>0.13055561643835617</v>
          </cell>
        </row>
        <row r="1460">
          <cell r="I1460">
            <v>2165</v>
          </cell>
          <cell r="J1460">
            <v>0.1305572602739726</v>
          </cell>
        </row>
        <row r="1461">
          <cell r="I1461">
            <v>2166</v>
          </cell>
          <cell r="J1461">
            <v>0.13055890410958904</v>
          </cell>
        </row>
        <row r="1462">
          <cell r="I1462">
            <v>2167</v>
          </cell>
          <cell r="J1462">
            <v>0.13056054794520547</v>
          </cell>
        </row>
        <row r="1463">
          <cell r="I1463">
            <v>2168</v>
          </cell>
          <cell r="J1463">
            <v>0.1305621917808219</v>
          </cell>
        </row>
        <row r="1464">
          <cell r="I1464">
            <v>2169</v>
          </cell>
          <cell r="J1464">
            <v>0.13056383561643836</v>
          </cell>
        </row>
        <row r="1465">
          <cell r="I1465">
            <v>2170</v>
          </cell>
          <cell r="J1465">
            <v>0.13056547945205479</v>
          </cell>
        </row>
        <row r="1466">
          <cell r="I1466">
            <v>2171</v>
          </cell>
          <cell r="J1466">
            <v>0.13056712328767123</v>
          </cell>
        </row>
        <row r="1467">
          <cell r="I1467">
            <v>2172</v>
          </cell>
          <cell r="J1467">
            <v>0.13056876712328766</v>
          </cell>
        </row>
        <row r="1468">
          <cell r="I1468">
            <v>2173</v>
          </cell>
          <cell r="J1468">
            <v>0.13057041095890409</v>
          </cell>
        </row>
        <row r="1469">
          <cell r="I1469">
            <v>2174</v>
          </cell>
          <cell r="J1469">
            <v>0.13057205479452055</v>
          </cell>
        </row>
        <row r="1470">
          <cell r="I1470">
            <v>2175</v>
          </cell>
          <cell r="J1470">
            <v>0.13057369863013699</v>
          </cell>
        </row>
        <row r="1471">
          <cell r="I1471">
            <v>2176</v>
          </cell>
          <cell r="J1471">
            <v>0.13057534246575342</v>
          </cell>
        </row>
        <row r="1472">
          <cell r="I1472">
            <v>2177</v>
          </cell>
          <cell r="J1472">
            <v>0.13057698630136985</v>
          </cell>
        </row>
        <row r="1473">
          <cell r="I1473">
            <v>2178</v>
          </cell>
          <cell r="J1473">
            <v>0.13057863013698628</v>
          </cell>
        </row>
        <row r="1474">
          <cell r="I1474">
            <v>2179</v>
          </cell>
          <cell r="J1474">
            <v>0.13058027397260275</v>
          </cell>
        </row>
        <row r="1475">
          <cell r="I1475">
            <v>2180</v>
          </cell>
          <cell r="J1475">
            <v>0.13058191780821918</v>
          </cell>
        </row>
        <row r="1476">
          <cell r="I1476">
            <v>2181</v>
          </cell>
          <cell r="J1476">
            <v>0.13058356164383561</v>
          </cell>
        </row>
        <row r="1477">
          <cell r="I1477">
            <v>2182</v>
          </cell>
          <cell r="J1477">
            <v>0.13058520547945204</v>
          </cell>
        </row>
        <row r="1478">
          <cell r="I1478">
            <v>2183</v>
          </cell>
          <cell r="J1478">
            <v>0.13058684931506848</v>
          </cell>
        </row>
        <row r="1479">
          <cell r="I1479">
            <v>2184</v>
          </cell>
          <cell r="J1479">
            <v>0.13058849315068494</v>
          </cell>
        </row>
        <row r="1480">
          <cell r="I1480">
            <v>2185</v>
          </cell>
          <cell r="J1480">
            <v>0.13059013698630137</v>
          </cell>
        </row>
        <row r="1481">
          <cell r="I1481">
            <v>2186</v>
          </cell>
          <cell r="J1481">
            <v>0.1305917808219178</v>
          </cell>
        </row>
        <row r="1482">
          <cell r="I1482">
            <v>2187</v>
          </cell>
          <cell r="J1482">
            <v>0.13059342465753424</v>
          </cell>
        </row>
        <row r="1483">
          <cell r="I1483">
            <v>2188</v>
          </cell>
          <cell r="J1483">
            <v>0.13059506849315067</v>
          </cell>
        </row>
        <row r="1484">
          <cell r="I1484">
            <v>2189</v>
          </cell>
          <cell r="J1484">
            <v>0.13059671232876713</v>
          </cell>
        </row>
        <row r="1485">
          <cell r="I1485">
            <v>2190</v>
          </cell>
          <cell r="J1485">
            <v>0.13059835616438356</v>
          </cell>
        </row>
        <row r="1486">
          <cell r="I1486">
            <v>2191</v>
          </cell>
          <cell r="J1486">
            <v>0.13059999999999999</v>
          </cell>
        </row>
        <row r="1487">
          <cell r="I1487">
            <v>2192</v>
          </cell>
          <cell r="J1487">
            <v>0.13060191780821917</v>
          </cell>
        </row>
        <row r="1488">
          <cell r="I1488">
            <v>2193</v>
          </cell>
          <cell r="J1488">
            <v>0.13060383561643835</v>
          </cell>
        </row>
        <row r="1489">
          <cell r="I1489">
            <v>2194</v>
          </cell>
          <cell r="J1489">
            <v>0.13060575342465752</v>
          </cell>
        </row>
        <row r="1490">
          <cell r="I1490">
            <v>2195</v>
          </cell>
          <cell r="J1490">
            <v>0.1306076712328767</v>
          </cell>
        </row>
        <row r="1491">
          <cell r="I1491">
            <v>2196</v>
          </cell>
          <cell r="J1491">
            <v>0.13060958904109587</v>
          </cell>
        </row>
        <row r="1492">
          <cell r="I1492">
            <v>2197</v>
          </cell>
          <cell r="J1492">
            <v>0.13061150684931505</v>
          </cell>
        </row>
        <row r="1493">
          <cell r="I1493">
            <v>2198</v>
          </cell>
          <cell r="J1493">
            <v>0.13061342465753423</v>
          </cell>
        </row>
        <row r="1494">
          <cell r="I1494">
            <v>2199</v>
          </cell>
          <cell r="J1494">
            <v>0.13061534246575343</v>
          </cell>
        </row>
        <row r="1495">
          <cell r="I1495">
            <v>2200</v>
          </cell>
          <cell r="J1495">
            <v>0.13061726027397261</v>
          </cell>
        </row>
        <row r="1496">
          <cell r="I1496">
            <v>2201</v>
          </cell>
          <cell r="J1496">
            <v>0.13061917808219178</v>
          </cell>
        </row>
        <row r="1497">
          <cell r="I1497">
            <v>2202</v>
          </cell>
          <cell r="J1497">
            <v>0.13062109589041096</v>
          </cell>
        </row>
        <row r="1498">
          <cell r="I1498">
            <v>2203</v>
          </cell>
          <cell r="J1498">
            <v>0.13062301369863014</v>
          </cell>
        </row>
        <row r="1499">
          <cell r="I1499">
            <v>2204</v>
          </cell>
          <cell r="J1499">
            <v>0.13062493150684931</v>
          </cell>
        </row>
        <row r="1500">
          <cell r="I1500">
            <v>2205</v>
          </cell>
          <cell r="J1500">
            <v>0.13062684931506849</v>
          </cell>
        </row>
        <row r="1501">
          <cell r="I1501">
            <v>2206</v>
          </cell>
          <cell r="J1501">
            <v>0.13062876712328766</v>
          </cell>
        </row>
        <row r="1502">
          <cell r="I1502">
            <v>2207</v>
          </cell>
          <cell r="J1502">
            <v>0.13063068493150684</v>
          </cell>
        </row>
        <row r="1503">
          <cell r="I1503">
            <v>2208</v>
          </cell>
          <cell r="J1503">
            <v>0.13063260273972602</v>
          </cell>
        </row>
        <row r="1504">
          <cell r="I1504">
            <v>2209</v>
          </cell>
          <cell r="J1504">
            <v>0.13063452054794519</v>
          </cell>
        </row>
        <row r="1505">
          <cell r="I1505">
            <v>2210</v>
          </cell>
          <cell r="J1505">
            <v>0.13063643835616437</v>
          </cell>
        </row>
        <row r="1506">
          <cell r="I1506">
            <v>2211</v>
          </cell>
          <cell r="J1506">
            <v>0.13063835616438355</v>
          </cell>
        </row>
        <row r="1507">
          <cell r="I1507">
            <v>2212</v>
          </cell>
          <cell r="J1507">
            <v>0.13064027397260272</v>
          </cell>
        </row>
        <row r="1508">
          <cell r="I1508">
            <v>2213</v>
          </cell>
          <cell r="J1508">
            <v>0.13064219178082193</v>
          </cell>
        </row>
        <row r="1509">
          <cell r="I1509">
            <v>2214</v>
          </cell>
          <cell r="J1509">
            <v>0.1306441095890411</v>
          </cell>
        </row>
        <row r="1510">
          <cell r="I1510">
            <v>2215</v>
          </cell>
          <cell r="J1510">
            <v>0.13064602739726028</v>
          </cell>
        </row>
        <row r="1511">
          <cell r="I1511">
            <v>2216</v>
          </cell>
          <cell r="J1511">
            <v>0.13064794520547945</v>
          </cell>
        </row>
        <row r="1512">
          <cell r="I1512">
            <v>2217</v>
          </cell>
          <cell r="J1512">
            <v>0.13064986301369863</v>
          </cell>
        </row>
        <row r="1513">
          <cell r="I1513">
            <v>2218</v>
          </cell>
          <cell r="J1513">
            <v>0.13065178082191781</v>
          </cell>
        </row>
        <row r="1514">
          <cell r="I1514">
            <v>2219</v>
          </cell>
          <cell r="J1514">
            <v>0.13065369863013698</v>
          </cell>
        </row>
        <row r="1515">
          <cell r="I1515">
            <v>2220</v>
          </cell>
          <cell r="J1515">
            <v>0.13065561643835616</v>
          </cell>
        </row>
        <row r="1516">
          <cell r="I1516">
            <v>2221</v>
          </cell>
          <cell r="J1516">
            <v>0.13065753424657534</v>
          </cell>
        </row>
        <row r="1517">
          <cell r="I1517">
            <v>2222</v>
          </cell>
          <cell r="J1517">
            <v>0.13065945205479451</v>
          </cell>
        </row>
        <row r="1518">
          <cell r="I1518">
            <v>2223</v>
          </cell>
          <cell r="J1518">
            <v>0.13066136986301369</v>
          </cell>
        </row>
        <row r="1519">
          <cell r="I1519">
            <v>2224</v>
          </cell>
          <cell r="J1519">
            <v>0.13066328767123286</v>
          </cell>
        </row>
        <row r="1520">
          <cell r="I1520">
            <v>2225</v>
          </cell>
          <cell r="J1520">
            <v>0.13066520547945204</v>
          </cell>
        </row>
        <row r="1521">
          <cell r="I1521">
            <v>2226</v>
          </cell>
          <cell r="J1521">
            <v>0.13066712328767122</v>
          </cell>
        </row>
        <row r="1522">
          <cell r="I1522">
            <v>2227</v>
          </cell>
          <cell r="J1522">
            <v>0.13066904109589039</v>
          </cell>
        </row>
        <row r="1523">
          <cell r="I1523">
            <v>2228</v>
          </cell>
          <cell r="J1523">
            <v>0.1306709589041096</v>
          </cell>
        </row>
        <row r="1524">
          <cell r="I1524">
            <v>2229</v>
          </cell>
          <cell r="J1524">
            <v>0.13067287671232877</v>
          </cell>
        </row>
        <row r="1525">
          <cell r="I1525">
            <v>2230</v>
          </cell>
          <cell r="J1525">
            <v>0.13067479452054795</v>
          </cell>
        </row>
        <row r="1526">
          <cell r="I1526">
            <v>2231</v>
          </cell>
          <cell r="J1526">
            <v>0.13067671232876713</v>
          </cell>
        </row>
        <row r="1527">
          <cell r="I1527">
            <v>2232</v>
          </cell>
          <cell r="J1527">
            <v>0.1306786301369863</v>
          </cell>
        </row>
        <row r="1528">
          <cell r="I1528">
            <v>2233</v>
          </cell>
          <cell r="J1528">
            <v>0.13068054794520548</v>
          </cell>
        </row>
        <row r="1529">
          <cell r="I1529">
            <v>2234</v>
          </cell>
          <cell r="J1529">
            <v>0.13068246575342465</v>
          </cell>
        </row>
        <row r="1530">
          <cell r="I1530">
            <v>2235</v>
          </cell>
          <cell r="J1530">
            <v>0.13068438356164383</v>
          </cell>
        </row>
        <row r="1531">
          <cell r="I1531">
            <v>2236</v>
          </cell>
          <cell r="J1531">
            <v>0.13068630136986301</v>
          </cell>
        </row>
        <row r="1532">
          <cell r="I1532">
            <v>2237</v>
          </cell>
          <cell r="J1532">
            <v>0.13068821917808218</v>
          </cell>
        </row>
        <row r="1533">
          <cell r="I1533">
            <v>2238</v>
          </cell>
          <cell r="J1533">
            <v>0.13069013698630136</v>
          </cell>
        </row>
        <row r="1534">
          <cell r="I1534">
            <v>2239</v>
          </cell>
          <cell r="J1534">
            <v>0.13069205479452053</v>
          </cell>
        </row>
        <row r="1535">
          <cell r="I1535">
            <v>2240</v>
          </cell>
          <cell r="J1535">
            <v>0.13069397260273971</v>
          </cell>
        </row>
        <row r="1536">
          <cell r="I1536">
            <v>2241</v>
          </cell>
          <cell r="J1536">
            <v>0.13069589041095889</v>
          </cell>
        </row>
        <row r="1537">
          <cell r="I1537">
            <v>2242</v>
          </cell>
          <cell r="J1537">
            <v>0.13069780821917806</v>
          </cell>
        </row>
        <row r="1538">
          <cell r="I1538">
            <v>2243</v>
          </cell>
          <cell r="J1538">
            <v>0.13069972602739727</v>
          </cell>
        </row>
        <row r="1539">
          <cell r="I1539">
            <v>2244</v>
          </cell>
          <cell r="J1539">
            <v>0.13070164383561644</v>
          </cell>
        </row>
        <row r="1540">
          <cell r="I1540">
            <v>2245</v>
          </cell>
          <cell r="J1540">
            <v>0.13070356164383562</v>
          </cell>
        </row>
        <row r="1541">
          <cell r="I1541">
            <v>2246</v>
          </cell>
          <cell r="J1541">
            <v>0.1307054794520548</v>
          </cell>
        </row>
        <row r="1542">
          <cell r="I1542">
            <v>2247</v>
          </cell>
          <cell r="J1542">
            <v>0.13070739726027397</v>
          </cell>
        </row>
        <row r="1543">
          <cell r="I1543">
            <v>2248</v>
          </cell>
          <cell r="J1543">
            <v>0.13070931506849315</v>
          </cell>
        </row>
        <row r="1544">
          <cell r="I1544">
            <v>2249</v>
          </cell>
          <cell r="J1544">
            <v>0.13071123287671232</v>
          </cell>
        </row>
        <row r="1545">
          <cell r="I1545">
            <v>2250</v>
          </cell>
          <cell r="J1545">
            <v>0.1307131506849315</v>
          </cell>
        </row>
        <row r="1546">
          <cell r="I1546">
            <v>2251</v>
          </cell>
          <cell r="J1546">
            <v>0.13071506849315068</v>
          </cell>
        </row>
        <row r="1547">
          <cell r="I1547">
            <v>2252</v>
          </cell>
          <cell r="J1547">
            <v>0.13071698630136985</v>
          </cell>
        </row>
        <row r="1548">
          <cell r="I1548">
            <v>2253</v>
          </cell>
          <cell r="J1548">
            <v>0.13071890410958903</v>
          </cell>
        </row>
        <row r="1549">
          <cell r="I1549">
            <v>2254</v>
          </cell>
          <cell r="J1549">
            <v>0.13072082191780821</v>
          </cell>
        </row>
        <row r="1550">
          <cell r="I1550">
            <v>2255</v>
          </cell>
          <cell r="J1550">
            <v>0.13072273972602738</v>
          </cell>
        </row>
        <row r="1551">
          <cell r="I1551">
            <v>2256</v>
          </cell>
          <cell r="J1551">
            <v>0.13072465753424656</v>
          </cell>
        </row>
        <row r="1552">
          <cell r="I1552">
            <v>2257</v>
          </cell>
          <cell r="J1552">
            <v>0.13072657534246576</v>
          </cell>
        </row>
        <row r="1553">
          <cell r="I1553">
            <v>2258</v>
          </cell>
          <cell r="J1553">
            <v>0.13072849315068494</v>
          </cell>
        </row>
        <row r="1554">
          <cell r="I1554">
            <v>2259</v>
          </cell>
          <cell r="J1554">
            <v>0.13073041095890411</v>
          </cell>
        </row>
        <row r="1555">
          <cell r="I1555">
            <v>2260</v>
          </cell>
          <cell r="J1555">
            <v>0.13073232876712329</v>
          </cell>
        </row>
        <row r="1556">
          <cell r="I1556">
            <v>2261</v>
          </cell>
          <cell r="J1556">
            <v>0.13073424657534247</v>
          </cell>
        </row>
        <row r="1557">
          <cell r="I1557">
            <v>2262</v>
          </cell>
          <cell r="J1557">
            <v>0.13073616438356164</v>
          </cell>
        </row>
        <row r="1558">
          <cell r="I1558">
            <v>2263</v>
          </cell>
          <cell r="J1558">
            <v>0.13073808219178082</v>
          </cell>
        </row>
        <row r="1559">
          <cell r="I1559">
            <v>2264</v>
          </cell>
          <cell r="J1559">
            <v>0.13074</v>
          </cell>
        </row>
        <row r="1560">
          <cell r="I1560">
            <v>2265</v>
          </cell>
          <cell r="J1560">
            <v>0.13074191780821917</v>
          </cell>
        </row>
        <row r="1561">
          <cell r="I1561">
            <v>2266</v>
          </cell>
          <cell r="J1561">
            <v>0.13074383561643835</v>
          </cell>
        </row>
        <row r="1562">
          <cell r="I1562">
            <v>2267</v>
          </cell>
          <cell r="J1562">
            <v>0.13074575342465752</v>
          </cell>
        </row>
        <row r="1563">
          <cell r="I1563">
            <v>2268</v>
          </cell>
          <cell r="J1563">
            <v>0.1307476712328767</v>
          </cell>
        </row>
        <row r="1564">
          <cell r="I1564">
            <v>2269</v>
          </cell>
          <cell r="J1564">
            <v>0.13074958904109588</v>
          </cell>
        </row>
        <row r="1565">
          <cell r="I1565">
            <v>2270</v>
          </cell>
          <cell r="J1565">
            <v>0.13075150684931505</v>
          </cell>
        </row>
        <row r="1566">
          <cell r="I1566">
            <v>2271</v>
          </cell>
          <cell r="J1566">
            <v>0.13075342465753423</v>
          </cell>
        </row>
        <row r="1567">
          <cell r="I1567">
            <v>2272</v>
          </cell>
          <cell r="J1567">
            <v>0.13075534246575343</v>
          </cell>
        </row>
        <row r="1568">
          <cell r="I1568">
            <v>2273</v>
          </cell>
          <cell r="J1568">
            <v>0.13075726027397261</v>
          </cell>
        </row>
        <row r="1569">
          <cell r="I1569">
            <v>2274</v>
          </cell>
          <cell r="J1569">
            <v>0.13075917808219178</v>
          </cell>
        </row>
        <row r="1570">
          <cell r="I1570">
            <v>2275</v>
          </cell>
          <cell r="J1570">
            <v>0.13076109589041096</v>
          </cell>
        </row>
        <row r="1571">
          <cell r="I1571">
            <v>2276</v>
          </cell>
          <cell r="J1571">
            <v>0.13076301369863014</v>
          </cell>
        </row>
        <row r="1572">
          <cell r="I1572">
            <v>2277</v>
          </cell>
          <cell r="J1572">
            <v>0.13076493150684931</v>
          </cell>
        </row>
        <row r="1573">
          <cell r="I1573">
            <v>2278</v>
          </cell>
          <cell r="J1573">
            <v>0.13076684931506849</v>
          </cell>
        </row>
        <row r="1574">
          <cell r="I1574">
            <v>2279</v>
          </cell>
          <cell r="J1574">
            <v>0.13076876712328767</v>
          </cell>
        </row>
        <row r="1575">
          <cell r="I1575">
            <v>2280</v>
          </cell>
          <cell r="J1575">
            <v>0.13077068493150684</v>
          </cell>
        </row>
        <row r="1576">
          <cell r="I1576">
            <v>2281</v>
          </cell>
          <cell r="J1576">
            <v>0.13077260273972602</v>
          </cell>
        </row>
        <row r="1577">
          <cell r="I1577">
            <v>2282</v>
          </cell>
          <cell r="J1577">
            <v>0.13077452054794519</v>
          </cell>
        </row>
        <row r="1578">
          <cell r="I1578">
            <v>2283</v>
          </cell>
          <cell r="J1578">
            <v>0.13077643835616437</v>
          </cell>
        </row>
        <row r="1579">
          <cell r="I1579">
            <v>2284</v>
          </cell>
          <cell r="J1579">
            <v>0.13077835616438355</v>
          </cell>
        </row>
        <row r="1580">
          <cell r="I1580">
            <v>2285</v>
          </cell>
          <cell r="J1580">
            <v>0.13078027397260272</v>
          </cell>
        </row>
        <row r="1581">
          <cell r="I1581">
            <v>2286</v>
          </cell>
          <cell r="J1581">
            <v>0.13078219178082193</v>
          </cell>
        </row>
        <row r="1582">
          <cell r="I1582">
            <v>2287</v>
          </cell>
          <cell r="J1582">
            <v>0.1307841095890411</v>
          </cell>
        </row>
        <row r="1583">
          <cell r="I1583">
            <v>2288</v>
          </cell>
          <cell r="J1583">
            <v>0.13078602739726028</v>
          </cell>
        </row>
        <row r="1584">
          <cell r="I1584">
            <v>2289</v>
          </cell>
          <cell r="J1584">
            <v>0.13078794520547946</v>
          </cell>
        </row>
        <row r="1585">
          <cell r="I1585">
            <v>2290</v>
          </cell>
          <cell r="J1585">
            <v>0.13078986301369863</v>
          </cell>
        </row>
        <row r="1586">
          <cell r="I1586">
            <v>2291</v>
          </cell>
          <cell r="J1586">
            <v>0.13079178082191781</v>
          </cell>
        </row>
        <row r="1587">
          <cell r="I1587">
            <v>2292</v>
          </cell>
          <cell r="J1587">
            <v>0.13079369863013698</v>
          </cell>
        </row>
        <row r="1588">
          <cell r="I1588">
            <v>2293</v>
          </cell>
          <cell r="J1588">
            <v>0.13079561643835616</v>
          </cell>
        </row>
        <row r="1589">
          <cell r="I1589">
            <v>2294</v>
          </cell>
          <cell r="J1589">
            <v>0.13079753424657534</v>
          </cell>
        </row>
        <row r="1590">
          <cell r="I1590">
            <v>2295</v>
          </cell>
          <cell r="J1590">
            <v>0.13079945205479451</v>
          </cell>
        </row>
        <row r="1591">
          <cell r="I1591">
            <v>2296</v>
          </cell>
          <cell r="J1591">
            <v>0.13080136986301369</v>
          </cell>
        </row>
        <row r="1592">
          <cell r="I1592">
            <v>2297</v>
          </cell>
          <cell r="J1592">
            <v>0.13080328767123287</v>
          </cell>
        </row>
        <row r="1593">
          <cell r="I1593">
            <v>2298</v>
          </cell>
          <cell r="J1593">
            <v>0.13080520547945204</v>
          </cell>
        </row>
        <row r="1594">
          <cell r="I1594">
            <v>2299</v>
          </cell>
          <cell r="J1594">
            <v>0.13080712328767122</v>
          </cell>
        </row>
        <row r="1595">
          <cell r="I1595">
            <v>2300</v>
          </cell>
          <cell r="J1595">
            <v>0.13080904109589039</v>
          </cell>
        </row>
        <row r="1596">
          <cell r="I1596">
            <v>2301</v>
          </cell>
          <cell r="J1596">
            <v>0.1308109589041096</v>
          </cell>
        </row>
        <row r="1597">
          <cell r="I1597">
            <v>2302</v>
          </cell>
          <cell r="J1597">
            <v>0.13081287671232877</v>
          </cell>
        </row>
        <row r="1598">
          <cell r="I1598">
            <v>2303</v>
          </cell>
          <cell r="J1598">
            <v>0.13081479452054795</v>
          </cell>
        </row>
        <row r="1599">
          <cell r="I1599">
            <v>2304</v>
          </cell>
          <cell r="J1599">
            <v>0.13081671232876713</v>
          </cell>
        </row>
        <row r="1600">
          <cell r="I1600">
            <v>2305</v>
          </cell>
          <cell r="J1600">
            <v>0.1308186301369863</v>
          </cell>
        </row>
        <row r="1601">
          <cell r="I1601">
            <v>2306</v>
          </cell>
          <cell r="J1601">
            <v>0.13082054794520548</v>
          </cell>
        </row>
        <row r="1602">
          <cell r="I1602">
            <v>2307</v>
          </cell>
          <cell r="J1602">
            <v>0.13082246575342465</v>
          </cell>
        </row>
        <row r="1603">
          <cell r="I1603">
            <v>2308</v>
          </cell>
          <cell r="J1603">
            <v>0.13082438356164383</v>
          </cell>
        </row>
        <row r="1604">
          <cell r="I1604">
            <v>2309</v>
          </cell>
          <cell r="J1604">
            <v>0.13082630136986301</v>
          </cell>
        </row>
        <row r="1605">
          <cell r="I1605">
            <v>2310</v>
          </cell>
          <cell r="J1605">
            <v>0.13082821917808218</v>
          </cell>
        </row>
        <row r="1606">
          <cell r="I1606">
            <v>2311</v>
          </cell>
          <cell r="J1606">
            <v>0.13083013698630136</v>
          </cell>
        </row>
        <row r="1607">
          <cell r="I1607">
            <v>2312</v>
          </cell>
          <cell r="J1607">
            <v>0.13083205479452054</v>
          </cell>
        </row>
        <row r="1608">
          <cell r="I1608">
            <v>2313</v>
          </cell>
          <cell r="J1608">
            <v>0.13083397260273971</v>
          </cell>
        </row>
        <row r="1609">
          <cell r="I1609">
            <v>2314</v>
          </cell>
          <cell r="J1609">
            <v>0.13083589041095889</v>
          </cell>
        </row>
        <row r="1610">
          <cell r="I1610">
            <v>2315</v>
          </cell>
          <cell r="J1610">
            <v>0.13083780821917806</v>
          </cell>
        </row>
        <row r="1611">
          <cell r="I1611">
            <v>2316</v>
          </cell>
          <cell r="J1611">
            <v>0.13083972602739727</v>
          </cell>
        </row>
        <row r="1612">
          <cell r="I1612">
            <v>2317</v>
          </cell>
          <cell r="J1612">
            <v>0.13084164383561644</v>
          </cell>
        </row>
        <row r="1613">
          <cell r="I1613">
            <v>2318</v>
          </cell>
          <cell r="J1613">
            <v>0.13084356164383562</v>
          </cell>
        </row>
        <row r="1614">
          <cell r="I1614">
            <v>2319</v>
          </cell>
          <cell r="J1614">
            <v>0.1308454794520548</v>
          </cell>
        </row>
        <row r="1615">
          <cell r="I1615">
            <v>2320</v>
          </cell>
          <cell r="J1615">
            <v>0.13084739726027397</v>
          </cell>
        </row>
        <row r="1616">
          <cell r="I1616">
            <v>2321</v>
          </cell>
          <cell r="J1616">
            <v>0.13084931506849315</v>
          </cell>
        </row>
        <row r="1617">
          <cell r="I1617">
            <v>2322</v>
          </cell>
          <cell r="J1617">
            <v>0.13085123287671233</v>
          </cell>
        </row>
        <row r="1618">
          <cell r="I1618">
            <v>2323</v>
          </cell>
          <cell r="J1618">
            <v>0.1308531506849315</v>
          </cell>
        </row>
        <row r="1619">
          <cell r="I1619">
            <v>2324</v>
          </cell>
          <cell r="J1619">
            <v>0.13085506849315068</v>
          </cell>
        </row>
        <row r="1620">
          <cell r="I1620">
            <v>2325</v>
          </cell>
          <cell r="J1620">
            <v>0.13085698630136985</v>
          </cell>
        </row>
        <row r="1621">
          <cell r="I1621">
            <v>2326</v>
          </cell>
          <cell r="J1621">
            <v>0.13085890410958903</v>
          </cell>
        </row>
        <row r="1622">
          <cell r="I1622">
            <v>2327</v>
          </cell>
          <cell r="J1622">
            <v>0.13086082191780821</v>
          </cell>
        </row>
        <row r="1623">
          <cell r="I1623">
            <v>2328</v>
          </cell>
          <cell r="J1623">
            <v>0.13086273972602738</v>
          </cell>
        </row>
        <row r="1624">
          <cell r="I1624">
            <v>2329</v>
          </cell>
          <cell r="J1624">
            <v>0.13086465753424656</v>
          </cell>
        </row>
        <row r="1625">
          <cell r="I1625">
            <v>2330</v>
          </cell>
          <cell r="J1625">
            <v>0.13086657534246576</v>
          </cell>
        </row>
        <row r="1626">
          <cell r="I1626">
            <v>2331</v>
          </cell>
          <cell r="J1626">
            <v>0.13086849315068494</v>
          </cell>
        </row>
        <row r="1627">
          <cell r="I1627">
            <v>2332</v>
          </cell>
          <cell r="J1627">
            <v>0.13087041095890412</v>
          </cell>
        </row>
        <row r="1628">
          <cell r="I1628">
            <v>2333</v>
          </cell>
          <cell r="J1628">
            <v>0.13087232876712329</v>
          </cell>
        </row>
        <row r="1629">
          <cell r="I1629">
            <v>2334</v>
          </cell>
          <cell r="J1629">
            <v>0.13087424657534247</v>
          </cell>
        </row>
        <row r="1630">
          <cell r="I1630">
            <v>2335</v>
          </cell>
          <cell r="J1630">
            <v>0.13087616438356164</v>
          </cell>
        </row>
        <row r="1631">
          <cell r="I1631">
            <v>2336</v>
          </cell>
          <cell r="J1631">
            <v>0.13087808219178082</v>
          </cell>
        </row>
        <row r="1632">
          <cell r="I1632">
            <v>2337</v>
          </cell>
          <cell r="J1632">
            <v>0.13088</v>
          </cell>
        </row>
        <row r="1633">
          <cell r="I1633">
            <v>2338</v>
          </cell>
          <cell r="J1633">
            <v>0.13088191780821917</v>
          </cell>
        </row>
        <row r="1634">
          <cell r="I1634">
            <v>2339</v>
          </cell>
          <cell r="J1634">
            <v>0.13088383561643835</v>
          </cell>
        </row>
        <row r="1635">
          <cell r="I1635">
            <v>2340</v>
          </cell>
          <cell r="J1635">
            <v>0.13088575342465752</v>
          </cell>
        </row>
        <row r="1636">
          <cell r="I1636">
            <v>2341</v>
          </cell>
          <cell r="J1636">
            <v>0.1308876712328767</v>
          </cell>
        </row>
        <row r="1637">
          <cell r="I1637">
            <v>2342</v>
          </cell>
          <cell r="J1637">
            <v>0.13088958904109588</v>
          </cell>
        </row>
        <row r="1638">
          <cell r="I1638">
            <v>2343</v>
          </cell>
          <cell r="J1638">
            <v>0.13089150684931505</v>
          </cell>
        </row>
        <row r="1639">
          <cell r="I1639">
            <v>2344</v>
          </cell>
          <cell r="J1639">
            <v>0.13089342465753423</v>
          </cell>
        </row>
        <row r="1640">
          <cell r="I1640">
            <v>2345</v>
          </cell>
          <cell r="J1640">
            <v>0.13089534246575343</v>
          </cell>
        </row>
        <row r="1641">
          <cell r="I1641">
            <v>2346</v>
          </cell>
          <cell r="J1641">
            <v>0.13089726027397261</v>
          </cell>
        </row>
        <row r="1642">
          <cell r="I1642">
            <v>2347</v>
          </cell>
          <cell r="J1642">
            <v>0.13089917808219179</v>
          </cell>
        </row>
        <row r="1643">
          <cell r="I1643">
            <v>2348</v>
          </cell>
          <cell r="J1643">
            <v>0.13090109589041096</v>
          </cell>
        </row>
        <row r="1644">
          <cell r="I1644">
            <v>2349</v>
          </cell>
          <cell r="J1644">
            <v>0.13090301369863014</v>
          </cell>
        </row>
        <row r="1645">
          <cell r="I1645">
            <v>2350</v>
          </cell>
          <cell r="J1645">
            <v>0.13090493150684931</v>
          </cell>
        </row>
        <row r="1646">
          <cell r="I1646">
            <v>2351</v>
          </cell>
          <cell r="J1646">
            <v>0.13090684931506849</v>
          </cell>
        </row>
        <row r="1647">
          <cell r="I1647">
            <v>2352</v>
          </cell>
          <cell r="J1647">
            <v>0.13090876712328767</v>
          </cell>
        </row>
        <row r="1648">
          <cell r="I1648">
            <v>2353</v>
          </cell>
          <cell r="J1648">
            <v>0.13091068493150684</v>
          </cell>
        </row>
        <row r="1649">
          <cell r="I1649">
            <v>2354</v>
          </cell>
          <cell r="J1649">
            <v>0.13091260273972602</v>
          </cell>
        </row>
        <row r="1650">
          <cell r="I1650">
            <v>2355</v>
          </cell>
          <cell r="J1650">
            <v>0.1309145205479452</v>
          </cell>
        </row>
        <row r="1651">
          <cell r="I1651">
            <v>2356</v>
          </cell>
          <cell r="J1651">
            <v>0.13091643835616437</v>
          </cell>
        </row>
        <row r="1652">
          <cell r="I1652">
            <v>2357</v>
          </cell>
          <cell r="J1652">
            <v>0.13091835616438355</v>
          </cell>
        </row>
        <row r="1653">
          <cell r="I1653">
            <v>2358</v>
          </cell>
          <cell r="J1653">
            <v>0.13092027397260272</v>
          </cell>
        </row>
        <row r="1654">
          <cell r="I1654">
            <v>2359</v>
          </cell>
          <cell r="J1654">
            <v>0.13092219178082193</v>
          </cell>
        </row>
        <row r="1655">
          <cell r="I1655">
            <v>2360</v>
          </cell>
          <cell r="J1655">
            <v>0.1309241095890411</v>
          </cell>
        </row>
        <row r="1656">
          <cell r="I1656">
            <v>2361</v>
          </cell>
          <cell r="J1656">
            <v>0.13092602739726028</v>
          </cell>
        </row>
        <row r="1657">
          <cell r="I1657">
            <v>2362</v>
          </cell>
          <cell r="J1657">
            <v>0.13092794520547946</v>
          </cell>
        </row>
        <row r="1658">
          <cell r="I1658">
            <v>2363</v>
          </cell>
          <cell r="J1658">
            <v>0.13092986301369863</v>
          </cell>
        </row>
        <row r="1659">
          <cell r="I1659">
            <v>2364</v>
          </cell>
          <cell r="J1659">
            <v>0.13093178082191781</v>
          </cell>
        </row>
        <row r="1660">
          <cell r="I1660">
            <v>2365</v>
          </cell>
          <cell r="J1660">
            <v>0.13093369863013699</v>
          </cell>
        </row>
        <row r="1661">
          <cell r="I1661">
            <v>2366</v>
          </cell>
          <cell r="J1661">
            <v>0.13093561643835616</v>
          </cell>
        </row>
        <row r="1662">
          <cell r="I1662">
            <v>2367</v>
          </cell>
          <cell r="J1662">
            <v>0.13093753424657534</v>
          </cell>
        </row>
        <row r="1663">
          <cell r="I1663">
            <v>2368</v>
          </cell>
          <cell r="J1663">
            <v>0.13093945205479451</v>
          </cell>
        </row>
        <row r="1664">
          <cell r="I1664">
            <v>2369</v>
          </cell>
          <cell r="J1664">
            <v>0.13094136986301369</v>
          </cell>
        </row>
        <row r="1665">
          <cell r="I1665">
            <v>2370</v>
          </cell>
          <cell r="J1665">
            <v>0.13094328767123287</v>
          </cell>
        </row>
        <row r="1666">
          <cell r="I1666">
            <v>2371</v>
          </cell>
          <cell r="J1666">
            <v>0.13094520547945204</v>
          </cell>
        </row>
        <row r="1667">
          <cell r="I1667">
            <v>2372</v>
          </cell>
          <cell r="J1667">
            <v>0.13094712328767122</v>
          </cell>
        </row>
        <row r="1668">
          <cell r="I1668">
            <v>2373</v>
          </cell>
          <cell r="J1668">
            <v>0.13094904109589039</v>
          </cell>
        </row>
        <row r="1669">
          <cell r="I1669">
            <v>2374</v>
          </cell>
          <cell r="J1669">
            <v>0.1309509589041096</v>
          </cell>
        </row>
        <row r="1670">
          <cell r="I1670">
            <v>2375</v>
          </cell>
          <cell r="J1670">
            <v>0.13095287671232878</v>
          </cell>
        </row>
        <row r="1671">
          <cell r="I1671">
            <v>2376</v>
          </cell>
          <cell r="J1671">
            <v>0.13095479452054795</v>
          </cell>
        </row>
        <row r="1672">
          <cell r="I1672">
            <v>2377</v>
          </cell>
          <cell r="J1672">
            <v>0.13095671232876713</v>
          </cell>
        </row>
        <row r="1673">
          <cell r="I1673">
            <v>2378</v>
          </cell>
          <cell r="J1673">
            <v>0.1309586301369863</v>
          </cell>
        </row>
        <row r="1674">
          <cell r="I1674">
            <v>2379</v>
          </cell>
          <cell r="J1674">
            <v>0.13096054794520548</v>
          </cell>
        </row>
        <row r="1675">
          <cell r="I1675">
            <v>2380</v>
          </cell>
          <cell r="J1675">
            <v>0.13096246575342466</v>
          </cell>
        </row>
        <row r="1676">
          <cell r="I1676">
            <v>2381</v>
          </cell>
          <cell r="J1676">
            <v>0.13096438356164383</v>
          </cell>
        </row>
        <row r="1677">
          <cell r="I1677">
            <v>2382</v>
          </cell>
          <cell r="J1677">
            <v>0.13096630136986301</v>
          </cell>
        </row>
        <row r="1678">
          <cell r="I1678">
            <v>2383</v>
          </cell>
          <cell r="J1678">
            <v>0.13096821917808218</v>
          </cell>
        </row>
        <row r="1679">
          <cell r="I1679">
            <v>2384</v>
          </cell>
          <cell r="J1679">
            <v>0.13097013698630136</v>
          </cell>
        </row>
        <row r="1680">
          <cell r="I1680">
            <v>2385</v>
          </cell>
          <cell r="J1680">
            <v>0.13097205479452054</v>
          </cell>
        </row>
        <row r="1681">
          <cell r="I1681">
            <v>2386</v>
          </cell>
          <cell r="J1681">
            <v>0.13097397260273971</v>
          </cell>
        </row>
        <row r="1682">
          <cell r="I1682">
            <v>2387</v>
          </cell>
          <cell r="J1682">
            <v>0.13097589041095889</v>
          </cell>
        </row>
        <row r="1683">
          <cell r="I1683">
            <v>2388</v>
          </cell>
          <cell r="J1683">
            <v>0.13097780821917807</v>
          </cell>
        </row>
        <row r="1684">
          <cell r="I1684">
            <v>2389</v>
          </cell>
          <cell r="J1684">
            <v>0.13097972602739727</v>
          </cell>
        </row>
        <row r="1685">
          <cell r="I1685">
            <v>2390</v>
          </cell>
          <cell r="J1685">
            <v>0.13098164383561645</v>
          </cell>
        </row>
        <row r="1686">
          <cell r="I1686">
            <v>2391</v>
          </cell>
          <cell r="J1686">
            <v>0.13098356164383562</v>
          </cell>
        </row>
        <row r="1687">
          <cell r="I1687">
            <v>2392</v>
          </cell>
          <cell r="J1687">
            <v>0.1309854794520548</v>
          </cell>
        </row>
        <row r="1688">
          <cell r="I1688">
            <v>2393</v>
          </cell>
          <cell r="J1688">
            <v>0.13098739726027397</v>
          </cell>
        </row>
        <row r="1689">
          <cell r="I1689">
            <v>2394</v>
          </cell>
          <cell r="J1689">
            <v>0.13098931506849315</v>
          </cell>
        </row>
        <row r="1690">
          <cell r="I1690">
            <v>2395</v>
          </cell>
          <cell r="J1690">
            <v>0.13099123287671233</v>
          </cell>
        </row>
        <row r="1691">
          <cell r="I1691">
            <v>2396</v>
          </cell>
          <cell r="J1691">
            <v>0.1309931506849315</v>
          </cell>
        </row>
        <row r="1692">
          <cell r="I1692">
            <v>2397</v>
          </cell>
          <cell r="J1692">
            <v>0.13099506849315068</v>
          </cell>
        </row>
        <row r="1693">
          <cell r="I1693">
            <v>2398</v>
          </cell>
          <cell r="J1693">
            <v>0.13099698630136986</v>
          </cell>
        </row>
        <row r="1694">
          <cell r="I1694">
            <v>2399</v>
          </cell>
          <cell r="J1694">
            <v>0.13099890410958903</v>
          </cell>
        </row>
        <row r="1695">
          <cell r="I1695">
            <v>2400</v>
          </cell>
          <cell r="J1695">
            <v>0.13100082191780821</v>
          </cell>
        </row>
        <row r="1696">
          <cell r="I1696">
            <v>2401</v>
          </cell>
          <cell r="J1696">
            <v>0.13100273972602738</v>
          </cell>
        </row>
        <row r="1697">
          <cell r="I1697">
            <v>2402</v>
          </cell>
          <cell r="J1697">
            <v>0.13100465753424656</v>
          </cell>
        </row>
        <row r="1698">
          <cell r="I1698">
            <v>2403</v>
          </cell>
          <cell r="J1698">
            <v>0.13100657534246576</v>
          </cell>
        </row>
        <row r="1699">
          <cell r="I1699">
            <v>2404</v>
          </cell>
          <cell r="J1699">
            <v>0.13100849315068494</v>
          </cell>
        </row>
        <row r="1700">
          <cell r="I1700">
            <v>2405</v>
          </cell>
          <cell r="J1700">
            <v>0.13101041095890412</v>
          </cell>
        </row>
        <row r="1701">
          <cell r="I1701">
            <v>2406</v>
          </cell>
          <cell r="J1701">
            <v>0.13101232876712329</v>
          </cell>
        </row>
        <row r="1702">
          <cell r="I1702">
            <v>2407</v>
          </cell>
          <cell r="J1702">
            <v>0.13101424657534247</v>
          </cell>
        </row>
        <row r="1703">
          <cell r="I1703">
            <v>2408</v>
          </cell>
          <cell r="J1703">
            <v>0.13101616438356165</v>
          </cell>
        </row>
        <row r="1704">
          <cell r="I1704">
            <v>2409</v>
          </cell>
          <cell r="J1704">
            <v>0.13101808219178082</v>
          </cell>
        </row>
        <row r="1705">
          <cell r="I1705">
            <v>2410</v>
          </cell>
          <cell r="J1705">
            <v>0.13102</v>
          </cell>
        </row>
        <row r="1706">
          <cell r="I1706">
            <v>2411</v>
          </cell>
          <cell r="J1706">
            <v>0.13102191780821917</v>
          </cell>
        </row>
        <row r="1707">
          <cell r="I1707">
            <v>2412</v>
          </cell>
          <cell r="J1707">
            <v>0.13102383561643835</v>
          </cell>
        </row>
        <row r="1708">
          <cell r="I1708">
            <v>2413</v>
          </cell>
          <cell r="J1708">
            <v>0.13102575342465753</v>
          </cell>
        </row>
        <row r="1709">
          <cell r="I1709">
            <v>2414</v>
          </cell>
          <cell r="J1709">
            <v>0.1310276712328767</v>
          </cell>
        </row>
        <row r="1710">
          <cell r="I1710">
            <v>2415</v>
          </cell>
          <cell r="J1710">
            <v>0.13102958904109588</v>
          </cell>
        </row>
        <row r="1711">
          <cell r="I1711">
            <v>2416</v>
          </cell>
          <cell r="J1711">
            <v>0.13103150684931505</v>
          </cell>
        </row>
        <row r="1712">
          <cell r="I1712">
            <v>2417</v>
          </cell>
          <cell r="J1712">
            <v>0.13103342465753423</v>
          </cell>
        </row>
        <row r="1713">
          <cell r="I1713">
            <v>2418</v>
          </cell>
          <cell r="J1713">
            <v>0.13103534246575343</v>
          </cell>
        </row>
        <row r="1714">
          <cell r="I1714">
            <v>2419</v>
          </cell>
          <cell r="J1714">
            <v>0.13103726027397261</v>
          </cell>
        </row>
        <row r="1715">
          <cell r="I1715">
            <v>2420</v>
          </cell>
          <cell r="J1715">
            <v>0.13103917808219179</v>
          </cell>
        </row>
        <row r="1716">
          <cell r="I1716">
            <v>2421</v>
          </cell>
          <cell r="J1716">
            <v>0.13104109589041096</v>
          </cell>
        </row>
        <row r="1717">
          <cell r="I1717">
            <v>2422</v>
          </cell>
          <cell r="J1717">
            <v>0.13104301369863014</v>
          </cell>
        </row>
        <row r="1718">
          <cell r="I1718">
            <v>2423</v>
          </cell>
          <cell r="J1718">
            <v>0.13104493150684932</v>
          </cell>
        </row>
        <row r="1719">
          <cell r="I1719">
            <v>2424</v>
          </cell>
          <cell r="J1719">
            <v>0.13104684931506849</v>
          </cell>
        </row>
        <row r="1720">
          <cell r="I1720">
            <v>2425</v>
          </cell>
          <cell r="J1720">
            <v>0.13104876712328767</v>
          </cell>
        </row>
        <row r="1721">
          <cell r="I1721">
            <v>2426</v>
          </cell>
          <cell r="J1721">
            <v>0.13105068493150684</v>
          </cell>
        </row>
        <row r="1722">
          <cell r="I1722">
            <v>2427</v>
          </cell>
          <cell r="J1722">
            <v>0.13105260273972602</v>
          </cell>
        </row>
        <row r="1723">
          <cell r="I1723">
            <v>2428</v>
          </cell>
          <cell r="J1723">
            <v>0.1310545205479452</v>
          </cell>
        </row>
        <row r="1724">
          <cell r="I1724">
            <v>2429</v>
          </cell>
          <cell r="J1724">
            <v>0.13105643835616437</v>
          </cell>
        </row>
        <row r="1725">
          <cell r="I1725">
            <v>2430</v>
          </cell>
          <cell r="J1725">
            <v>0.13105835616438355</v>
          </cell>
        </row>
        <row r="1726">
          <cell r="I1726">
            <v>2431</v>
          </cell>
          <cell r="J1726">
            <v>0.13106027397260273</v>
          </cell>
        </row>
        <row r="1727">
          <cell r="I1727">
            <v>2432</v>
          </cell>
          <cell r="J1727">
            <v>0.13106219178082193</v>
          </cell>
        </row>
        <row r="1728">
          <cell r="I1728">
            <v>2433</v>
          </cell>
          <cell r="J1728">
            <v>0.13106410958904111</v>
          </cell>
        </row>
        <row r="1729">
          <cell r="I1729">
            <v>2434</v>
          </cell>
          <cell r="J1729">
            <v>0.13106602739726028</v>
          </cell>
        </row>
        <row r="1730">
          <cell r="I1730">
            <v>2435</v>
          </cell>
          <cell r="J1730">
            <v>0.13106794520547946</v>
          </cell>
        </row>
        <row r="1731">
          <cell r="I1731">
            <v>2436</v>
          </cell>
          <cell r="J1731">
            <v>0.13106986301369863</v>
          </cell>
        </row>
        <row r="1732">
          <cell r="I1732">
            <v>2437</v>
          </cell>
          <cell r="J1732">
            <v>0.13107178082191781</v>
          </cell>
        </row>
        <row r="1733">
          <cell r="I1733">
            <v>2438</v>
          </cell>
          <cell r="J1733">
            <v>0.13107369863013699</v>
          </cell>
        </row>
        <row r="1734">
          <cell r="I1734">
            <v>2439</v>
          </cell>
          <cell r="J1734">
            <v>0.13107561643835616</v>
          </cell>
        </row>
        <row r="1735">
          <cell r="I1735">
            <v>2440</v>
          </cell>
          <cell r="J1735">
            <v>0.13107753424657534</v>
          </cell>
        </row>
        <row r="1736">
          <cell r="I1736">
            <v>2441</v>
          </cell>
          <cell r="J1736">
            <v>0.13107945205479452</v>
          </cell>
        </row>
        <row r="1737">
          <cell r="I1737">
            <v>2442</v>
          </cell>
          <cell r="J1737">
            <v>0.13108136986301369</v>
          </cell>
        </row>
        <row r="1738">
          <cell r="I1738">
            <v>2443</v>
          </cell>
          <cell r="J1738">
            <v>0.13108328767123287</v>
          </cell>
        </row>
        <row r="1739">
          <cell r="I1739">
            <v>2444</v>
          </cell>
          <cell r="J1739">
            <v>0.13108520547945204</v>
          </cell>
        </row>
        <row r="1740">
          <cell r="I1740">
            <v>2445</v>
          </cell>
          <cell r="J1740">
            <v>0.13108712328767122</v>
          </cell>
        </row>
        <row r="1741">
          <cell r="I1741">
            <v>2446</v>
          </cell>
          <cell r="J1741">
            <v>0.1310890410958904</v>
          </cell>
        </row>
        <row r="1742">
          <cell r="I1742">
            <v>2447</v>
          </cell>
          <cell r="J1742">
            <v>0.1310909589041096</v>
          </cell>
        </row>
        <row r="1743">
          <cell r="I1743">
            <v>2448</v>
          </cell>
          <cell r="J1743">
            <v>0.13109287671232878</v>
          </cell>
        </row>
        <row r="1744">
          <cell r="I1744">
            <v>2449</v>
          </cell>
          <cell r="J1744">
            <v>0.13109479452054795</v>
          </cell>
        </row>
        <row r="1745">
          <cell r="I1745">
            <v>2450</v>
          </cell>
          <cell r="J1745">
            <v>0.13109671232876713</v>
          </cell>
        </row>
        <row r="1746">
          <cell r="I1746">
            <v>2451</v>
          </cell>
          <cell r="J1746">
            <v>0.1310986301369863</v>
          </cell>
        </row>
        <row r="1747">
          <cell r="I1747">
            <v>2452</v>
          </cell>
          <cell r="J1747">
            <v>0.13110054794520548</v>
          </cell>
        </row>
        <row r="1748">
          <cell r="I1748">
            <v>2453</v>
          </cell>
          <cell r="J1748">
            <v>0.13110246575342466</v>
          </cell>
        </row>
        <row r="1749">
          <cell r="I1749">
            <v>2454</v>
          </cell>
          <cell r="J1749">
            <v>0.13110438356164383</v>
          </cell>
        </row>
        <row r="1750">
          <cell r="I1750">
            <v>2455</v>
          </cell>
          <cell r="J1750">
            <v>0.13110630136986301</v>
          </cell>
        </row>
        <row r="1751">
          <cell r="I1751">
            <v>2456</v>
          </cell>
          <cell r="J1751">
            <v>0.13110821917808219</v>
          </cell>
        </row>
        <row r="1752">
          <cell r="I1752">
            <v>2457</v>
          </cell>
          <cell r="J1752">
            <v>0.13111013698630136</v>
          </cell>
        </row>
        <row r="1753">
          <cell r="I1753">
            <v>2458</v>
          </cell>
          <cell r="J1753">
            <v>0.13111205479452054</v>
          </cell>
        </row>
        <row r="1754">
          <cell r="I1754">
            <v>2459</v>
          </cell>
          <cell r="J1754">
            <v>0.13111397260273971</v>
          </cell>
        </row>
        <row r="1755">
          <cell r="I1755">
            <v>2460</v>
          </cell>
          <cell r="J1755">
            <v>0.13111589041095889</v>
          </cell>
        </row>
        <row r="1756">
          <cell r="I1756">
            <v>2461</v>
          </cell>
          <cell r="J1756">
            <v>0.13111780821917807</v>
          </cell>
        </row>
        <row r="1757">
          <cell r="I1757">
            <v>2462</v>
          </cell>
          <cell r="J1757">
            <v>0.13111972602739727</v>
          </cell>
        </row>
        <row r="1758">
          <cell r="I1758">
            <v>2463</v>
          </cell>
          <cell r="J1758">
            <v>0.13112164383561645</v>
          </cell>
        </row>
        <row r="1759">
          <cell r="I1759">
            <v>2464</v>
          </cell>
          <cell r="J1759">
            <v>0.13112356164383562</v>
          </cell>
        </row>
        <row r="1760">
          <cell r="I1760">
            <v>2465</v>
          </cell>
          <cell r="J1760">
            <v>0.1311254794520548</v>
          </cell>
        </row>
        <row r="1761">
          <cell r="I1761">
            <v>2466</v>
          </cell>
          <cell r="J1761">
            <v>0.13112739726027398</v>
          </cell>
        </row>
        <row r="1762">
          <cell r="I1762">
            <v>2467</v>
          </cell>
          <cell r="J1762">
            <v>0.13112931506849315</v>
          </cell>
        </row>
        <row r="1763">
          <cell r="I1763">
            <v>2468</v>
          </cell>
          <cell r="J1763">
            <v>0.13113123287671233</v>
          </cell>
        </row>
        <row r="1764">
          <cell r="I1764">
            <v>2469</v>
          </cell>
          <cell r="J1764">
            <v>0.1311331506849315</v>
          </cell>
        </row>
        <row r="1765">
          <cell r="I1765">
            <v>2470</v>
          </cell>
          <cell r="J1765">
            <v>0.13113506849315068</v>
          </cell>
        </row>
        <row r="1766">
          <cell r="I1766">
            <v>2471</v>
          </cell>
          <cell r="J1766">
            <v>0.13113698630136986</v>
          </cell>
        </row>
        <row r="1767">
          <cell r="I1767">
            <v>2472</v>
          </cell>
          <cell r="J1767">
            <v>0.13113890410958903</v>
          </cell>
        </row>
        <row r="1768">
          <cell r="I1768">
            <v>2473</v>
          </cell>
          <cell r="J1768">
            <v>0.13114082191780821</v>
          </cell>
        </row>
        <row r="1769">
          <cell r="I1769">
            <v>2474</v>
          </cell>
          <cell r="J1769">
            <v>0.13114273972602739</v>
          </cell>
        </row>
        <row r="1770">
          <cell r="I1770">
            <v>2475</v>
          </cell>
          <cell r="J1770">
            <v>0.13114465753424656</v>
          </cell>
        </row>
        <row r="1771">
          <cell r="I1771">
            <v>2476</v>
          </cell>
          <cell r="J1771">
            <v>0.13114657534246577</v>
          </cell>
        </row>
        <row r="1772">
          <cell r="I1772">
            <v>2477</v>
          </cell>
          <cell r="J1772">
            <v>0.13114849315068494</v>
          </cell>
        </row>
        <row r="1773">
          <cell r="I1773">
            <v>2478</v>
          </cell>
          <cell r="J1773">
            <v>0.13115041095890412</v>
          </cell>
        </row>
        <row r="1774">
          <cell r="I1774">
            <v>2479</v>
          </cell>
          <cell r="J1774">
            <v>0.13115232876712329</v>
          </cell>
        </row>
        <row r="1775">
          <cell r="I1775">
            <v>2480</v>
          </cell>
          <cell r="J1775">
            <v>0.13115424657534247</v>
          </cell>
        </row>
        <row r="1776">
          <cell r="I1776">
            <v>2481</v>
          </cell>
          <cell r="J1776">
            <v>0.13115616438356165</v>
          </cell>
        </row>
        <row r="1777">
          <cell r="I1777">
            <v>2482</v>
          </cell>
          <cell r="J1777">
            <v>0.13115808219178082</v>
          </cell>
        </row>
        <row r="1778">
          <cell r="I1778">
            <v>2483</v>
          </cell>
          <cell r="J1778">
            <v>0.13116</v>
          </cell>
        </row>
        <row r="1779">
          <cell r="I1779">
            <v>2484</v>
          </cell>
          <cell r="J1779">
            <v>0.13116191780821918</v>
          </cell>
        </row>
        <row r="1780">
          <cell r="I1780">
            <v>2485</v>
          </cell>
          <cell r="J1780">
            <v>0.13116383561643835</v>
          </cell>
        </row>
        <row r="1781">
          <cell r="I1781">
            <v>2486</v>
          </cell>
          <cell r="J1781">
            <v>0.13116575342465753</v>
          </cell>
        </row>
        <row r="1782">
          <cell r="I1782">
            <v>2487</v>
          </cell>
          <cell r="J1782">
            <v>0.1311676712328767</v>
          </cell>
        </row>
        <row r="1783">
          <cell r="I1783">
            <v>2488</v>
          </cell>
          <cell r="J1783">
            <v>0.13116958904109588</v>
          </cell>
        </row>
        <row r="1784">
          <cell r="I1784">
            <v>2489</v>
          </cell>
          <cell r="J1784">
            <v>0.13117150684931506</v>
          </cell>
        </row>
        <row r="1785">
          <cell r="I1785">
            <v>2490</v>
          </cell>
          <cell r="J1785">
            <v>0.13117342465753423</v>
          </cell>
        </row>
        <row r="1786">
          <cell r="I1786">
            <v>2491</v>
          </cell>
          <cell r="J1786">
            <v>0.13117534246575344</v>
          </cell>
        </row>
        <row r="1787">
          <cell r="I1787">
            <v>2492</v>
          </cell>
          <cell r="J1787">
            <v>0.13117726027397261</v>
          </cell>
        </row>
        <row r="1788">
          <cell r="I1788">
            <v>2493</v>
          </cell>
          <cell r="J1788">
            <v>0.13117917808219179</v>
          </cell>
        </row>
        <row r="1789">
          <cell r="I1789">
            <v>2494</v>
          </cell>
          <cell r="J1789">
            <v>0.13118109589041096</v>
          </cell>
        </row>
        <row r="1790">
          <cell r="I1790">
            <v>2495</v>
          </cell>
          <cell r="J1790">
            <v>0.13118301369863014</v>
          </cell>
        </row>
        <row r="1791">
          <cell r="I1791">
            <v>2496</v>
          </cell>
          <cell r="J1791">
            <v>0.13118493150684932</v>
          </cell>
        </row>
        <row r="1792">
          <cell r="I1792">
            <v>2497</v>
          </cell>
          <cell r="J1792">
            <v>0.13118684931506849</v>
          </cell>
        </row>
        <row r="1793">
          <cell r="I1793">
            <v>2498</v>
          </cell>
          <cell r="J1793">
            <v>0.13118876712328767</v>
          </cell>
        </row>
        <row r="1794">
          <cell r="I1794">
            <v>2499</v>
          </cell>
          <cell r="J1794">
            <v>0.13119068493150685</v>
          </cell>
        </row>
        <row r="1795">
          <cell r="I1795">
            <v>2500</v>
          </cell>
          <cell r="J1795">
            <v>0.13119260273972602</v>
          </cell>
        </row>
        <row r="1796">
          <cell r="I1796">
            <v>2501</v>
          </cell>
          <cell r="J1796">
            <v>0.1311945205479452</v>
          </cell>
        </row>
        <row r="1797">
          <cell r="I1797">
            <v>2502</v>
          </cell>
          <cell r="J1797">
            <v>0.13119643835616437</v>
          </cell>
        </row>
        <row r="1798">
          <cell r="I1798">
            <v>2503</v>
          </cell>
          <cell r="J1798">
            <v>0.13119835616438355</v>
          </cell>
        </row>
        <row r="1799">
          <cell r="I1799">
            <v>2504</v>
          </cell>
          <cell r="J1799">
            <v>0.13120027397260273</v>
          </cell>
        </row>
        <row r="1800">
          <cell r="I1800">
            <v>2505</v>
          </cell>
          <cell r="J1800">
            <v>0.13120219178082193</v>
          </cell>
        </row>
        <row r="1801">
          <cell r="I1801">
            <v>2506</v>
          </cell>
          <cell r="J1801">
            <v>0.13120410958904111</v>
          </cell>
        </row>
        <row r="1802">
          <cell r="I1802">
            <v>2507</v>
          </cell>
          <cell r="J1802">
            <v>0.13120602739726028</v>
          </cell>
        </row>
        <row r="1803">
          <cell r="I1803">
            <v>2508</v>
          </cell>
          <cell r="J1803">
            <v>0.13120794520547946</v>
          </cell>
        </row>
        <row r="1804">
          <cell r="I1804">
            <v>2509</v>
          </cell>
          <cell r="J1804">
            <v>0.13120986301369864</v>
          </cell>
        </row>
        <row r="1805">
          <cell r="I1805">
            <v>2510</v>
          </cell>
          <cell r="J1805">
            <v>0.13121178082191781</v>
          </cell>
        </row>
        <row r="1806">
          <cell r="I1806">
            <v>2511</v>
          </cell>
          <cell r="J1806">
            <v>0.13121369863013699</v>
          </cell>
        </row>
        <row r="1807">
          <cell r="I1807">
            <v>2512</v>
          </cell>
          <cell r="J1807">
            <v>0.13121561643835616</v>
          </cell>
        </row>
        <row r="1808">
          <cell r="I1808">
            <v>2513</v>
          </cell>
          <cell r="J1808">
            <v>0.13121753424657534</v>
          </cell>
        </row>
        <row r="1809">
          <cell r="I1809">
            <v>2514</v>
          </cell>
          <cell r="J1809">
            <v>0.13121945205479452</v>
          </cell>
        </row>
        <row r="1810">
          <cell r="I1810">
            <v>2515</v>
          </cell>
          <cell r="J1810">
            <v>0.13122136986301369</v>
          </cell>
        </row>
        <row r="1811">
          <cell r="I1811">
            <v>2516</v>
          </cell>
          <cell r="J1811">
            <v>0.13122328767123287</v>
          </cell>
        </row>
        <row r="1812">
          <cell r="I1812">
            <v>2517</v>
          </cell>
          <cell r="J1812">
            <v>0.13122520547945205</v>
          </cell>
        </row>
        <row r="1813">
          <cell r="I1813">
            <v>2518</v>
          </cell>
          <cell r="J1813">
            <v>0.13122712328767122</v>
          </cell>
        </row>
        <row r="1814">
          <cell r="I1814">
            <v>2519</v>
          </cell>
          <cell r="J1814">
            <v>0.1312290410958904</v>
          </cell>
        </row>
        <row r="1815">
          <cell r="I1815">
            <v>2520</v>
          </cell>
          <cell r="J1815">
            <v>0.1312309589041096</v>
          </cell>
        </row>
        <row r="1816">
          <cell r="I1816">
            <v>2521</v>
          </cell>
          <cell r="J1816">
            <v>0.13123287671232878</v>
          </cell>
        </row>
        <row r="1817">
          <cell r="I1817">
            <v>2522</v>
          </cell>
          <cell r="J1817">
            <v>0.13123479452054795</v>
          </cell>
        </row>
        <row r="1818">
          <cell r="I1818">
            <v>2523</v>
          </cell>
          <cell r="J1818">
            <v>0.13123671232876713</v>
          </cell>
        </row>
        <row r="1819">
          <cell r="I1819">
            <v>2524</v>
          </cell>
          <cell r="J1819">
            <v>0.13123863013698631</v>
          </cell>
        </row>
        <row r="1820">
          <cell r="I1820">
            <v>2525</v>
          </cell>
          <cell r="J1820">
            <v>0.13124054794520548</v>
          </cell>
        </row>
        <row r="1821">
          <cell r="I1821">
            <v>2526</v>
          </cell>
          <cell r="J1821">
            <v>0.13124246575342466</v>
          </cell>
        </row>
        <row r="1822">
          <cell r="I1822">
            <v>2527</v>
          </cell>
          <cell r="J1822">
            <v>0.13124438356164383</v>
          </cell>
        </row>
        <row r="1823">
          <cell r="I1823">
            <v>2528</v>
          </cell>
          <cell r="J1823">
            <v>0.13124630136986301</v>
          </cell>
        </row>
        <row r="1824">
          <cell r="I1824">
            <v>2529</v>
          </cell>
          <cell r="J1824">
            <v>0.13124821917808219</v>
          </cell>
        </row>
        <row r="1825">
          <cell r="I1825">
            <v>2530</v>
          </cell>
          <cell r="J1825">
            <v>0.13125013698630136</v>
          </cell>
        </row>
        <row r="1826">
          <cell r="I1826">
            <v>2531</v>
          </cell>
          <cell r="J1826">
            <v>0.13125205479452054</v>
          </cell>
        </row>
        <row r="1827">
          <cell r="I1827">
            <v>2532</v>
          </cell>
          <cell r="J1827">
            <v>0.13125397260273972</v>
          </cell>
        </row>
        <row r="1828">
          <cell r="I1828">
            <v>2533</v>
          </cell>
          <cell r="J1828">
            <v>0.13125589041095889</v>
          </cell>
        </row>
        <row r="1829">
          <cell r="I1829">
            <v>2534</v>
          </cell>
          <cell r="J1829">
            <v>0.13125780821917807</v>
          </cell>
        </row>
        <row r="1830">
          <cell r="I1830">
            <v>2535</v>
          </cell>
          <cell r="J1830">
            <v>0.13125972602739727</v>
          </cell>
        </row>
        <row r="1831">
          <cell r="I1831">
            <v>2536</v>
          </cell>
          <cell r="J1831">
            <v>0.13126164383561645</v>
          </cell>
        </row>
        <row r="1832">
          <cell r="I1832">
            <v>2537</v>
          </cell>
          <cell r="J1832">
            <v>0.13126356164383562</v>
          </cell>
        </row>
        <row r="1833">
          <cell r="I1833">
            <v>2538</v>
          </cell>
          <cell r="J1833">
            <v>0.1312654794520548</v>
          </cell>
        </row>
        <row r="1834">
          <cell r="I1834">
            <v>2539</v>
          </cell>
          <cell r="J1834">
            <v>0.13126739726027398</v>
          </cell>
        </row>
        <row r="1835">
          <cell r="I1835">
            <v>2540</v>
          </cell>
          <cell r="J1835">
            <v>0.13126931506849315</v>
          </cell>
        </row>
        <row r="1836">
          <cell r="I1836">
            <v>2541</v>
          </cell>
          <cell r="J1836">
            <v>0.13127123287671233</v>
          </cell>
        </row>
        <row r="1837">
          <cell r="I1837">
            <v>2542</v>
          </cell>
          <cell r="J1837">
            <v>0.13127315068493151</v>
          </cell>
        </row>
        <row r="1838">
          <cell r="I1838">
            <v>2543</v>
          </cell>
          <cell r="J1838">
            <v>0.13127506849315068</v>
          </cell>
        </row>
        <row r="1839">
          <cell r="I1839">
            <v>2544</v>
          </cell>
          <cell r="J1839">
            <v>0.13127698630136986</v>
          </cell>
        </row>
        <row r="1840">
          <cell r="I1840">
            <v>2545</v>
          </cell>
          <cell r="J1840">
            <v>0.13127890410958903</v>
          </cell>
        </row>
        <row r="1841">
          <cell r="I1841">
            <v>2546</v>
          </cell>
          <cell r="J1841">
            <v>0.13128082191780821</v>
          </cell>
        </row>
        <row r="1842">
          <cell r="I1842">
            <v>2547</v>
          </cell>
          <cell r="J1842">
            <v>0.13128273972602739</v>
          </cell>
        </row>
        <row r="1843">
          <cell r="I1843">
            <v>2548</v>
          </cell>
          <cell r="J1843">
            <v>0.13128465753424656</v>
          </cell>
        </row>
        <row r="1844">
          <cell r="I1844">
            <v>2549</v>
          </cell>
          <cell r="J1844">
            <v>0.13128657534246577</v>
          </cell>
        </row>
        <row r="1845">
          <cell r="I1845">
            <v>2550</v>
          </cell>
          <cell r="J1845">
            <v>0.13128849315068494</v>
          </cell>
        </row>
        <row r="1846">
          <cell r="I1846">
            <v>2551</v>
          </cell>
          <cell r="J1846">
            <v>0.13129041095890412</v>
          </cell>
        </row>
        <row r="1847">
          <cell r="I1847">
            <v>2552</v>
          </cell>
          <cell r="J1847">
            <v>0.1312923287671233</v>
          </cell>
        </row>
        <row r="1848">
          <cell r="I1848">
            <v>2553</v>
          </cell>
          <cell r="J1848">
            <v>0.13129424657534247</v>
          </cell>
        </row>
        <row r="1849">
          <cell r="I1849">
            <v>2554</v>
          </cell>
          <cell r="J1849">
            <v>0.13129616438356165</v>
          </cell>
        </row>
        <row r="1850">
          <cell r="I1850">
            <v>2555</v>
          </cell>
          <cell r="J1850">
            <v>0.13129808219178082</v>
          </cell>
        </row>
        <row r="1851">
          <cell r="I1851">
            <v>2556</v>
          </cell>
          <cell r="J1851">
            <v>0.1313</v>
          </cell>
        </row>
        <row r="1852">
          <cell r="I1852">
            <v>2557</v>
          </cell>
          <cell r="J1852">
            <v>0.1313</v>
          </cell>
        </row>
        <row r="1853">
          <cell r="I1853">
            <v>2558</v>
          </cell>
          <cell r="J1853">
            <v>0.13130136986301369</v>
          </cell>
        </row>
        <row r="1854">
          <cell r="I1854">
            <v>2559</v>
          </cell>
          <cell r="J1854">
            <v>0.13130273972602741</v>
          </cell>
        </row>
        <row r="1855">
          <cell r="I1855">
            <v>2560</v>
          </cell>
          <cell r="J1855">
            <v>0.1313041095890411</v>
          </cell>
        </row>
        <row r="1856">
          <cell r="I1856">
            <v>2561</v>
          </cell>
          <cell r="J1856">
            <v>0.13130547945205479</v>
          </cell>
        </row>
        <row r="1857">
          <cell r="I1857">
            <v>2562</v>
          </cell>
          <cell r="J1857">
            <v>0.1313068493150685</v>
          </cell>
        </row>
        <row r="1858">
          <cell r="I1858">
            <v>2563</v>
          </cell>
          <cell r="J1858">
            <v>0.13130821917808219</v>
          </cell>
        </row>
        <row r="1859">
          <cell r="I1859">
            <v>2564</v>
          </cell>
          <cell r="J1859">
            <v>0.13130958904109588</v>
          </cell>
        </row>
        <row r="1860">
          <cell r="I1860">
            <v>2565</v>
          </cell>
          <cell r="J1860">
            <v>0.1313109589041096</v>
          </cell>
        </row>
        <row r="1861">
          <cell r="I1861">
            <v>2566</v>
          </cell>
          <cell r="J1861">
            <v>0.13131232876712329</v>
          </cell>
        </row>
        <row r="1862">
          <cell r="I1862">
            <v>2567</v>
          </cell>
          <cell r="J1862">
            <v>0.13131369863013698</v>
          </cell>
        </row>
        <row r="1863">
          <cell r="I1863">
            <v>2568</v>
          </cell>
          <cell r="J1863">
            <v>0.13131506849315069</v>
          </cell>
        </row>
        <row r="1864">
          <cell r="I1864">
            <v>2569</v>
          </cell>
          <cell r="J1864">
            <v>0.13131643835616438</v>
          </cell>
        </row>
        <row r="1865">
          <cell r="I1865">
            <v>2570</v>
          </cell>
          <cell r="J1865">
            <v>0.13131780821917807</v>
          </cell>
        </row>
        <row r="1866">
          <cell r="I1866">
            <v>2571</v>
          </cell>
          <cell r="J1866">
            <v>0.13131917808219179</v>
          </cell>
        </row>
        <row r="1867">
          <cell r="I1867">
            <v>2572</v>
          </cell>
          <cell r="J1867">
            <v>0.13132054794520548</v>
          </cell>
        </row>
        <row r="1868">
          <cell r="I1868">
            <v>2573</v>
          </cell>
          <cell r="J1868">
            <v>0.13132191780821917</v>
          </cell>
        </row>
        <row r="1869">
          <cell r="I1869">
            <v>2574</v>
          </cell>
          <cell r="J1869">
            <v>0.13132328767123289</v>
          </cell>
        </row>
        <row r="1870">
          <cell r="I1870">
            <v>2575</v>
          </cell>
          <cell r="J1870">
            <v>0.13132465753424657</v>
          </cell>
        </row>
        <row r="1871">
          <cell r="I1871">
            <v>2576</v>
          </cell>
          <cell r="J1871">
            <v>0.13132602739726026</v>
          </cell>
        </row>
        <row r="1872">
          <cell r="I1872">
            <v>2577</v>
          </cell>
          <cell r="J1872">
            <v>0.13132739726027398</v>
          </cell>
        </row>
        <row r="1873">
          <cell r="I1873">
            <v>2578</v>
          </cell>
          <cell r="J1873">
            <v>0.13132876712328767</v>
          </cell>
        </row>
        <row r="1874">
          <cell r="I1874">
            <v>2579</v>
          </cell>
          <cell r="J1874">
            <v>0.13133013698630136</v>
          </cell>
        </row>
        <row r="1875">
          <cell r="I1875">
            <v>2580</v>
          </cell>
          <cell r="J1875">
            <v>0.13133150684931508</v>
          </cell>
        </row>
        <row r="1876">
          <cell r="I1876">
            <v>2581</v>
          </cell>
          <cell r="J1876">
            <v>0.13133287671232877</v>
          </cell>
        </row>
        <row r="1877">
          <cell r="I1877">
            <v>2582</v>
          </cell>
          <cell r="J1877">
            <v>0.13133424657534246</v>
          </cell>
        </row>
        <row r="1878">
          <cell r="I1878">
            <v>2583</v>
          </cell>
          <cell r="J1878">
            <v>0.13133561643835617</v>
          </cell>
        </row>
        <row r="1879">
          <cell r="I1879">
            <v>2584</v>
          </cell>
          <cell r="J1879">
            <v>0.13133698630136986</v>
          </cell>
        </row>
        <row r="1880">
          <cell r="I1880">
            <v>2585</v>
          </cell>
          <cell r="J1880">
            <v>0.13133835616438355</v>
          </cell>
        </row>
        <row r="1881">
          <cell r="I1881">
            <v>2586</v>
          </cell>
          <cell r="J1881">
            <v>0.13133972602739727</v>
          </cell>
        </row>
        <row r="1882">
          <cell r="I1882">
            <v>2587</v>
          </cell>
          <cell r="J1882">
            <v>0.13134109589041096</v>
          </cell>
        </row>
        <row r="1883">
          <cell r="I1883">
            <v>2588</v>
          </cell>
          <cell r="J1883">
            <v>0.13134246575342465</v>
          </cell>
        </row>
        <row r="1884">
          <cell r="I1884">
            <v>2589</v>
          </cell>
          <cell r="J1884">
            <v>0.13134383561643836</v>
          </cell>
        </row>
        <row r="1885">
          <cell r="I1885">
            <v>2590</v>
          </cell>
          <cell r="J1885">
            <v>0.13134520547945205</v>
          </cell>
        </row>
        <row r="1886">
          <cell r="I1886">
            <v>2591</v>
          </cell>
          <cell r="J1886">
            <v>0.13134657534246574</v>
          </cell>
        </row>
        <row r="1887">
          <cell r="I1887">
            <v>2592</v>
          </cell>
          <cell r="J1887">
            <v>0.13134794520547946</v>
          </cell>
        </row>
        <row r="1888">
          <cell r="I1888">
            <v>2593</v>
          </cell>
          <cell r="J1888">
            <v>0.13134931506849315</v>
          </cell>
        </row>
        <row r="1889">
          <cell r="I1889">
            <v>2594</v>
          </cell>
          <cell r="J1889">
            <v>0.13135068493150684</v>
          </cell>
        </row>
        <row r="1890">
          <cell r="I1890">
            <v>2595</v>
          </cell>
          <cell r="J1890">
            <v>0.13135205479452056</v>
          </cell>
        </row>
        <row r="1891">
          <cell r="I1891">
            <v>2596</v>
          </cell>
          <cell r="J1891">
            <v>0.13135342465753425</v>
          </cell>
        </row>
        <row r="1892">
          <cell r="I1892">
            <v>2597</v>
          </cell>
          <cell r="J1892">
            <v>0.13135479452054794</v>
          </cell>
        </row>
        <row r="1893">
          <cell r="I1893">
            <v>2598</v>
          </cell>
          <cell r="J1893">
            <v>0.13135616438356165</v>
          </cell>
        </row>
        <row r="1894">
          <cell r="I1894">
            <v>2599</v>
          </cell>
          <cell r="J1894">
            <v>0.13135753424657534</v>
          </cell>
        </row>
        <row r="1895">
          <cell r="I1895">
            <v>2600</v>
          </cell>
          <cell r="J1895">
            <v>0.13135890410958903</v>
          </cell>
        </row>
        <row r="1896">
          <cell r="I1896">
            <v>2601</v>
          </cell>
          <cell r="J1896">
            <v>0.13136027397260275</v>
          </cell>
        </row>
        <row r="1897">
          <cell r="I1897">
            <v>2602</v>
          </cell>
          <cell r="J1897">
            <v>0.13136164383561644</v>
          </cell>
        </row>
        <row r="1898">
          <cell r="I1898">
            <v>2603</v>
          </cell>
          <cell r="J1898">
            <v>0.13136301369863013</v>
          </cell>
        </row>
        <row r="1899">
          <cell r="I1899">
            <v>2604</v>
          </cell>
          <cell r="J1899">
            <v>0.13136438356164384</v>
          </cell>
        </row>
        <row r="1900">
          <cell r="I1900">
            <v>2605</v>
          </cell>
          <cell r="J1900">
            <v>0.13136575342465753</v>
          </cell>
        </row>
        <row r="1901">
          <cell r="I1901">
            <v>2606</v>
          </cell>
          <cell r="J1901">
            <v>0.13136712328767122</v>
          </cell>
        </row>
        <row r="1902">
          <cell r="I1902">
            <v>2607</v>
          </cell>
          <cell r="J1902">
            <v>0.13136849315068494</v>
          </cell>
        </row>
        <row r="1903">
          <cell r="I1903">
            <v>2608</v>
          </cell>
          <cell r="J1903">
            <v>0.13136986301369863</v>
          </cell>
        </row>
        <row r="1904">
          <cell r="I1904">
            <v>2609</v>
          </cell>
          <cell r="J1904">
            <v>0.13137123287671232</v>
          </cell>
        </row>
        <row r="1905">
          <cell r="I1905">
            <v>2610</v>
          </cell>
          <cell r="J1905">
            <v>0.13137260273972604</v>
          </cell>
        </row>
        <row r="1906">
          <cell r="I1906">
            <v>2611</v>
          </cell>
          <cell r="J1906">
            <v>0.13137397260273972</v>
          </cell>
        </row>
        <row r="1907">
          <cell r="I1907">
            <v>2612</v>
          </cell>
          <cell r="J1907">
            <v>0.13137534246575341</v>
          </cell>
        </row>
        <row r="1908">
          <cell r="I1908">
            <v>2613</v>
          </cell>
          <cell r="J1908">
            <v>0.13137671232876713</v>
          </cell>
        </row>
        <row r="1909">
          <cell r="I1909">
            <v>2614</v>
          </cell>
          <cell r="J1909">
            <v>0.13137808219178082</v>
          </cell>
        </row>
        <row r="1910">
          <cell r="I1910">
            <v>2615</v>
          </cell>
          <cell r="J1910">
            <v>0.13137945205479451</v>
          </cell>
        </row>
        <row r="1911">
          <cell r="I1911">
            <v>2616</v>
          </cell>
          <cell r="J1911">
            <v>0.13138082191780823</v>
          </cell>
        </row>
        <row r="1912">
          <cell r="I1912">
            <v>2617</v>
          </cell>
          <cell r="J1912">
            <v>0.13138219178082192</v>
          </cell>
        </row>
        <row r="1913">
          <cell r="I1913">
            <v>2618</v>
          </cell>
          <cell r="J1913">
            <v>0.13138356164383561</v>
          </cell>
        </row>
        <row r="1914">
          <cell r="I1914">
            <v>2619</v>
          </cell>
          <cell r="J1914">
            <v>0.13138493150684932</v>
          </cell>
        </row>
        <row r="1915">
          <cell r="I1915">
            <v>2620</v>
          </cell>
          <cell r="J1915">
            <v>0.13138630136986301</v>
          </cell>
        </row>
        <row r="1916">
          <cell r="I1916">
            <v>2621</v>
          </cell>
          <cell r="J1916">
            <v>0.1313876712328767</v>
          </cell>
        </row>
        <row r="1917">
          <cell r="I1917">
            <v>2622</v>
          </cell>
          <cell r="J1917">
            <v>0.13138904109589042</v>
          </cell>
        </row>
        <row r="1918">
          <cell r="I1918">
            <v>2623</v>
          </cell>
          <cell r="J1918">
            <v>0.13139041095890411</v>
          </cell>
        </row>
        <row r="1919">
          <cell r="I1919">
            <v>2624</v>
          </cell>
          <cell r="J1919">
            <v>0.1313917808219178</v>
          </cell>
        </row>
        <row r="1920">
          <cell r="I1920">
            <v>2625</v>
          </cell>
          <cell r="J1920">
            <v>0.13139315068493151</v>
          </cell>
        </row>
        <row r="1921">
          <cell r="I1921">
            <v>2626</v>
          </cell>
          <cell r="J1921">
            <v>0.1313945205479452</v>
          </cell>
        </row>
        <row r="1922">
          <cell r="I1922">
            <v>2627</v>
          </cell>
          <cell r="J1922">
            <v>0.13139589041095889</v>
          </cell>
        </row>
        <row r="1923">
          <cell r="I1923">
            <v>2628</v>
          </cell>
          <cell r="J1923">
            <v>0.13139726027397261</v>
          </cell>
        </row>
        <row r="1924">
          <cell r="I1924">
            <v>2629</v>
          </cell>
          <cell r="J1924">
            <v>0.1313986301369863</v>
          </cell>
        </row>
        <row r="1925">
          <cell r="I1925">
            <v>2630</v>
          </cell>
          <cell r="J1925">
            <v>0.13139999999999999</v>
          </cell>
        </row>
        <row r="1926">
          <cell r="I1926">
            <v>2631</v>
          </cell>
          <cell r="J1926">
            <v>0.13140136986301371</v>
          </cell>
        </row>
        <row r="1927">
          <cell r="I1927">
            <v>2632</v>
          </cell>
          <cell r="J1927">
            <v>0.1314027397260274</v>
          </cell>
        </row>
        <row r="1928">
          <cell r="I1928">
            <v>2633</v>
          </cell>
          <cell r="J1928">
            <v>0.13140410958904108</v>
          </cell>
        </row>
        <row r="1929">
          <cell r="I1929">
            <v>2634</v>
          </cell>
          <cell r="J1929">
            <v>0.1314054794520548</v>
          </cell>
        </row>
        <row r="1930">
          <cell r="I1930">
            <v>2635</v>
          </cell>
          <cell r="J1930">
            <v>0.13140684931506849</v>
          </cell>
        </row>
        <row r="1931">
          <cell r="I1931">
            <v>2636</v>
          </cell>
          <cell r="J1931">
            <v>0.13140821917808218</v>
          </cell>
        </row>
        <row r="1932">
          <cell r="I1932">
            <v>2637</v>
          </cell>
          <cell r="J1932">
            <v>0.1314095890410959</v>
          </cell>
        </row>
        <row r="1933">
          <cell r="I1933">
            <v>2638</v>
          </cell>
          <cell r="J1933">
            <v>0.13141095890410959</v>
          </cell>
        </row>
        <row r="1934">
          <cell r="I1934">
            <v>2639</v>
          </cell>
          <cell r="J1934">
            <v>0.13141232876712328</v>
          </cell>
        </row>
        <row r="1935">
          <cell r="I1935">
            <v>2640</v>
          </cell>
          <cell r="J1935">
            <v>0.13141369863013699</v>
          </cell>
        </row>
        <row r="1936">
          <cell r="I1936">
            <v>2641</v>
          </cell>
          <cell r="J1936">
            <v>0.13141506849315068</v>
          </cell>
        </row>
        <row r="1937">
          <cell r="I1937">
            <v>2642</v>
          </cell>
          <cell r="J1937">
            <v>0.13141643835616437</v>
          </cell>
        </row>
        <row r="1938">
          <cell r="I1938">
            <v>2643</v>
          </cell>
          <cell r="J1938">
            <v>0.13141780821917809</v>
          </cell>
        </row>
        <row r="1939">
          <cell r="I1939">
            <v>2644</v>
          </cell>
          <cell r="J1939">
            <v>0.13141917808219178</v>
          </cell>
        </row>
        <row r="1940">
          <cell r="I1940">
            <v>2645</v>
          </cell>
          <cell r="J1940">
            <v>0.13142054794520547</v>
          </cell>
        </row>
        <row r="1941">
          <cell r="I1941">
            <v>2646</v>
          </cell>
          <cell r="J1941">
            <v>0.13142191780821919</v>
          </cell>
        </row>
        <row r="1942">
          <cell r="I1942">
            <v>2647</v>
          </cell>
          <cell r="J1942">
            <v>0.13142328767123287</v>
          </cell>
        </row>
        <row r="1943">
          <cell r="I1943">
            <v>2648</v>
          </cell>
          <cell r="J1943">
            <v>0.13142465753424656</v>
          </cell>
        </row>
        <row r="1944">
          <cell r="I1944">
            <v>2649</v>
          </cell>
          <cell r="J1944">
            <v>0.13142602739726028</v>
          </cell>
        </row>
        <row r="1945">
          <cell r="I1945">
            <v>2650</v>
          </cell>
          <cell r="J1945">
            <v>0.13142739726027397</v>
          </cell>
        </row>
        <row r="1946">
          <cell r="I1946">
            <v>2651</v>
          </cell>
          <cell r="J1946">
            <v>0.13142876712328766</v>
          </cell>
        </row>
        <row r="1947">
          <cell r="I1947">
            <v>2652</v>
          </cell>
          <cell r="J1947">
            <v>0.13143013698630138</v>
          </cell>
        </row>
        <row r="1948">
          <cell r="I1948">
            <v>2653</v>
          </cell>
          <cell r="J1948">
            <v>0.13143150684931507</v>
          </cell>
        </row>
        <row r="1949">
          <cell r="I1949">
            <v>2654</v>
          </cell>
          <cell r="J1949">
            <v>0.13143287671232876</v>
          </cell>
        </row>
        <row r="1950">
          <cell r="I1950">
            <v>2655</v>
          </cell>
          <cell r="J1950">
            <v>0.13143424657534247</v>
          </cell>
        </row>
        <row r="1951">
          <cell r="I1951">
            <v>2656</v>
          </cell>
          <cell r="J1951">
            <v>0.13143561643835616</v>
          </cell>
        </row>
        <row r="1952">
          <cell r="I1952">
            <v>2657</v>
          </cell>
          <cell r="J1952">
            <v>0.13143698630136985</v>
          </cell>
        </row>
        <row r="1953">
          <cell r="I1953">
            <v>2658</v>
          </cell>
          <cell r="J1953">
            <v>0.13143835616438357</v>
          </cell>
        </row>
        <row r="1954">
          <cell r="I1954">
            <v>2659</v>
          </cell>
          <cell r="J1954">
            <v>0.13143972602739726</v>
          </cell>
        </row>
        <row r="1955">
          <cell r="I1955">
            <v>2660</v>
          </cell>
          <cell r="J1955">
            <v>0.13144109589041095</v>
          </cell>
        </row>
        <row r="1956">
          <cell r="I1956">
            <v>2661</v>
          </cell>
          <cell r="J1956">
            <v>0.13144246575342466</v>
          </cell>
        </row>
        <row r="1957">
          <cell r="I1957">
            <v>2662</v>
          </cell>
          <cell r="J1957">
            <v>0.13144383561643835</v>
          </cell>
        </row>
        <row r="1958">
          <cell r="I1958">
            <v>2663</v>
          </cell>
          <cell r="J1958">
            <v>0.13144520547945204</v>
          </cell>
        </row>
        <row r="1959">
          <cell r="I1959">
            <v>2664</v>
          </cell>
          <cell r="J1959">
            <v>0.13144657534246576</v>
          </cell>
        </row>
        <row r="1960">
          <cell r="I1960">
            <v>2665</v>
          </cell>
          <cell r="J1960">
            <v>0.13144794520547945</v>
          </cell>
        </row>
        <row r="1961">
          <cell r="I1961">
            <v>2666</v>
          </cell>
          <cell r="J1961">
            <v>0.13144931506849314</v>
          </cell>
        </row>
        <row r="1962">
          <cell r="I1962">
            <v>2667</v>
          </cell>
          <cell r="J1962">
            <v>0.13145068493150686</v>
          </cell>
        </row>
        <row r="1963">
          <cell r="I1963">
            <v>2668</v>
          </cell>
          <cell r="J1963">
            <v>0.13145205479452055</v>
          </cell>
        </row>
        <row r="1964">
          <cell r="I1964">
            <v>2669</v>
          </cell>
          <cell r="J1964">
            <v>0.13145342465753423</v>
          </cell>
        </row>
        <row r="1965">
          <cell r="I1965">
            <v>2670</v>
          </cell>
          <cell r="J1965">
            <v>0.13145479452054795</v>
          </cell>
        </row>
        <row r="1966">
          <cell r="I1966">
            <v>2671</v>
          </cell>
          <cell r="J1966">
            <v>0.13145616438356164</v>
          </cell>
        </row>
        <row r="1967">
          <cell r="I1967">
            <v>2672</v>
          </cell>
          <cell r="J1967">
            <v>0.13145753424657533</v>
          </cell>
        </row>
        <row r="1968">
          <cell r="I1968">
            <v>2673</v>
          </cell>
          <cell r="J1968">
            <v>0.13145890410958905</v>
          </cell>
        </row>
        <row r="1969">
          <cell r="I1969">
            <v>2674</v>
          </cell>
          <cell r="J1969">
            <v>0.13146027397260274</v>
          </cell>
        </row>
        <row r="1970">
          <cell r="I1970">
            <v>2675</v>
          </cell>
          <cell r="J1970">
            <v>0.13146164383561643</v>
          </cell>
        </row>
        <row r="1971">
          <cell r="I1971">
            <v>2676</v>
          </cell>
          <cell r="J1971">
            <v>0.13146301369863014</v>
          </cell>
        </row>
        <row r="1972">
          <cell r="I1972">
            <v>2677</v>
          </cell>
          <cell r="J1972">
            <v>0.13146438356164383</v>
          </cell>
        </row>
        <row r="1973">
          <cell r="I1973">
            <v>2678</v>
          </cell>
          <cell r="J1973">
            <v>0.13146575342465752</v>
          </cell>
        </row>
        <row r="1974">
          <cell r="I1974">
            <v>2679</v>
          </cell>
          <cell r="J1974">
            <v>0.13146712328767124</v>
          </cell>
        </row>
        <row r="1975">
          <cell r="I1975">
            <v>2680</v>
          </cell>
          <cell r="J1975">
            <v>0.13146849315068493</v>
          </cell>
        </row>
        <row r="1976">
          <cell r="I1976">
            <v>2681</v>
          </cell>
          <cell r="J1976">
            <v>0.13146986301369862</v>
          </cell>
        </row>
        <row r="1977">
          <cell r="I1977">
            <v>2682</v>
          </cell>
          <cell r="J1977">
            <v>0.13147123287671234</v>
          </cell>
        </row>
        <row r="1978">
          <cell r="I1978">
            <v>2683</v>
          </cell>
          <cell r="J1978">
            <v>0.13147260273972602</v>
          </cell>
        </row>
        <row r="1979">
          <cell r="I1979">
            <v>2684</v>
          </cell>
          <cell r="J1979">
            <v>0.13147397260273971</v>
          </cell>
        </row>
        <row r="1980">
          <cell r="I1980">
            <v>2685</v>
          </cell>
          <cell r="J1980">
            <v>0.13147534246575343</v>
          </cell>
        </row>
        <row r="1981">
          <cell r="I1981">
            <v>2686</v>
          </cell>
          <cell r="J1981">
            <v>0.13147671232876712</v>
          </cell>
        </row>
        <row r="1982">
          <cell r="I1982">
            <v>2687</v>
          </cell>
          <cell r="J1982">
            <v>0.13147808219178081</v>
          </cell>
        </row>
        <row r="1983">
          <cell r="I1983">
            <v>2688</v>
          </cell>
          <cell r="J1983">
            <v>0.13147945205479453</v>
          </cell>
        </row>
        <row r="1984">
          <cell r="I1984">
            <v>2689</v>
          </cell>
          <cell r="J1984">
            <v>0.13148082191780822</v>
          </cell>
        </row>
        <row r="1985">
          <cell r="I1985">
            <v>2690</v>
          </cell>
          <cell r="J1985">
            <v>0.13148219178082191</v>
          </cell>
        </row>
        <row r="1986">
          <cell r="I1986">
            <v>2691</v>
          </cell>
          <cell r="J1986">
            <v>0.13148356164383562</v>
          </cell>
        </row>
        <row r="1987">
          <cell r="I1987">
            <v>2692</v>
          </cell>
          <cell r="J1987">
            <v>0.13148493150684931</v>
          </cell>
        </row>
        <row r="1988">
          <cell r="I1988">
            <v>2693</v>
          </cell>
          <cell r="J1988">
            <v>0.131486301369863</v>
          </cell>
        </row>
        <row r="1989">
          <cell r="I1989">
            <v>2694</v>
          </cell>
          <cell r="J1989">
            <v>0.13148767123287672</v>
          </cell>
        </row>
        <row r="1990">
          <cell r="I1990">
            <v>2695</v>
          </cell>
          <cell r="J1990">
            <v>0.13148904109589041</v>
          </cell>
        </row>
        <row r="1991">
          <cell r="I1991">
            <v>2696</v>
          </cell>
          <cell r="J1991">
            <v>0.1314904109589041</v>
          </cell>
        </row>
        <row r="1992">
          <cell r="I1992">
            <v>2697</v>
          </cell>
          <cell r="J1992">
            <v>0.13149178082191781</v>
          </cell>
        </row>
        <row r="1993">
          <cell r="I1993">
            <v>2698</v>
          </cell>
          <cell r="J1993">
            <v>0.1314931506849315</v>
          </cell>
        </row>
        <row r="1994">
          <cell r="I1994">
            <v>2699</v>
          </cell>
          <cell r="J1994">
            <v>0.13149452054794519</v>
          </cell>
        </row>
        <row r="1995">
          <cell r="I1995">
            <v>2700</v>
          </cell>
          <cell r="J1995">
            <v>0.13149589041095891</v>
          </cell>
        </row>
        <row r="1996">
          <cell r="I1996">
            <v>2701</v>
          </cell>
          <cell r="J1996">
            <v>0.1314972602739726</v>
          </cell>
        </row>
        <row r="1997">
          <cell r="I1997">
            <v>2702</v>
          </cell>
          <cell r="J1997">
            <v>0.13149863013698629</v>
          </cell>
        </row>
        <row r="1998">
          <cell r="I1998">
            <v>2703</v>
          </cell>
          <cell r="J1998">
            <v>0.13150000000000001</v>
          </cell>
        </row>
        <row r="1999">
          <cell r="I1999">
            <v>2704</v>
          </cell>
          <cell r="J1999">
            <v>0.1315013698630137</v>
          </cell>
        </row>
        <row r="2000">
          <cell r="I2000">
            <v>2705</v>
          </cell>
          <cell r="J2000">
            <v>0.13150273972602738</v>
          </cell>
        </row>
        <row r="2001">
          <cell r="I2001">
            <v>2706</v>
          </cell>
          <cell r="J2001">
            <v>0.1315041095890411</v>
          </cell>
        </row>
        <row r="2002">
          <cell r="I2002">
            <v>2707</v>
          </cell>
          <cell r="J2002">
            <v>0.13150547945205479</v>
          </cell>
        </row>
        <row r="2003">
          <cell r="I2003">
            <v>2708</v>
          </cell>
          <cell r="J2003">
            <v>0.13150684931506848</v>
          </cell>
        </row>
        <row r="2004">
          <cell r="I2004">
            <v>2709</v>
          </cell>
          <cell r="J2004">
            <v>0.1315082191780822</v>
          </cell>
        </row>
        <row r="2005">
          <cell r="I2005">
            <v>2710</v>
          </cell>
          <cell r="J2005">
            <v>0.13150958904109589</v>
          </cell>
        </row>
        <row r="2006">
          <cell r="I2006">
            <v>2711</v>
          </cell>
          <cell r="J2006">
            <v>0.13151095890410958</v>
          </cell>
        </row>
        <row r="2007">
          <cell r="I2007">
            <v>2712</v>
          </cell>
          <cell r="J2007">
            <v>0.13151232876712329</v>
          </cell>
        </row>
        <row r="2008">
          <cell r="I2008">
            <v>2713</v>
          </cell>
          <cell r="J2008">
            <v>0.13151369863013698</v>
          </cell>
        </row>
        <row r="2009">
          <cell r="I2009">
            <v>2714</v>
          </cell>
          <cell r="J2009">
            <v>0.13151506849315067</v>
          </cell>
        </row>
        <row r="2010">
          <cell r="I2010">
            <v>2715</v>
          </cell>
          <cell r="J2010">
            <v>0.13151643835616439</v>
          </cell>
        </row>
        <row r="2011">
          <cell r="I2011">
            <v>2716</v>
          </cell>
          <cell r="J2011">
            <v>0.13151780821917808</v>
          </cell>
        </row>
        <row r="2012">
          <cell r="I2012">
            <v>2717</v>
          </cell>
          <cell r="J2012">
            <v>0.13151917808219177</v>
          </cell>
        </row>
        <row r="2013">
          <cell r="I2013">
            <v>2718</v>
          </cell>
          <cell r="J2013">
            <v>0.13152054794520548</v>
          </cell>
        </row>
        <row r="2014">
          <cell r="I2014">
            <v>2719</v>
          </cell>
          <cell r="J2014">
            <v>0.13152191780821917</v>
          </cell>
        </row>
        <row r="2015">
          <cell r="I2015">
            <v>2720</v>
          </cell>
          <cell r="J2015">
            <v>0.13152328767123286</v>
          </cell>
        </row>
        <row r="2016">
          <cell r="I2016">
            <v>2721</v>
          </cell>
          <cell r="J2016">
            <v>0.13152465753424658</v>
          </cell>
        </row>
        <row r="2017">
          <cell r="I2017">
            <v>2722</v>
          </cell>
          <cell r="J2017">
            <v>0.13152602739726027</v>
          </cell>
        </row>
        <row r="2018">
          <cell r="I2018">
            <v>2723</v>
          </cell>
          <cell r="J2018">
            <v>0.13152739726027396</v>
          </cell>
        </row>
        <row r="2019">
          <cell r="I2019">
            <v>2724</v>
          </cell>
          <cell r="J2019">
            <v>0.13152876712328768</v>
          </cell>
        </row>
        <row r="2020">
          <cell r="I2020">
            <v>2725</v>
          </cell>
          <cell r="J2020">
            <v>0.13153013698630137</v>
          </cell>
        </row>
        <row r="2021">
          <cell r="I2021">
            <v>2726</v>
          </cell>
          <cell r="J2021">
            <v>0.13153150684931506</v>
          </cell>
        </row>
        <row r="2022">
          <cell r="I2022">
            <v>2727</v>
          </cell>
          <cell r="J2022">
            <v>0.13153287671232877</v>
          </cell>
        </row>
        <row r="2023">
          <cell r="I2023">
            <v>2728</v>
          </cell>
          <cell r="J2023">
            <v>0.13153424657534246</v>
          </cell>
        </row>
        <row r="2024">
          <cell r="I2024">
            <v>2729</v>
          </cell>
          <cell r="J2024">
            <v>0.13153561643835615</v>
          </cell>
        </row>
        <row r="2025">
          <cell r="I2025">
            <v>2730</v>
          </cell>
          <cell r="J2025">
            <v>0.13153698630136987</v>
          </cell>
        </row>
        <row r="2026">
          <cell r="I2026">
            <v>2731</v>
          </cell>
          <cell r="J2026">
            <v>0.13153835616438356</v>
          </cell>
        </row>
        <row r="2027">
          <cell r="I2027">
            <v>2732</v>
          </cell>
          <cell r="J2027">
            <v>0.13153972602739725</v>
          </cell>
        </row>
        <row r="2028">
          <cell r="I2028">
            <v>2733</v>
          </cell>
          <cell r="J2028">
            <v>0.13154109589041096</v>
          </cell>
        </row>
        <row r="2029">
          <cell r="I2029">
            <v>2734</v>
          </cell>
          <cell r="J2029">
            <v>0.13154246575342465</v>
          </cell>
        </row>
        <row r="2030">
          <cell r="I2030">
            <v>2735</v>
          </cell>
          <cell r="J2030">
            <v>0.13154383561643834</v>
          </cell>
        </row>
        <row r="2031">
          <cell r="I2031">
            <v>2736</v>
          </cell>
          <cell r="J2031">
            <v>0.13154520547945206</v>
          </cell>
        </row>
        <row r="2032">
          <cell r="I2032">
            <v>2737</v>
          </cell>
          <cell r="J2032">
            <v>0.13154657534246575</v>
          </cell>
        </row>
        <row r="2033">
          <cell r="I2033">
            <v>2738</v>
          </cell>
          <cell r="J2033">
            <v>0.13154794520547944</v>
          </cell>
        </row>
        <row r="2034">
          <cell r="I2034">
            <v>2739</v>
          </cell>
          <cell r="J2034">
            <v>0.13154931506849316</v>
          </cell>
        </row>
        <row r="2035">
          <cell r="I2035">
            <v>2740</v>
          </cell>
          <cell r="J2035">
            <v>0.13155068493150684</v>
          </cell>
        </row>
        <row r="2036">
          <cell r="I2036">
            <v>2741</v>
          </cell>
          <cell r="J2036">
            <v>0.13155205479452056</v>
          </cell>
        </row>
        <row r="2037">
          <cell r="I2037">
            <v>2742</v>
          </cell>
          <cell r="J2037">
            <v>0.13155342465753425</v>
          </cell>
        </row>
        <row r="2038">
          <cell r="I2038">
            <v>2743</v>
          </cell>
          <cell r="J2038">
            <v>0.13155479452054794</v>
          </cell>
        </row>
        <row r="2039">
          <cell r="I2039">
            <v>2744</v>
          </cell>
          <cell r="J2039">
            <v>0.13155616438356166</v>
          </cell>
        </row>
        <row r="2040">
          <cell r="I2040">
            <v>2745</v>
          </cell>
          <cell r="J2040">
            <v>0.13155753424657535</v>
          </cell>
        </row>
        <row r="2041">
          <cell r="I2041">
            <v>2746</v>
          </cell>
          <cell r="J2041">
            <v>0.13155890410958904</v>
          </cell>
        </row>
        <row r="2042">
          <cell r="I2042">
            <v>2747</v>
          </cell>
          <cell r="J2042">
            <v>0.13156027397260275</v>
          </cell>
        </row>
        <row r="2043">
          <cell r="I2043">
            <v>2748</v>
          </cell>
          <cell r="J2043">
            <v>0.13156164383561644</v>
          </cell>
        </row>
        <row r="2044">
          <cell r="I2044">
            <v>2749</v>
          </cell>
          <cell r="J2044">
            <v>0.13156301369863013</v>
          </cell>
        </row>
        <row r="2045">
          <cell r="I2045">
            <v>2750</v>
          </cell>
          <cell r="J2045">
            <v>0.13156438356164385</v>
          </cell>
        </row>
        <row r="2046">
          <cell r="I2046">
            <v>2751</v>
          </cell>
          <cell r="J2046">
            <v>0.13156575342465754</v>
          </cell>
        </row>
        <row r="2047">
          <cell r="I2047">
            <v>2752</v>
          </cell>
          <cell r="J2047">
            <v>0.13156712328767123</v>
          </cell>
        </row>
        <row r="2048">
          <cell r="I2048">
            <v>2753</v>
          </cell>
          <cell r="J2048">
            <v>0.13156849315068495</v>
          </cell>
        </row>
        <row r="2049">
          <cell r="I2049">
            <v>2754</v>
          </cell>
          <cell r="J2049">
            <v>0.13156986301369863</v>
          </cell>
        </row>
        <row r="2050">
          <cell r="I2050">
            <v>2755</v>
          </cell>
          <cell r="J2050">
            <v>0.13157123287671232</v>
          </cell>
        </row>
        <row r="2051">
          <cell r="I2051">
            <v>2756</v>
          </cell>
          <cell r="J2051">
            <v>0.13157260273972604</v>
          </cell>
        </row>
        <row r="2052">
          <cell r="I2052">
            <v>2757</v>
          </cell>
          <cell r="J2052">
            <v>0.13157397260273973</v>
          </cell>
        </row>
        <row r="2053">
          <cell r="I2053">
            <v>2758</v>
          </cell>
          <cell r="J2053">
            <v>0.13157534246575342</v>
          </cell>
        </row>
        <row r="2054">
          <cell r="I2054">
            <v>2759</v>
          </cell>
          <cell r="J2054">
            <v>0.13157671232876714</v>
          </cell>
        </row>
        <row r="2055">
          <cell r="I2055">
            <v>2760</v>
          </cell>
          <cell r="J2055">
            <v>0.13157808219178083</v>
          </cell>
        </row>
        <row r="2056">
          <cell r="I2056">
            <v>2761</v>
          </cell>
          <cell r="J2056">
            <v>0.13157945205479452</v>
          </cell>
        </row>
        <row r="2057">
          <cell r="I2057">
            <v>2762</v>
          </cell>
          <cell r="J2057">
            <v>0.13158082191780823</v>
          </cell>
        </row>
        <row r="2058">
          <cell r="I2058">
            <v>2763</v>
          </cell>
          <cell r="J2058">
            <v>0.13158219178082192</v>
          </cell>
        </row>
        <row r="2059">
          <cell r="I2059">
            <v>2764</v>
          </cell>
          <cell r="J2059">
            <v>0.13158356164383561</v>
          </cell>
        </row>
        <row r="2060">
          <cell r="I2060">
            <v>2765</v>
          </cell>
          <cell r="J2060">
            <v>0.13158493150684933</v>
          </cell>
        </row>
        <row r="2061">
          <cell r="I2061">
            <v>2766</v>
          </cell>
          <cell r="J2061">
            <v>0.13158630136986302</v>
          </cell>
        </row>
        <row r="2062">
          <cell r="I2062">
            <v>2767</v>
          </cell>
          <cell r="J2062">
            <v>0.13158767123287671</v>
          </cell>
        </row>
        <row r="2063">
          <cell r="I2063">
            <v>2768</v>
          </cell>
          <cell r="J2063">
            <v>0.13158904109589042</v>
          </cell>
        </row>
        <row r="2064">
          <cell r="I2064">
            <v>2769</v>
          </cell>
          <cell r="J2064">
            <v>0.13159041095890411</v>
          </cell>
        </row>
        <row r="2065">
          <cell r="I2065">
            <v>2770</v>
          </cell>
          <cell r="J2065">
            <v>0.1315917808219178</v>
          </cell>
        </row>
        <row r="2066">
          <cell r="I2066">
            <v>2771</v>
          </cell>
          <cell r="J2066">
            <v>0.13159315068493152</v>
          </cell>
        </row>
        <row r="2067">
          <cell r="I2067">
            <v>2772</v>
          </cell>
          <cell r="J2067">
            <v>0.13159452054794521</v>
          </cell>
        </row>
        <row r="2068">
          <cell r="I2068">
            <v>2773</v>
          </cell>
          <cell r="J2068">
            <v>0.1315958904109589</v>
          </cell>
        </row>
        <row r="2069">
          <cell r="I2069">
            <v>2774</v>
          </cell>
          <cell r="J2069">
            <v>0.13159726027397262</v>
          </cell>
        </row>
        <row r="2070">
          <cell r="I2070">
            <v>2775</v>
          </cell>
          <cell r="J2070">
            <v>0.13159863013698631</v>
          </cell>
        </row>
        <row r="2071">
          <cell r="I2071">
            <v>2776</v>
          </cell>
          <cell r="J2071">
            <v>0.13159999999999999</v>
          </cell>
        </row>
        <row r="2072">
          <cell r="I2072">
            <v>2777</v>
          </cell>
          <cell r="J2072">
            <v>0.13160136986301371</v>
          </cell>
        </row>
        <row r="2073">
          <cell r="I2073">
            <v>2778</v>
          </cell>
          <cell r="J2073">
            <v>0.1316027397260274</v>
          </cell>
        </row>
        <row r="2074">
          <cell r="I2074">
            <v>2779</v>
          </cell>
          <cell r="J2074">
            <v>0.13160410958904109</v>
          </cell>
        </row>
        <row r="2075">
          <cell r="I2075">
            <v>2780</v>
          </cell>
          <cell r="J2075">
            <v>0.13160547945205481</v>
          </cell>
        </row>
        <row r="2076">
          <cell r="I2076">
            <v>2781</v>
          </cell>
          <cell r="J2076">
            <v>0.1316068493150685</v>
          </cell>
        </row>
        <row r="2077">
          <cell r="I2077">
            <v>2782</v>
          </cell>
          <cell r="J2077">
            <v>0.13160821917808219</v>
          </cell>
        </row>
        <row r="2078">
          <cell r="I2078">
            <v>2783</v>
          </cell>
          <cell r="J2078">
            <v>0.1316095890410959</v>
          </cell>
        </row>
        <row r="2079">
          <cell r="I2079">
            <v>2784</v>
          </cell>
          <cell r="J2079">
            <v>0.13161095890410959</v>
          </cell>
        </row>
        <row r="2080">
          <cell r="I2080">
            <v>2785</v>
          </cell>
          <cell r="J2080">
            <v>0.13161232876712328</v>
          </cell>
        </row>
        <row r="2081">
          <cell r="I2081">
            <v>2786</v>
          </cell>
          <cell r="J2081">
            <v>0.131613698630137</v>
          </cell>
        </row>
        <row r="2082">
          <cell r="I2082">
            <v>2787</v>
          </cell>
          <cell r="J2082">
            <v>0.13161506849315069</v>
          </cell>
        </row>
        <row r="2083">
          <cell r="I2083">
            <v>2788</v>
          </cell>
          <cell r="J2083">
            <v>0.13161643835616438</v>
          </cell>
        </row>
        <row r="2084">
          <cell r="I2084">
            <v>2789</v>
          </cell>
          <cell r="J2084">
            <v>0.1316178082191781</v>
          </cell>
        </row>
        <row r="2085">
          <cell r="I2085">
            <v>2790</v>
          </cell>
          <cell r="J2085">
            <v>0.13161917808219178</v>
          </cell>
        </row>
        <row r="2086">
          <cell r="I2086">
            <v>2791</v>
          </cell>
          <cell r="J2086">
            <v>0.13162054794520547</v>
          </cell>
        </row>
        <row r="2087">
          <cell r="I2087">
            <v>2792</v>
          </cell>
          <cell r="J2087">
            <v>0.13162191780821919</v>
          </cell>
        </row>
        <row r="2088">
          <cell r="I2088">
            <v>2793</v>
          </cell>
          <cell r="J2088">
            <v>0.13162328767123288</v>
          </cell>
        </row>
        <row r="2089">
          <cell r="I2089">
            <v>2794</v>
          </cell>
          <cell r="J2089">
            <v>0.13162465753424657</v>
          </cell>
        </row>
        <row r="2090">
          <cell r="I2090">
            <v>2795</v>
          </cell>
          <cell r="J2090">
            <v>0.13162602739726029</v>
          </cell>
        </row>
        <row r="2091">
          <cell r="I2091">
            <v>2796</v>
          </cell>
          <cell r="J2091">
            <v>0.13162739726027398</v>
          </cell>
        </row>
        <row r="2092">
          <cell r="I2092">
            <v>2797</v>
          </cell>
          <cell r="J2092">
            <v>0.13162876712328767</v>
          </cell>
        </row>
        <row r="2093">
          <cell r="I2093">
            <v>2798</v>
          </cell>
          <cell r="J2093">
            <v>0.13163013698630138</v>
          </cell>
        </row>
        <row r="2094">
          <cell r="I2094">
            <v>2799</v>
          </cell>
          <cell r="J2094">
            <v>0.13163150684931507</v>
          </cell>
        </row>
        <row r="2095">
          <cell r="I2095">
            <v>2800</v>
          </cell>
          <cell r="J2095">
            <v>0.13163287671232876</v>
          </cell>
        </row>
        <row r="2096">
          <cell r="I2096">
            <v>2801</v>
          </cell>
          <cell r="J2096">
            <v>0.13163424657534248</v>
          </cell>
        </row>
        <row r="2097">
          <cell r="I2097">
            <v>2802</v>
          </cell>
          <cell r="J2097">
            <v>0.13163561643835617</v>
          </cell>
        </row>
        <row r="2098">
          <cell r="I2098">
            <v>2803</v>
          </cell>
          <cell r="J2098">
            <v>0.13163698630136986</v>
          </cell>
        </row>
        <row r="2099">
          <cell r="I2099">
            <v>2804</v>
          </cell>
          <cell r="J2099">
            <v>0.13163835616438357</v>
          </cell>
        </row>
        <row r="2100">
          <cell r="I2100">
            <v>2805</v>
          </cell>
          <cell r="J2100">
            <v>0.13163972602739726</v>
          </cell>
        </row>
        <row r="2101">
          <cell r="I2101">
            <v>2806</v>
          </cell>
          <cell r="J2101">
            <v>0.13164109589041095</v>
          </cell>
        </row>
        <row r="2102">
          <cell r="I2102">
            <v>2807</v>
          </cell>
          <cell r="J2102">
            <v>0.13164246575342467</v>
          </cell>
        </row>
        <row r="2103">
          <cell r="I2103">
            <v>2808</v>
          </cell>
          <cell r="J2103">
            <v>0.13164383561643836</v>
          </cell>
        </row>
        <row r="2104">
          <cell r="I2104">
            <v>2809</v>
          </cell>
          <cell r="J2104">
            <v>0.13164520547945205</v>
          </cell>
        </row>
        <row r="2105">
          <cell r="I2105">
            <v>2810</v>
          </cell>
          <cell r="J2105">
            <v>0.13164657534246577</v>
          </cell>
        </row>
        <row r="2106">
          <cell r="I2106">
            <v>2811</v>
          </cell>
          <cell r="J2106">
            <v>0.13164794520547946</v>
          </cell>
        </row>
        <row r="2107">
          <cell r="I2107">
            <v>2812</v>
          </cell>
          <cell r="J2107">
            <v>0.13164931506849314</v>
          </cell>
        </row>
        <row r="2108">
          <cell r="I2108">
            <v>2813</v>
          </cell>
          <cell r="J2108">
            <v>0.13165068493150686</v>
          </cell>
        </row>
        <row r="2109">
          <cell r="I2109">
            <v>2814</v>
          </cell>
          <cell r="J2109">
            <v>0.13165205479452055</v>
          </cell>
        </row>
        <row r="2110">
          <cell r="I2110">
            <v>2815</v>
          </cell>
          <cell r="J2110">
            <v>0.13165342465753424</v>
          </cell>
        </row>
        <row r="2111">
          <cell r="I2111">
            <v>2816</v>
          </cell>
          <cell r="J2111">
            <v>0.13165479452054796</v>
          </cell>
        </row>
        <row r="2112">
          <cell r="I2112">
            <v>2817</v>
          </cell>
          <cell r="J2112">
            <v>0.13165616438356165</v>
          </cell>
        </row>
        <row r="2113">
          <cell r="I2113">
            <v>2818</v>
          </cell>
          <cell r="J2113">
            <v>0.13165753424657534</v>
          </cell>
        </row>
        <row r="2114">
          <cell r="I2114">
            <v>2819</v>
          </cell>
          <cell r="J2114">
            <v>0.13165890410958905</v>
          </cell>
        </row>
        <row r="2115">
          <cell r="I2115">
            <v>2820</v>
          </cell>
          <cell r="J2115">
            <v>0.13166027397260274</v>
          </cell>
        </row>
        <row r="2116">
          <cell r="I2116">
            <v>2821</v>
          </cell>
          <cell r="J2116">
            <v>0.13166164383561643</v>
          </cell>
        </row>
        <row r="2117">
          <cell r="I2117">
            <v>2822</v>
          </cell>
          <cell r="J2117">
            <v>0.13166301369863015</v>
          </cell>
        </row>
        <row r="2118">
          <cell r="I2118">
            <v>2823</v>
          </cell>
          <cell r="J2118">
            <v>0.13166438356164384</v>
          </cell>
        </row>
        <row r="2119">
          <cell r="I2119">
            <v>2824</v>
          </cell>
          <cell r="J2119">
            <v>0.13166575342465753</v>
          </cell>
        </row>
        <row r="2120">
          <cell r="I2120">
            <v>2825</v>
          </cell>
          <cell r="J2120">
            <v>0.13166712328767124</v>
          </cell>
        </row>
        <row r="2121">
          <cell r="I2121">
            <v>2826</v>
          </cell>
          <cell r="J2121">
            <v>0.13166849315068493</v>
          </cell>
        </row>
        <row r="2122">
          <cell r="I2122">
            <v>2827</v>
          </cell>
          <cell r="J2122">
            <v>0.13166986301369862</v>
          </cell>
        </row>
        <row r="2123">
          <cell r="I2123">
            <v>2828</v>
          </cell>
          <cell r="J2123">
            <v>0.13167123287671234</v>
          </cell>
        </row>
        <row r="2124">
          <cell r="I2124">
            <v>2829</v>
          </cell>
          <cell r="J2124">
            <v>0.13167260273972603</v>
          </cell>
        </row>
        <row r="2125">
          <cell r="I2125">
            <v>2830</v>
          </cell>
          <cell r="J2125">
            <v>0.13167397260273972</v>
          </cell>
        </row>
        <row r="2126">
          <cell r="I2126">
            <v>2831</v>
          </cell>
          <cell r="J2126">
            <v>0.13167534246575344</v>
          </cell>
        </row>
        <row r="2127">
          <cell r="I2127">
            <v>2832</v>
          </cell>
          <cell r="J2127">
            <v>0.13167671232876713</v>
          </cell>
        </row>
        <row r="2128">
          <cell r="I2128">
            <v>2833</v>
          </cell>
          <cell r="J2128">
            <v>0.13167808219178082</v>
          </cell>
        </row>
        <row r="2129">
          <cell r="I2129">
            <v>2834</v>
          </cell>
          <cell r="J2129">
            <v>0.13167945205479453</v>
          </cell>
        </row>
        <row r="2130">
          <cell r="I2130">
            <v>2835</v>
          </cell>
          <cell r="J2130">
            <v>0.13168082191780822</v>
          </cell>
        </row>
        <row r="2131">
          <cell r="I2131">
            <v>2836</v>
          </cell>
          <cell r="J2131">
            <v>0.13168219178082191</v>
          </cell>
        </row>
        <row r="2132">
          <cell r="I2132">
            <v>2837</v>
          </cell>
          <cell r="J2132">
            <v>0.13168356164383563</v>
          </cell>
        </row>
        <row r="2133">
          <cell r="I2133">
            <v>2838</v>
          </cell>
          <cell r="J2133">
            <v>0.13168493150684932</v>
          </cell>
        </row>
        <row r="2134">
          <cell r="I2134">
            <v>2839</v>
          </cell>
          <cell r="J2134">
            <v>0.13168630136986301</v>
          </cell>
        </row>
        <row r="2135">
          <cell r="I2135">
            <v>2840</v>
          </cell>
          <cell r="J2135">
            <v>0.13168767123287672</v>
          </cell>
        </row>
        <row r="2136">
          <cell r="I2136">
            <v>2841</v>
          </cell>
          <cell r="J2136">
            <v>0.13168904109589041</v>
          </cell>
        </row>
        <row r="2137">
          <cell r="I2137">
            <v>2842</v>
          </cell>
          <cell r="J2137">
            <v>0.1316904109589041</v>
          </cell>
        </row>
        <row r="2138">
          <cell r="I2138">
            <v>2843</v>
          </cell>
          <cell r="J2138">
            <v>0.13169178082191782</v>
          </cell>
        </row>
        <row r="2139">
          <cell r="I2139">
            <v>2844</v>
          </cell>
          <cell r="J2139">
            <v>0.13169315068493151</v>
          </cell>
        </row>
        <row r="2140">
          <cell r="I2140">
            <v>2845</v>
          </cell>
          <cell r="J2140">
            <v>0.1316945205479452</v>
          </cell>
        </row>
        <row r="2141">
          <cell r="I2141">
            <v>2846</v>
          </cell>
          <cell r="J2141">
            <v>0.13169589041095892</v>
          </cell>
        </row>
        <row r="2142">
          <cell r="I2142">
            <v>2847</v>
          </cell>
          <cell r="J2142">
            <v>0.13169726027397261</v>
          </cell>
        </row>
        <row r="2143">
          <cell r="I2143">
            <v>2848</v>
          </cell>
          <cell r="J2143">
            <v>0.13169863013698629</v>
          </cell>
        </row>
        <row r="2144">
          <cell r="I2144">
            <v>2849</v>
          </cell>
          <cell r="J2144">
            <v>0.13170000000000001</v>
          </cell>
        </row>
        <row r="2145">
          <cell r="I2145">
            <v>2850</v>
          </cell>
          <cell r="J2145">
            <v>0.1317013698630137</v>
          </cell>
        </row>
        <row r="2146">
          <cell r="I2146">
            <v>2851</v>
          </cell>
          <cell r="J2146">
            <v>0.13170273972602739</v>
          </cell>
        </row>
        <row r="2147">
          <cell r="I2147">
            <v>2852</v>
          </cell>
          <cell r="J2147">
            <v>0.13170410958904111</v>
          </cell>
        </row>
        <row r="2148">
          <cell r="I2148">
            <v>2853</v>
          </cell>
          <cell r="J2148">
            <v>0.1317054794520548</v>
          </cell>
        </row>
        <row r="2149">
          <cell r="I2149">
            <v>2854</v>
          </cell>
          <cell r="J2149">
            <v>0.13170684931506849</v>
          </cell>
        </row>
        <row r="2150">
          <cell r="I2150">
            <v>2855</v>
          </cell>
          <cell r="J2150">
            <v>0.1317082191780822</v>
          </cell>
        </row>
        <row r="2151">
          <cell r="I2151">
            <v>2856</v>
          </cell>
          <cell r="J2151">
            <v>0.13170958904109589</v>
          </cell>
        </row>
        <row r="2152">
          <cell r="I2152">
            <v>2857</v>
          </cell>
          <cell r="J2152">
            <v>0.13171095890410958</v>
          </cell>
        </row>
        <row r="2153">
          <cell r="I2153">
            <v>2858</v>
          </cell>
          <cell r="J2153">
            <v>0.1317123287671233</v>
          </cell>
        </row>
        <row r="2154">
          <cell r="I2154">
            <v>2859</v>
          </cell>
          <cell r="J2154">
            <v>0.13171369863013699</v>
          </cell>
        </row>
        <row r="2155">
          <cell r="I2155">
            <v>2860</v>
          </cell>
          <cell r="J2155">
            <v>0.13171506849315068</v>
          </cell>
        </row>
        <row r="2156">
          <cell r="I2156">
            <v>2861</v>
          </cell>
          <cell r="J2156">
            <v>0.13171643835616439</v>
          </cell>
        </row>
        <row r="2157">
          <cell r="I2157">
            <v>2862</v>
          </cell>
          <cell r="J2157">
            <v>0.13171780821917808</v>
          </cell>
        </row>
        <row r="2158">
          <cell r="I2158">
            <v>2863</v>
          </cell>
          <cell r="J2158">
            <v>0.13171917808219177</v>
          </cell>
        </row>
        <row r="2159">
          <cell r="I2159">
            <v>2864</v>
          </cell>
          <cell r="J2159">
            <v>0.13172054794520549</v>
          </cell>
        </row>
        <row r="2160">
          <cell r="I2160">
            <v>2865</v>
          </cell>
          <cell r="J2160">
            <v>0.13172191780821918</v>
          </cell>
        </row>
        <row r="2161">
          <cell r="I2161">
            <v>2866</v>
          </cell>
          <cell r="J2161">
            <v>0.13172328767123287</v>
          </cell>
        </row>
        <row r="2162">
          <cell r="I2162">
            <v>2867</v>
          </cell>
          <cell r="J2162">
            <v>0.13172465753424659</v>
          </cell>
        </row>
        <row r="2163">
          <cell r="I2163">
            <v>2868</v>
          </cell>
          <cell r="J2163">
            <v>0.13172602739726028</v>
          </cell>
        </row>
        <row r="2164">
          <cell r="I2164">
            <v>2869</v>
          </cell>
          <cell r="J2164">
            <v>0.13172739726027397</v>
          </cell>
        </row>
        <row r="2165">
          <cell r="I2165">
            <v>2870</v>
          </cell>
          <cell r="J2165">
            <v>0.13172876712328768</v>
          </cell>
        </row>
        <row r="2166">
          <cell r="I2166">
            <v>2871</v>
          </cell>
          <cell r="J2166">
            <v>0.13173013698630137</v>
          </cell>
        </row>
        <row r="2167">
          <cell r="I2167">
            <v>2872</v>
          </cell>
          <cell r="J2167">
            <v>0.13173150684931506</v>
          </cell>
        </row>
        <row r="2168">
          <cell r="I2168">
            <v>2873</v>
          </cell>
          <cell r="J2168">
            <v>0.13173287671232878</v>
          </cell>
        </row>
        <row r="2169">
          <cell r="I2169">
            <v>2874</v>
          </cell>
          <cell r="J2169">
            <v>0.13173424657534247</v>
          </cell>
        </row>
        <row r="2170">
          <cell r="I2170">
            <v>2875</v>
          </cell>
          <cell r="J2170">
            <v>0.13173561643835616</v>
          </cell>
        </row>
        <row r="2171">
          <cell r="I2171">
            <v>2876</v>
          </cell>
          <cell r="J2171">
            <v>0.13173698630136987</v>
          </cell>
        </row>
        <row r="2172">
          <cell r="I2172">
            <v>2877</v>
          </cell>
          <cell r="J2172">
            <v>0.13173835616438356</v>
          </cell>
        </row>
        <row r="2173">
          <cell r="I2173">
            <v>2878</v>
          </cell>
          <cell r="J2173">
            <v>0.13173972602739725</v>
          </cell>
        </row>
        <row r="2174">
          <cell r="I2174">
            <v>2879</v>
          </cell>
          <cell r="J2174">
            <v>0.13174109589041097</v>
          </cell>
        </row>
        <row r="2175">
          <cell r="I2175">
            <v>2880</v>
          </cell>
          <cell r="J2175">
            <v>0.13174246575342466</v>
          </cell>
        </row>
        <row r="2176">
          <cell r="I2176">
            <v>2881</v>
          </cell>
          <cell r="J2176">
            <v>0.13174383561643835</v>
          </cell>
        </row>
        <row r="2177">
          <cell r="I2177">
            <v>2882</v>
          </cell>
          <cell r="J2177">
            <v>0.13174520547945207</v>
          </cell>
        </row>
        <row r="2178">
          <cell r="I2178">
            <v>2883</v>
          </cell>
          <cell r="J2178">
            <v>0.13174657534246575</v>
          </cell>
        </row>
        <row r="2179">
          <cell r="I2179">
            <v>2884</v>
          </cell>
          <cell r="J2179">
            <v>0.13174794520547944</v>
          </cell>
        </row>
        <row r="2180">
          <cell r="I2180">
            <v>2885</v>
          </cell>
          <cell r="J2180">
            <v>0.13174931506849316</v>
          </cell>
        </row>
        <row r="2181">
          <cell r="I2181">
            <v>2886</v>
          </cell>
          <cell r="J2181">
            <v>0.13175068493150685</v>
          </cell>
        </row>
        <row r="2182">
          <cell r="I2182">
            <v>2887</v>
          </cell>
          <cell r="J2182">
            <v>0.13175205479452054</v>
          </cell>
        </row>
        <row r="2183">
          <cell r="I2183">
            <v>2888</v>
          </cell>
          <cell r="J2183">
            <v>0.13175342465753426</v>
          </cell>
        </row>
        <row r="2184">
          <cell r="I2184">
            <v>2889</v>
          </cell>
          <cell r="J2184">
            <v>0.13175479452054795</v>
          </cell>
        </row>
        <row r="2185">
          <cell r="I2185">
            <v>2890</v>
          </cell>
          <cell r="J2185">
            <v>0.13175616438356164</v>
          </cell>
        </row>
        <row r="2186">
          <cell r="I2186">
            <v>2891</v>
          </cell>
          <cell r="J2186">
            <v>0.13175753424657535</v>
          </cell>
        </row>
        <row r="2187">
          <cell r="I2187">
            <v>2892</v>
          </cell>
          <cell r="J2187">
            <v>0.13175890410958904</v>
          </cell>
        </row>
        <row r="2188">
          <cell r="I2188">
            <v>2893</v>
          </cell>
          <cell r="J2188">
            <v>0.13176027397260273</v>
          </cell>
        </row>
        <row r="2189">
          <cell r="I2189">
            <v>2894</v>
          </cell>
          <cell r="J2189">
            <v>0.13176164383561645</v>
          </cell>
        </row>
        <row r="2190">
          <cell r="I2190">
            <v>2895</v>
          </cell>
          <cell r="J2190">
            <v>0.13176301369863014</v>
          </cell>
        </row>
        <row r="2191">
          <cell r="I2191">
            <v>2896</v>
          </cell>
          <cell r="J2191">
            <v>0.13176438356164383</v>
          </cell>
        </row>
        <row r="2192">
          <cell r="I2192">
            <v>2897</v>
          </cell>
          <cell r="J2192">
            <v>0.13176575342465754</v>
          </cell>
        </row>
        <row r="2193">
          <cell r="I2193">
            <v>2898</v>
          </cell>
          <cell r="J2193">
            <v>0.13176712328767123</v>
          </cell>
        </row>
        <row r="2194">
          <cell r="I2194">
            <v>2899</v>
          </cell>
          <cell r="J2194">
            <v>0.13176849315068492</v>
          </cell>
        </row>
        <row r="2195">
          <cell r="I2195">
            <v>2900</v>
          </cell>
          <cell r="J2195">
            <v>0.13176986301369864</v>
          </cell>
        </row>
        <row r="2196">
          <cell r="I2196">
            <v>2901</v>
          </cell>
          <cell r="J2196">
            <v>0.13177123287671233</v>
          </cell>
        </row>
        <row r="2197">
          <cell r="I2197">
            <v>2902</v>
          </cell>
          <cell r="J2197">
            <v>0.13177260273972602</v>
          </cell>
        </row>
        <row r="2198">
          <cell r="I2198">
            <v>2903</v>
          </cell>
          <cell r="J2198">
            <v>0.13177397260273974</v>
          </cell>
        </row>
        <row r="2199">
          <cell r="I2199">
            <v>2904</v>
          </cell>
          <cell r="J2199">
            <v>0.13177534246575343</v>
          </cell>
        </row>
        <row r="2200">
          <cell r="I2200">
            <v>2905</v>
          </cell>
          <cell r="J2200">
            <v>0.13177671232876711</v>
          </cell>
        </row>
        <row r="2201">
          <cell r="I2201">
            <v>2906</v>
          </cell>
          <cell r="J2201">
            <v>0.13177808219178083</v>
          </cell>
        </row>
        <row r="2202">
          <cell r="I2202">
            <v>2907</v>
          </cell>
          <cell r="J2202">
            <v>0.13177945205479452</v>
          </cell>
        </row>
        <row r="2203">
          <cell r="I2203">
            <v>2908</v>
          </cell>
          <cell r="J2203">
            <v>0.13178082191780821</v>
          </cell>
        </row>
        <row r="2204">
          <cell r="I2204">
            <v>2909</v>
          </cell>
          <cell r="J2204">
            <v>0.13178219178082193</v>
          </cell>
        </row>
        <row r="2205">
          <cell r="I2205">
            <v>2910</v>
          </cell>
          <cell r="J2205">
            <v>0.13178356164383562</v>
          </cell>
        </row>
        <row r="2206">
          <cell r="I2206">
            <v>2911</v>
          </cell>
          <cell r="J2206">
            <v>0.13178493150684931</v>
          </cell>
        </row>
        <row r="2207">
          <cell r="I2207">
            <v>2912</v>
          </cell>
          <cell r="J2207">
            <v>0.13178630136986302</v>
          </cell>
        </row>
        <row r="2208">
          <cell r="I2208">
            <v>2913</v>
          </cell>
          <cell r="J2208">
            <v>0.13178767123287671</v>
          </cell>
        </row>
        <row r="2209">
          <cell r="I2209">
            <v>2914</v>
          </cell>
          <cell r="J2209">
            <v>0.1317890410958904</v>
          </cell>
        </row>
        <row r="2210">
          <cell r="I2210">
            <v>2915</v>
          </cell>
          <cell r="J2210">
            <v>0.13179041095890412</v>
          </cell>
        </row>
        <row r="2211">
          <cell r="I2211">
            <v>2916</v>
          </cell>
          <cell r="J2211">
            <v>0.13179178082191781</v>
          </cell>
        </row>
        <row r="2212">
          <cell r="I2212">
            <v>2917</v>
          </cell>
          <cell r="J2212">
            <v>0.1317931506849315</v>
          </cell>
        </row>
        <row r="2213">
          <cell r="I2213">
            <v>2918</v>
          </cell>
          <cell r="J2213">
            <v>0.13179452054794522</v>
          </cell>
        </row>
        <row r="2214">
          <cell r="I2214">
            <v>2919</v>
          </cell>
          <cell r="J2214">
            <v>0.1317958904109589</v>
          </cell>
        </row>
        <row r="2215">
          <cell r="I2215">
            <v>2920</v>
          </cell>
          <cell r="J2215">
            <v>0.13179726027397259</v>
          </cell>
        </row>
        <row r="2216">
          <cell r="I2216">
            <v>2921</v>
          </cell>
          <cell r="J2216">
            <v>0.13179863013698631</v>
          </cell>
        </row>
        <row r="2217">
          <cell r="I2217">
            <v>2922</v>
          </cell>
          <cell r="J2217">
            <v>0.1318</v>
          </cell>
        </row>
        <row r="2218">
          <cell r="I2218">
            <v>2923</v>
          </cell>
          <cell r="J2218">
            <v>0.13180136986301369</v>
          </cell>
        </row>
        <row r="2219">
          <cell r="I2219">
            <v>2924</v>
          </cell>
          <cell r="J2219">
            <v>0.13180273972602741</v>
          </cell>
        </row>
        <row r="2220">
          <cell r="I2220">
            <v>2925</v>
          </cell>
          <cell r="J2220">
            <v>0.1318041095890411</v>
          </cell>
        </row>
        <row r="2221">
          <cell r="I2221">
            <v>2926</v>
          </cell>
          <cell r="J2221">
            <v>0.13180547945205479</v>
          </cell>
        </row>
        <row r="2222">
          <cell r="I2222">
            <v>2927</v>
          </cell>
          <cell r="J2222">
            <v>0.1318068493150685</v>
          </cell>
        </row>
        <row r="2223">
          <cell r="I2223">
            <v>2928</v>
          </cell>
          <cell r="J2223">
            <v>0.13180821917808219</v>
          </cell>
        </row>
        <row r="2224">
          <cell r="I2224">
            <v>2929</v>
          </cell>
          <cell r="J2224">
            <v>0.13180958904109588</v>
          </cell>
        </row>
        <row r="2225">
          <cell r="I2225">
            <v>2930</v>
          </cell>
          <cell r="J2225">
            <v>0.1318109589041096</v>
          </cell>
        </row>
        <row r="2226">
          <cell r="I2226">
            <v>2931</v>
          </cell>
          <cell r="J2226">
            <v>0.13181232876712329</v>
          </cell>
        </row>
        <row r="2227">
          <cell r="I2227">
            <v>2932</v>
          </cell>
          <cell r="J2227">
            <v>0.13181369863013698</v>
          </cell>
        </row>
        <row r="2228">
          <cell r="I2228">
            <v>2933</v>
          </cell>
          <cell r="J2228">
            <v>0.13181506849315069</v>
          </cell>
        </row>
        <row r="2229">
          <cell r="I2229">
            <v>2934</v>
          </cell>
          <cell r="J2229">
            <v>0.13181643835616438</v>
          </cell>
        </row>
        <row r="2230">
          <cell r="I2230">
            <v>2935</v>
          </cell>
          <cell r="J2230">
            <v>0.13181780821917807</v>
          </cell>
        </row>
        <row r="2231">
          <cell r="I2231">
            <v>2936</v>
          </cell>
          <cell r="J2231">
            <v>0.13181917808219179</v>
          </cell>
        </row>
        <row r="2232">
          <cell r="I2232">
            <v>2937</v>
          </cell>
          <cell r="J2232">
            <v>0.13182054794520548</v>
          </cell>
        </row>
        <row r="2233">
          <cell r="I2233">
            <v>2938</v>
          </cell>
          <cell r="J2233">
            <v>0.13182191780821917</v>
          </cell>
        </row>
        <row r="2234">
          <cell r="I2234">
            <v>2939</v>
          </cell>
          <cell r="J2234">
            <v>0.13182328767123289</v>
          </cell>
        </row>
        <row r="2235">
          <cell r="I2235">
            <v>2940</v>
          </cell>
          <cell r="J2235">
            <v>0.13182465753424658</v>
          </cell>
        </row>
        <row r="2236">
          <cell r="I2236">
            <v>2941</v>
          </cell>
          <cell r="J2236">
            <v>0.13182602739726026</v>
          </cell>
        </row>
        <row r="2237">
          <cell r="I2237">
            <v>2942</v>
          </cell>
          <cell r="J2237">
            <v>0.13182739726027398</v>
          </cell>
        </row>
        <row r="2238">
          <cell r="I2238">
            <v>2943</v>
          </cell>
          <cell r="J2238">
            <v>0.13182876712328767</v>
          </cell>
        </row>
        <row r="2239">
          <cell r="I2239">
            <v>2944</v>
          </cell>
          <cell r="J2239">
            <v>0.13183013698630136</v>
          </cell>
        </row>
        <row r="2240">
          <cell r="I2240">
            <v>2945</v>
          </cell>
          <cell r="J2240">
            <v>0.13183150684931508</v>
          </cell>
        </row>
        <row r="2241">
          <cell r="I2241">
            <v>2946</v>
          </cell>
          <cell r="J2241">
            <v>0.13183287671232877</v>
          </cell>
        </row>
        <row r="2242">
          <cell r="I2242">
            <v>2947</v>
          </cell>
          <cell r="J2242">
            <v>0.13183424657534246</v>
          </cell>
        </row>
        <row r="2243">
          <cell r="I2243">
            <v>2948</v>
          </cell>
          <cell r="J2243">
            <v>0.13183561643835617</v>
          </cell>
        </row>
        <row r="2244">
          <cell r="I2244">
            <v>2949</v>
          </cell>
          <cell r="J2244">
            <v>0.13183698630136986</v>
          </cell>
        </row>
        <row r="2245">
          <cell r="I2245">
            <v>2950</v>
          </cell>
          <cell r="J2245">
            <v>0.13183835616438355</v>
          </cell>
        </row>
        <row r="2246">
          <cell r="I2246">
            <v>2951</v>
          </cell>
          <cell r="J2246">
            <v>0.13183972602739727</v>
          </cell>
        </row>
        <row r="2247">
          <cell r="I2247">
            <v>2952</v>
          </cell>
          <cell r="J2247">
            <v>0.13184109589041096</v>
          </cell>
        </row>
        <row r="2248">
          <cell r="I2248">
            <v>2953</v>
          </cell>
          <cell r="J2248">
            <v>0.13184246575342465</v>
          </cell>
        </row>
        <row r="2249">
          <cell r="I2249">
            <v>2954</v>
          </cell>
          <cell r="J2249">
            <v>0.13184383561643837</v>
          </cell>
        </row>
        <row r="2250">
          <cell r="I2250">
            <v>2955</v>
          </cell>
          <cell r="J2250">
            <v>0.13184520547945205</v>
          </cell>
        </row>
        <row r="2251">
          <cell r="I2251">
            <v>2956</v>
          </cell>
          <cell r="J2251">
            <v>0.13184657534246574</v>
          </cell>
        </row>
        <row r="2252">
          <cell r="I2252">
            <v>2957</v>
          </cell>
          <cell r="J2252">
            <v>0.13184794520547946</v>
          </cell>
        </row>
        <row r="2253">
          <cell r="I2253">
            <v>2958</v>
          </cell>
          <cell r="J2253">
            <v>0.13184931506849315</v>
          </cell>
        </row>
        <row r="2254">
          <cell r="I2254">
            <v>2959</v>
          </cell>
          <cell r="J2254">
            <v>0.13185068493150684</v>
          </cell>
        </row>
        <row r="2255">
          <cell r="I2255">
            <v>2960</v>
          </cell>
          <cell r="J2255">
            <v>0.13185205479452056</v>
          </cell>
        </row>
        <row r="2256">
          <cell r="I2256">
            <v>2961</v>
          </cell>
          <cell r="J2256">
            <v>0.13185342465753425</v>
          </cell>
        </row>
        <row r="2257">
          <cell r="I2257">
            <v>2962</v>
          </cell>
          <cell r="J2257">
            <v>0.13185479452054794</v>
          </cell>
        </row>
        <row r="2258">
          <cell r="I2258">
            <v>2963</v>
          </cell>
          <cell r="J2258">
            <v>0.13185616438356165</v>
          </cell>
        </row>
        <row r="2259">
          <cell r="I2259">
            <v>2964</v>
          </cell>
          <cell r="J2259">
            <v>0.13185753424657534</v>
          </cell>
        </row>
        <row r="2260">
          <cell r="I2260">
            <v>2965</v>
          </cell>
          <cell r="J2260">
            <v>0.13185890410958903</v>
          </cell>
        </row>
        <row r="2261">
          <cell r="I2261">
            <v>2966</v>
          </cell>
          <cell r="J2261">
            <v>0.13186027397260275</v>
          </cell>
        </row>
        <row r="2262">
          <cell r="I2262">
            <v>2967</v>
          </cell>
          <cell r="J2262">
            <v>0.13186164383561644</v>
          </cell>
        </row>
        <row r="2263">
          <cell r="I2263">
            <v>2968</v>
          </cell>
          <cell r="J2263">
            <v>0.13186301369863013</v>
          </cell>
        </row>
        <row r="2264">
          <cell r="I2264">
            <v>2969</v>
          </cell>
          <cell r="J2264">
            <v>0.13186438356164384</v>
          </cell>
        </row>
        <row r="2265">
          <cell r="I2265">
            <v>2970</v>
          </cell>
          <cell r="J2265">
            <v>0.13186575342465753</v>
          </cell>
        </row>
        <row r="2266">
          <cell r="I2266">
            <v>2971</v>
          </cell>
          <cell r="J2266">
            <v>0.13186712328767122</v>
          </cell>
        </row>
        <row r="2267">
          <cell r="I2267">
            <v>2972</v>
          </cell>
          <cell r="J2267">
            <v>0.13186849315068494</v>
          </cell>
        </row>
        <row r="2268">
          <cell r="I2268">
            <v>2973</v>
          </cell>
          <cell r="J2268">
            <v>0.13186986301369863</v>
          </cell>
        </row>
        <row r="2269">
          <cell r="I2269">
            <v>2974</v>
          </cell>
          <cell r="J2269">
            <v>0.13187123287671232</v>
          </cell>
        </row>
        <row r="2270">
          <cell r="I2270">
            <v>2975</v>
          </cell>
          <cell r="J2270">
            <v>0.13187260273972604</v>
          </cell>
        </row>
        <row r="2271">
          <cell r="I2271">
            <v>2976</v>
          </cell>
          <cell r="J2271">
            <v>0.13187397260273973</v>
          </cell>
        </row>
        <row r="2272">
          <cell r="I2272">
            <v>2977</v>
          </cell>
          <cell r="J2272">
            <v>0.13187534246575341</v>
          </cell>
        </row>
        <row r="2273">
          <cell r="I2273">
            <v>2978</v>
          </cell>
          <cell r="J2273">
            <v>0.13187671232876713</v>
          </cell>
        </row>
        <row r="2274">
          <cell r="I2274">
            <v>2979</v>
          </cell>
          <cell r="J2274">
            <v>0.13187808219178082</v>
          </cell>
        </row>
        <row r="2275">
          <cell r="I2275">
            <v>2980</v>
          </cell>
          <cell r="J2275">
            <v>0.13187945205479451</v>
          </cell>
        </row>
        <row r="2276">
          <cell r="I2276">
            <v>2981</v>
          </cell>
          <cell r="J2276">
            <v>0.13188082191780823</v>
          </cell>
        </row>
        <row r="2277">
          <cell r="I2277">
            <v>2982</v>
          </cell>
          <cell r="J2277">
            <v>0.13188219178082192</v>
          </cell>
        </row>
        <row r="2278">
          <cell r="I2278">
            <v>2983</v>
          </cell>
          <cell r="J2278">
            <v>0.13188356164383561</v>
          </cell>
        </row>
        <row r="2279">
          <cell r="I2279">
            <v>2984</v>
          </cell>
          <cell r="J2279">
            <v>0.13188493150684932</v>
          </cell>
        </row>
        <row r="2280">
          <cell r="I2280">
            <v>2985</v>
          </cell>
          <cell r="J2280">
            <v>0.13188630136986301</v>
          </cell>
        </row>
        <row r="2281">
          <cell r="I2281">
            <v>2986</v>
          </cell>
          <cell r="J2281">
            <v>0.1318876712328767</v>
          </cell>
        </row>
        <row r="2282">
          <cell r="I2282">
            <v>2987</v>
          </cell>
          <cell r="J2282">
            <v>0.13188904109589042</v>
          </cell>
        </row>
        <row r="2283">
          <cell r="I2283">
            <v>2988</v>
          </cell>
          <cell r="J2283">
            <v>0.13189041095890411</v>
          </cell>
        </row>
        <row r="2284">
          <cell r="I2284">
            <v>2989</v>
          </cell>
          <cell r="J2284">
            <v>0.1318917808219178</v>
          </cell>
        </row>
        <row r="2285">
          <cell r="I2285">
            <v>2990</v>
          </cell>
          <cell r="J2285">
            <v>0.13189315068493151</v>
          </cell>
        </row>
        <row r="2286">
          <cell r="I2286">
            <v>2991</v>
          </cell>
          <cell r="J2286">
            <v>0.1318945205479452</v>
          </cell>
        </row>
        <row r="2287">
          <cell r="I2287">
            <v>2992</v>
          </cell>
          <cell r="J2287">
            <v>0.13189589041095889</v>
          </cell>
        </row>
        <row r="2288">
          <cell r="I2288">
            <v>2993</v>
          </cell>
          <cell r="J2288">
            <v>0.13189726027397261</v>
          </cell>
        </row>
        <row r="2289">
          <cell r="I2289">
            <v>2994</v>
          </cell>
          <cell r="J2289">
            <v>0.1318986301369863</v>
          </cell>
        </row>
        <row r="2290">
          <cell r="I2290">
            <v>2995</v>
          </cell>
          <cell r="J2290">
            <v>0.13189999999999999</v>
          </cell>
        </row>
        <row r="2291">
          <cell r="I2291">
            <v>2996</v>
          </cell>
          <cell r="J2291">
            <v>0.13190136986301371</v>
          </cell>
        </row>
        <row r="2292">
          <cell r="I2292">
            <v>2997</v>
          </cell>
          <cell r="J2292">
            <v>0.1319027397260274</v>
          </cell>
        </row>
        <row r="2293">
          <cell r="I2293">
            <v>2998</v>
          </cell>
          <cell r="J2293">
            <v>0.13190410958904109</v>
          </cell>
        </row>
        <row r="2294">
          <cell r="I2294">
            <v>2999</v>
          </cell>
          <cell r="J2294">
            <v>0.1319054794520548</v>
          </cell>
        </row>
        <row r="2295">
          <cell r="I2295">
            <v>3000</v>
          </cell>
          <cell r="J2295">
            <v>0.13190684931506849</v>
          </cell>
        </row>
        <row r="2296">
          <cell r="I2296">
            <v>3001</v>
          </cell>
          <cell r="J2296">
            <v>0.13190821917808218</v>
          </cell>
        </row>
        <row r="2297">
          <cell r="I2297">
            <v>3002</v>
          </cell>
          <cell r="J2297">
            <v>0.1319095890410959</v>
          </cell>
        </row>
        <row r="2298">
          <cell r="I2298">
            <v>3003</v>
          </cell>
          <cell r="J2298">
            <v>0.13191095890410959</v>
          </cell>
        </row>
        <row r="2299">
          <cell r="I2299">
            <v>3004</v>
          </cell>
          <cell r="J2299">
            <v>0.13191232876712328</v>
          </cell>
        </row>
        <row r="2300">
          <cell r="I2300">
            <v>3005</v>
          </cell>
          <cell r="J2300">
            <v>0.13191369863013699</v>
          </cell>
        </row>
        <row r="2301">
          <cell r="I2301">
            <v>3006</v>
          </cell>
          <cell r="J2301">
            <v>0.13191506849315068</v>
          </cell>
        </row>
        <row r="2302">
          <cell r="I2302">
            <v>3007</v>
          </cell>
          <cell r="J2302">
            <v>0.13191643835616437</v>
          </cell>
        </row>
        <row r="2303">
          <cell r="I2303">
            <v>3008</v>
          </cell>
          <cell r="J2303">
            <v>0.13191780821917809</v>
          </cell>
        </row>
        <row r="2304">
          <cell r="I2304">
            <v>3009</v>
          </cell>
          <cell r="J2304">
            <v>0.13191917808219178</v>
          </cell>
        </row>
        <row r="2305">
          <cell r="I2305">
            <v>3010</v>
          </cell>
          <cell r="J2305">
            <v>0.13192054794520547</v>
          </cell>
        </row>
        <row r="2306">
          <cell r="I2306">
            <v>3011</v>
          </cell>
          <cell r="J2306">
            <v>0.13192191780821919</v>
          </cell>
        </row>
        <row r="2307">
          <cell r="I2307">
            <v>3012</v>
          </cell>
          <cell r="J2307">
            <v>0.13192328767123288</v>
          </cell>
        </row>
        <row r="2308">
          <cell r="I2308">
            <v>3013</v>
          </cell>
          <cell r="J2308">
            <v>0.13192465753424656</v>
          </cell>
        </row>
        <row r="2309">
          <cell r="I2309">
            <v>3014</v>
          </cell>
          <cell r="J2309">
            <v>0.13192602739726028</v>
          </cell>
        </row>
        <row r="2310">
          <cell r="I2310">
            <v>3015</v>
          </cell>
          <cell r="J2310">
            <v>0.13192739726027397</v>
          </cell>
        </row>
        <row r="2311">
          <cell r="I2311">
            <v>3016</v>
          </cell>
          <cell r="J2311">
            <v>0.13192876712328766</v>
          </cell>
        </row>
        <row r="2312">
          <cell r="I2312">
            <v>3017</v>
          </cell>
          <cell r="J2312">
            <v>0.13193013698630138</v>
          </cell>
        </row>
        <row r="2313">
          <cell r="I2313">
            <v>3018</v>
          </cell>
          <cell r="J2313">
            <v>0.13193150684931507</v>
          </cell>
        </row>
        <row r="2314">
          <cell r="I2314">
            <v>3019</v>
          </cell>
          <cell r="J2314">
            <v>0.13193287671232876</v>
          </cell>
        </row>
        <row r="2315">
          <cell r="I2315">
            <v>3020</v>
          </cell>
          <cell r="J2315">
            <v>0.13193424657534247</v>
          </cell>
        </row>
        <row r="2316">
          <cell r="I2316">
            <v>3021</v>
          </cell>
          <cell r="J2316">
            <v>0.13193561643835616</v>
          </cell>
        </row>
        <row r="2317">
          <cell r="I2317">
            <v>3022</v>
          </cell>
          <cell r="J2317">
            <v>0.13193698630136985</v>
          </cell>
        </row>
        <row r="2318">
          <cell r="I2318">
            <v>3023</v>
          </cell>
          <cell r="J2318">
            <v>0.13193835616438357</v>
          </cell>
        </row>
        <row r="2319">
          <cell r="I2319">
            <v>3024</v>
          </cell>
          <cell r="J2319">
            <v>0.13193972602739726</v>
          </cell>
        </row>
        <row r="2320">
          <cell r="I2320">
            <v>3025</v>
          </cell>
          <cell r="J2320">
            <v>0.13194109589041095</v>
          </cell>
        </row>
        <row r="2321">
          <cell r="I2321">
            <v>3026</v>
          </cell>
          <cell r="J2321">
            <v>0.13194246575342466</v>
          </cell>
        </row>
        <row r="2322">
          <cell r="I2322">
            <v>3027</v>
          </cell>
          <cell r="J2322">
            <v>0.13194383561643835</v>
          </cell>
        </row>
        <row r="2323">
          <cell r="I2323">
            <v>3028</v>
          </cell>
          <cell r="J2323">
            <v>0.13194520547945204</v>
          </cell>
        </row>
        <row r="2324">
          <cell r="I2324">
            <v>3029</v>
          </cell>
          <cell r="J2324">
            <v>0.13194657534246576</v>
          </cell>
        </row>
        <row r="2325">
          <cell r="I2325">
            <v>3030</v>
          </cell>
          <cell r="J2325">
            <v>0.13194794520547945</v>
          </cell>
        </row>
        <row r="2326">
          <cell r="I2326">
            <v>3031</v>
          </cell>
          <cell r="J2326">
            <v>0.13194931506849314</v>
          </cell>
        </row>
        <row r="2327">
          <cell r="I2327">
            <v>3032</v>
          </cell>
          <cell r="J2327">
            <v>0.13195068493150686</v>
          </cell>
        </row>
        <row r="2328">
          <cell r="I2328">
            <v>3033</v>
          </cell>
          <cell r="J2328">
            <v>0.13195205479452055</v>
          </cell>
        </row>
        <row r="2329">
          <cell r="I2329">
            <v>3034</v>
          </cell>
          <cell r="J2329">
            <v>0.13195342465753424</v>
          </cell>
        </row>
        <row r="2330">
          <cell r="I2330">
            <v>3035</v>
          </cell>
          <cell r="J2330">
            <v>0.13195479452054795</v>
          </cell>
        </row>
        <row r="2331">
          <cell r="I2331">
            <v>3036</v>
          </cell>
          <cell r="J2331">
            <v>0.13195616438356164</v>
          </cell>
        </row>
        <row r="2332">
          <cell r="I2332">
            <v>3037</v>
          </cell>
          <cell r="J2332">
            <v>0.13195753424657533</v>
          </cell>
        </row>
        <row r="2333">
          <cell r="I2333">
            <v>3038</v>
          </cell>
          <cell r="J2333">
            <v>0.13195890410958905</v>
          </cell>
        </row>
        <row r="2334">
          <cell r="I2334">
            <v>3039</v>
          </cell>
          <cell r="J2334">
            <v>0.13196027397260274</v>
          </cell>
        </row>
        <row r="2335">
          <cell r="I2335">
            <v>3040</v>
          </cell>
          <cell r="J2335">
            <v>0.13196164383561643</v>
          </cell>
        </row>
        <row r="2336">
          <cell r="I2336">
            <v>3041</v>
          </cell>
          <cell r="J2336">
            <v>0.13196301369863014</v>
          </cell>
        </row>
        <row r="2337">
          <cell r="I2337">
            <v>3042</v>
          </cell>
          <cell r="J2337">
            <v>0.13196438356164383</v>
          </cell>
        </row>
        <row r="2338">
          <cell r="I2338">
            <v>3043</v>
          </cell>
          <cell r="J2338">
            <v>0.13196575342465752</v>
          </cell>
        </row>
        <row r="2339">
          <cell r="I2339">
            <v>3044</v>
          </cell>
          <cell r="J2339">
            <v>0.13196712328767124</v>
          </cell>
        </row>
        <row r="2340">
          <cell r="I2340">
            <v>3045</v>
          </cell>
          <cell r="J2340">
            <v>0.13196849315068493</v>
          </cell>
        </row>
        <row r="2341">
          <cell r="I2341">
            <v>3046</v>
          </cell>
          <cell r="J2341">
            <v>0.13196986301369862</v>
          </cell>
        </row>
        <row r="2342">
          <cell r="I2342">
            <v>3047</v>
          </cell>
          <cell r="J2342">
            <v>0.13197123287671234</v>
          </cell>
        </row>
        <row r="2343">
          <cell r="I2343">
            <v>3048</v>
          </cell>
          <cell r="J2343">
            <v>0.13197260273972602</v>
          </cell>
        </row>
        <row r="2344">
          <cell r="I2344">
            <v>3049</v>
          </cell>
          <cell r="J2344">
            <v>0.13197397260273971</v>
          </cell>
        </row>
        <row r="2345">
          <cell r="I2345">
            <v>3050</v>
          </cell>
          <cell r="J2345">
            <v>0.13197534246575343</v>
          </cell>
        </row>
        <row r="2346">
          <cell r="I2346">
            <v>3051</v>
          </cell>
          <cell r="J2346">
            <v>0.13197671232876712</v>
          </cell>
        </row>
        <row r="2347">
          <cell r="I2347">
            <v>3052</v>
          </cell>
          <cell r="J2347">
            <v>0.13197808219178081</v>
          </cell>
        </row>
        <row r="2348">
          <cell r="I2348">
            <v>3053</v>
          </cell>
          <cell r="J2348">
            <v>0.13197945205479453</v>
          </cell>
        </row>
        <row r="2349">
          <cell r="I2349">
            <v>3054</v>
          </cell>
          <cell r="J2349">
            <v>0.13198082191780822</v>
          </cell>
        </row>
        <row r="2350">
          <cell r="I2350">
            <v>3055</v>
          </cell>
          <cell r="J2350">
            <v>0.13198219178082191</v>
          </cell>
        </row>
        <row r="2351">
          <cell r="I2351">
            <v>3056</v>
          </cell>
          <cell r="J2351">
            <v>0.13198356164383562</v>
          </cell>
        </row>
        <row r="2352">
          <cell r="I2352">
            <v>3057</v>
          </cell>
          <cell r="J2352">
            <v>0.13198493150684931</v>
          </cell>
        </row>
        <row r="2353">
          <cell r="I2353">
            <v>3058</v>
          </cell>
          <cell r="J2353">
            <v>0.131986301369863</v>
          </cell>
        </row>
        <row r="2354">
          <cell r="I2354">
            <v>3059</v>
          </cell>
          <cell r="J2354">
            <v>0.13198767123287672</v>
          </cell>
        </row>
        <row r="2355">
          <cell r="I2355">
            <v>3060</v>
          </cell>
          <cell r="J2355">
            <v>0.13198904109589041</v>
          </cell>
        </row>
        <row r="2356">
          <cell r="I2356">
            <v>3061</v>
          </cell>
          <cell r="J2356">
            <v>0.1319904109589041</v>
          </cell>
        </row>
        <row r="2357">
          <cell r="I2357">
            <v>3062</v>
          </cell>
          <cell r="J2357">
            <v>0.13199178082191781</v>
          </cell>
        </row>
        <row r="2358">
          <cell r="I2358">
            <v>3063</v>
          </cell>
          <cell r="J2358">
            <v>0.1319931506849315</v>
          </cell>
        </row>
        <row r="2359">
          <cell r="I2359">
            <v>3064</v>
          </cell>
          <cell r="J2359">
            <v>0.13199452054794519</v>
          </cell>
        </row>
        <row r="2360">
          <cell r="I2360">
            <v>3065</v>
          </cell>
          <cell r="J2360">
            <v>0.13199589041095891</v>
          </cell>
        </row>
        <row r="2361">
          <cell r="I2361">
            <v>3066</v>
          </cell>
          <cell r="J2361">
            <v>0.1319972602739726</v>
          </cell>
        </row>
        <row r="2362">
          <cell r="I2362">
            <v>3067</v>
          </cell>
          <cell r="J2362">
            <v>0.13199863013698629</v>
          </cell>
        </row>
        <row r="2363">
          <cell r="I2363">
            <v>3068</v>
          </cell>
          <cell r="J2363">
            <v>0.13200000000000001</v>
          </cell>
        </row>
        <row r="2364">
          <cell r="I2364">
            <v>3069</v>
          </cell>
          <cell r="J2364">
            <v>0.1320013698630137</v>
          </cell>
        </row>
        <row r="2365">
          <cell r="I2365">
            <v>3070</v>
          </cell>
          <cell r="J2365">
            <v>0.13200273972602738</v>
          </cell>
        </row>
        <row r="2366">
          <cell r="I2366">
            <v>3071</v>
          </cell>
          <cell r="J2366">
            <v>0.1320041095890411</v>
          </cell>
        </row>
        <row r="2367">
          <cell r="I2367">
            <v>3072</v>
          </cell>
          <cell r="J2367">
            <v>0.13200547945205479</v>
          </cell>
        </row>
        <row r="2368">
          <cell r="I2368">
            <v>3073</v>
          </cell>
          <cell r="J2368">
            <v>0.13200684931506848</v>
          </cell>
        </row>
        <row r="2369">
          <cell r="I2369">
            <v>3074</v>
          </cell>
          <cell r="J2369">
            <v>0.1320082191780822</v>
          </cell>
        </row>
        <row r="2370">
          <cell r="I2370">
            <v>3075</v>
          </cell>
          <cell r="J2370">
            <v>0.13200958904109589</v>
          </cell>
        </row>
        <row r="2371">
          <cell r="I2371">
            <v>3076</v>
          </cell>
          <cell r="J2371">
            <v>0.13201095890410958</v>
          </cell>
        </row>
        <row r="2372">
          <cell r="I2372">
            <v>3077</v>
          </cell>
          <cell r="J2372">
            <v>0.13201232876712329</v>
          </cell>
        </row>
        <row r="2373">
          <cell r="I2373">
            <v>3078</v>
          </cell>
          <cell r="J2373">
            <v>0.13201369863013698</v>
          </cell>
        </row>
        <row r="2374">
          <cell r="I2374">
            <v>3079</v>
          </cell>
          <cell r="J2374">
            <v>0.13201506849315067</v>
          </cell>
        </row>
        <row r="2375">
          <cell r="I2375">
            <v>3080</v>
          </cell>
          <cell r="J2375">
            <v>0.13201643835616439</v>
          </cell>
        </row>
        <row r="2376">
          <cell r="I2376">
            <v>3081</v>
          </cell>
          <cell r="J2376">
            <v>0.13201780821917808</v>
          </cell>
        </row>
        <row r="2377">
          <cell r="I2377">
            <v>3082</v>
          </cell>
          <cell r="J2377">
            <v>0.13201917808219177</v>
          </cell>
        </row>
        <row r="2378">
          <cell r="I2378">
            <v>3083</v>
          </cell>
          <cell r="J2378">
            <v>0.13202054794520549</v>
          </cell>
        </row>
        <row r="2379">
          <cell r="I2379">
            <v>3084</v>
          </cell>
          <cell r="J2379">
            <v>0.13202191780821917</v>
          </cell>
        </row>
        <row r="2380">
          <cell r="I2380">
            <v>3085</v>
          </cell>
          <cell r="J2380">
            <v>0.13202328767123286</v>
          </cell>
        </row>
        <row r="2381">
          <cell r="I2381">
            <v>3086</v>
          </cell>
          <cell r="J2381">
            <v>0.13202465753424658</v>
          </cell>
        </row>
        <row r="2382">
          <cell r="I2382">
            <v>3087</v>
          </cell>
          <cell r="J2382">
            <v>0.13202602739726027</v>
          </cell>
        </row>
        <row r="2383">
          <cell r="I2383">
            <v>3088</v>
          </cell>
          <cell r="J2383">
            <v>0.13202739726027396</v>
          </cell>
        </row>
        <row r="2384">
          <cell r="I2384">
            <v>3089</v>
          </cell>
          <cell r="J2384">
            <v>0.13202876712328768</v>
          </cell>
        </row>
        <row r="2385">
          <cell r="I2385">
            <v>3090</v>
          </cell>
          <cell r="J2385">
            <v>0.13203013698630137</v>
          </cell>
        </row>
        <row r="2386">
          <cell r="I2386">
            <v>3091</v>
          </cell>
          <cell r="J2386">
            <v>0.13203150684931506</v>
          </cell>
        </row>
        <row r="2387">
          <cell r="I2387">
            <v>3092</v>
          </cell>
          <cell r="J2387">
            <v>0.13203287671232877</v>
          </cell>
        </row>
        <row r="2388">
          <cell r="I2388">
            <v>3093</v>
          </cell>
          <cell r="J2388">
            <v>0.13203424657534246</v>
          </cell>
        </row>
        <row r="2389">
          <cell r="I2389">
            <v>3094</v>
          </cell>
          <cell r="J2389">
            <v>0.13203561643835615</v>
          </cell>
        </row>
        <row r="2390">
          <cell r="I2390">
            <v>3095</v>
          </cell>
          <cell r="J2390">
            <v>0.13203698630136987</v>
          </cell>
        </row>
        <row r="2391">
          <cell r="I2391">
            <v>3096</v>
          </cell>
          <cell r="J2391">
            <v>0.13203835616438356</v>
          </cell>
        </row>
        <row r="2392">
          <cell r="I2392">
            <v>3097</v>
          </cell>
          <cell r="J2392">
            <v>0.13203972602739725</v>
          </cell>
        </row>
        <row r="2393">
          <cell r="I2393">
            <v>3098</v>
          </cell>
          <cell r="J2393">
            <v>0.13204109589041096</v>
          </cell>
        </row>
        <row r="2394">
          <cell r="I2394">
            <v>3099</v>
          </cell>
          <cell r="J2394">
            <v>0.13204246575342465</v>
          </cell>
        </row>
        <row r="2395">
          <cell r="I2395">
            <v>3100</v>
          </cell>
          <cell r="J2395">
            <v>0.13204383561643834</v>
          </cell>
        </row>
        <row r="2396">
          <cell r="I2396">
            <v>3101</v>
          </cell>
          <cell r="J2396">
            <v>0.13204520547945206</v>
          </cell>
        </row>
        <row r="2397">
          <cell r="I2397">
            <v>3102</v>
          </cell>
          <cell r="J2397">
            <v>0.13204657534246575</v>
          </cell>
        </row>
        <row r="2398">
          <cell r="I2398">
            <v>3103</v>
          </cell>
          <cell r="J2398">
            <v>0.13204794520547944</v>
          </cell>
        </row>
        <row r="2399">
          <cell r="I2399">
            <v>3104</v>
          </cell>
          <cell r="J2399">
            <v>0.13204931506849316</v>
          </cell>
        </row>
        <row r="2400">
          <cell r="I2400">
            <v>3105</v>
          </cell>
          <cell r="J2400">
            <v>0.13205068493150685</v>
          </cell>
        </row>
        <row r="2401">
          <cell r="I2401">
            <v>3106</v>
          </cell>
          <cell r="J2401">
            <v>0.13205205479452053</v>
          </cell>
        </row>
        <row r="2402">
          <cell r="I2402">
            <v>3107</v>
          </cell>
          <cell r="J2402">
            <v>0.13205342465753425</v>
          </cell>
        </row>
        <row r="2403">
          <cell r="I2403">
            <v>3108</v>
          </cell>
          <cell r="J2403">
            <v>0.13205479452054794</v>
          </cell>
        </row>
        <row r="2404">
          <cell r="I2404">
            <v>3109</v>
          </cell>
          <cell r="J2404">
            <v>0.13205616438356166</v>
          </cell>
        </row>
        <row r="2405">
          <cell r="I2405">
            <v>3110</v>
          </cell>
          <cell r="J2405">
            <v>0.13205753424657535</v>
          </cell>
        </row>
        <row r="2406">
          <cell r="I2406">
            <v>3111</v>
          </cell>
          <cell r="J2406">
            <v>0.13205890410958904</v>
          </cell>
        </row>
        <row r="2407">
          <cell r="I2407">
            <v>3112</v>
          </cell>
          <cell r="J2407">
            <v>0.13206027397260275</v>
          </cell>
        </row>
        <row r="2408">
          <cell r="I2408">
            <v>3113</v>
          </cell>
          <cell r="J2408">
            <v>0.13206164383561644</v>
          </cell>
        </row>
        <row r="2409">
          <cell r="I2409">
            <v>3114</v>
          </cell>
          <cell r="J2409">
            <v>0.13206301369863013</v>
          </cell>
        </row>
        <row r="2410">
          <cell r="I2410">
            <v>3115</v>
          </cell>
          <cell r="J2410">
            <v>0.13206438356164385</v>
          </cell>
        </row>
        <row r="2411">
          <cell r="I2411">
            <v>3116</v>
          </cell>
          <cell r="J2411">
            <v>0.13206575342465754</v>
          </cell>
        </row>
        <row r="2412">
          <cell r="I2412">
            <v>3117</v>
          </cell>
          <cell r="J2412">
            <v>0.13206712328767123</v>
          </cell>
        </row>
        <row r="2413">
          <cell r="I2413">
            <v>3118</v>
          </cell>
          <cell r="J2413">
            <v>0.13206849315068495</v>
          </cell>
        </row>
        <row r="2414">
          <cell r="I2414">
            <v>3119</v>
          </cell>
          <cell r="J2414">
            <v>0.13206986301369864</v>
          </cell>
        </row>
        <row r="2415">
          <cell r="I2415">
            <v>3120</v>
          </cell>
          <cell r="J2415">
            <v>0.13207123287671232</v>
          </cell>
        </row>
        <row r="2416">
          <cell r="I2416">
            <v>3121</v>
          </cell>
          <cell r="J2416">
            <v>0.13207260273972604</v>
          </cell>
        </row>
        <row r="2417">
          <cell r="I2417">
            <v>3122</v>
          </cell>
          <cell r="J2417">
            <v>0.13207397260273973</v>
          </cell>
        </row>
        <row r="2418">
          <cell r="I2418">
            <v>3123</v>
          </cell>
          <cell r="J2418">
            <v>0.13207534246575342</v>
          </cell>
        </row>
        <row r="2419">
          <cell r="I2419">
            <v>3124</v>
          </cell>
          <cell r="J2419">
            <v>0.13207671232876714</v>
          </cell>
        </row>
        <row r="2420">
          <cell r="I2420">
            <v>3125</v>
          </cell>
          <cell r="J2420">
            <v>0.13207808219178083</v>
          </cell>
        </row>
        <row r="2421">
          <cell r="I2421">
            <v>3126</v>
          </cell>
          <cell r="J2421">
            <v>0.13207945205479452</v>
          </cell>
        </row>
        <row r="2422">
          <cell r="I2422">
            <v>3127</v>
          </cell>
          <cell r="J2422">
            <v>0.13208082191780823</v>
          </cell>
        </row>
        <row r="2423">
          <cell r="I2423">
            <v>3128</v>
          </cell>
          <cell r="J2423">
            <v>0.13208219178082192</v>
          </cell>
        </row>
        <row r="2424">
          <cell r="I2424">
            <v>3129</v>
          </cell>
          <cell r="J2424">
            <v>0.13208356164383561</v>
          </cell>
        </row>
        <row r="2425">
          <cell r="I2425">
            <v>3130</v>
          </cell>
          <cell r="J2425">
            <v>0.13208493150684933</v>
          </cell>
        </row>
        <row r="2426">
          <cell r="I2426">
            <v>3131</v>
          </cell>
          <cell r="J2426">
            <v>0.13208630136986302</v>
          </cell>
        </row>
        <row r="2427">
          <cell r="I2427">
            <v>3132</v>
          </cell>
          <cell r="J2427">
            <v>0.13208767123287671</v>
          </cell>
        </row>
        <row r="2428">
          <cell r="I2428">
            <v>3133</v>
          </cell>
          <cell r="J2428">
            <v>0.13208904109589042</v>
          </cell>
        </row>
        <row r="2429">
          <cell r="I2429">
            <v>3134</v>
          </cell>
          <cell r="J2429">
            <v>0.13209041095890411</v>
          </cell>
        </row>
        <row r="2430">
          <cell r="I2430">
            <v>3135</v>
          </cell>
          <cell r="J2430">
            <v>0.1320917808219178</v>
          </cell>
        </row>
        <row r="2431">
          <cell r="I2431">
            <v>3136</v>
          </cell>
          <cell r="J2431">
            <v>0.13209315068493152</v>
          </cell>
        </row>
        <row r="2432">
          <cell r="I2432">
            <v>3137</v>
          </cell>
          <cell r="J2432">
            <v>0.13209452054794521</v>
          </cell>
        </row>
        <row r="2433">
          <cell r="I2433">
            <v>3138</v>
          </cell>
          <cell r="J2433">
            <v>0.1320958904109589</v>
          </cell>
        </row>
        <row r="2434">
          <cell r="I2434">
            <v>3139</v>
          </cell>
          <cell r="J2434">
            <v>0.13209726027397262</v>
          </cell>
        </row>
        <row r="2435">
          <cell r="I2435">
            <v>3140</v>
          </cell>
          <cell r="J2435">
            <v>0.13209863013698631</v>
          </cell>
        </row>
        <row r="2436">
          <cell r="I2436">
            <v>3141</v>
          </cell>
          <cell r="J2436">
            <v>0.1321</v>
          </cell>
        </row>
        <row r="2437">
          <cell r="I2437">
            <v>3142</v>
          </cell>
          <cell r="J2437">
            <v>0.13210136986301371</v>
          </cell>
        </row>
        <row r="2438">
          <cell r="I2438">
            <v>3143</v>
          </cell>
          <cell r="J2438">
            <v>0.1321027397260274</v>
          </cell>
        </row>
        <row r="2439">
          <cell r="I2439">
            <v>3144</v>
          </cell>
          <cell r="J2439">
            <v>0.13210410958904109</v>
          </cell>
        </row>
        <row r="2440">
          <cell r="I2440">
            <v>3145</v>
          </cell>
          <cell r="J2440">
            <v>0.13210547945205481</v>
          </cell>
        </row>
        <row r="2441">
          <cell r="I2441">
            <v>3146</v>
          </cell>
          <cell r="J2441">
            <v>0.1321068493150685</v>
          </cell>
        </row>
        <row r="2442">
          <cell r="I2442">
            <v>3147</v>
          </cell>
          <cell r="J2442">
            <v>0.13210821917808219</v>
          </cell>
        </row>
        <row r="2443">
          <cell r="I2443">
            <v>3148</v>
          </cell>
          <cell r="J2443">
            <v>0.1321095890410959</v>
          </cell>
        </row>
        <row r="2444">
          <cell r="I2444">
            <v>3149</v>
          </cell>
          <cell r="J2444">
            <v>0.13211095890410959</v>
          </cell>
        </row>
        <row r="2445">
          <cell r="I2445">
            <v>3150</v>
          </cell>
          <cell r="J2445">
            <v>0.13211232876712328</v>
          </cell>
        </row>
        <row r="2446">
          <cell r="I2446">
            <v>3151</v>
          </cell>
          <cell r="J2446">
            <v>0.132113698630137</v>
          </cell>
        </row>
        <row r="2447">
          <cell r="I2447">
            <v>3152</v>
          </cell>
          <cell r="J2447">
            <v>0.13211506849315069</v>
          </cell>
        </row>
        <row r="2448">
          <cell r="I2448">
            <v>3153</v>
          </cell>
          <cell r="J2448">
            <v>0.13211643835616438</v>
          </cell>
        </row>
        <row r="2449">
          <cell r="I2449">
            <v>3154</v>
          </cell>
          <cell r="J2449">
            <v>0.1321178082191781</v>
          </cell>
        </row>
        <row r="2450">
          <cell r="I2450">
            <v>3155</v>
          </cell>
          <cell r="J2450">
            <v>0.13211917808219178</v>
          </cell>
        </row>
        <row r="2451">
          <cell r="I2451">
            <v>3156</v>
          </cell>
          <cell r="J2451">
            <v>0.13212054794520547</v>
          </cell>
        </row>
        <row r="2452">
          <cell r="I2452">
            <v>3157</v>
          </cell>
          <cell r="J2452">
            <v>0.13212191780821919</v>
          </cell>
        </row>
        <row r="2453">
          <cell r="I2453">
            <v>3158</v>
          </cell>
          <cell r="J2453">
            <v>0.13212328767123288</v>
          </cell>
        </row>
        <row r="2454">
          <cell r="I2454">
            <v>3159</v>
          </cell>
          <cell r="J2454">
            <v>0.13212465753424657</v>
          </cell>
        </row>
        <row r="2455">
          <cell r="I2455">
            <v>3160</v>
          </cell>
          <cell r="J2455">
            <v>0.13212602739726029</v>
          </cell>
        </row>
        <row r="2456">
          <cell r="I2456">
            <v>3161</v>
          </cell>
          <cell r="J2456">
            <v>0.13212739726027398</v>
          </cell>
        </row>
        <row r="2457">
          <cell r="I2457">
            <v>3162</v>
          </cell>
          <cell r="J2457">
            <v>0.13212876712328767</v>
          </cell>
        </row>
        <row r="2458">
          <cell r="I2458">
            <v>3163</v>
          </cell>
          <cell r="J2458">
            <v>0.13213013698630138</v>
          </cell>
        </row>
        <row r="2459">
          <cell r="I2459">
            <v>3164</v>
          </cell>
          <cell r="J2459">
            <v>0.13213150684931507</v>
          </cell>
        </row>
        <row r="2460">
          <cell r="I2460">
            <v>3165</v>
          </cell>
          <cell r="J2460">
            <v>0.13213287671232876</v>
          </cell>
        </row>
        <row r="2461">
          <cell r="I2461">
            <v>3166</v>
          </cell>
          <cell r="J2461">
            <v>0.13213424657534248</v>
          </cell>
        </row>
        <row r="2462">
          <cell r="I2462">
            <v>3167</v>
          </cell>
          <cell r="J2462">
            <v>0.13213561643835617</v>
          </cell>
        </row>
        <row r="2463">
          <cell r="I2463">
            <v>3168</v>
          </cell>
          <cell r="J2463">
            <v>0.13213698630136986</v>
          </cell>
        </row>
        <row r="2464">
          <cell r="I2464">
            <v>3169</v>
          </cell>
          <cell r="J2464">
            <v>0.13213835616438357</v>
          </cell>
        </row>
        <row r="2465">
          <cell r="I2465">
            <v>3170</v>
          </cell>
          <cell r="J2465">
            <v>0.13213972602739726</v>
          </cell>
        </row>
        <row r="2466">
          <cell r="I2466">
            <v>3171</v>
          </cell>
          <cell r="J2466">
            <v>0.13214109589041095</v>
          </cell>
        </row>
        <row r="2467">
          <cell r="I2467">
            <v>3172</v>
          </cell>
          <cell r="J2467">
            <v>0.13214246575342467</v>
          </cell>
        </row>
        <row r="2468">
          <cell r="I2468">
            <v>3173</v>
          </cell>
          <cell r="J2468">
            <v>0.13214383561643836</v>
          </cell>
        </row>
        <row r="2469">
          <cell r="I2469">
            <v>3174</v>
          </cell>
          <cell r="J2469">
            <v>0.13214520547945205</v>
          </cell>
        </row>
        <row r="2470">
          <cell r="I2470">
            <v>3175</v>
          </cell>
          <cell r="J2470">
            <v>0.13214657534246577</v>
          </cell>
        </row>
        <row r="2471">
          <cell r="I2471">
            <v>3176</v>
          </cell>
          <cell r="J2471">
            <v>0.13214794520547946</v>
          </cell>
        </row>
        <row r="2472">
          <cell r="I2472">
            <v>3177</v>
          </cell>
          <cell r="J2472">
            <v>0.13214931506849315</v>
          </cell>
        </row>
        <row r="2473">
          <cell r="I2473">
            <v>3178</v>
          </cell>
          <cell r="J2473">
            <v>0.13215068493150686</v>
          </cell>
        </row>
        <row r="2474">
          <cell r="I2474">
            <v>3179</v>
          </cell>
          <cell r="J2474">
            <v>0.13215205479452055</v>
          </cell>
        </row>
        <row r="2475">
          <cell r="I2475">
            <v>3180</v>
          </cell>
          <cell r="J2475">
            <v>0.13215342465753424</v>
          </cell>
        </row>
        <row r="2476">
          <cell r="I2476">
            <v>3181</v>
          </cell>
          <cell r="J2476">
            <v>0.13215479452054796</v>
          </cell>
        </row>
        <row r="2477">
          <cell r="I2477">
            <v>3182</v>
          </cell>
          <cell r="J2477">
            <v>0.13215616438356165</v>
          </cell>
        </row>
        <row r="2478">
          <cell r="I2478">
            <v>3183</v>
          </cell>
          <cell r="J2478">
            <v>0.13215753424657534</v>
          </cell>
        </row>
        <row r="2479">
          <cell r="I2479">
            <v>3184</v>
          </cell>
          <cell r="J2479">
            <v>0.13215890410958905</v>
          </cell>
        </row>
        <row r="2480">
          <cell r="I2480">
            <v>3185</v>
          </cell>
          <cell r="J2480">
            <v>0.13216027397260274</v>
          </cell>
        </row>
        <row r="2481">
          <cell r="I2481">
            <v>3186</v>
          </cell>
          <cell r="J2481">
            <v>0.13216164383561643</v>
          </cell>
        </row>
        <row r="2482">
          <cell r="I2482">
            <v>3187</v>
          </cell>
          <cell r="J2482">
            <v>0.13216301369863015</v>
          </cell>
        </row>
        <row r="2483">
          <cell r="I2483">
            <v>3188</v>
          </cell>
          <cell r="J2483">
            <v>0.13216438356164384</v>
          </cell>
        </row>
        <row r="2484">
          <cell r="I2484">
            <v>3189</v>
          </cell>
          <cell r="J2484">
            <v>0.13216575342465753</v>
          </cell>
        </row>
        <row r="2485">
          <cell r="I2485">
            <v>3190</v>
          </cell>
          <cell r="J2485">
            <v>0.13216712328767125</v>
          </cell>
        </row>
        <row r="2486">
          <cell r="I2486">
            <v>3191</v>
          </cell>
          <cell r="J2486">
            <v>0.13216849315068493</v>
          </cell>
        </row>
        <row r="2487">
          <cell r="I2487">
            <v>3192</v>
          </cell>
          <cell r="J2487">
            <v>0.13216986301369862</v>
          </cell>
        </row>
        <row r="2488">
          <cell r="I2488">
            <v>3193</v>
          </cell>
          <cell r="J2488">
            <v>0.13217123287671234</v>
          </cell>
        </row>
        <row r="2489">
          <cell r="I2489">
            <v>3194</v>
          </cell>
          <cell r="J2489">
            <v>0.13217260273972603</v>
          </cell>
        </row>
        <row r="2490">
          <cell r="I2490">
            <v>3195</v>
          </cell>
          <cell r="J2490">
            <v>0.13217397260273972</v>
          </cell>
        </row>
        <row r="2491">
          <cell r="I2491">
            <v>3196</v>
          </cell>
          <cell r="J2491">
            <v>0.13217534246575344</v>
          </cell>
        </row>
        <row r="2492">
          <cell r="I2492">
            <v>3197</v>
          </cell>
          <cell r="J2492">
            <v>0.13217671232876713</v>
          </cell>
        </row>
        <row r="2493">
          <cell r="I2493">
            <v>3198</v>
          </cell>
          <cell r="J2493">
            <v>0.13217808219178082</v>
          </cell>
        </row>
        <row r="2494">
          <cell r="I2494">
            <v>3199</v>
          </cell>
          <cell r="J2494">
            <v>0.13217945205479453</v>
          </cell>
        </row>
        <row r="2495">
          <cell r="I2495">
            <v>3200</v>
          </cell>
          <cell r="J2495">
            <v>0.13218082191780822</v>
          </cell>
        </row>
        <row r="2496">
          <cell r="I2496">
            <v>3201</v>
          </cell>
          <cell r="J2496">
            <v>0.13218219178082191</v>
          </cell>
        </row>
        <row r="2497">
          <cell r="I2497">
            <v>3202</v>
          </cell>
          <cell r="J2497">
            <v>0.13218356164383563</v>
          </cell>
        </row>
        <row r="2498">
          <cell r="I2498">
            <v>3203</v>
          </cell>
          <cell r="J2498">
            <v>0.13218493150684932</v>
          </cell>
        </row>
        <row r="2499">
          <cell r="I2499">
            <v>3204</v>
          </cell>
          <cell r="J2499">
            <v>0.13218630136986301</v>
          </cell>
        </row>
        <row r="2500">
          <cell r="I2500">
            <v>3205</v>
          </cell>
          <cell r="J2500">
            <v>0.13218767123287672</v>
          </cell>
        </row>
        <row r="2501">
          <cell r="I2501">
            <v>3206</v>
          </cell>
          <cell r="J2501">
            <v>0.13218904109589041</v>
          </cell>
        </row>
        <row r="2502">
          <cell r="I2502">
            <v>3207</v>
          </cell>
          <cell r="J2502">
            <v>0.1321904109589041</v>
          </cell>
        </row>
        <row r="2503">
          <cell r="I2503">
            <v>3208</v>
          </cell>
          <cell r="J2503">
            <v>0.13219178082191782</v>
          </cell>
        </row>
        <row r="2504">
          <cell r="I2504">
            <v>3209</v>
          </cell>
          <cell r="J2504">
            <v>0.13219315068493151</v>
          </cell>
        </row>
        <row r="2505">
          <cell r="I2505">
            <v>3210</v>
          </cell>
          <cell r="J2505">
            <v>0.1321945205479452</v>
          </cell>
        </row>
        <row r="2506">
          <cell r="I2506">
            <v>3211</v>
          </cell>
          <cell r="J2506">
            <v>0.13219589041095892</v>
          </cell>
        </row>
        <row r="2507">
          <cell r="I2507">
            <v>3212</v>
          </cell>
          <cell r="J2507">
            <v>0.13219726027397261</v>
          </cell>
        </row>
        <row r="2508">
          <cell r="I2508">
            <v>3213</v>
          </cell>
          <cell r="J2508">
            <v>0.13219863013698629</v>
          </cell>
        </row>
        <row r="2509">
          <cell r="I2509">
            <v>3214</v>
          </cell>
          <cell r="J2509">
            <v>0.13220000000000001</v>
          </cell>
        </row>
        <row r="2510">
          <cell r="I2510">
            <v>3215</v>
          </cell>
          <cell r="J2510">
            <v>0.1322013698630137</v>
          </cell>
        </row>
        <row r="2511">
          <cell r="I2511">
            <v>3216</v>
          </cell>
          <cell r="J2511">
            <v>0.13220273972602739</v>
          </cell>
        </row>
        <row r="2512">
          <cell r="I2512">
            <v>3217</v>
          </cell>
          <cell r="J2512">
            <v>0.13220410958904111</v>
          </cell>
        </row>
        <row r="2513">
          <cell r="I2513">
            <v>3218</v>
          </cell>
          <cell r="J2513">
            <v>0.1322054794520548</v>
          </cell>
        </row>
        <row r="2514">
          <cell r="I2514">
            <v>3219</v>
          </cell>
          <cell r="J2514">
            <v>0.13220684931506849</v>
          </cell>
        </row>
        <row r="2515">
          <cell r="I2515">
            <v>3220</v>
          </cell>
          <cell r="J2515">
            <v>0.1322082191780822</v>
          </cell>
        </row>
        <row r="2516">
          <cell r="I2516">
            <v>3221</v>
          </cell>
          <cell r="J2516">
            <v>0.13220958904109589</v>
          </cell>
        </row>
        <row r="2517">
          <cell r="I2517">
            <v>3222</v>
          </cell>
          <cell r="J2517">
            <v>0.13221095890410958</v>
          </cell>
        </row>
        <row r="2518">
          <cell r="I2518">
            <v>3223</v>
          </cell>
          <cell r="J2518">
            <v>0.1322123287671233</v>
          </cell>
        </row>
        <row r="2519">
          <cell r="I2519">
            <v>3224</v>
          </cell>
          <cell r="J2519">
            <v>0.13221369863013699</v>
          </cell>
        </row>
        <row r="2520">
          <cell r="I2520">
            <v>3225</v>
          </cell>
          <cell r="J2520">
            <v>0.13221506849315068</v>
          </cell>
        </row>
        <row r="2521">
          <cell r="I2521">
            <v>3226</v>
          </cell>
          <cell r="J2521">
            <v>0.1322164383561644</v>
          </cell>
        </row>
        <row r="2522">
          <cell r="I2522">
            <v>3227</v>
          </cell>
          <cell r="J2522">
            <v>0.13221780821917808</v>
          </cell>
        </row>
        <row r="2523">
          <cell r="I2523">
            <v>3228</v>
          </cell>
          <cell r="J2523">
            <v>0.13221917808219177</v>
          </cell>
        </row>
        <row r="2524">
          <cell r="I2524">
            <v>3229</v>
          </cell>
          <cell r="J2524">
            <v>0.13222054794520549</v>
          </cell>
        </row>
        <row r="2525">
          <cell r="I2525">
            <v>3230</v>
          </cell>
          <cell r="J2525">
            <v>0.13222191780821918</v>
          </cell>
        </row>
        <row r="2526">
          <cell r="I2526">
            <v>3231</v>
          </cell>
          <cell r="J2526">
            <v>0.13222328767123287</v>
          </cell>
        </row>
        <row r="2527">
          <cell r="I2527">
            <v>3232</v>
          </cell>
          <cell r="J2527">
            <v>0.13222465753424659</v>
          </cell>
        </row>
        <row r="2528">
          <cell r="I2528">
            <v>3233</v>
          </cell>
          <cell r="J2528">
            <v>0.13222602739726028</v>
          </cell>
        </row>
        <row r="2529">
          <cell r="I2529">
            <v>3234</v>
          </cell>
          <cell r="J2529">
            <v>0.13222739726027397</v>
          </cell>
        </row>
        <row r="2530">
          <cell r="I2530">
            <v>3235</v>
          </cell>
          <cell r="J2530">
            <v>0.13222876712328768</v>
          </cell>
        </row>
        <row r="2531">
          <cell r="I2531">
            <v>3236</v>
          </cell>
          <cell r="J2531">
            <v>0.13223013698630137</v>
          </cell>
        </row>
        <row r="2532">
          <cell r="I2532">
            <v>3237</v>
          </cell>
          <cell r="J2532">
            <v>0.13223150684931506</v>
          </cell>
        </row>
        <row r="2533">
          <cell r="I2533">
            <v>3238</v>
          </cell>
          <cell r="J2533">
            <v>0.13223287671232878</v>
          </cell>
        </row>
        <row r="2534">
          <cell r="I2534">
            <v>3239</v>
          </cell>
          <cell r="J2534">
            <v>0.13223424657534247</v>
          </cell>
        </row>
        <row r="2535">
          <cell r="I2535">
            <v>3240</v>
          </cell>
          <cell r="J2535">
            <v>0.13223561643835616</v>
          </cell>
        </row>
        <row r="2536">
          <cell r="I2536">
            <v>3241</v>
          </cell>
          <cell r="J2536">
            <v>0.13223698630136987</v>
          </cell>
        </row>
        <row r="2537">
          <cell r="I2537">
            <v>3242</v>
          </cell>
          <cell r="J2537">
            <v>0.13223835616438356</v>
          </cell>
        </row>
        <row r="2538">
          <cell r="I2538">
            <v>3243</v>
          </cell>
          <cell r="J2538">
            <v>0.13223972602739725</v>
          </cell>
        </row>
        <row r="2539">
          <cell r="I2539">
            <v>3244</v>
          </cell>
          <cell r="J2539">
            <v>0.13224109589041097</v>
          </cell>
        </row>
        <row r="2540">
          <cell r="I2540">
            <v>3245</v>
          </cell>
          <cell r="J2540">
            <v>0.13224246575342466</v>
          </cell>
        </row>
        <row r="2541">
          <cell r="I2541">
            <v>3246</v>
          </cell>
          <cell r="J2541">
            <v>0.13224383561643835</v>
          </cell>
        </row>
        <row r="2542">
          <cell r="I2542">
            <v>3247</v>
          </cell>
          <cell r="J2542">
            <v>0.13224520547945207</v>
          </cell>
        </row>
        <row r="2543">
          <cell r="I2543">
            <v>3248</v>
          </cell>
          <cell r="J2543">
            <v>0.13224657534246576</v>
          </cell>
        </row>
        <row r="2544">
          <cell r="I2544">
            <v>3249</v>
          </cell>
          <cell r="J2544">
            <v>0.13224794520547944</v>
          </cell>
        </row>
        <row r="2545">
          <cell r="I2545">
            <v>3250</v>
          </cell>
          <cell r="J2545">
            <v>0.13224931506849316</v>
          </cell>
        </row>
        <row r="2546">
          <cell r="I2546">
            <v>3251</v>
          </cell>
          <cell r="J2546">
            <v>0.13225068493150685</v>
          </cell>
        </row>
        <row r="2547">
          <cell r="I2547">
            <v>3252</v>
          </cell>
          <cell r="J2547">
            <v>0.13225205479452054</v>
          </cell>
        </row>
        <row r="2548">
          <cell r="I2548">
            <v>3253</v>
          </cell>
          <cell r="J2548">
            <v>0.13225342465753426</v>
          </cell>
        </row>
        <row r="2549">
          <cell r="I2549">
            <v>3254</v>
          </cell>
          <cell r="J2549">
            <v>0.13225479452054795</v>
          </cell>
        </row>
        <row r="2550">
          <cell r="I2550">
            <v>3255</v>
          </cell>
          <cell r="J2550">
            <v>0.13225616438356164</v>
          </cell>
        </row>
        <row r="2551">
          <cell r="I2551">
            <v>3256</v>
          </cell>
          <cell r="J2551">
            <v>0.13225753424657535</v>
          </cell>
        </row>
        <row r="2552">
          <cell r="I2552">
            <v>3257</v>
          </cell>
          <cell r="J2552">
            <v>0.13225890410958904</v>
          </cell>
        </row>
        <row r="2553">
          <cell r="I2553">
            <v>3258</v>
          </cell>
          <cell r="J2553">
            <v>0.13226027397260273</v>
          </cell>
        </row>
        <row r="2554">
          <cell r="I2554">
            <v>3259</v>
          </cell>
          <cell r="J2554">
            <v>0.13226164383561645</v>
          </cell>
        </row>
        <row r="2555">
          <cell r="I2555">
            <v>3260</v>
          </cell>
          <cell r="J2555">
            <v>0.13226301369863014</v>
          </cell>
        </row>
        <row r="2556">
          <cell r="I2556">
            <v>3261</v>
          </cell>
          <cell r="J2556">
            <v>0.13226438356164383</v>
          </cell>
        </row>
        <row r="2557">
          <cell r="I2557">
            <v>3262</v>
          </cell>
          <cell r="J2557">
            <v>0.13226575342465755</v>
          </cell>
        </row>
        <row r="2558">
          <cell r="I2558">
            <v>3263</v>
          </cell>
          <cell r="J2558">
            <v>0.13226712328767123</v>
          </cell>
        </row>
        <row r="2559">
          <cell r="I2559">
            <v>3264</v>
          </cell>
          <cell r="J2559">
            <v>0.13226849315068492</v>
          </cell>
        </row>
        <row r="2560">
          <cell r="I2560">
            <v>3265</v>
          </cell>
          <cell r="J2560">
            <v>0.13226986301369864</v>
          </cell>
        </row>
        <row r="2561">
          <cell r="I2561">
            <v>3266</v>
          </cell>
          <cell r="J2561">
            <v>0.13227123287671233</v>
          </cell>
        </row>
        <row r="2562">
          <cell r="I2562">
            <v>3267</v>
          </cell>
          <cell r="J2562">
            <v>0.13227260273972602</v>
          </cell>
        </row>
        <row r="2563">
          <cell r="I2563">
            <v>3268</v>
          </cell>
          <cell r="J2563">
            <v>0.13227397260273974</v>
          </cell>
        </row>
        <row r="2564">
          <cell r="I2564">
            <v>3269</v>
          </cell>
          <cell r="J2564">
            <v>0.13227534246575343</v>
          </cell>
        </row>
        <row r="2565">
          <cell r="I2565">
            <v>3270</v>
          </cell>
          <cell r="J2565">
            <v>0.13227671232876712</v>
          </cell>
        </row>
        <row r="2566">
          <cell r="I2566">
            <v>3271</v>
          </cell>
          <cell r="J2566">
            <v>0.13227808219178083</v>
          </cell>
        </row>
        <row r="2567">
          <cell r="I2567">
            <v>3272</v>
          </cell>
          <cell r="J2567">
            <v>0.13227945205479452</v>
          </cell>
        </row>
        <row r="2568">
          <cell r="I2568">
            <v>3273</v>
          </cell>
          <cell r="J2568">
            <v>0.13228082191780821</v>
          </cell>
        </row>
        <row r="2569">
          <cell r="I2569">
            <v>3274</v>
          </cell>
          <cell r="J2569">
            <v>0.13228219178082193</v>
          </cell>
        </row>
        <row r="2570">
          <cell r="I2570">
            <v>3275</v>
          </cell>
          <cell r="J2570">
            <v>0.13228356164383562</v>
          </cell>
        </row>
        <row r="2571">
          <cell r="I2571">
            <v>3276</v>
          </cell>
          <cell r="J2571">
            <v>0.13228493150684931</v>
          </cell>
        </row>
        <row r="2572">
          <cell r="I2572">
            <v>3277</v>
          </cell>
          <cell r="J2572">
            <v>0.13228630136986302</v>
          </cell>
        </row>
        <row r="2573">
          <cell r="I2573">
            <v>3278</v>
          </cell>
          <cell r="J2573">
            <v>0.13228767123287671</v>
          </cell>
        </row>
        <row r="2574">
          <cell r="I2574">
            <v>3279</v>
          </cell>
          <cell r="J2574">
            <v>0.1322890410958904</v>
          </cell>
        </row>
        <row r="2575">
          <cell r="I2575">
            <v>3280</v>
          </cell>
          <cell r="J2575">
            <v>0.13229041095890412</v>
          </cell>
        </row>
        <row r="2576">
          <cell r="I2576">
            <v>3281</v>
          </cell>
          <cell r="J2576">
            <v>0.13229178082191781</v>
          </cell>
        </row>
        <row r="2577">
          <cell r="I2577">
            <v>3282</v>
          </cell>
          <cell r="J2577">
            <v>0.1322931506849315</v>
          </cell>
        </row>
        <row r="2578">
          <cell r="I2578">
            <v>3283</v>
          </cell>
          <cell r="J2578">
            <v>0.13229452054794522</v>
          </cell>
        </row>
        <row r="2579">
          <cell r="I2579">
            <v>3284</v>
          </cell>
          <cell r="J2579">
            <v>0.13229589041095891</v>
          </cell>
        </row>
        <row r="2580">
          <cell r="I2580">
            <v>3285</v>
          </cell>
          <cell r="J2580">
            <v>0.13229726027397259</v>
          </cell>
        </row>
        <row r="2581">
          <cell r="I2581">
            <v>3286</v>
          </cell>
          <cell r="J2581">
            <v>0.13229863013698631</v>
          </cell>
        </row>
        <row r="2582">
          <cell r="I2582">
            <v>3287</v>
          </cell>
          <cell r="J2582">
            <v>0.1323</v>
          </cell>
        </row>
        <row r="2583">
          <cell r="I2583">
            <v>3288</v>
          </cell>
          <cell r="J2583">
            <v>0.13230164383561643</v>
          </cell>
        </row>
        <row r="2584">
          <cell r="I2584">
            <v>3289</v>
          </cell>
          <cell r="J2584">
            <v>0.13230328767123287</v>
          </cell>
        </row>
        <row r="2585">
          <cell r="I2585">
            <v>3290</v>
          </cell>
          <cell r="J2585">
            <v>0.13230493150684933</v>
          </cell>
        </row>
        <row r="2586">
          <cell r="I2586">
            <v>3291</v>
          </cell>
          <cell r="J2586">
            <v>0.13230657534246576</v>
          </cell>
        </row>
        <row r="2587">
          <cell r="I2587">
            <v>3292</v>
          </cell>
          <cell r="J2587">
            <v>0.13230821917808219</v>
          </cell>
        </row>
        <row r="2588">
          <cell r="I2588">
            <v>3293</v>
          </cell>
          <cell r="J2588">
            <v>0.13230986301369863</v>
          </cell>
        </row>
        <row r="2589">
          <cell r="I2589">
            <v>3294</v>
          </cell>
          <cell r="J2589">
            <v>0.13231150684931506</v>
          </cell>
        </row>
        <row r="2590">
          <cell r="I2590">
            <v>3295</v>
          </cell>
          <cell r="J2590">
            <v>0.13231315068493152</v>
          </cell>
        </row>
        <row r="2591">
          <cell r="I2591">
            <v>3296</v>
          </cell>
          <cell r="J2591">
            <v>0.13231479452054795</v>
          </cell>
        </row>
        <row r="2592">
          <cell r="I2592">
            <v>3297</v>
          </cell>
          <cell r="J2592">
            <v>0.13231643835616438</v>
          </cell>
        </row>
        <row r="2593">
          <cell r="I2593">
            <v>3298</v>
          </cell>
          <cell r="J2593">
            <v>0.13231808219178082</v>
          </cell>
        </row>
        <row r="2594">
          <cell r="I2594">
            <v>3299</v>
          </cell>
          <cell r="J2594">
            <v>0.13231972602739725</v>
          </cell>
        </row>
        <row r="2595">
          <cell r="I2595">
            <v>3300</v>
          </cell>
          <cell r="J2595">
            <v>0.13232136986301371</v>
          </cell>
        </row>
        <row r="2596">
          <cell r="I2596">
            <v>3301</v>
          </cell>
          <cell r="J2596">
            <v>0.13232301369863014</v>
          </cell>
        </row>
        <row r="2597">
          <cell r="I2597">
            <v>3302</v>
          </cell>
          <cell r="J2597">
            <v>0.13232465753424658</v>
          </cell>
        </row>
        <row r="2598">
          <cell r="I2598">
            <v>3303</v>
          </cell>
          <cell r="J2598">
            <v>0.13232630136986301</v>
          </cell>
        </row>
        <row r="2599">
          <cell r="I2599">
            <v>3304</v>
          </cell>
          <cell r="J2599">
            <v>0.13232794520547944</v>
          </cell>
        </row>
        <row r="2600">
          <cell r="I2600">
            <v>3305</v>
          </cell>
          <cell r="J2600">
            <v>0.1323295890410959</v>
          </cell>
        </row>
        <row r="2601">
          <cell r="I2601">
            <v>3306</v>
          </cell>
          <cell r="J2601">
            <v>0.13233123287671233</v>
          </cell>
        </row>
        <row r="2602">
          <cell r="I2602">
            <v>3307</v>
          </cell>
          <cell r="J2602">
            <v>0.13233287671232877</v>
          </cell>
        </row>
        <row r="2603">
          <cell r="I2603">
            <v>3308</v>
          </cell>
          <cell r="J2603">
            <v>0.1323345205479452</v>
          </cell>
        </row>
        <row r="2604">
          <cell r="I2604">
            <v>3309</v>
          </cell>
          <cell r="J2604">
            <v>0.13233616438356163</v>
          </cell>
        </row>
        <row r="2605">
          <cell r="I2605">
            <v>3310</v>
          </cell>
          <cell r="J2605">
            <v>0.13233780821917809</v>
          </cell>
        </row>
        <row r="2606">
          <cell r="I2606">
            <v>3311</v>
          </cell>
          <cell r="J2606">
            <v>0.13233945205479453</v>
          </cell>
        </row>
        <row r="2607">
          <cell r="I2607">
            <v>3312</v>
          </cell>
          <cell r="J2607">
            <v>0.13234109589041096</v>
          </cell>
        </row>
        <row r="2608">
          <cell r="I2608">
            <v>3313</v>
          </cell>
          <cell r="J2608">
            <v>0.13234273972602739</v>
          </cell>
        </row>
        <row r="2609">
          <cell r="I2609">
            <v>3314</v>
          </cell>
          <cell r="J2609">
            <v>0.13234438356164382</v>
          </cell>
        </row>
        <row r="2610">
          <cell r="I2610">
            <v>3315</v>
          </cell>
          <cell r="J2610">
            <v>0.13234602739726029</v>
          </cell>
        </row>
        <row r="2611">
          <cell r="I2611">
            <v>3316</v>
          </cell>
          <cell r="J2611">
            <v>0.13234767123287672</v>
          </cell>
        </row>
        <row r="2612">
          <cell r="I2612">
            <v>3317</v>
          </cell>
          <cell r="J2612">
            <v>0.13234931506849315</v>
          </cell>
        </row>
        <row r="2613">
          <cell r="I2613">
            <v>3318</v>
          </cell>
          <cell r="J2613">
            <v>0.13235095890410958</v>
          </cell>
        </row>
        <row r="2614">
          <cell r="I2614">
            <v>3319</v>
          </cell>
          <cell r="J2614">
            <v>0.13235260273972602</v>
          </cell>
        </row>
        <row r="2615">
          <cell r="I2615">
            <v>3320</v>
          </cell>
          <cell r="J2615">
            <v>0.13235424657534248</v>
          </cell>
        </row>
        <row r="2616">
          <cell r="I2616">
            <v>3321</v>
          </cell>
          <cell r="J2616">
            <v>0.13235589041095891</v>
          </cell>
        </row>
        <row r="2617">
          <cell r="I2617">
            <v>3322</v>
          </cell>
          <cell r="J2617">
            <v>0.13235753424657534</v>
          </cell>
        </row>
        <row r="2618">
          <cell r="I2618">
            <v>3323</v>
          </cell>
          <cell r="J2618">
            <v>0.13235917808219178</v>
          </cell>
        </row>
        <row r="2619">
          <cell r="I2619">
            <v>3324</v>
          </cell>
          <cell r="J2619">
            <v>0.13236082191780821</v>
          </cell>
        </row>
        <row r="2620">
          <cell r="I2620">
            <v>3325</v>
          </cell>
          <cell r="J2620">
            <v>0.13236246575342467</v>
          </cell>
        </row>
        <row r="2621">
          <cell r="I2621">
            <v>3326</v>
          </cell>
          <cell r="J2621">
            <v>0.1323641095890411</v>
          </cell>
        </row>
        <row r="2622">
          <cell r="I2622">
            <v>3327</v>
          </cell>
          <cell r="J2622">
            <v>0.13236575342465753</v>
          </cell>
        </row>
        <row r="2623">
          <cell r="I2623">
            <v>3328</v>
          </cell>
          <cell r="J2623">
            <v>0.13236739726027397</v>
          </cell>
        </row>
        <row r="2624">
          <cell r="I2624">
            <v>3329</v>
          </cell>
          <cell r="J2624">
            <v>0.1323690410958904</v>
          </cell>
        </row>
        <row r="2625">
          <cell r="I2625">
            <v>3330</v>
          </cell>
          <cell r="J2625">
            <v>0.13237068493150686</v>
          </cell>
        </row>
        <row r="2626">
          <cell r="I2626">
            <v>3331</v>
          </cell>
          <cell r="J2626">
            <v>0.13237232876712329</v>
          </cell>
        </row>
        <row r="2627">
          <cell r="I2627">
            <v>3332</v>
          </cell>
          <cell r="J2627">
            <v>0.13237397260273973</v>
          </cell>
        </row>
        <row r="2628">
          <cell r="I2628">
            <v>3333</v>
          </cell>
          <cell r="J2628">
            <v>0.13237561643835616</v>
          </cell>
        </row>
        <row r="2629">
          <cell r="I2629">
            <v>3334</v>
          </cell>
          <cell r="J2629">
            <v>0.13237726027397259</v>
          </cell>
        </row>
        <row r="2630">
          <cell r="I2630">
            <v>3335</v>
          </cell>
          <cell r="J2630">
            <v>0.13237890410958905</v>
          </cell>
        </row>
        <row r="2631">
          <cell r="I2631">
            <v>3336</v>
          </cell>
          <cell r="J2631">
            <v>0.13238054794520548</v>
          </cell>
        </row>
        <row r="2632">
          <cell r="I2632">
            <v>3337</v>
          </cell>
          <cell r="J2632">
            <v>0.13238219178082192</v>
          </cell>
        </row>
        <row r="2633">
          <cell r="I2633">
            <v>3338</v>
          </cell>
          <cell r="J2633">
            <v>0.13238383561643835</v>
          </cell>
        </row>
        <row r="2634">
          <cell r="I2634">
            <v>3339</v>
          </cell>
          <cell r="J2634">
            <v>0.13238547945205478</v>
          </cell>
        </row>
        <row r="2635">
          <cell r="I2635">
            <v>3340</v>
          </cell>
          <cell r="J2635">
            <v>0.13238712328767124</v>
          </cell>
        </row>
        <row r="2636">
          <cell r="I2636">
            <v>3341</v>
          </cell>
          <cell r="J2636">
            <v>0.13238876712328768</v>
          </cell>
        </row>
        <row r="2637">
          <cell r="I2637">
            <v>3342</v>
          </cell>
          <cell r="J2637">
            <v>0.13239041095890411</v>
          </cell>
        </row>
        <row r="2638">
          <cell r="I2638">
            <v>3343</v>
          </cell>
          <cell r="J2638">
            <v>0.13239205479452054</v>
          </cell>
        </row>
        <row r="2639">
          <cell r="I2639">
            <v>3344</v>
          </cell>
          <cell r="J2639">
            <v>0.13239369863013697</v>
          </cell>
        </row>
        <row r="2640">
          <cell r="I2640">
            <v>3345</v>
          </cell>
          <cell r="J2640">
            <v>0.13239534246575344</v>
          </cell>
        </row>
        <row r="2641">
          <cell r="I2641">
            <v>3346</v>
          </cell>
          <cell r="J2641">
            <v>0.13239698630136987</v>
          </cell>
        </row>
        <row r="2642">
          <cell r="I2642">
            <v>3347</v>
          </cell>
          <cell r="J2642">
            <v>0.1323986301369863</v>
          </cell>
        </row>
        <row r="2643">
          <cell r="I2643">
            <v>3348</v>
          </cell>
          <cell r="J2643">
            <v>0.13240027397260273</v>
          </cell>
        </row>
        <row r="2644">
          <cell r="I2644">
            <v>3349</v>
          </cell>
          <cell r="J2644">
            <v>0.13240191780821917</v>
          </cell>
        </row>
        <row r="2645">
          <cell r="I2645">
            <v>3350</v>
          </cell>
          <cell r="J2645">
            <v>0.13240356164383563</v>
          </cell>
        </row>
        <row r="2646">
          <cell r="I2646">
            <v>3351</v>
          </cell>
          <cell r="J2646">
            <v>0.13240520547945206</v>
          </cell>
        </row>
        <row r="2647">
          <cell r="I2647">
            <v>3352</v>
          </cell>
          <cell r="J2647">
            <v>0.13240684931506849</v>
          </cell>
        </row>
        <row r="2648">
          <cell r="I2648">
            <v>3353</v>
          </cell>
          <cell r="J2648">
            <v>0.13240849315068492</v>
          </cell>
        </row>
        <row r="2649">
          <cell r="I2649">
            <v>3354</v>
          </cell>
          <cell r="J2649">
            <v>0.13241013698630136</v>
          </cell>
        </row>
        <row r="2650">
          <cell r="I2650">
            <v>3355</v>
          </cell>
          <cell r="J2650">
            <v>0.13241178082191782</v>
          </cell>
        </row>
        <row r="2651">
          <cell r="I2651">
            <v>3356</v>
          </cell>
          <cell r="J2651">
            <v>0.13241342465753425</v>
          </cell>
        </row>
        <row r="2652">
          <cell r="I2652">
            <v>3357</v>
          </cell>
          <cell r="J2652">
            <v>0.13241506849315068</v>
          </cell>
        </row>
        <row r="2653">
          <cell r="I2653">
            <v>3358</v>
          </cell>
          <cell r="J2653">
            <v>0.13241671232876712</v>
          </cell>
        </row>
        <row r="2654">
          <cell r="I2654">
            <v>3359</v>
          </cell>
          <cell r="J2654">
            <v>0.13241835616438355</v>
          </cell>
        </row>
        <row r="2655">
          <cell r="I2655">
            <v>3360</v>
          </cell>
          <cell r="J2655">
            <v>0.13242000000000001</v>
          </cell>
        </row>
        <row r="2656">
          <cell r="I2656">
            <v>3361</v>
          </cell>
          <cell r="J2656">
            <v>0.13242164383561644</v>
          </cell>
        </row>
        <row r="2657">
          <cell r="I2657">
            <v>3362</v>
          </cell>
          <cell r="J2657">
            <v>0.13242328767123288</v>
          </cell>
        </row>
        <row r="2658">
          <cell r="I2658">
            <v>3363</v>
          </cell>
          <cell r="J2658">
            <v>0.13242493150684931</v>
          </cell>
        </row>
        <row r="2659">
          <cell r="I2659">
            <v>3364</v>
          </cell>
          <cell r="J2659">
            <v>0.13242657534246574</v>
          </cell>
        </row>
        <row r="2660">
          <cell r="I2660">
            <v>3365</v>
          </cell>
          <cell r="J2660">
            <v>0.1324282191780822</v>
          </cell>
        </row>
        <row r="2661">
          <cell r="I2661">
            <v>3366</v>
          </cell>
          <cell r="J2661">
            <v>0.13242986301369863</v>
          </cell>
        </row>
        <row r="2662">
          <cell r="I2662">
            <v>3367</v>
          </cell>
          <cell r="J2662">
            <v>0.13243150684931507</v>
          </cell>
        </row>
        <row r="2663">
          <cell r="I2663">
            <v>3368</v>
          </cell>
          <cell r="J2663">
            <v>0.1324331506849315</v>
          </cell>
        </row>
        <row r="2664">
          <cell r="I2664">
            <v>3369</v>
          </cell>
          <cell r="J2664">
            <v>0.13243479452054793</v>
          </cell>
        </row>
        <row r="2665">
          <cell r="I2665">
            <v>3370</v>
          </cell>
          <cell r="J2665">
            <v>0.13243643835616439</v>
          </cell>
        </row>
        <row r="2666">
          <cell r="I2666">
            <v>3371</v>
          </cell>
          <cell r="J2666">
            <v>0.13243808219178083</v>
          </cell>
        </row>
        <row r="2667">
          <cell r="I2667">
            <v>3372</v>
          </cell>
          <cell r="J2667">
            <v>0.13243972602739726</v>
          </cell>
        </row>
        <row r="2668">
          <cell r="I2668">
            <v>3373</v>
          </cell>
          <cell r="J2668">
            <v>0.13244136986301369</v>
          </cell>
        </row>
        <row r="2669">
          <cell r="I2669">
            <v>3374</v>
          </cell>
          <cell r="J2669">
            <v>0.13244301369863012</v>
          </cell>
        </row>
        <row r="2670">
          <cell r="I2670">
            <v>3375</v>
          </cell>
          <cell r="J2670">
            <v>0.13244465753424658</v>
          </cell>
        </row>
        <row r="2671">
          <cell r="I2671">
            <v>3376</v>
          </cell>
          <cell r="J2671">
            <v>0.13244630136986302</v>
          </cell>
        </row>
        <row r="2672">
          <cell r="I2672">
            <v>3377</v>
          </cell>
          <cell r="J2672">
            <v>0.13244794520547945</v>
          </cell>
        </row>
        <row r="2673">
          <cell r="I2673">
            <v>3378</v>
          </cell>
          <cell r="J2673">
            <v>0.13244958904109588</v>
          </cell>
        </row>
        <row r="2674">
          <cell r="I2674">
            <v>3379</v>
          </cell>
          <cell r="J2674">
            <v>0.13245123287671232</v>
          </cell>
        </row>
        <row r="2675">
          <cell r="I2675">
            <v>3380</v>
          </cell>
          <cell r="J2675">
            <v>0.13245287671232878</v>
          </cell>
        </row>
        <row r="2676">
          <cell r="I2676">
            <v>3381</v>
          </cell>
          <cell r="J2676">
            <v>0.13245452054794521</v>
          </cell>
        </row>
        <row r="2677">
          <cell r="I2677">
            <v>3382</v>
          </cell>
          <cell r="J2677">
            <v>0.13245616438356164</v>
          </cell>
        </row>
        <row r="2678">
          <cell r="I2678">
            <v>3383</v>
          </cell>
          <cell r="J2678">
            <v>0.13245780821917807</v>
          </cell>
        </row>
        <row r="2679">
          <cell r="I2679">
            <v>3384</v>
          </cell>
          <cell r="J2679">
            <v>0.13245945205479451</v>
          </cell>
        </row>
        <row r="2680">
          <cell r="I2680">
            <v>3385</v>
          </cell>
          <cell r="J2680">
            <v>0.13246109589041097</v>
          </cell>
        </row>
        <row r="2681">
          <cell r="I2681">
            <v>3386</v>
          </cell>
          <cell r="J2681">
            <v>0.1324627397260274</v>
          </cell>
        </row>
        <row r="2682">
          <cell r="I2682">
            <v>3387</v>
          </cell>
          <cell r="J2682">
            <v>0.13246438356164383</v>
          </cell>
        </row>
        <row r="2683">
          <cell r="I2683">
            <v>3388</v>
          </cell>
          <cell r="J2683">
            <v>0.13246602739726027</v>
          </cell>
        </row>
        <row r="2684">
          <cell r="I2684">
            <v>3389</v>
          </cell>
          <cell r="J2684">
            <v>0.1324676712328767</v>
          </cell>
        </row>
        <row r="2685">
          <cell r="I2685">
            <v>3390</v>
          </cell>
          <cell r="J2685">
            <v>0.13246931506849316</v>
          </cell>
        </row>
        <row r="2686">
          <cell r="I2686">
            <v>3391</v>
          </cell>
          <cell r="J2686">
            <v>0.13247095890410959</v>
          </cell>
        </row>
        <row r="2687">
          <cell r="I2687">
            <v>3392</v>
          </cell>
          <cell r="J2687">
            <v>0.13247260273972603</v>
          </cell>
        </row>
        <row r="2688">
          <cell r="I2688">
            <v>3393</v>
          </cell>
          <cell r="J2688">
            <v>0.13247424657534246</v>
          </cell>
        </row>
        <row r="2689">
          <cell r="I2689">
            <v>3394</v>
          </cell>
          <cell r="J2689">
            <v>0.13247589041095889</v>
          </cell>
        </row>
        <row r="2690">
          <cell r="I2690">
            <v>3395</v>
          </cell>
          <cell r="J2690">
            <v>0.13247753424657535</v>
          </cell>
        </row>
        <row r="2691">
          <cell r="I2691">
            <v>3396</v>
          </cell>
          <cell r="J2691">
            <v>0.13247917808219178</v>
          </cell>
        </row>
        <row r="2692">
          <cell r="I2692">
            <v>3397</v>
          </cell>
          <cell r="J2692">
            <v>0.13248082191780822</v>
          </cell>
        </row>
        <row r="2693">
          <cell r="I2693">
            <v>3398</v>
          </cell>
          <cell r="J2693">
            <v>0.13248246575342465</v>
          </cell>
        </row>
        <row r="2694">
          <cell r="I2694">
            <v>3399</v>
          </cell>
          <cell r="J2694">
            <v>0.13248410958904108</v>
          </cell>
        </row>
        <row r="2695">
          <cell r="I2695">
            <v>3400</v>
          </cell>
          <cell r="J2695">
            <v>0.13248575342465754</v>
          </cell>
        </row>
        <row r="2696">
          <cell r="I2696">
            <v>3401</v>
          </cell>
          <cell r="J2696">
            <v>0.13248739726027398</v>
          </cell>
        </row>
        <row r="2697">
          <cell r="I2697">
            <v>3402</v>
          </cell>
          <cell r="J2697">
            <v>0.13248904109589041</v>
          </cell>
        </row>
        <row r="2698">
          <cell r="I2698">
            <v>3403</v>
          </cell>
          <cell r="J2698">
            <v>0.13249068493150684</v>
          </cell>
        </row>
        <row r="2699">
          <cell r="I2699">
            <v>3404</v>
          </cell>
          <cell r="J2699">
            <v>0.13249232876712327</v>
          </cell>
        </row>
        <row r="2700">
          <cell r="I2700">
            <v>3405</v>
          </cell>
          <cell r="J2700">
            <v>0.13249397260273973</v>
          </cell>
        </row>
        <row r="2701">
          <cell r="I2701">
            <v>3406</v>
          </cell>
          <cell r="J2701">
            <v>0.13249561643835617</v>
          </cell>
        </row>
        <row r="2702">
          <cell r="I2702">
            <v>3407</v>
          </cell>
          <cell r="J2702">
            <v>0.1324972602739726</v>
          </cell>
        </row>
        <row r="2703">
          <cell r="I2703">
            <v>3408</v>
          </cell>
          <cell r="J2703">
            <v>0.13249890410958903</v>
          </cell>
        </row>
        <row r="2704">
          <cell r="I2704">
            <v>3409</v>
          </cell>
          <cell r="J2704">
            <v>0.13250054794520547</v>
          </cell>
        </row>
        <row r="2705">
          <cell r="I2705">
            <v>3410</v>
          </cell>
          <cell r="J2705">
            <v>0.13250219178082193</v>
          </cell>
        </row>
        <row r="2706">
          <cell r="I2706">
            <v>3411</v>
          </cell>
          <cell r="J2706">
            <v>0.13250383561643836</v>
          </cell>
        </row>
        <row r="2707">
          <cell r="I2707">
            <v>3412</v>
          </cell>
          <cell r="J2707">
            <v>0.13250547945205479</v>
          </cell>
        </row>
        <row r="2708">
          <cell r="I2708">
            <v>3413</v>
          </cell>
          <cell r="J2708">
            <v>0.13250712328767122</v>
          </cell>
        </row>
        <row r="2709">
          <cell r="I2709">
            <v>3414</v>
          </cell>
          <cell r="J2709">
            <v>0.13250876712328766</v>
          </cell>
        </row>
        <row r="2710">
          <cell r="I2710">
            <v>3415</v>
          </cell>
          <cell r="J2710">
            <v>0.13251041095890412</v>
          </cell>
        </row>
        <row r="2711">
          <cell r="I2711">
            <v>3416</v>
          </cell>
          <cell r="J2711">
            <v>0.13251205479452055</v>
          </cell>
        </row>
        <row r="2712">
          <cell r="I2712">
            <v>3417</v>
          </cell>
          <cell r="J2712">
            <v>0.13251369863013698</v>
          </cell>
        </row>
        <row r="2713">
          <cell r="I2713">
            <v>3418</v>
          </cell>
          <cell r="J2713">
            <v>0.13251534246575342</v>
          </cell>
        </row>
        <row r="2714">
          <cell r="I2714">
            <v>3419</v>
          </cell>
          <cell r="J2714">
            <v>0.13251698630136985</v>
          </cell>
        </row>
        <row r="2715">
          <cell r="I2715">
            <v>3420</v>
          </cell>
          <cell r="J2715">
            <v>0.13251863013698631</v>
          </cell>
        </row>
        <row r="2716">
          <cell r="I2716">
            <v>3421</v>
          </cell>
          <cell r="J2716">
            <v>0.13252027397260274</v>
          </cell>
        </row>
        <row r="2717">
          <cell r="I2717">
            <v>3422</v>
          </cell>
          <cell r="J2717">
            <v>0.13252191780821918</v>
          </cell>
        </row>
        <row r="2718">
          <cell r="I2718">
            <v>3423</v>
          </cell>
          <cell r="J2718">
            <v>0.13252356164383561</v>
          </cell>
        </row>
        <row r="2719">
          <cell r="I2719">
            <v>3424</v>
          </cell>
          <cell r="J2719">
            <v>0.13252520547945204</v>
          </cell>
        </row>
        <row r="2720">
          <cell r="I2720">
            <v>3425</v>
          </cell>
          <cell r="J2720">
            <v>0.1325268493150685</v>
          </cell>
        </row>
        <row r="2721">
          <cell r="I2721">
            <v>3426</v>
          </cell>
          <cell r="J2721">
            <v>0.13252849315068493</v>
          </cell>
        </row>
        <row r="2722">
          <cell r="I2722">
            <v>3427</v>
          </cell>
          <cell r="J2722">
            <v>0.13253013698630137</v>
          </cell>
        </row>
        <row r="2723">
          <cell r="I2723">
            <v>3428</v>
          </cell>
          <cell r="J2723">
            <v>0.1325317808219178</v>
          </cell>
        </row>
        <row r="2724">
          <cell r="I2724">
            <v>3429</v>
          </cell>
          <cell r="J2724">
            <v>0.13253342465753423</v>
          </cell>
        </row>
        <row r="2725">
          <cell r="I2725">
            <v>3430</v>
          </cell>
          <cell r="J2725">
            <v>0.13253506849315069</v>
          </cell>
        </row>
        <row r="2726">
          <cell r="I2726">
            <v>3431</v>
          </cell>
          <cell r="J2726">
            <v>0.13253671232876713</v>
          </cell>
        </row>
        <row r="2727">
          <cell r="I2727">
            <v>3432</v>
          </cell>
          <cell r="J2727">
            <v>0.13253835616438356</v>
          </cell>
        </row>
        <row r="2728">
          <cell r="I2728">
            <v>3433</v>
          </cell>
          <cell r="J2728">
            <v>0.13253999999999999</v>
          </cell>
        </row>
        <row r="2729">
          <cell r="I2729">
            <v>3434</v>
          </cell>
          <cell r="J2729">
            <v>0.13254164383561642</v>
          </cell>
        </row>
        <row r="2730">
          <cell r="I2730">
            <v>3435</v>
          </cell>
          <cell r="J2730">
            <v>0.13254328767123288</v>
          </cell>
        </row>
        <row r="2731">
          <cell r="I2731">
            <v>3436</v>
          </cell>
          <cell r="J2731">
            <v>0.13254493150684932</v>
          </cell>
        </row>
        <row r="2732">
          <cell r="I2732">
            <v>3437</v>
          </cell>
          <cell r="J2732">
            <v>0.13254657534246575</v>
          </cell>
        </row>
        <row r="2733">
          <cell r="I2733">
            <v>3438</v>
          </cell>
          <cell r="J2733">
            <v>0.13254821917808218</v>
          </cell>
        </row>
        <row r="2734">
          <cell r="I2734">
            <v>3439</v>
          </cell>
          <cell r="J2734">
            <v>0.13254986301369862</v>
          </cell>
        </row>
        <row r="2735">
          <cell r="I2735">
            <v>3440</v>
          </cell>
          <cell r="J2735">
            <v>0.13255150684931508</v>
          </cell>
        </row>
        <row r="2736">
          <cell r="I2736">
            <v>3441</v>
          </cell>
          <cell r="J2736">
            <v>0.13255315068493151</v>
          </cell>
        </row>
        <row r="2737">
          <cell r="I2737">
            <v>3442</v>
          </cell>
          <cell r="J2737">
            <v>0.13255479452054794</v>
          </cell>
        </row>
        <row r="2738">
          <cell r="I2738">
            <v>3443</v>
          </cell>
          <cell r="J2738">
            <v>0.13255643835616437</v>
          </cell>
        </row>
        <row r="2739">
          <cell r="I2739">
            <v>3444</v>
          </cell>
          <cell r="J2739">
            <v>0.13255808219178081</v>
          </cell>
        </row>
        <row r="2740">
          <cell r="I2740">
            <v>3445</v>
          </cell>
          <cell r="J2740">
            <v>0.13255972602739727</v>
          </cell>
        </row>
        <row r="2741">
          <cell r="I2741">
            <v>3446</v>
          </cell>
          <cell r="J2741">
            <v>0.1325613698630137</v>
          </cell>
        </row>
        <row r="2742">
          <cell r="I2742">
            <v>3447</v>
          </cell>
          <cell r="J2742">
            <v>0.13256301369863013</v>
          </cell>
        </row>
        <row r="2743">
          <cell r="I2743">
            <v>3448</v>
          </cell>
          <cell r="J2743">
            <v>0.13256465753424657</v>
          </cell>
        </row>
        <row r="2744">
          <cell r="I2744">
            <v>3449</v>
          </cell>
          <cell r="J2744">
            <v>0.132566301369863</v>
          </cell>
        </row>
        <row r="2745">
          <cell r="I2745">
            <v>3450</v>
          </cell>
          <cell r="J2745">
            <v>0.13256794520547946</v>
          </cell>
        </row>
        <row r="2746">
          <cell r="I2746">
            <v>3451</v>
          </cell>
          <cell r="J2746">
            <v>0.13256958904109589</v>
          </cell>
        </row>
        <row r="2747">
          <cell r="I2747">
            <v>3452</v>
          </cell>
          <cell r="J2747">
            <v>0.13257123287671232</v>
          </cell>
        </row>
        <row r="2748">
          <cell r="I2748">
            <v>3453</v>
          </cell>
          <cell r="J2748">
            <v>0.13257287671232876</v>
          </cell>
        </row>
        <row r="2749">
          <cell r="I2749">
            <v>3454</v>
          </cell>
          <cell r="J2749">
            <v>0.13257452054794519</v>
          </cell>
        </row>
        <row r="2750">
          <cell r="I2750">
            <v>3455</v>
          </cell>
          <cell r="J2750">
            <v>0.13257616438356165</v>
          </cell>
        </row>
        <row r="2751">
          <cell r="I2751">
            <v>3456</v>
          </cell>
          <cell r="J2751">
            <v>0.13257780821917808</v>
          </cell>
        </row>
        <row r="2752">
          <cell r="I2752">
            <v>3457</v>
          </cell>
          <cell r="J2752">
            <v>0.13257945205479452</v>
          </cell>
        </row>
        <row r="2753">
          <cell r="I2753">
            <v>3458</v>
          </cell>
          <cell r="J2753">
            <v>0.13258109589041095</v>
          </cell>
        </row>
        <row r="2754">
          <cell r="I2754">
            <v>3459</v>
          </cell>
          <cell r="J2754">
            <v>0.13258273972602738</v>
          </cell>
        </row>
        <row r="2755">
          <cell r="I2755">
            <v>3460</v>
          </cell>
          <cell r="J2755">
            <v>0.13258438356164384</v>
          </cell>
        </row>
        <row r="2756">
          <cell r="I2756">
            <v>3461</v>
          </cell>
          <cell r="J2756">
            <v>0.13258602739726028</v>
          </cell>
        </row>
        <row r="2757">
          <cell r="I2757">
            <v>3462</v>
          </cell>
          <cell r="J2757">
            <v>0.13258767123287671</v>
          </cell>
        </row>
        <row r="2758">
          <cell r="I2758">
            <v>3463</v>
          </cell>
          <cell r="J2758">
            <v>0.13258931506849314</v>
          </cell>
        </row>
        <row r="2759">
          <cell r="I2759">
            <v>3464</v>
          </cell>
          <cell r="J2759">
            <v>0.13259095890410957</v>
          </cell>
        </row>
        <row r="2760">
          <cell r="I2760">
            <v>3465</v>
          </cell>
          <cell r="J2760">
            <v>0.13259260273972603</v>
          </cell>
        </row>
        <row r="2761">
          <cell r="I2761">
            <v>3466</v>
          </cell>
          <cell r="J2761">
            <v>0.13259424657534247</v>
          </cell>
        </row>
        <row r="2762">
          <cell r="I2762">
            <v>3467</v>
          </cell>
          <cell r="J2762">
            <v>0.1325958904109589</v>
          </cell>
        </row>
        <row r="2763">
          <cell r="I2763">
            <v>3468</v>
          </cell>
          <cell r="J2763">
            <v>0.13259753424657533</v>
          </cell>
        </row>
        <row r="2764">
          <cell r="I2764">
            <v>3469</v>
          </cell>
          <cell r="J2764">
            <v>0.13259917808219177</v>
          </cell>
        </row>
        <row r="2765">
          <cell r="I2765">
            <v>3470</v>
          </cell>
          <cell r="J2765">
            <v>0.13260082191780823</v>
          </cell>
        </row>
        <row r="2766">
          <cell r="I2766">
            <v>3471</v>
          </cell>
          <cell r="J2766">
            <v>0.13260246575342466</v>
          </cell>
        </row>
        <row r="2767">
          <cell r="I2767">
            <v>3472</v>
          </cell>
          <cell r="J2767">
            <v>0.13260410958904109</v>
          </cell>
        </row>
        <row r="2768">
          <cell r="I2768">
            <v>3473</v>
          </cell>
          <cell r="J2768">
            <v>0.13260575342465752</v>
          </cell>
        </row>
        <row r="2769">
          <cell r="I2769">
            <v>3474</v>
          </cell>
          <cell r="J2769">
            <v>0.13260739726027396</v>
          </cell>
        </row>
        <row r="2770">
          <cell r="I2770">
            <v>3475</v>
          </cell>
          <cell r="J2770">
            <v>0.13260904109589042</v>
          </cell>
        </row>
        <row r="2771">
          <cell r="I2771">
            <v>3476</v>
          </cell>
          <cell r="J2771">
            <v>0.13261068493150685</v>
          </cell>
        </row>
        <row r="2772">
          <cell r="I2772">
            <v>3477</v>
          </cell>
          <cell r="J2772">
            <v>0.13261232876712328</v>
          </cell>
        </row>
        <row r="2773">
          <cell r="I2773">
            <v>3478</v>
          </cell>
          <cell r="J2773">
            <v>0.13261397260273972</v>
          </cell>
        </row>
        <row r="2774">
          <cell r="I2774">
            <v>3479</v>
          </cell>
          <cell r="J2774">
            <v>0.13261561643835615</v>
          </cell>
        </row>
        <row r="2775">
          <cell r="I2775">
            <v>3480</v>
          </cell>
          <cell r="J2775">
            <v>0.13261726027397261</v>
          </cell>
        </row>
        <row r="2776">
          <cell r="I2776">
            <v>3481</v>
          </cell>
          <cell r="J2776">
            <v>0.13261890410958904</v>
          </cell>
        </row>
        <row r="2777">
          <cell r="I2777">
            <v>3482</v>
          </cell>
          <cell r="J2777">
            <v>0.13262054794520547</v>
          </cell>
        </row>
        <row r="2778">
          <cell r="I2778">
            <v>3483</v>
          </cell>
          <cell r="J2778">
            <v>0.13262219178082191</v>
          </cell>
        </row>
        <row r="2779">
          <cell r="I2779">
            <v>3484</v>
          </cell>
          <cell r="J2779">
            <v>0.13262383561643834</v>
          </cell>
        </row>
        <row r="2780">
          <cell r="I2780">
            <v>3485</v>
          </cell>
          <cell r="J2780">
            <v>0.1326254794520548</v>
          </cell>
        </row>
        <row r="2781">
          <cell r="I2781">
            <v>3486</v>
          </cell>
          <cell r="J2781">
            <v>0.13262712328767123</v>
          </cell>
        </row>
        <row r="2782">
          <cell r="I2782">
            <v>3487</v>
          </cell>
          <cell r="J2782">
            <v>0.13262876712328767</v>
          </cell>
        </row>
        <row r="2783">
          <cell r="I2783">
            <v>3488</v>
          </cell>
          <cell r="J2783">
            <v>0.1326304109589041</v>
          </cell>
        </row>
        <row r="2784">
          <cell r="I2784">
            <v>3489</v>
          </cell>
          <cell r="J2784">
            <v>0.13263205479452053</v>
          </cell>
        </row>
        <row r="2785">
          <cell r="I2785">
            <v>3490</v>
          </cell>
          <cell r="J2785">
            <v>0.13263369863013699</v>
          </cell>
        </row>
        <row r="2786">
          <cell r="I2786">
            <v>3491</v>
          </cell>
          <cell r="J2786">
            <v>0.13263534246575343</v>
          </cell>
        </row>
        <row r="2787">
          <cell r="I2787">
            <v>3492</v>
          </cell>
          <cell r="J2787">
            <v>0.13263698630136986</v>
          </cell>
        </row>
        <row r="2788">
          <cell r="I2788">
            <v>3493</v>
          </cell>
          <cell r="J2788">
            <v>0.13263863013698629</v>
          </cell>
        </row>
        <row r="2789">
          <cell r="I2789">
            <v>3494</v>
          </cell>
          <cell r="J2789">
            <v>0.13264027397260272</v>
          </cell>
        </row>
        <row r="2790">
          <cell r="I2790">
            <v>3495</v>
          </cell>
          <cell r="J2790">
            <v>0.13264191780821918</v>
          </cell>
        </row>
        <row r="2791">
          <cell r="I2791">
            <v>3496</v>
          </cell>
          <cell r="J2791">
            <v>0.13264356164383562</v>
          </cell>
        </row>
        <row r="2792">
          <cell r="I2792">
            <v>3497</v>
          </cell>
          <cell r="J2792">
            <v>0.13264520547945205</v>
          </cell>
        </row>
        <row r="2793">
          <cell r="I2793">
            <v>3498</v>
          </cell>
          <cell r="J2793">
            <v>0.13264684931506848</v>
          </cell>
        </row>
        <row r="2794">
          <cell r="I2794">
            <v>3499</v>
          </cell>
          <cell r="J2794">
            <v>0.13264849315068492</v>
          </cell>
        </row>
        <row r="2795">
          <cell r="I2795">
            <v>3500</v>
          </cell>
          <cell r="J2795">
            <v>0.13265013698630138</v>
          </cell>
        </row>
        <row r="2796">
          <cell r="I2796">
            <v>3501</v>
          </cell>
          <cell r="J2796">
            <v>0.13265178082191781</v>
          </cell>
        </row>
        <row r="2797">
          <cell r="I2797">
            <v>3502</v>
          </cell>
          <cell r="J2797">
            <v>0.13265342465753424</v>
          </cell>
        </row>
        <row r="2798">
          <cell r="I2798">
            <v>3503</v>
          </cell>
          <cell r="J2798">
            <v>0.13265506849315067</v>
          </cell>
        </row>
        <row r="2799">
          <cell r="I2799">
            <v>3504</v>
          </cell>
          <cell r="J2799">
            <v>0.13265671232876711</v>
          </cell>
        </row>
        <row r="2800">
          <cell r="I2800">
            <v>3505</v>
          </cell>
          <cell r="J2800">
            <v>0.13265835616438357</v>
          </cell>
        </row>
        <row r="2801">
          <cell r="I2801">
            <v>3506</v>
          </cell>
          <cell r="J2801">
            <v>0.13266</v>
          </cell>
        </row>
        <row r="2802">
          <cell r="I2802">
            <v>3507</v>
          </cell>
          <cell r="J2802">
            <v>0.13266164383561643</v>
          </cell>
        </row>
        <row r="2803">
          <cell r="I2803">
            <v>3508</v>
          </cell>
          <cell r="J2803">
            <v>0.13266328767123287</v>
          </cell>
        </row>
        <row r="2804">
          <cell r="I2804">
            <v>3509</v>
          </cell>
          <cell r="J2804">
            <v>0.1326649315068493</v>
          </cell>
        </row>
        <row r="2805">
          <cell r="I2805">
            <v>3510</v>
          </cell>
          <cell r="J2805">
            <v>0.13266657534246576</v>
          </cell>
        </row>
        <row r="2806">
          <cell r="I2806">
            <v>3511</v>
          </cell>
          <cell r="J2806">
            <v>0.13266821917808219</v>
          </cell>
        </row>
        <row r="2807">
          <cell r="I2807">
            <v>3512</v>
          </cell>
          <cell r="J2807">
            <v>0.13266986301369862</v>
          </cell>
        </row>
        <row r="2808">
          <cell r="I2808">
            <v>3513</v>
          </cell>
          <cell r="J2808">
            <v>0.13267150684931506</v>
          </cell>
        </row>
        <row r="2809">
          <cell r="I2809">
            <v>3514</v>
          </cell>
          <cell r="J2809">
            <v>0.13267315068493149</v>
          </cell>
        </row>
        <row r="2810">
          <cell r="I2810">
            <v>3515</v>
          </cell>
          <cell r="J2810">
            <v>0.13267479452054795</v>
          </cell>
        </row>
        <row r="2811">
          <cell r="I2811">
            <v>3516</v>
          </cell>
          <cell r="J2811">
            <v>0.13267643835616438</v>
          </cell>
        </row>
        <row r="2812">
          <cell r="I2812">
            <v>3517</v>
          </cell>
          <cell r="J2812">
            <v>0.13267808219178082</v>
          </cell>
        </row>
        <row r="2813">
          <cell r="I2813">
            <v>3518</v>
          </cell>
          <cell r="J2813">
            <v>0.13267972602739725</v>
          </cell>
        </row>
        <row r="2814">
          <cell r="I2814">
            <v>3519</v>
          </cell>
          <cell r="J2814">
            <v>0.13268136986301368</v>
          </cell>
        </row>
        <row r="2815">
          <cell r="I2815">
            <v>3520</v>
          </cell>
          <cell r="J2815">
            <v>0.13268301369863014</v>
          </cell>
        </row>
        <row r="2816">
          <cell r="I2816">
            <v>3521</v>
          </cell>
          <cell r="J2816">
            <v>0.13268465753424658</v>
          </cell>
        </row>
        <row r="2817">
          <cell r="I2817">
            <v>3522</v>
          </cell>
          <cell r="J2817">
            <v>0.13268630136986301</v>
          </cell>
        </row>
        <row r="2818">
          <cell r="I2818">
            <v>3523</v>
          </cell>
          <cell r="J2818">
            <v>0.13268794520547944</v>
          </cell>
        </row>
        <row r="2819">
          <cell r="I2819">
            <v>3524</v>
          </cell>
          <cell r="J2819">
            <v>0.13268958904109587</v>
          </cell>
        </row>
        <row r="2820">
          <cell r="I2820">
            <v>3525</v>
          </cell>
          <cell r="J2820">
            <v>0.13269123287671233</v>
          </cell>
        </row>
        <row r="2821">
          <cell r="I2821">
            <v>3526</v>
          </cell>
          <cell r="J2821">
            <v>0.13269287671232877</v>
          </cell>
        </row>
        <row r="2822">
          <cell r="I2822">
            <v>3527</v>
          </cell>
          <cell r="J2822">
            <v>0.1326945205479452</v>
          </cell>
        </row>
        <row r="2823">
          <cell r="I2823">
            <v>3528</v>
          </cell>
          <cell r="J2823">
            <v>0.13269616438356163</v>
          </cell>
        </row>
        <row r="2824">
          <cell r="I2824">
            <v>3529</v>
          </cell>
          <cell r="J2824">
            <v>0.13269780821917807</v>
          </cell>
        </row>
        <row r="2825">
          <cell r="I2825">
            <v>3530</v>
          </cell>
          <cell r="J2825">
            <v>0.13269945205479453</v>
          </cell>
        </row>
        <row r="2826">
          <cell r="I2826">
            <v>3531</v>
          </cell>
          <cell r="J2826">
            <v>0.13270109589041096</v>
          </cell>
        </row>
        <row r="2827">
          <cell r="I2827">
            <v>3532</v>
          </cell>
          <cell r="J2827">
            <v>0.13270273972602739</v>
          </cell>
        </row>
        <row r="2828">
          <cell r="I2828">
            <v>3533</v>
          </cell>
          <cell r="J2828">
            <v>0.13270438356164382</v>
          </cell>
        </row>
        <row r="2829">
          <cell r="I2829">
            <v>3534</v>
          </cell>
          <cell r="J2829">
            <v>0.13270602739726026</v>
          </cell>
        </row>
        <row r="2830">
          <cell r="I2830">
            <v>3535</v>
          </cell>
          <cell r="J2830">
            <v>0.13270767123287672</v>
          </cell>
        </row>
        <row r="2831">
          <cell r="I2831">
            <v>3536</v>
          </cell>
          <cell r="J2831">
            <v>0.13270931506849315</v>
          </cell>
        </row>
        <row r="2832">
          <cell r="I2832">
            <v>3537</v>
          </cell>
          <cell r="J2832">
            <v>0.13271095890410958</v>
          </cell>
        </row>
        <row r="2833">
          <cell r="I2833">
            <v>3538</v>
          </cell>
          <cell r="J2833">
            <v>0.13271260273972602</v>
          </cell>
        </row>
        <row r="2834">
          <cell r="I2834">
            <v>3539</v>
          </cell>
          <cell r="J2834">
            <v>0.13271424657534245</v>
          </cell>
        </row>
        <row r="2835">
          <cell r="I2835">
            <v>3540</v>
          </cell>
          <cell r="J2835">
            <v>0.13271589041095891</v>
          </cell>
        </row>
        <row r="2836">
          <cell r="I2836">
            <v>3541</v>
          </cell>
          <cell r="J2836">
            <v>0.13271753424657534</v>
          </cell>
        </row>
        <row r="2837">
          <cell r="I2837">
            <v>3542</v>
          </cell>
          <cell r="J2837">
            <v>0.13271917808219177</v>
          </cell>
        </row>
        <row r="2838">
          <cell r="I2838">
            <v>3543</v>
          </cell>
          <cell r="J2838">
            <v>0.13272082191780821</v>
          </cell>
        </row>
        <row r="2839">
          <cell r="I2839">
            <v>3544</v>
          </cell>
          <cell r="J2839">
            <v>0.13272246575342464</v>
          </cell>
        </row>
        <row r="2840">
          <cell r="I2840">
            <v>3545</v>
          </cell>
          <cell r="J2840">
            <v>0.1327241095890411</v>
          </cell>
        </row>
        <row r="2841">
          <cell r="I2841">
            <v>3546</v>
          </cell>
          <cell r="J2841">
            <v>0.13272575342465753</v>
          </cell>
        </row>
        <row r="2842">
          <cell r="I2842">
            <v>3547</v>
          </cell>
          <cell r="J2842">
            <v>0.13272739726027397</v>
          </cell>
        </row>
        <row r="2843">
          <cell r="I2843">
            <v>3548</v>
          </cell>
          <cell r="J2843">
            <v>0.1327290410958904</v>
          </cell>
        </row>
        <row r="2844">
          <cell r="I2844">
            <v>3549</v>
          </cell>
          <cell r="J2844">
            <v>0.13273068493150683</v>
          </cell>
        </row>
        <row r="2845">
          <cell r="I2845">
            <v>3550</v>
          </cell>
          <cell r="J2845">
            <v>0.13273232876712329</v>
          </cell>
        </row>
        <row r="2846">
          <cell r="I2846">
            <v>3551</v>
          </cell>
          <cell r="J2846">
            <v>0.13273397260273972</v>
          </cell>
        </row>
        <row r="2847">
          <cell r="I2847">
            <v>3552</v>
          </cell>
          <cell r="J2847">
            <v>0.13273561643835616</v>
          </cell>
        </row>
        <row r="2848">
          <cell r="I2848">
            <v>3553</v>
          </cell>
          <cell r="J2848">
            <v>0.13273726027397259</v>
          </cell>
        </row>
        <row r="2849">
          <cell r="I2849">
            <v>3554</v>
          </cell>
          <cell r="J2849">
            <v>0.13273890410958902</v>
          </cell>
        </row>
        <row r="2850">
          <cell r="I2850">
            <v>3555</v>
          </cell>
          <cell r="J2850">
            <v>0.13274054794520548</v>
          </cell>
        </row>
        <row r="2851">
          <cell r="I2851">
            <v>3556</v>
          </cell>
          <cell r="J2851">
            <v>0.13274219178082192</v>
          </cell>
        </row>
        <row r="2852">
          <cell r="I2852">
            <v>3557</v>
          </cell>
          <cell r="J2852">
            <v>0.13274383561643835</v>
          </cell>
        </row>
        <row r="2853">
          <cell r="I2853">
            <v>3558</v>
          </cell>
          <cell r="J2853">
            <v>0.13274547945205478</v>
          </cell>
        </row>
        <row r="2854">
          <cell r="I2854">
            <v>3559</v>
          </cell>
          <cell r="J2854">
            <v>0.13274712328767121</v>
          </cell>
        </row>
        <row r="2855">
          <cell r="I2855">
            <v>3560</v>
          </cell>
          <cell r="J2855">
            <v>0.13274876712328768</v>
          </cell>
        </row>
        <row r="2856">
          <cell r="I2856">
            <v>3561</v>
          </cell>
          <cell r="J2856">
            <v>0.13275041095890411</v>
          </cell>
        </row>
        <row r="2857">
          <cell r="I2857">
            <v>3562</v>
          </cell>
          <cell r="J2857">
            <v>0.13275205479452054</v>
          </cell>
        </row>
        <row r="2858">
          <cell r="I2858">
            <v>3563</v>
          </cell>
          <cell r="J2858">
            <v>0.13275369863013697</v>
          </cell>
        </row>
        <row r="2859">
          <cell r="I2859">
            <v>3564</v>
          </cell>
          <cell r="J2859">
            <v>0.13275534246575341</v>
          </cell>
        </row>
        <row r="2860">
          <cell r="I2860">
            <v>3565</v>
          </cell>
          <cell r="J2860">
            <v>0.13275698630136987</v>
          </cell>
        </row>
        <row r="2861">
          <cell r="I2861">
            <v>3566</v>
          </cell>
          <cell r="J2861">
            <v>0.1327586301369863</v>
          </cell>
        </row>
        <row r="2862">
          <cell r="I2862">
            <v>3567</v>
          </cell>
          <cell r="J2862">
            <v>0.13276027397260273</v>
          </cell>
        </row>
        <row r="2863">
          <cell r="I2863">
            <v>3568</v>
          </cell>
          <cell r="J2863">
            <v>0.13276191780821917</v>
          </cell>
        </row>
        <row r="2864">
          <cell r="I2864">
            <v>3569</v>
          </cell>
          <cell r="J2864">
            <v>0.1327635616438356</v>
          </cell>
        </row>
        <row r="2865">
          <cell r="I2865">
            <v>3570</v>
          </cell>
          <cell r="J2865">
            <v>0.13276520547945206</v>
          </cell>
        </row>
        <row r="2866">
          <cell r="I2866">
            <v>3571</v>
          </cell>
          <cell r="J2866">
            <v>0.13276684931506849</v>
          </cell>
        </row>
        <row r="2867">
          <cell r="I2867">
            <v>3572</v>
          </cell>
          <cell r="J2867">
            <v>0.13276849315068492</v>
          </cell>
        </row>
        <row r="2868">
          <cell r="I2868">
            <v>3573</v>
          </cell>
          <cell r="J2868">
            <v>0.13277013698630136</v>
          </cell>
        </row>
        <row r="2869">
          <cell r="I2869">
            <v>3574</v>
          </cell>
          <cell r="J2869">
            <v>0.13277178082191779</v>
          </cell>
        </row>
        <row r="2870">
          <cell r="I2870">
            <v>3575</v>
          </cell>
          <cell r="J2870">
            <v>0.13277342465753425</v>
          </cell>
        </row>
        <row r="2871">
          <cell r="I2871">
            <v>3576</v>
          </cell>
          <cell r="J2871">
            <v>0.13277506849315068</v>
          </cell>
        </row>
        <row r="2872">
          <cell r="I2872">
            <v>3577</v>
          </cell>
          <cell r="J2872">
            <v>0.13277671232876712</v>
          </cell>
        </row>
        <row r="2873">
          <cell r="I2873">
            <v>3578</v>
          </cell>
          <cell r="J2873">
            <v>0.13277835616438355</v>
          </cell>
        </row>
        <row r="2874">
          <cell r="I2874">
            <v>3579</v>
          </cell>
          <cell r="J2874">
            <v>0.13277999999999998</v>
          </cell>
        </row>
        <row r="2875">
          <cell r="I2875">
            <v>3580</v>
          </cell>
          <cell r="J2875">
            <v>0.13278164383561644</v>
          </cell>
        </row>
        <row r="2876">
          <cell r="I2876">
            <v>3581</v>
          </cell>
          <cell r="J2876">
            <v>0.13278328767123287</v>
          </cell>
        </row>
        <row r="2877">
          <cell r="I2877">
            <v>3582</v>
          </cell>
          <cell r="J2877">
            <v>0.13278493150684931</v>
          </cell>
        </row>
        <row r="2878">
          <cell r="I2878">
            <v>3583</v>
          </cell>
          <cell r="J2878">
            <v>0.13278657534246574</v>
          </cell>
        </row>
        <row r="2879">
          <cell r="I2879">
            <v>3584</v>
          </cell>
          <cell r="J2879">
            <v>0.13278821917808217</v>
          </cell>
        </row>
        <row r="2880">
          <cell r="I2880">
            <v>3585</v>
          </cell>
          <cell r="J2880">
            <v>0.13278986301369863</v>
          </cell>
        </row>
        <row r="2881">
          <cell r="I2881">
            <v>3586</v>
          </cell>
          <cell r="J2881">
            <v>0.13279150684931507</v>
          </cell>
        </row>
        <row r="2882">
          <cell r="I2882">
            <v>3587</v>
          </cell>
          <cell r="J2882">
            <v>0.1327931506849315</v>
          </cell>
        </row>
        <row r="2883">
          <cell r="I2883">
            <v>3588</v>
          </cell>
          <cell r="J2883">
            <v>0.13279479452054793</v>
          </cell>
        </row>
        <row r="2884">
          <cell r="I2884">
            <v>3589</v>
          </cell>
          <cell r="J2884">
            <v>0.13279643835616436</v>
          </cell>
        </row>
        <row r="2885">
          <cell r="I2885">
            <v>3590</v>
          </cell>
          <cell r="J2885">
            <v>0.13279808219178083</v>
          </cell>
        </row>
        <row r="2886">
          <cell r="I2886">
            <v>3591</v>
          </cell>
          <cell r="J2886">
            <v>0.13279972602739726</v>
          </cell>
        </row>
        <row r="2887">
          <cell r="I2887">
            <v>3592</v>
          </cell>
          <cell r="J2887">
            <v>0.13280136986301369</v>
          </cell>
        </row>
        <row r="2888">
          <cell r="I2888">
            <v>3593</v>
          </cell>
          <cell r="J2888">
            <v>0.13280301369863012</v>
          </cell>
        </row>
        <row r="2889">
          <cell r="I2889">
            <v>3594</v>
          </cell>
          <cell r="J2889">
            <v>0.13280465753424656</v>
          </cell>
        </row>
        <row r="2890">
          <cell r="I2890">
            <v>3595</v>
          </cell>
          <cell r="J2890">
            <v>0.13280630136986302</v>
          </cell>
        </row>
        <row r="2891">
          <cell r="I2891">
            <v>3596</v>
          </cell>
          <cell r="J2891">
            <v>0.13280794520547945</v>
          </cell>
        </row>
        <row r="2892">
          <cell r="I2892">
            <v>3597</v>
          </cell>
          <cell r="J2892">
            <v>0.13280958904109588</v>
          </cell>
        </row>
        <row r="2893">
          <cell r="I2893">
            <v>3598</v>
          </cell>
          <cell r="J2893">
            <v>0.13281123287671232</v>
          </cell>
        </row>
        <row r="2894">
          <cell r="I2894">
            <v>3599</v>
          </cell>
          <cell r="J2894">
            <v>0.13281287671232875</v>
          </cell>
        </row>
        <row r="2895">
          <cell r="I2895">
            <v>3600</v>
          </cell>
          <cell r="J2895">
            <v>0.13281452054794521</v>
          </cell>
        </row>
        <row r="2896">
          <cell r="I2896">
            <v>3601</v>
          </cell>
          <cell r="J2896">
            <v>0.13281616438356164</v>
          </cell>
        </row>
        <row r="2897">
          <cell r="I2897">
            <v>3602</v>
          </cell>
          <cell r="J2897">
            <v>0.13281780821917807</v>
          </cell>
        </row>
        <row r="2898">
          <cell r="I2898">
            <v>3603</v>
          </cell>
          <cell r="J2898">
            <v>0.13281945205479451</v>
          </cell>
        </row>
        <row r="2899">
          <cell r="I2899">
            <v>3604</v>
          </cell>
          <cell r="J2899">
            <v>0.13282109589041094</v>
          </cell>
        </row>
        <row r="2900">
          <cell r="I2900">
            <v>3605</v>
          </cell>
          <cell r="J2900">
            <v>0.1328227397260274</v>
          </cell>
        </row>
        <row r="2901">
          <cell r="I2901">
            <v>3606</v>
          </cell>
          <cell r="J2901">
            <v>0.13282438356164383</v>
          </cell>
        </row>
        <row r="2902">
          <cell r="I2902">
            <v>3607</v>
          </cell>
          <cell r="J2902">
            <v>0.13282602739726027</v>
          </cell>
        </row>
        <row r="2903">
          <cell r="I2903">
            <v>3608</v>
          </cell>
          <cell r="J2903">
            <v>0.1328276712328767</v>
          </cell>
        </row>
        <row r="2904">
          <cell r="I2904">
            <v>3609</v>
          </cell>
          <cell r="J2904">
            <v>0.13282931506849313</v>
          </cell>
        </row>
        <row r="2905">
          <cell r="I2905">
            <v>3610</v>
          </cell>
          <cell r="J2905">
            <v>0.13283095890410959</v>
          </cell>
        </row>
        <row r="2906">
          <cell r="I2906">
            <v>3611</v>
          </cell>
          <cell r="J2906">
            <v>0.13283260273972602</v>
          </cell>
        </row>
        <row r="2907">
          <cell r="I2907">
            <v>3612</v>
          </cell>
          <cell r="J2907">
            <v>0.13283424657534246</v>
          </cell>
        </row>
        <row r="2908">
          <cell r="I2908">
            <v>3613</v>
          </cell>
          <cell r="J2908">
            <v>0.13283589041095889</v>
          </cell>
        </row>
        <row r="2909">
          <cell r="I2909">
            <v>3614</v>
          </cell>
          <cell r="J2909">
            <v>0.13283753424657532</v>
          </cell>
        </row>
        <row r="2910">
          <cell r="I2910">
            <v>3615</v>
          </cell>
          <cell r="J2910">
            <v>0.13283917808219178</v>
          </cell>
        </row>
        <row r="2911">
          <cell r="I2911">
            <v>3616</v>
          </cell>
          <cell r="J2911">
            <v>0.13284082191780822</v>
          </cell>
        </row>
        <row r="2912">
          <cell r="I2912">
            <v>3617</v>
          </cell>
          <cell r="J2912">
            <v>0.13284246575342465</v>
          </cell>
        </row>
        <row r="2913">
          <cell r="I2913">
            <v>3618</v>
          </cell>
          <cell r="J2913">
            <v>0.13284410958904108</v>
          </cell>
        </row>
        <row r="2914">
          <cell r="I2914">
            <v>3619</v>
          </cell>
          <cell r="J2914">
            <v>0.13284575342465751</v>
          </cell>
        </row>
        <row r="2915">
          <cell r="I2915">
            <v>3620</v>
          </cell>
          <cell r="J2915">
            <v>0.13284739726027397</v>
          </cell>
        </row>
        <row r="2916">
          <cell r="I2916">
            <v>3621</v>
          </cell>
          <cell r="J2916">
            <v>0.13284904109589041</v>
          </cell>
        </row>
        <row r="2917">
          <cell r="I2917">
            <v>3622</v>
          </cell>
          <cell r="J2917">
            <v>0.13285068493150684</v>
          </cell>
        </row>
        <row r="2918">
          <cell r="I2918">
            <v>3623</v>
          </cell>
          <cell r="J2918">
            <v>0.13285232876712327</v>
          </cell>
        </row>
        <row r="2919">
          <cell r="I2919">
            <v>3624</v>
          </cell>
          <cell r="J2919">
            <v>0.13285397260273971</v>
          </cell>
        </row>
        <row r="2920">
          <cell r="I2920">
            <v>3625</v>
          </cell>
          <cell r="J2920">
            <v>0.13285561643835617</v>
          </cell>
        </row>
        <row r="2921">
          <cell r="I2921">
            <v>3626</v>
          </cell>
          <cell r="J2921">
            <v>0.1328572602739726</v>
          </cell>
        </row>
        <row r="2922">
          <cell r="I2922">
            <v>3627</v>
          </cell>
          <cell r="J2922">
            <v>0.13285890410958903</v>
          </cell>
        </row>
        <row r="2923">
          <cell r="I2923">
            <v>3628</v>
          </cell>
          <cell r="J2923">
            <v>0.13286054794520546</v>
          </cell>
        </row>
        <row r="2924">
          <cell r="I2924">
            <v>3629</v>
          </cell>
          <cell r="J2924">
            <v>0.1328621917808219</v>
          </cell>
        </row>
        <row r="2925">
          <cell r="I2925">
            <v>3630</v>
          </cell>
          <cell r="J2925">
            <v>0.13286383561643836</v>
          </cell>
        </row>
        <row r="2926">
          <cell r="I2926">
            <v>3631</v>
          </cell>
          <cell r="J2926">
            <v>0.13286547945205479</v>
          </cell>
        </row>
        <row r="2927">
          <cell r="I2927">
            <v>3632</v>
          </cell>
          <cell r="J2927">
            <v>0.13286712328767122</v>
          </cell>
        </row>
        <row r="2928">
          <cell r="I2928">
            <v>3633</v>
          </cell>
          <cell r="J2928">
            <v>0.13286876712328766</v>
          </cell>
        </row>
        <row r="2929">
          <cell r="I2929">
            <v>3634</v>
          </cell>
          <cell r="J2929">
            <v>0.13287041095890409</v>
          </cell>
        </row>
        <row r="2930">
          <cell r="I2930">
            <v>3635</v>
          </cell>
          <cell r="J2930">
            <v>0.13287205479452055</v>
          </cell>
        </row>
        <row r="2931">
          <cell r="I2931">
            <v>3636</v>
          </cell>
          <cell r="J2931">
            <v>0.13287369863013698</v>
          </cell>
        </row>
        <row r="2932">
          <cell r="I2932">
            <v>3637</v>
          </cell>
          <cell r="J2932">
            <v>0.13287534246575342</v>
          </cell>
        </row>
        <row r="2933">
          <cell r="I2933">
            <v>3638</v>
          </cell>
          <cell r="J2933">
            <v>0.13287698630136985</v>
          </cell>
        </row>
        <row r="2934">
          <cell r="I2934">
            <v>3639</v>
          </cell>
          <cell r="J2934">
            <v>0.13287863013698628</v>
          </cell>
        </row>
        <row r="2935">
          <cell r="I2935">
            <v>3640</v>
          </cell>
          <cell r="J2935">
            <v>0.13288027397260274</v>
          </cell>
        </row>
        <row r="2936">
          <cell r="I2936">
            <v>3641</v>
          </cell>
          <cell r="J2936">
            <v>0.13288191780821917</v>
          </cell>
        </row>
        <row r="2937">
          <cell r="I2937">
            <v>3642</v>
          </cell>
          <cell r="J2937">
            <v>0.13288356164383561</v>
          </cell>
        </row>
        <row r="2938">
          <cell r="I2938">
            <v>3643</v>
          </cell>
          <cell r="J2938">
            <v>0.13288520547945204</v>
          </cell>
        </row>
        <row r="2939">
          <cell r="I2939">
            <v>3644</v>
          </cell>
          <cell r="J2939">
            <v>0.13288684931506847</v>
          </cell>
        </row>
        <row r="2940">
          <cell r="I2940">
            <v>3645</v>
          </cell>
          <cell r="J2940">
            <v>0.13288849315068493</v>
          </cell>
        </row>
        <row r="2941">
          <cell r="I2941">
            <v>3646</v>
          </cell>
          <cell r="J2941">
            <v>0.13289013698630137</v>
          </cell>
        </row>
        <row r="2942">
          <cell r="I2942">
            <v>3647</v>
          </cell>
          <cell r="J2942">
            <v>0.1328917808219178</v>
          </cell>
        </row>
        <row r="2943">
          <cell r="I2943">
            <v>3648</v>
          </cell>
          <cell r="J2943">
            <v>0.13289342465753423</v>
          </cell>
        </row>
        <row r="2944">
          <cell r="I2944">
            <v>3649</v>
          </cell>
          <cell r="J2944">
            <v>0.13289506849315066</v>
          </cell>
        </row>
        <row r="2945">
          <cell r="I2945">
            <v>3650</v>
          </cell>
          <cell r="J2945">
            <v>0.13289671232876712</v>
          </cell>
        </row>
        <row r="2946">
          <cell r="I2946">
            <v>3651</v>
          </cell>
          <cell r="J2946">
            <v>0.13289835616438356</v>
          </cell>
        </row>
        <row r="2947">
          <cell r="I2947">
            <v>3652</v>
          </cell>
          <cell r="J2947">
            <v>0.13289999999999999</v>
          </cell>
        </row>
        <row r="2948">
          <cell r="I2948">
            <v>3653</v>
          </cell>
          <cell r="J2948">
            <v>0.1329026805251641</v>
          </cell>
        </row>
        <row r="2949">
          <cell r="I2949">
            <v>3654</v>
          </cell>
          <cell r="J2949">
            <v>0.13290536105032821</v>
          </cell>
        </row>
        <row r="2950">
          <cell r="I2950">
            <v>3655</v>
          </cell>
          <cell r="J2950">
            <v>0.13290804157549233</v>
          </cell>
        </row>
        <row r="2951">
          <cell r="I2951">
            <v>3656</v>
          </cell>
          <cell r="J2951">
            <v>0.13291072210065644</v>
          </cell>
        </row>
        <row r="2952">
          <cell r="I2952">
            <v>3657</v>
          </cell>
          <cell r="J2952">
            <v>0.13291340262582055</v>
          </cell>
        </row>
        <row r="2953">
          <cell r="I2953">
            <v>3658</v>
          </cell>
          <cell r="J2953">
            <v>0.13291608315098466</v>
          </cell>
        </row>
        <row r="2954">
          <cell r="I2954">
            <v>3659</v>
          </cell>
          <cell r="J2954">
            <v>0.1329187636761488</v>
          </cell>
        </row>
        <row r="2955">
          <cell r="I2955">
            <v>3660</v>
          </cell>
          <cell r="J2955">
            <v>0.13292144420131291</v>
          </cell>
        </row>
        <row r="2956">
          <cell r="I2956">
            <v>3661</v>
          </cell>
          <cell r="J2956">
            <v>0.13292412472647702</v>
          </cell>
        </row>
        <row r="2957">
          <cell r="I2957">
            <v>3662</v>
          </cell>
          <cell r="J2957">
            <v>0.13292680525164113</v>
          </cell>
        </row>
        <row r="2958">
          <cell r="I2958">
            <v>3663</v>
          </cell>
          <cell r="J2958">
            <v>0.13292948577680525</v>
          </cell>
        </row>
        <row r="2959">
          <cell r="I2959">
            <v>3664</v>
          </cell>
          <cell r="J2959">
            <v>0.13293216630196936</v>
          </cell>
        </row>
        <row r="2960">
          <cell r="I2960">
            <v>3665</v>
          </cell>
          <cell r="J2960">
            <v>0.13293484682713347</v>
          </cell>
        </row>
        <row r="2961">
          <cell r="I2961">
            <v>3666</v>
          </cell>
          <cell r="J2961">
            <v>0.13293752735229758</v>
          </cell>
        </row>
        <row r="2962">
          <cell r="I2962">
            <v>3667</v>
          </cell>
          <cell r="J2962">
            <v>0.13294020787746169</v>
          </cell>
        </row>
        <row r="2963">
          <cell r="I2963">
            <v>3668</v>
          </cell>
          <cell r="J2963">
            <v>0.1329428884026258</v>
          </cell>
        </row>
        <row r="2964">
          <cell r="I2964">
            <v>3669</v>
          </cell>
          <cell r="J2964">
            <v>0.13294556892778991</v>
          </cell>
        </row>
        <row r="2965">
          <cell r="I2965">
            <v>3670</v>
          </cell>
          <cell r="J2965">
            <v>0.13294824945295403</v>
          </cell>
        </row>
        <row r="2966">
          <cell r="I2966">
            <v>3671</v>
          </cell>
          <cell r="J2966">
            <v>0.13295092997811817</v>
          </cell>
        </row>
        <row r="2967">
          <cell r="I2967">
            <v>3672</v>
          </cell>
          <cell r="J2967">
            <v>0.13295361050328228</v>
          </cell>
        </row>
        <row r="2968">
          <cell r="I2968">
            <v>3673</v>
          </cell>
          <cell r="J2968">
            <v>0.13295629102844639</v>
          </cell>
        </row>
        <row r="2969">
          <cell r="I2969">
            <v>3674</v>
          </cell>
          <cell r="J2969">
            <v>0.1329589715536105</v>
          </cell>
        </row>
        <row r="2970">
          <cell r="I2970">
            <v>3675</v>
          </cell>
          <cell r="J2970">
            <v>0.13296165207877461</v>
          </cell>
        </row>
        <row r="2971">
          <cell r="I2971">
            <v>3676</v>
          </cell>
          <cell r="J2971">
            <v>0.13296433260393872</v>
          </cell>
        </row>
        <row r="2972">
          <cell r="I2972">
            <v>3677</v>
          </cell>
          <cell r="J2972">
            <v>0.13296701312910283</v>
          </cell>
        </row>
        <row r="2973">
          <cell r="I2973">
            <v>3678</v>
          </cell>
          <cell r="J2973">
            <v>0.13296969365426695</v>
          </cell>
        </row>
        <row r="2974">
          <cell r="I2974">
            <v>3679</v>
          </cell>
          <cell r="J2974">
            <v>0.13297237417943106</v>
          </cell>
        </row>
        <row r="2975">
          <cell r="I2975">
            <v>3680</v>
          </cell>
          <cell r="J2975">
            <v>0.13297505470459517</v>
          </cell>
        </row>
        <row r="2976">
          <cell r="I2976">
            <v>3681</v>
          </cell>
          <cell r="J2976">
            <v>0.13297773522975928</v>
          </cell>
        </row>
        <row r="2977">
          <cell r="I2977">
            <v>3682</v>
          </cell>
          <cell r="J2977">
            <v>0.13298041575492339</v>
          </cell>
        </row>
        <row r="2978">
          <cell r="I2978">
            <v>3683</v>
          </cell>
          <cell r="J2978">
            <v>0.13298309628008753</v>
          </cell>
        </row>
        <row r="2979">
          <cell r="I2979">
            <v>3684</v>
          </cell>
          <cell r="J2979">
            <v>0.13298577680525164</v>
          </cell>
        </row>
        <row r="2980">
          <cell r="I2980">
            <v>3685</v>
          </cell>
          <cell r="J2980">
            <v>0.13298845733041575</v>
          </cell>
        </row>
        <row r="2981">
          <cell r="I2981">
            <v>3686</v>
          </cell>
          <cell r="J2981">
            <v>0.13299113785557987</v>
          </cell>
        </row>
        <row r="2982">
          <cell r="I2982">
            <v>3687</v>
          </cell>
          <cell r="J2982">
            <v>0.13299381838074398</v>
          </cell>
        </row>
        <row r="2983">
          <cell r="I2983">
            <v>3688</v>
          </cell>
          <cell r="J2983">
            <v>0.13299649890590809</v>
          </cell>
        </row>
        <row r="2984">
          <cell r="I2984">
            <v>3689</v>
          </cell>
          <cell r="J2984">
            <v>0.1329991794310722</v>
          </cell>
        </row>
        <row r="2985">
          <cell r="I2985">
            <v>3690</v>
          </cell>
          <cell r="J2985">
            <v>0.13300185995623631</v>
          </cell>
        </row>
        <row r="2986">
          <cell r="I2986">
            <v>3691</v>
          </cell>
          <cell r="J2986">
            <v>0.13300454048140042</v>
          </cell>
        </row>
        <row r="2987">
          <cell r="I2987">
            <v>3692</v>
          </cell>
          <cell r="J2987">
            <v>0.13300722100656454</v>
          </cell>
        </row>
        <row r="2988">
          <cell r="I2988">
            <v>3693</v>
          </cell>
          <cell r="J2988">
            <v>0.13300990153172865</v>
          </cell>
        </row>
        <row r="2989">
          <cell r="I2989">
            <v>3694</v>
          </cell>
          <cell r="J2989">
            <v>0.13301258205689276</v>
          </cell>
        </row>
        <row r="2990">
          <cell r="I2990">
            <v>3695</v>
          </cell>
          <cell r="J2990">
            <v>0.13301526258205687</v>
          </cell>
        </row>
        <row r="2991">
          <cell r="I2991">
            <v>3696</v>
          </cell>
          <cell r="J2991">
            <v>0.13301794310722101</v>
          </cell>
        </row>
        <row r="2992">
          <cell r="I2992">
            <v>3697</v>
          </cell>
          <cell r="J2992">
            <v>0.13302062363238512</v>
          </cell>
        </row>
        <row r="2993">
          <cell r="I2993">
            <v>3698</v>
          </cell>
          <cell r="J2993">
            <v>0.13302330415754923</v>
          </cell>
        </row>
        <row r="2994">
          <cell r="I2994">
            <v>3699</v>
          </cell>
          <cell r="J2994">
            <v>0.13302598468271334</v>
          </cell>
        </row>
        <row r="2995">
          <cell r="I2995">
            <v>3700</v>
          </cell>
          <cell r="J2995">
            <v>0.13302866520787746</v>
          </cell>
        </row>
        <row r="2996">
          <cell r="I2996">
            <v>3701</v>
          </cell>
          <cell r="J2996">
            <v>0.13303134573304157</v>
          </cell>
        </row>
        <row r="2997">
          <cell r="I2997">
            <v>3702</v>
          </cell>
          <cell r="J2997">
            <v>0.13303402625820568</v>
          </cell>
        </row>
        <row r="2998">
          <cell r="I2998">
            <v>3703</v>
          </cell>
          <cell r="J2998">
            <v>0.13303670678336979</v>
          </cell>
        </row>
        <row r="2999">
          <cell r="I2999">
            <v>3704</v>
          </cell>
          <cell r="J2999">
            <v>0.1330393873085339</v>
          </cell>
        </row>
        <row r="3000">
          <cell r="I3000">
            <v>3705</v>
          </cell>
          <cell r="J3000">
            <v>0.13304206783369801</v>
          </cell>
        </row>
        <row r="3001">
          <cell r="I3001">
            <v>3706</v>
          </cell>
          <cell r="J3001">
            <v>0.13304474835886212</v>
          </cell>
        </row>
        <row r="3002">
          <cell r="I3002">
            <v>3707</v>
          </cell>
          <cell r="J3002">
            <v>0.13304742888402624</v>
          </cell>
        </row>
        <row r="3003">
          <cell r="I3003">
            <v>3708</v>
          </cell>
          <cell r="J3003">
            <v>0.13305010940919038</v>
          </cell>
        </row>
        <row r="3004">
          <cell r="I3004">
            <v>3709</v>
          </cell>
          <cell r="J3004">
            <v>0.13305278993435449</v>
          </cell>
        </row>
        <row r="3005">
          <cell r="I3005">
            <v>3710</v>
          </cell>
          <cell r="J3005">
            <v>0.1330554704595186</v>
          </cell>
        </row>
        <row r="3006">
          <cell r="I3006">
            <v>3711</v>
          </cell>
          <cell r="J3006">
            <v>0.13305815098468271</v>
          </cell>
        </row>
        <row r="3007">
          <cell r="I3007">
            <v>3712</v>
          </cell>
          <cell r="J3007">
            <v>0.13306083150984682</v>
          </cell>
        </row>
        <row r="3008">
          <cell r="I3008">
            <v>3713</v>
          </cell>
          <cell r="J3008">
            <v>0.13306351203501093</v>
          </cell>
        </row>
        <row r="3009">
          <cell r="I3009">
            <v>3714</v>
          </cell>
          <cell r="J3009">
            <v>0.13306619256017505</v>
          </cell>
        </row>
        <row r="3010">
          <cell r="I3010">
            <v>3715</v>
          </cell>
          <cell r="J3010">
            <v>0.13306887308533916</v>
          </cell>
        </row>
        <row r="3011">
          <cell r="I3011">
            <v>3716</v>
          </cell>
          <cell r="J3011">
            <v>0.13307155361050327</v>
          </cell>
        </row>
        <row r="3012">
          <cell r="I3012">
            <v>3717</v>
          </cell>
          <cell r="J3012">
            <v>0.13307423413566738</v>
          </cell>
        </row>
        <row r="3013">
          <cell r="I3013">
            <v>3718</v>
          </cell>
          <cell r="J3013">
            <v>0.13307691466083149</v>
          </cell>
        </row>
        <row r="3014">
          <cell r="I3014">
            <v>3719</v>
          </cell>
          <cell r="J3014">
            <v>0.1330795951859956</v>
          </cell>
        </row>
        <row r="3015">
          <cell r="I3015">
            <v>3720</v>
          </cell>
          <cell r="J3015">
            <v>0.13308227571115974</v>
          </cell>
        </row>
        <row r="3016">
          <cell r="I3016">
            <v>3721</v>
          </cell>
          <cell r="J3016">
            <v>0.13308495623632385</v>
          </cell>
        </row>
        <row r="3017">
          <cell r="I3017">
            <v>3722</v>
          </cell>
          <cell r="J3017">
            <v>0.13308763676148797</v>
          </cell>
        </row>
        <row r="3018">
          <cell r="I3018">
            <v>3723</v>
          </cell>
          <cell r="J3018">
            <v>0.13309031728665208</v>
          </cell>
        </row>
        <row r="3019">
          <cell r="I3019">
            <v>3724</v>
          </cell>
          <cell r="J3019">
            <v>0.13309299781181619</v>
          </cell>
        </row>
        <row r="3020">
          <cell r="I3020">
            <v>3725</v>
          </cell>
          <cell r="J3020">
            <v>0.1330956783369803</v>
          </cell>
        </row>
        <row r="3021">
          <cell r="I3021">
            <v>3726</v>
          </cell>
          <cell r="J3021">
            <v>0.13309835886214441</v>
          </cell>
        </row>
        <row r="3022">
          <cell r="I3022">
            <v>3727</v>
          </cell>
          <cell r="J3022">
            <v>0.13310103938730852</v>
          </cell>
        </row>
        <row r="3023">
          <cell r="I3023">
            <v>3728</v>
          </cell>
          <cell r="J3023">
            <v>0.13310371991247263</v>
          </cell>
        </row>
        <row r="3024">
          <cell r="I3024">
            <v>3729</v>
          </cell>
          <cell r="J3024">
            <v>0.13310640043763675</v>
          </cell>
        </row>
        <row r="3025">
          <cell r="I3025">
            <v>3730</v>
          </cell>
          <cell r="J3025">
            <v>0.13310908096280086</v>
          </cell>
        </row>
        <row r="3026">
          <cell r="I3026">
            <v>3731</v>
          </cell>
          <cell r="J3026">
            <v>0.13311176148796497</v>
          </cell>
        </row>
        <row r="3027">
          <cell r="I3027">
            <v>3732</v>
          </cell>
          <cell r="J3027">
            <v>0.13311444201312908</v>
          </cell>
        </row>
        <row r="3028">
          <cell r="I3028">
            <v>3733</v>
          </cell>
          <cell r="J3028">
            <v>0.13311712253829322</v>
          </cell>
        </row>
        <row r="3029">
          <cell r="I3029">
            <v>3734</v>
          </cell>
          <cell r="J3029">
            <v>0.13311980306345733</v>
          </cell>
        </row>
        <row r="3030">
          <cell r="I3030">
            <v>3735</v>
          </cell>
          <cell r="J3030">
            <v>0.13312248358862144</v>
          </cell>
        </row>
        <row r="3031">
          <cell r="I3031">
            <v>3736</v>
          </cell>
          <cell r="J3031">
            <v>0.13312516411378555</v>
          </cell>
        </row>
        <row r="3032">
          <cell r="I3032">
            <v>3737</v>
          </cell>
          <cell r="J3032">
            <v>0.13312784463894967</v>
          </cell>
        </row>
        <row r="3033">
          <cell r="I3033">
            <v>3738</v>
          </cell>
          <cell r="J3033">
            <v>0.13313052516411378</v>
          </cell>
        </row>
        <row r="3034">
          <cell r="I3034">
            <v>3739</v>
          </cell>
          <cell r="J3034">
            <v>0.13313320568927789</v>
          </cell>
        </row>
        <row r="3035">
          <cell r="I3035">
            <v>3740</v>
          </cell>
          <cell r="J3035">
            <v>0.133135886214442</v>
          </cell>
        </row>
        <row r="3036">
          <cell r="I3036">
            <v>3741</v>
          </cell>
          <cell r="J3036">
            <v>0.13313856673960611</v>
          </cell>
        </row>
        <row r="3037">
          <cell r="I3037">
            <v>3742</v>
          </cell>
          <cell r="J3037">
            <v>0.13314124726477022</v>
          </cell>
        </row>
        <row r="3038">
          <cell r="I3038">
            <v>3743</v>
          </cell>
          <cell r="J3038">
            <v>0.13314392778993434</v>
          </cell>
        </row>
        <row r="3039">
          <cell r="I3039">
            <v>3744</v>
          </cell>
          <cell r="J3039">
            <v>0.13314660831509845</v>
          </cell>
        </row>
        <row r="3040">
          <cell r="I3040">
            <v>3745</v>
          </cell>
          <cell r="J3040">
            <v>0.13314928884026259</v>
          </cell>
        </row>
        <row r="3041">
          <cell r="I3041">
            <v>3746</v>
          </cell>
          <cell r="J3041">
            <v>0.1331519693654267</v>
          </cell>
        </row>
        <row r="3042">
          <cell r="I3042">
            <v>3747</v>
          </cell>
          <cell r="J3042">
            <v>0.13315464989059081</v>
          </cell>
        </row>
        <row r="3043">
          <cell r="I3043">
            <v>3748</v>
          </cell>
          <cell r="J3043">
            <v>0.13315733041575492</v>
          </cell>
        </row>
        <row r="3044">
          <cell r="I3044">
            <v>3749</v>
          </cell>
          <cell r="J3044">
            <v>0.13316001094091903</v>
          </cell>
        </row>
        <row r="3045">
          <cell r="I3045">
            <v>3750</v>
          </cell>
          <cell r="J3045">
            <v>0.13316269146608314</v>
          </cell>
        </row>
        <row r="3046">
          <cell r="I3046">
            <v>3751</v>
          </cell>
          <cell r="J3046">
            <v>0.13316537199124726</v>
          </cell>
        </row>
        <row r="3047">
          <cell r="I3047">
            <v>3752</v>
          </cell>
          <cell r="J3047">
            <v>0.13316805251641137</v>
          </cell>
        </row>
        <row r="3048">
          <cell r="I3048">
            <v>3753</v>
          </cell>
          <cell r="J3048">
            <v>0.13317073304157548</v>
          </cell>
        </row>
        <row r="3049">
          <cell r="I3049">
            <v>3754</v>
          </cell>
          <cell r="J3049">
            <v>0.13317341356673959</v>
          </cell>
        </row>
        <row r="3050">
          <cell r="I3050">
            <v>3755</v>
          </cell>
          <cell r="J3050">
            <v>0.1331760940919037</v>
          </cell>
        </row>
        <row r="3051">
          <cell r="I3051">
            <v>3756</v>
          </cell>
          <cell r="J3051">
            <v>0.13317877461706781</v>
          </cell>
        </row>
        <row r="3052">
          <cell r="I3052">
            <v>3757</v>
          </cell>
          <cell r="J3052">
            <v>0.13318145514223195</v>
          </cell>
        </row>
        <row r="3053">
          <cell r="I3053">
            <v>3758</v>
          </cell>
          <cell r="J3053">
            <v>0.13318413566739606</v>
          </cell>
        </row>
        <row r="3054">
          <cell r="I3054">
            <v>3759</v>
          </cell>
          <cell r="J3054">
            <v>0.13318681619256018</v>
          </cell>
        </row>
        <row r="3055">
          <cell r="I3055">
            <v>3760</v>
          </cell>
          <cell r="J3055">
            <v>0.13318949671772429</v>
          </cell>
        </row>
        <row r="3056">
          <cell r="I3056">
            <v>3761</v>
          </cell>
          <cell r="J3056">
            <v>0.1331921772428884</v>
          </cell>
        </row>
        <row r="3057">
          <cell r="I3057">
            <v>3762</v>
          </cell>
          <cell r="J3057">
            <v>0.13319485776805251</v>
          </cell>
        </row>
        <row r="3058">
          <cell r="I3058">
            <v>3763</v>
          </cell>
          <cell r="J3058">
            <v>0.13319753829321662</v>
          </cell>
        </row>
        <row r="3059">
          <cell r="I3059">
            <v>3764</v>
          </cell>
          <cell r="J3059">
            <v>0.13320021881838073</v>
          </cell>
        </row>
        <row r="3060">
          <cell r="I3060">
            <v>3765</v>
          </cell>
          <cell r="J3060">
            <v>0.13320289934354484</v>
          </cell>
        </row>
        <row r="3061">
          <cell r="I3061">
            <v>3766</v>
          </cell>
          <cell r="J3061">
            <v>0.13320557986870896</v>
          </cell>
        </row>
        <row r="3062">
          <cell r="I3062">
            <v>3767</v>
          </cell>
          <cell r="J3062">
            <v>0.13320826039387307</v>
          </cell>
        </row>
        <row r="3063">
          <cell r="I3063">
            <v>3768</v>
          </cell>
          <cell r="J3063">
            <v>0.13321094091903718</v>
          </cell>
        </row>
        <row r="3064">
          <cell r="I3064">
            <v>3769</v>
          </cell>
          <cell r="J3064">
            <v>0.13321362144420129</v>
          </cell>
        </row>
        <row r="3065">
          <cell r="I3065">
            <v>3770</v>
          </cell>
          <cell r="J3065">
            <v>0.13321630196936543</v>
          </cell>
        </row>
        <row r="3066">
          <cell r="I3066">
            <v>3771</v>
          </cell>
          <cell r="J3066">
            <v>0.13321898249452954</v>
          </cell>
        </row>
        <row r="3067">
          <cell r="I3067">
            <v>3772</v>
          </cell>
          <cell r="J3067">
            <v>0.13322166301969365</v>
          </cell>
        </row>
        <row r="3068">
          <cell r="I3068">
            <v>3773</v>
          </cell>
          <cell r="J3068">
            <v>0.13322434354485777</v>
          </cell>
        </row>
        <row r="3069">
          <cell r="I3069">
            <v>3774</v>
          </cell>
          <cell r="J3069">
            <v>0.13322702407002188</v>
          </cell>
        </row>
        <row r="3070">
          <cell r="I3070">
            <v>3775</v>
          </cell>
          <cell r="J3070">
            <v>0.13322970459518599</v>
          </cell>
        </row>
        <row r="3071">
          <cell r="I3071">
            <v>3776</v>
          </cell>
          <cell r="J3071">
            <v>0.1332323851203501</v>
          </cell>
        </row>
        <row r="3072">
          <cell r="I3072">
            <v>3777</v>
          </cell>
          <cell r="J3072">
            <v>0.13323506564551421</v>
          </cell>
        </row>
        <row r="3073">
          <cell r="I3073">
            <v>3778</v>
          </cell>
          <cell r="J3073">
            <v>0.13323774617067832</v>
          </cell>
        </row>
        <row r="3074">
          <cell r="I3074">
            <v>3779</v>
          </cell>
          <cell r="J3074">
            <v>0.13324042669584243</v>
          </cell>
        </row>
        <row r="3075">
          <cell r="I3075">
            <v>3780</v>
          </cell>
          <cell r="J3075">
            <v>0.13324310722100655</v>
          </cell>
        </row>
        <row r="3076">
          <cell r="I3076">
            <v>3781</v>
          </cell>
          <cell r="J3076">
            <v>0.13324578774617066</v>
          </cell>
        </row>
        <row r="3077">
          <cell r="I3077">
            <v>3782</v>
          </cell>
          <cell r="J3077">
            <v>0.1332484682713348</v>
          </cell>
        </row>
        <row r="3078">
          <cell r="I3078">
            <v>3783</v>
          </cell>
          <cell r="J3078">
            <v>0.13325114879649891</v>
          </cell>
        </row>
        <row r="3079">
          <cell r="I3079">
            <v>3784</v>
          </cell>
          <cell r="J3079">
            <v>0.13325382932166302</v>
          </cell>
        </row>
        <row r="3080">
          <cell r="I3080">
            <v>3785</v>
          </cell>
          <cell r="J3080">
            <v>0.13325650984682713</v>
          </cell>
        </row>
        <row r="3081">
          <cell r="I3081">
            <v>3786</v>
          </cell>
          <cell r="J3081">
            <v>0.13325919037199124</v>
          </cell>
        </row>
        <row r="3082">
          <cell r="I3082">
            <v>3787</v>
          </cell>
          <cell r="J3082">
            <v>0.13326187089715535</v>
          </cell>
        </row>
        <row r="3083">
          <cell r="I3083">
            <v>3788</v>
          </cell>
          <cell r="J3083">
            <v>0.13326455142231947</v>
          </cell>
        </row>
        <row r="3084">
          <cell r="I3084">
            <v>3789</v>
          </cell>
          <cell r="J3084">
            <v>0.13326723194748358</v>
          </cell>
        </row>
        <row r="3085">
          <cell r="I3085">
            <v>3790</v>
          </cell>
          <cell r="J3085">
            <v>0.13326991247264769</v>
          </cell>
        </row>
        <row r="3086">
          <cell r="I3086">
            <v>3791</v>
          </cell>
          <cell r="J3086">
            <v>0.1332725929978118</v>
          </cell>
        </row>
        <row r="3087">
          <cell r="I3087">
            <v>3792</v>
          </cell>
          <cell r="J3087">
            <v>0.13327527352297591</v>
          </cell>
        </row>
        <row r="3088">
          <cell r="I3088">
            <v>3793</v>
          </cell>
          <cell r="J3088">
            <v>0.13327795404814002</v>
          </cell>
        </row>
        <row r="3089">
          <cell r="I3089">
            <v>3794</v>
          </cell>
          <cell r="J3089">
            <v>0.13328063457330414</v>
          </cell>
        </row>
        <row r="3090">
          <cell r="I3090">
            <v>3795</v>
          </cell>
          <cell r="J3090">
            <v>0.13328331509846827</v>
          </cell>
        </row>
        <row r="3091">
          <cell r="I3091">
            <v>3796</v>
          </cell>
          <cell r="J3091">
            <v>0.13328599562363239</v>
          </cell>
        </row>
        <row r="3092">
          <cell r="I3092">
            <v>3797</v>
          </cell>
          <cell r="J3092">
            <v>0.1332886761487965</v>
          </cell>
        </row>
        <row r="3093">
          <cell r="I3093">
            <v>3798</v>
          </cell>
          <cell r="J3093">
            <v>0.13329135667396061</v>
          </cell>
        </row>
        <row r="3094">
          <cell r="I3094">
            <v>3799</v>
          </cell>
          <cell r="J3094">
            <v>0.13329403719912472</v>
          </cell>
        </row>
        <row r="3095">
          <cell r="I3095">
            <v>3800</v>
          </cell>
          <cell r="J3095">
            <v>0.13329671772428883</v>
          </cell>
        </row>
        <row r="3096">
          <cell r="I3096">
            <v>3801</v>
          </cell>
          <cell r="J3096">
            <v>0.13329939824945294</v>
          </cell>
        </row>
        <row r="3097">
          <cell r="I3097">
            <v>3802</v>
          </cell>
          <cell r="J3097">
            <v>0.13330207877461706</v>
          </cell>
        </row>
        <row r="3098">
          <cell r="I3098">
            <v>3803</v>
          </cell>
          <cell r="J3098">
            <v>0.13330475929978117</v>
          </cell>
        </row>
        <row r="3099">
          <cell r="I3099">
            <v>3804</v>
          </cell>
          <cell r="J3099">
            <v>0.13330743982494528</v>
          </cell>
        </row>
        <row r="3100">
          <cell r="I3100">
            <v>3805</v>
          </cell>
          <cell r="J3100">
            <v>0.13331012035010939</v>
          </cell>
        </row>
        <row r="3101">
          <cell r="I3101">
            <v>3806</v>
          </cell>
          <cell r="J3101">
            <v>0.1333128008752735</v>
          </cell>
        </row>
        <row r="3102">
          <cell r="I3102">
            <v>3807</v>
          </cell>
          <cell r="J3102">
            <v>0.13331548140043764</v>
          </cell>
        </row>
        <row r="3103">
          <cell r="I3103">
            <v>3808</v>
          </cell>
          <cell r="J3103">
            <v>0.13331816192560175</v>
          </cell>
        </row>
        <row r="3104">
          <cell r="I3104">
            <v>3809</v>
          </cell>
          <cell r="J3104">
            <v>0.13332084245076586</v>
          </cell>
        </row>
        <row r="3105">
          <cell r="I3105">
            <v>3810</v>
          </cell>
          <cell r="J3105">
            <v>0.13332352297592998</v>
          </cell>
        </row>
        <row r="3106">
          <cell r="I3106">
            <v>3811</v>
          </cell>
          <cell r="J3106">
            <v>0.13332620350109409</v>
          </cell>
        </row>
        <row r="3107">
          <cell r="I3107">
            <v>3812</v>
          </cell>
          <cell r="J3107">
            <v>0.1333288840262582</v>
          </cell>
        </row>
        <row r="3108">
          <cell r="I3108">
            <v>3813</v>
          </cell>
          <cell r="J3108">
            <v>0.13333156455142231</v>
          </cell>
        </row>
        <row r="3109">
          <cell r="I3109">
            <v>3814</v>
          </cell>
          <cell r="J3109">
            <v>0.13333424507658642</v>
          </cell>
        </row>
        <row r="3110">
          <cell r="I3110">
            <v>3815</v>
          </cell>
          <cell r="J3110">
            <v>0.13333692560175053</v>
          </cell>
        </row>
        <row r="3111">
          <cell r="I3111">
            <v>3816</v>
          </cell>
          <cell r="J3111">
            <v>0.13333960612691464</v>
          </cell>
        </row>
        <row r="3112">
          <cell r="I3112">
            <v>3817</v>
          </cell>
          <cell r="J3112">
            <v>0.13334228665207876</v>
          </cell>
        </row>
        <row r="3113">
          <cell r="I3113">
            <v>3818</v>
          </cell>
          <cell r="J3113">
            <v>0.13334496717724287</v>
          </cell>
        </row>
        <row r="3114">
          <cell r="I3114">
            <v>3819</v>
          </cell>
          <cell r="J3114">
            <v>0.13334764770240701</v>
          </cell>
        </row>
        <row r="3115">
          <cell r="I3115">
            <v>3820</v>
          </cell>
          <cell r="J3115">
            <v>0.13335032822757112</v>
          </cell>
        </row>
        <row r="3116">
          <cell r="I3116">
            <v>3821</v>
          </cell>
          <cell r="J3116">
            <v>0.13335300875273523</v>
          </cell>
        </row>
        <row r="3117">
          <cell r="I3117">
            <v>3822</v>
          </cell>
          <cell r="J3117">
            <v>0.13335568927789934</v>
          </cell>
        </row>
        <row r="3118">
          <cell r="I3118">
            <v>3823</v>
          </cell>
          <cell r="J3118">
            <v>0.13335836980306345</v>
          </cell>
        </row>
        <row r="3119">
          <cell r="I3119">
            <v>3824</v>
          </cell>
          <cell r="J3119">
            <v>0.13336105032822756</v>
          </cell>
        </row>
        <row r="3120">
          <cell r="I3120">
            <v>3825</v>
          </cell>
          <cell r="J3120">
            <v>0.13336373085339168</v>
          </cell>
        </row>
        <row r="3121">
          <cell r="I3121">
            <v>3826</v>
          </cell>
          <cell r="J3121">
            <v>0.13336641137855579</v>
          </cell>
        </row>
        <row r="3122">
          <cell r="I3122">
            <v>3827</v>
          </cell>
          <cell r="J3122">
            <v>0.1333690919037199</v>
          </cell>
        </row>
        <row r="3123">
          <cell r="I3123">
            <v>3828</v>
          </cell>
          <cell r="J3123">
            <v>0.13337177242888401</v>
          </cell>
        </row>
        <row r="3124">
          <cell r="I3124">
            <v>3829</v>
          </cell>
          <cell r="J3124">
            <v>0.13337445295404812</v>
          </cell>
        </row>
        <row r="3125">
          <cell r="I3125">
            <v>3830</v>
          </cell>
          <cell r="J3125">
            <v>0.13337713347921223</v>
          </cell>
        </row>
        <row r="3126">
          <cell r="I3126">
            <v>3831</v>
          </cell>
          <cell r="J3126">
            <v>0.13337981400437635</v>
          </cell>
        </row>
        <row r="3127">
          <cell r="I3127">
            <v>3832</v>
          </cell>
          <cell r="J3127">
            <v>0.13338249452954049</v>
          </cell>
        </row>
        <row r="3128">
          <cell r="I3128">
            <v>3833</v>
          </cell>
          <cell r="J3128">
            <v>0.1333851750547046</v>
          </cell>
        </row>
        <row r="3129">
          <cell r="I3129">
            <v>3834</v>
          </cell>
          <cell r="J3129">
            <v>0.13338785557986871</v>
          </cell>
        </row>
        <row r="3130">
          <cell r="I3130">
            <v>3835</v>
          </cell>
          <cell r="J3130">
            <v>0.13339053610503282</v>
          </cell>
        </row>
        <row r="3131">
          <cell r="I3131">
            <v>3836</v>
          </cell>
          <cell r="J3131">
            <v>0.13339321663019693</v>
          </cell>
        </row>
        <row r="3132">
          <cell r="I3132">
            <v>3837</v>
          </cell>
          <cell r="J3132">
            <v>0.13339589715536104</v>
          </cell>
        </row>
        <row r="3133">
          <cell r="I3133">
            <v>3838</v>
          </cell>
          <cell r="J3133">
            <v>0.13339857768052515</v>
          </cell>
        </row>
        <row r="3134">
          <cell r="I3134">
            <v>3839</v>
          </cell>
          <cell r="J3134">
            <v>0.13340125820568927</v>
          </cell>
        </row>
        <row r="3135">
          <cell r="I3135">
            <v>3840</v>
          </cell>
          <cell r="J3135">
            <v>0.13340393873085338</v>
          </cell>
        </row>
        <row r="3136">
          <cell r="I3136">
            <v>3841</v>
          </cell>
          <cell r="J3136">
            <v>0.13340661925601749</v>
          </cell>
        </row>
        <row r="3137">
          <cell r="I3137">
            <v>3842</v>
          </cell>
          <cell r="J3137">
            <v>0.1334092997811816</v>
          </cell>
        </row>
        <row r="3138">
          <cell r="I3138">
            <v>3843</v>
          </cell>
          <cell r="J3138">
            <v>0.13341198030634571</v>
          </cell>
        </row>
        <row r="3139">
          <cell r="I3139">
            <v>3844</v>
          </cell>
          <cell r="J3139">
            <v>0.13341466083150985</v>
          </cell>
        </row>
        <row r="3140">
          <cell r="I3140">
            <v>3845</v>
          </cell>
          <cell r="J3140">
            <v>0.13341734135667396</v>
          </cell>
        </row>
        <row r="3141">
          <cell r="I3141">
            <v>3846</v>
          </cell>
          <cell r="J3141">
            <v>0.13342002188183807</v>
          </cell>
        </row>
        <row r="3142">
          <cell r="I3142">
            <v>3847</v>
          </cell>
          <cell r="J3142">
            <v>0.13342270240700219</v>
          </cell>
        </row>
        <row r="3143">
          <cell r="I3143">
            <v>3848</v>
          </cell>
          <cell r="J3143">
            <v>0.1334253829321663</v>
          </cell>
        </row>
        <row r="3144">
          <cell r="I3144">
            <v>3849</v>
          </cell>
          <cell r="J3144">
            <v>0.13342806345733041</v>
          </cell>
        </row>
        <row r="3145">
          <cell r="I3145">
            <v>3850</v>
          </cell>
          <cell r="J3145">
            <v>0.13343074398249452</v>
          </cell>
        </row>
        <row r="3146">
          <cell r="I3146">
            <v>3851</v>
          </cell>
          <cell r="J3146">
            <v>0.13343342450765863</v>
          </cell>
        </row>
        <row r="3147">
          <cell r="I3147">
            <v>3852</v>
          </cell>
          <cell r="J3147">
            <v>0.13343610503282274</v>
          </cell>
        </row>
        <row r="3148">
          <cell r="I3148">
            <v>3853</v>
          </cell>
          <cell r="J3148">
            <v>0.13343878555798686</v>
          </cell>
        </row>
        <row r="3149">
          <cell r="I3149">
            <v>3854</v>
          </cell>
          <cell r="J3149">
            <v>0.13344146608315097</v>
          </cell>
        </row>
        <row r="3150">
          <cell r="I3150">
            <v>3855</v>
          </cell>
          <cell r="J3150">
            <v>0.13344414660831508</v>
          </cell>
        </row>
        <row r="3151">
          <cell r="I3151">
            <v>3856</v>
          </cell>
          <cell r="J3151">
            <v>0.13344682713347922</v>
          </cell>
        </row>
        <row r="3152">
          <cell r="I3152">
            <v>3857</v>
          </cell>
          <cell r="J3152">
            <v>0.13344950765864333</v>
          </cell>
        </row>
        <row r="3153">
          <cell r="I3153">
            <v>3858</v>
          </cell>
          <cell r="J3153">
            <v>0.13345218818380744</v>
          </cell>
        </row>
        <row r="3154">
          <cell r="I3154">
            <v>3859</v>
          </cell>
          <cell r="J3154">
            <v>0.13345486870897155</v>
          </cell>
        </row>
        <row r="3155">
          <cell r="I3155">
            <v>3860</v>
          </cell>
          <cell r="J3155">
            <v>0.13345754923413566</v>
          </cell>
        </row>
        <row r="3156">
          <cell r="I3156">
            <v>3861</v>
          </cell>
          <cell r="J3156">
            <v>0.13346022975929978</v>
          </cell>
        </row>
        <row r="3157">
          <cell r="I3157">
            <v>3862</v>
          </cell>
          <cell r="J3157">
            <v>0.13346291028446389</v>
          </cell>
        </row>
        <row r="3158">
          <cell r="I3158">
            <v>3863</v>
          </cell>
          <cell r="J3158">
            <v>0.133465590809628</v>
          </cell>
        </row>
        <row r="3159">
          <cell r="I3159">
            <v>3864</v>
          </cell>
          <cell r="J3159">
            <v>0.13346827133479211</v>
          </cell>
        </row>
        <row r="3160">
          <cell r="I3160">
            <v>3865</v>
          </cell>
          <cell r="J3160">
            <v>0.13347095185995622</v>
          </cell>
        </row>
        <row r="3161">
          <cell r="I3161">
            <v>3866</v>
          </cell>
          <cell r="J3161">
            <v>0.13347363238512033</v>
          </cell>
        </row>
        <row r="3162">
          <cell r="I3162">
            <v>3867</v>
          </cell>
          <cell r="J3162">
            <v>0.13347631291028444</v>
          </cell>
        </row>
        <row r="3163">
          <cell r="I3163">
            <v>3868</v>
          </cell>
          <cell r="J3163">
            <v>0.13347899343544856</v>
          </cell>
        </row>
        <row r="3164">
          <cell r="I3164">
            <v>3869</v>
          </cell>
          <cell r="J3164">
            <v>0.1334816739606127</v>
          </cell>
        </row>
        <row r="3165">
          <cell r="I3165">
            <v>3870</v>
          </cell>
          <cell r="J3165">
            <v>0.13348435448577681</v>
          </cell>
        </row>
        <row r="3166">
          <cell r="I3166">
            <v>3871</v>
          </cell>
          <cell r="J3166">
            <v>0.13348703501094092</v>
          </cell>
        </row>
        <row r="3167">
          <cell r="I3167">
            <v>3872</v>
          </cell>
          <cell r="J3167">
            <v>0.13348971553610503</v>
          </cell>
        </row>
        <row r="3168">
          <cell r="I3168">
            <v>3873</v>
          </cell>
          <cell r="J3168">
            <v>0.13349239606126914</v>
          </cell>
        </row>
        <row r="3169">
          <cell r="I3169">
            <v>3874</v>
          </cell>
          <cell r="J3169">
            <v>0.13349507658643325</v>
          </cell>
        </row>
        <row r="3170">
          <cell r="I3170">
            <v>3875</v>
          </cell>
          <cell r="J3170">
            <v>0.13349775711159736</v>
          </cell>
        </row>
        <row r="3171">
          <cell r="I3171">
            <v>3876</v>
          </cell>
          <cell r="J3171">
            <v>0.13350043763676148</v>
          </cell>
        </row>
        <row r="3172">
          <cell r="I3172">
            <v>3877</v>
          </cell>
          <cell r="J3172">
            <v>0.13350311816192559</v>
          </cell>
        </row>
        <row r="3173">
          <cell r="I3173">
            <v>3878</v>
          </cell>
          <cell r="J3173">
            <v>0.1335057986870897</v>
          </cell>
        </row>
        <row r="3174">
          <cell r="I3174">
            <v>3879</v>
          </cell>
          <cell r="J3174">
            <v>0.13350847921225381</v>
          </cell>
        </row>
        <row r="3175">
          <cell r="I3175">
            <v>3880</v>
          </cell>
          <cell r="J3175">
            <v>0.13351115973741792</v>
          </cell>
        </row>
        <row r="3176">
          <cell r="I3176">
            <v>3881</v>
          </cell>
          <cell r="J3176">
            <v>0.13351384026258206</v>
          </cell>
        </row>
        <row r="3177">
          <cell r="I3177">
            <v>3882</v>
          </cell>
          <cell r="J3177">
            <v>0.13351652078774617</v>
          </cell>
        </row>
        <row r="3178">
          <cell r="I3178">
            <v>3883</v>
          </cell>
          <cell r="J3178">
            <v>0.13351920131291029</v>
          </cell>
        </row>
        <row r="3179">
          <cell r="I3179">
            <v>3884</v>
          </cell>
          <cell r="J3179">
            <v>0.1335218818380744</v>
          </cell>
        </row>
        <row r="3180">
          <cell r="I3180">
            <v>3885</v>
          </cell>
          <cell r="J3180">
            <v>0.13352456236323851</v>
          </cell>
        </row>
        <row r="3181">
          <cell r="I3181">
            <v>3886</v>
          </cell>
          <cell r="J3181">
            <v>0.13352724288840262</v>
          </cell>
        </row>
        <row r="3182">
          <cell r="I3182">
            <v>3887</v>
          </cell>
          <cell r="J3182">
            <v>0.13352992341356673</v>
          </cell>
        </row>
        <row r="3183">
          <cell r="I3183">
            <v>3888</v>
          </cell>
          <cell r="J3183">
            <v>0.13353260393873084</v>
          </cell>
        </row>
        <row r="3184">
          <cell r="I3184">
            <v>3889</v>
          </cell>
          <cell r="J3184">
            <v>0.13353528446389495</v>
          </cell>
        </row>
        <row r="3185">
          <cell r="I3185">
            <v>3890</v>
          </cell>
          <cell r="J3185">
            <v>0.13353796498905907</v>
          </cell>
        </row>
        <row r="3186">
          <cell r="I3186">
            <v>3891</v>
          </cell>
          <cell r="J3186">
            <v>0.13354064551422318</v>
          </cell>
        </row>
        <row r="3187">
          <cell r="I3187">
            <v>3892</v>
          </cell>
          <cell r="J3187">
            <v>0.13354332603938729</v>
          </cell>
        </row>
        <row r="3188">
          <cell r="I3188">
            <v>3893</v>
          </cell>
          <cell r="J3188">
            <v>0.13354600656455143</v>
          </cell>
        </row>
        <row r="3189">
          <cell r="I3189">
            <v>3894</v>
          </cell>
          <cell r="J3189">
            <v>0.13354868708971554</v>
          </cell>
        </row>
        <row r="3190">
          <cell r="I3190">
            <v>3895</v>
          </cell>
          <cell r="J3190">
            <v>0.13355136761487965</v>
          </cell>
        </row>
        <row r="3191">
          <cell r="I3191">
            <v>3896</v>
          </cell>
          <cell r="J3191">
            <v>0.13355404814004376</v>
          </cell>
        </row>
        <row r="3192">
          <cell r="I3192">
            <v>3897</v>
          </cell>
          <cell r="J3192">
            <v>0.13355672866520787</v>
          </cell>
        </row>
        <row r="3193">
          <cell r="I3193">
            <v>3898</v>
          </cell>
          <cell r="J3193">
            <v>0.13355940919037199</v>
          </cell>
        </row>
        <row r="3194">
          <cell r="I3194">
            <v>3899</v>
          </cell>
          <cell r="J3194">
            <v>0.1335620897155361</v>
          </cell>
        </row>
        <row r="3195">
          <cell r="I3195">
            <v>3900</v>
          </cell>
          <cell r="J3195">
            <v>0.13356477024070021</v>
          </cell>
        </row>
        <row r="3196">
          <cell r="I3196">
            <v>3901</v>
          </cell>
          <cell r="J3196">
            <v>0.13356745076586432</v>
          </cell>
        </row>
        <row r="3197">
          <cell r="I3197">
            <v>3902</v>
          </cell>
          <cell r="J3197">
            <v>0.13357013129102843</v>
          </cell>
        </row>
        <row r="3198">
          <cell r="I3198">
            <v>3903</v>
          </cell>
          <cell r="J3198">
            <v>0.13357281181619254</v>
          </cell>
        </row>
        <row r="3199">
          <cell r="I3199">
            <v>3904</v>
          </cell>
          <cell r="J3199">
            <v>0.13357549234135666</v>
          </cell>
        </row>
        <row r="3200">
          <cell r="I3200">
            <v>3905</v>
          </cell>
          <cell r="J3200">
            <v>0.13357817286652077</v>
          </cell>
        </row>
        <row r="3201">
          <cell r="I3201">
            <v>3906</v>
          </cell>
          <cell r="J3201">
            <v>0.13358085339168491</v>
          </cell>
        </row>
        <row r="3202">
          <cell r="I3202">
            <v>3907</v>
          </cell>
          <cell r="J3202">
            <v>0.13358353391684902</v>
          </cell>
        </row>
        <row r="3203">
          <cell r="I3203">
            <v>3908</v>
          </cell>
          <cell r="J3203">
            <v>0.13358621444201313</v>
          </cell>
        </row>
        <row r="3204">
          <cell r="I3204">
            <v>3909</v>
          </cell>
          <cell r="J3204">
            <v>0.13358889496717724</v>
          </cell>
        </row>
        <row r="3205">
          <cell r="I3205">
            <v>3910</v>
          </cell>
          <cell r="J3205">
            <v>0.13359157549234135</v>
          </cell>
        </row>
        <row r="3206">
          <cell r="I3206">
            <v>3911</v>
          </cell>
          <cell r="J3206">
            <v>0.13359425601750546</v>
          </cell>
        </row>
        <row r="3207">
          <cell r="I3207">
            <v>3912</v>
          </cell>
          <cell r="J3207">
            <v>0.13359693654266958</v>
          </cell>
        </row>
        <row r="3208">
          <cell r="I3208">
            <v>3913</v>
          </cell>
          <cell r="J3208">
            <v>0.13359961706783369</v>
          </cell>
        </row>
        <row r="3209">
          <cell r="I3209">
            <v>3914</v>
          </cell>
          <cell r="J3209">
            <v>0.1336022975929978</v>
          </cell>
        </row>
        <row r="3210">
          <cell r="I3210">
            <v>3915</v>
          </cell>
          <cell r="J3210">
            <v>0.13360497811816191</v>
          </cell>
        </row>
        <row r="3211">
          <cell r="I3211">
            <v>3916</v>
          </cell>
          <cell r="J3211">
            <v>0.13360765864332602</v>
          </cell>
        </row>
        <row r="3212">
          <cell r="I3212">
            <v>3917</v>
          </cell>
          <cell r="J3212">
            <v>0.13361033916849013</v>
          </cell>
        </row>
        <row r="3213">
          <cell r="I3213">
            <v>3918</v>
          </cell>
          <cell r="J3213">
            <v>0.13361301969365427</v>
          </cell>
        </row>
        <row r="3214">
          <cell r="I3214">
            <v>3919</v>
          </cell>
          <cell r="J3214">
            <v>0.13361570021881838</v>
          </cell>
        </row>
        <row r="3215">
          <cell r="I3215">
            <v>3920</v>
          </cell>
          <cell r="J3215">
            <v>0.1336183807439825</v>
          </cell>
        </row>
        <row r="3216">
          <cell r="I3216">
            <v>3921</v>
          </cell>
          <cell r="J3216">
            <v>0.13362106126914661</v>
          </cell>
        </row>
        <row r="3217">
          <cell r="I3217">
            <v>3922</v>
          </cell>
          <cell r="J3217">
            <v>0.13362374179431072</v>
          </cell>
        </row>
        <row r="3218">
          <cell r="I3218">
            <v>3923</v>
          </cell>
          <cell r="J3218">
            <v>0.13362642231947483</v>
          </cell>
        </row>
        <row r="3219">
          <cell r="I3219">
            <v>3924</v>
          </cell>
          <cell r="J3219">
            <v>0.13362910284463894</v>
          </cell>
        </row>
        <row r="3220">
          <cell r="I3220">
            <v>3925</v>
          </cell>
          <cell r="J3220">
            <v>0.13363178336980305</v>
          </cell>
        </row>
        <row r="3221">
          <cell r="I3221">
            <v>3926</v>
          </cell>
          <cell r="J3221">
            <v>0.13363446389496716</v>
          </cell>
        </row>
        <row r="3222">
          <cell r="I3222">
            <v>3927</v>
          </cell>
          <cell r="J3222">
            <v>0.13363714442013128</v>
          </cell>
        </row>
        <row r="3223">
          <cell r="I3223">
            <v>3928</v>
          </cell>
          <cell r="J3223">
            <v>0.13363982494529539</v>
          </cell>
        </row>
        <row r="3224">
          <cell r="I3224">
            <v>3929</v>
          </cell>
          <cell r="J3224">
            <v>0.1336425054704595</v>
          </cell>
        </row>
        <row r="3225">
          <cell r="I3225">
            <v>3930</v>
          </cell>
          <cell r="J3225">
            <v>0.13364518599562364</v>
          </cell>
        </row>
        <row r="3226">
          <cell r="I3226">
            <v>3931</v>
          </cell>
          <cell r="J3226">
            <v>0.13364786652078775</v>
          </cell>
        </row>
        <row r="3227">
          <cell r="I3227">
            <v>3932</v>
          </cell>
          <cell r="J3227">
            <v>0.13365054704595186</v>
          </cell>
        </row>
        <row r="3228">
          <cell r="I3228">
            <v>3933</v>
          </cell>
          <cell r="J3228">
            <v>0.13365322757111597</v>
          </cell>
        </row>
        <row r="3229">
          <cell r="I3229">
            <v>3934</v>
          </cell>
          <cell r="J3229">
            <v>0.13365590809628008</v>
          </cell>
        </row>
        <row r="3230">
          <cell r="I3230">
            <v>3935</v>
          </cell>
          <cell r="J3230">
            <v>0.1336585886214442</v>
          </cell>
        </row>
        <row r="3231">
          <cell r="I3231">
            <v>3936</v>
          </cell>
          <cell r="J3231">
            <v>0.13366126914660831</v>
          </cell>
        </row>
        <row r="3232">
          <cell r="I3232">
            <v>3937</v>
          </cell>
          <cell r="J3232">
            <v>0.13366394967177242</v>
          </cell>
        </row>
        <row r="3233">
          <cell r="I3233">
            <v>3938</v>
          </cell>
          <cell r="J3233">
            <v>0.13366663019693653</v>
          </cell>
        </row>
        <row r="3234">
          <cell r="I3234">
            <v>3939</v>
          </cell>
          <cell r="J3234">
            <v>0.13366931072210064</v>
          </cell>
        </row>
        <row r="3235">
          <cell r="I3235">
            <v>3940</v>
          </cell>
          <cell r="J3235">
            <v>0.13367199124726475</v>
          </cell>
        </row>
        <row r="3236">
          <cell r="I3236">
            <v>3941</v>
          </cell>
          <cell r="J3236">
            <v>0.13367467177242887</v>
          </cell>
        </row>
        <row r="3237">
          <cell r="I3237">
            <v>3942</v>
          </cell>
          <cell r="J3237">
            <v>0.13367735229759298</v>
          </cell>
        </row>
        <row r="3238">
          <cell r="I3238">
            <v>3943</v>
          </cell>
          <cell r="J3238">
            <v>0.13368003282275712</v>
          </cell>
        </row>
        <row r="3239">
          <cell r="I3239">
            <v>3944</v>
          </cell>
          <cell r="J3239">
            <v>0.13368271334792123</v>
          </cell>
        </row>
        <row r="3240">
          <cell r="I3240">
            <v>3945</v>
          </cell>
          <cell r="J3240">
            <v>0.13368539387308534</v>
          </cell>
        </row>
        <row r="3241">
          <cell r="I3241">
            <v>3946</v>
          </cell>
          <cell r="J3241">
            <v>0.13368807439824945</v>
          </cell>
        </row>
        <row r="3242">
          <cell r="I3242">
            <v>3947</v>
          </cell>
          <cell r="J3242">
            <v>0.13369075492341356</v>
          </cell>
        </row>
        <row r="3243">
          <cell r="I3243">
            <v>3948</v>
          </cell>
          <cell r="J3243">
            <v>0.13369343544857767</v>
          </cell>
        </row>
        <row r="3244">
          <cell r="I3244">
            <v>3949</v>
          </cell>
          <cell r="J3244">
            <v>0.13369611597374179</v>
          </cell>
        </row>
        <row r="3245">
          <cell r="I3245">
            <v>3950</v>
          </cell>
          <cell r="J3245">
            <v>0.1336987964989059</v>
          </cell>
        </row>
        <row r="3246">
          <cell r="I3246">
            <v>3951</v>
          </cell>
          <cell r="J3246">
            <v>0.13370147702407001</v>
          </cell>
        </row>
        <row r="3247">
          <cell r="I3247">
            <v>3952</v>
          </cell>
          <cell r="J3247">
            <v>0.13370415754923412</v>
          </cell>
        </row>
        <row r="3248">
          <cell r="I3248">
            <v>3953</v>
          </cell>
          <cell r="J3248">
            <v>0.13370683807439823</v>
          </cell>
        </row>
        <row r="3249">
          <cell r="I3249">
            <v>3954</v>
          </cell>
          <cell r="J3249">
            <v>0.13370951859956234</v>
          </cell>
        </row>
        <row r="3250">
          <cell r="I3250">
            <v>3955</v>
          </cell>
          <cell r="J3250">
            <v>0.13371219912472648</v>
          </cell>
        </row>
        <row r="3251">
          <cell r="I3251">
            <v>3956</v>
          </cell>
          <cell r="J3251">
            <v>0.13371487964989059</v>
          </cell>
        </row>
        <row r="3252">
          <cell r="I3252">
            <v>3957</v>
          </cell>
          <cell r="J3252">
            <v>0.13371756017505471</v>
          </cell>
        </row>
        <row r="3253">
          <cell r="I3253">
            <v>3958</v>
          </cell>
          <cell r="J3253">
            <v>0.13372024070021882</v>
          </cell>
        </row>
        <row r="3254">
          <cell r="I3254">
            <v>3959</v>
          </cell>
          <cell r="J3254">
            <v>0.13372292122538293</v>
          </cell>
        </row>
        <row r="3255">
          <cell r="I3255">
            <v>3960</v>
          </cell>
          <cell r="J3255">
            <v>0.13372560175054704</v>
          </cell>
        </row>
        <row r="3256">
          <cell r="I3256">
            <v>3961</v>
          </cell>
          <cell r="J3256">
            <v>0.13372828227571115</v>
          </cell>
        </row>
        <row r="3257">
          <cell r="I3257">
            <v>3962</v>
          </cell>
          <cell r="J3257">
            <v>0.13373096280087526</v>
          </cell>
        </row>
        <row r="3258">
          <cell r="I3258">
            <v>3963</v>
          </cell>
          <cell r="J3258">
            <v>0.13373364332603938</v>
          </cell>
        </row>
        <row r="3259">
          <cell r="I3259">
            <v>3964</v>
          </cell>
          <cell r="J3259">
            <v>0.13373632385120349</v>
          </cell>
        </row>
        <row r="3260">
          <cell r="I3260">
            <v>3965</v>
          </cell>
          <cell r="J3260">
            <v>0.1337390043763676</v>
          </cell>
        </row>
        <row r="3261">
          <cell r="I3261">
            <v>3966</v>
          </cell>
          <cell r="J3261">
            <v>0.13374168490153171</v>
          </cell>
        </row>
        <row r="3262">
          <cell r="I3262">
            <v>3967</v>
          </cell>
          <cell r="J3262">
            <v>0.13374436542669585</v>
          </cell>
        </row>
        <row r="3263">
          <cell r="I3263">
            <v>3968</v>
          </cell>
          <cell r="J3263">
            <v>0.13374704595185996</v>
          </cell>
        </row>
        <row r="3264">
          <cell r="I3264">
            <v>3969</v>
          </cell>
          <cell r="J3264">
            <v>0.13374972647702407</v>
          </cell>
        </row>
        <row r="3265">
          <cell r="I3265">
            <v>3970</v>
          </cell>
          <cell r="J3265">
            <v>0.13375240700218818</v>
          </cell>
        </row>
        <row r="3266">
          <cell r="I3266">
            <v>3971</v>
          </cell>
          <cell r="J3266">
            <v>0.1337550875273523</v>
          </cell>
        </row>
        <row r="3267">
          <cell r="I3267">
            <v>3972</v>
          </cell>
          <cell r="J3267">
            <v>0.13375776805251641</v>
          </cell>
        </row>
        <row r="3268">
          <cell r="I3268">
            <v>3973</v>
          </cell>
          <cell r="J3268">
            <v>0.13376044857768052</v>
          </cell>
        </row>
        <row r="3269">
          <cell r="I3269">
            <v>3974</v>
          </cell>
          <cell r="J3269">
            <v>0.13376312910284463</v>
          </cell>
        </row>
        <row r="3270">
          <cell r="I3270">
            <v>3975</v>
          </cell>
          <cell r="J3270">
            <v>0.13376580962800874</v>
          </cell>
        </row>
        <row r="3271">
          <cell r="I3271">
            <v>3976</v>
          </cell>
          <cell r="J3271">
            <v>0.13376849015317285</v>
          </cell>
        </row>
        <row r="3272">
          <cell r="I3272">
            <v>3977</v>
          </cell>
          <cell r="J3272">
            <v>0.13377117067833696</v>
          </cell>
        </row>
        <row r="3273">
          <cell r="I3273">
            <v>3978</v>
          </cell>
          <cell r="J3273">
            <v>0.13377385120350108</v>
          </cell>
        </row>
        <row r="3274">
          <cell r="I3274">
            <v>3979</v>
          </cell>
          <cell r="J3274">
            <v>0.13377653172866519</v>
          </cell>
        </row>
        <row r="3275">
          <cell r="I3275">
            <v>3980</v>
          </cell>
          <cell r="J3275">
            <v>0.13377921225382933</v>
          </cell>
        </row>
        <row r="3276">
          <cell r="I3276">
            <v>3981</v>
          </cell>
          <cell r="J3276">
            <v>0.13378189277899344</v>
          </cell>
        </row>
        <row r="3277">
          <cell r="I3277">
            <v>3982</v>
          </cell>
          <cell r="J3277">
            <v>0.13378457330415755</v>
          </cell>
        </row>
        <row r="3278">
          <cell r="I3278">
            <v>3983</v>
          </cell>
          <cell r="J3278">
            <v>0.13378725382932166</v>
          </cell>
        </row>
        <row r="3279">
          <cell r="I3279">
            <v>3984</v>
          </cell>
          <cell r="J3279">
            <v>0.13378993435448577</v>
          </cell>
        </row>
        <row r="3280">
          <cell r="I3280">
            <v>3985</v>
          </cell>
          <cell r="J3280">
            <v>0.13379261487964988</v>
          </cell>
        </row>
        <row r="3281">
          <cell r="I3281">
            <v>3986</v>
          </cell>
          <cell r="J3281">
            <v>0.133795295404814</v>
          </cell>
        </row>
        <row r="3282">
          <cell r="I3282">
            <v>3987</v>
          </cell>
          <cell r="J3282">
            <v>0.13379797592997811</v>
          </cell>
        </row>
        <row r="3283">
          <cell r="I3283">
            <v>3988</v>
          </cell>
          <cell r="J3283">
            <v>0.13380065645514222</v>
          </cell>
        </row>
        <row r="3284">
          <cell r="I3284">
            <v>3989</v>
          </cell>
          <cell r="J3284">
            <v>0.13380333698030633</v>
          </cell>
        </row>
        <row r="3285">
          <cell r="I3285">
            <v>3990</v>
          </cell>
          <cell r="J3285">
            <v>0.13380601750547044</v>
          </cell>
        </row>
        <row r="3286">
          <cell r="I3286">
            <v>3991</v>
          </cell>
          <cell r="J3286">
            <v>0.13380869803063455</v>
          </cell>
        </row>
        <row r="3287">
          <cell r="I3287">
            <v>3992</v>
          </cell>
          <cell r="J3287">
            <v>0.13381137855579869</v>
          </cell>
        </row>
        <row r="3288">
          <cell r="I3288">
            <v>3993</v>
          </cell>
          <cell r="J3288">
            <v>0.1338140590809628</v>
          </cell>
        </row>
        <row r="3289">
          <cell r="I3289">
            <v>3994</v>
          </cell>
          <cell r="J3289">
            <v>0.13381673960612692</v>
          </cell>
        </row>
        <row r="3290">
          <cell r="I3290">
            <v>3995</v>
          </cell>
          <cell r="J3290">
            <v>0.13381942013129103</v>
          </cell>
        </row>
        <row r="3291">
          <cell r="I3291">
            <v>3996</v>
          </cell>
          <cell r="J3291">
            <v>0.13382210065645514</v>
          </cell>
        </row>
        <row r="3292">
          <cell r="I3292">
            <v>3997</v>
          </cell>
          <cell r="J3292">
            <v>0.13382478118161925</v>
          </cell>
        </row>
        <row r="3293">
          <cell r="I3293">
            <v>3998</v>
          </cell>
          <cell r="J3293">
            <v>0.13382746170678336</v>
          </cell>
        </row>
        <row r="3294">
          <cell r="I3294">
            <v>3999</v>
          </cell>
          <cell r="J3294">
            <v>0.13383014223194747</v>
          </cell>
        </row>
        <row r="3295">
          <cell r="I3295">
            <v>4000</v>
          </cell>
          <cell r="J3295">
            <v>0.13383282275711159</v>
          </cell>
        </row>
        <row r="3296">
          <cell r="I3296">
            <v>4001</v>
          </cell>
          <cell r="J3296">
            <v>0.1338355032822757</v>
          </cell>
        </row>
        <row r="3297">
          <cell r="I3297">
            <v>4002</v>
          </cell>
          <cell r="J3297">
            <v>0.13383818380743981</v>
          </cell>
        </row>
        <row r="3298">
          <cell r="I3298">
            <v>4003</v>
          </cell>
          <cell r="J3298">
            <v>0.13384086433260392</v>
          </cell>
        </row>
        <row r="3299">
          <cell r="I3299">
            <v>4004</v>
          </cell>
          <cell r="J3299">
            <v>0.13384354485776806</v>
          </cell>
        </row>
        <row r="3300">
          <cell r="I3300">
            <v>4005</v>
          </cell>
          <cell r="J3300">
            <v>0.13384622538293217</v>
          </cell>
        </row>
        <row r="3301">
          <cell r="I3301">
            <v>4006</v>
          </cell>
          <cell r="J3301">
            <v>0.13384890590809628</v>
          </cell>
        </row>
        <row r="3302">
          <cell r="I3302">
            <v>4007</v>
          </cell>
          <cell r="J3302">
            <v>0.13385158643326039</v>
          </cell>
        </row>
        <row r="3303">
          <cell r="I3303">
            <v>4008</v>
          </cell>
          <cell r="J3303">
            <v>0.13385426695842451</v>
          </cell>
        </row>
        <row r="3304">
          <cell r="I3304">
            <v>4009</v>
          </cell>
          <cell r="J3304">
            <v>0.13385694748358862</v>
          </cell>
        </row>
        <row r="3305">
          <cell r="I3305">
            <v>4010</v>
          </cell>
          <cell r="J3305">
            <v>0.13385962800875273</v>
          </cell>
        </row>
        <row r="3306">
          <cell r="I3306">
            <v>4011</v>
          </cell>
          <cell r="J3306">
            <v>0.13386230853391684</v>
          </cell>
        </row>
        <row r="3307">
          <cell r="I3307">
            <v>4012</v>
          </cell>
          <cell r="J3307">
            <v>0.13386498905908095</v>
          </cell>
        </row>
        <row r="3308">
          <cell r="I3308">
            <v>4013</v>
          </cell>
          <cell r="J3308">
            <v>0.13386766958424506</v>
          </cell>
        </row>
        <row r="3309">
          <cell r="I3309">
            <v>4014</v>
          </cell>
          <cell r="J3309">
            <v>0.13387035010940918</v>
          </cell>
        </row>
        <row r="3310">
          <cell r="I3310">
            <v>4015</v>
          </cell>
          <cell r="J3310">
            <v>0.13387303063457329</v>
          </cell>
        </row>
        <row r="3311">
          <cell r="I3311">
            <v>4016</v>
          </cell>
          <cell r="J3311">
            <v>0.1338757111597374</v>
          </cell>
        </row>
        <row r="3312">
          <cell r="I3312">
            <v>4017</v>
          </cell>
          <cell r="J3312">
            <v>0.13387839168490154</v>
          </cell>
        </row>
        <row r="3313">
          <cell r="I3313">
            <v>4018</v>
          </cell>
          <cell r="J3313">
            <v>0.13388107221006565</v>
          </cell>
        </row>
        <row r="3314">
          <cell r="I3314">
            <v>4019</v>
          </cell>
          <cell r="J3314">
            <v>0.13388375273522976</v>
          </cell>
        </row>
        <row r="3315">
          <cell r="I3315">
            <v>4020</v>
          </cell>
          <cell r="J3315">
            <v>0.13388643326039387</v>
          </cell>
        </row>
        <row r="3316">
          <cell r="I3316">
            <v>4021</v>
          </cell>
          <cell r="J3316">
            <v>0.13388911378555798</v>
          </cell>
        </row>
        <row r="3317">
          <cell r="I3317">
            <v>4022</v>
          </cell>
          <cell r="J3317">
            <v>0.1338917943107221</v>
          </cell>
        </row>
        <row r="3318">
          <cell r="I3318">
            <v>4023</v>
          </cell>
          <cell r="J3318">
            <v>0.13389447483588621</v>
          </cell>
        </row>
        <row r="3319">
          <cell r="I3319">
            <v>4024</v>
          </cell>
          <cell r="J3319">
            <v>0.13389715536105032</v>
          </cell>
        </row>
        <row r="3320">
          <cell r="I3320">
            <v>4025</v>
          </cell>
          <cell r="J3320">
            <v>0.13389983588621443</v>
          </cell>
        </row>
        <row r="3321">
          <cell r="I3321">
            <v>4026</v>
          </cell>
          <cell r="J3321">
            <v>0.13390251641137854</v>
          </cell>
        </row>
        <row r="3322">
          <cell r="I3322">
            <v>4027</v>
          </cell>
          <cell r="J3322">
            <v>0.13390519693654265</v>
          </cell>
        </row>
        <row r="3323">
          <cell r="I3323">
            <v>4028</v>
          </cell>
          <cell r="J3323">
            <v>0.13390787746170676</v>
          </cell>
        </row>
        <row r="3324">
          <cell r="I3324">
            <v>4029</v>
          </cell>
          <cell r="J3324">
            <v>0.1339105579868709</v>
          </cell>
        </row>
        <row r="3325">
          <cell r="I3325">
            <v>4030</v>
          </cell>
          <cell r="J3325">
            <v>0.13391323851203502</v>
          </cell>
        </row>
        <row r="3326">
          <cell r="I3326">
            <v>4031</v>
          </cell>
          <cell r="J3326">
            <v>0.13391591903719913</v>
          </cell>
        </row>
        <row r="3327">
          <cell r="I3327">
            <v>4032</v>
          </cell>
          <cell r="J3327">
            <v>0.13391859956236324</v>
          </cell>
        </row>
        <row r="3328">
          <cell r="I3328">
            <v>4033</v>
          </cell>
          <cell r="J3328">
            <v>0.13392128008752735</v>
          </cell>
        </row>
        <row r="3329">
          <cell r="I3329">
            <v>4034</v>
          </cell>
          <cell r="J3329">
            <v>0.13392396061269146</v>
          </cell>
        </row>
        <row r="3330">
          <cell r="I3330">
            <v>4035</v>
          </cell>
          <cell r="J3330">
            <v>0.13392664113785557</v>
          </cell>
        </row>
        <row r="3331">
          <cell r="I3331">
            <v>4036</v>
          </cell>
          <cell r="J3331">
            <v>0.13392932166301968</v>
          </cell>
        </row>
        <row r="3332">
          <cell r="I3332">
            <v>4037</v>
          </cell>
          <cell r="J3332">
            <v>0.1339320021881838</v>
          </cell>
        </row>
        <row r="3333">
          <cell r="I3333">
            <v>4038</v>
          </cell>
          <cell r="J3333">
            <v>0.13393468271334791</v>
          </cell>
        </row>
        <row r="3334">
          <cell r="I3334">
            <v>4039</v>
          </cell>
          <cell r="J3334">
            <v>0.13393736323851202</v>
          </cell>
        </row>
        <row r="3335">
          <cell r="I3335">
            <v>4040</v>
          </cell>
          <cell r="J3335">
            <v>0.13394004376367613</v>
          </cell>
        </row>
        <row r="3336">
          <cell r="I3336">
            <v>4041</v>
          </cell>
          <cell r="J3336">
            <v>0.13394272428884024</v>
          </cell>
        </row>
        <row r="3337">
          <cell r="I3337">
            <v>4042</v>
          </cell>
          <cell r="J3337">
            <v>0.13394540481400438</v>
          </cell>
        </row>
        <row r="3338">
          <cell r="I3338">
            <v>4043</v>
          </cell>
          <cell r="J3338">
            <v>0.13394808533916849</v>
          </cell>
        </row>
        <row r="3339">
          <cell r="I3339">
            <v>4044</v>
          </cell>
          <cell r="J3339">
            <v>0.1339507658643326</v>
          </cell>
        </row>
        <row r="3340">
          <cell r="I3340">
            <v>4045</v>
          </cell>
          <cell r="J3340">
            <v>0.13395344638949672</v>
          </cell>
        </row>
        <row r="3341">
          <cell r="I3341">
            <v>4046</v>
          </cell>
          <cell r="J3341">
            <v>0.13395612691466083</v>
          </cell>
        </row>
        <row r="3342">
          <cell r="I3342">
            <v>4047</v>
          </cell>
          <cell r="J3342">
            <v>0.13395880743982494</v>
          </cell>
        </row>
        <row r="3343">
          <cell r="I3343">
            <v>4048</v>
          </cell>
          <cell r="J3343">
            <v>0.13396148796498905</v>
          </cell>
        </row>
        <row r="3344">
          <cell r="I3344">
            <v>4049</v>
          </cell>
          <cell r="J3344">
            <v>0.13396416849015316</v>
          </cell>
        </row>
        <row r="3345">
          <cell r="I3345">
            <v>4050</v>
          </cell>
          <cell r="J3345">
            <v>0.13396684901531727</v>
          </cell>
        </row>
        <row r="3346">
          <cell r="I3346">
            <v>4051</v>
          </cell>
          <cell r="J3346">
            <v>0.13396952954048139</v>
          </cell>
        </row>
        <row r="3347">
          <cell r="I3347">
            <v>4052</v>
          </cell>
          <cell r="J3347">
            <v>0.1339722100656455</v>
          </cell>
        </row>
        <row r="3348">
          <cell r="I3348">
            <v>4053</v>
          </cell>
          <cell r="J3348">
            <v>0.13397489059080961</v>
          </cell>
        </row>
        <row r="3349">
          <cell r="I3349">
            <v>4054</v>
          </cell>
          <cell r="J3349">
            <v>0.13397757111597375</v>
          </cell>
        </row>
        <row r="3350">
          <cell r="I3350">
            <v>4055</v>
          </cell>
          <cell r="J3350">
            <v>0.13398025164113786</v>
          </cell>
        </row>
        <row r="3351">
          <cell r="I3351">
            <v>4056</v>
          </cell>
          <cell r="J3351">
            <v>0.13398293216630197</v>
          </cell>
        </row>
        <row r="3352">
          <cell r="I3352">
            <v>4057</v>
          </cell>
          <cell r="J3352">
            <v>0.13398561269146608</v>
          </cell>
        </row>
        <row r="3353">
          <cell r="I3353">
            <v>4058</v>
          </cell>
          <cell r="J3353">
            <v>0.13398829321663019</v>
          </cell>
        </row>
        <row r="3354">
          <cell r="I3354">
            <v>4059</v>
          </cell>
          <cell r="J3354">
            <v>0.13399097374179431</v>
          </cell>
        </row>
        <row r="3355">
          <cell r="I3355">
            <v>4060</v>
          </cell>
          <cell r="J3355">
            <v>0.13399365426695842</v>
          </cell>
        </row>
        <row r="3356">
          <cell r="I3356">
            <v>4061</v>
          </cell>
          <cell r="J3356">
            <v>0.13399633479212253</v>
          </cell>
        </row>
        <row r="3357">
          <cell r="I3357">
            <v>4062</v>
          </cell>
          <cell r="J3357">
            <v>0.13399901531728664</v>
          </cell>
        </row>
        <row r="3358">
          <cell r="I3358">
            <v>4063</v>
          </cell>
          <cell r="J3358">
            <v>0.13400169584245075</v>
          </cell>
        </row>
        <row r="3359">
          <cell r="I3359">
            <v>4064</v>
          </cell>
          <cell r="J3359">
            <v>0.13400437636761486</v>
          </cell>
        </row>
        <row r="3360">
          <cell r="I3360">
            <v>4065</v>
          </cell>
          <cell r="J3360">
            <v>0.13400705689277898</v>
          </cell>
        </row>
        <row r="3361">
          <cell r="I3361">
            <v>4066</v>
          </cell>
          <cell r="J3361">
            <v>0.13400973741794311</v>
          </cell>
        </row>
        <row r="3362">
          <cell r="I3362">
            <v>4067</v>
          </cell>
          <cell r="J3362">
            <v>0.13401241794310723</v>
          </cell>
        </row>
        <row r="3363">
          <cell r="I3363">
            <v>4068</v>
          </cell>
          <cell r="J3363">
            <v>0.13401509846827134</v>
          </cell>
        </row>
        <row r="3364">
          <cell r="I3364">
            <v>4069</v>
          </cell>
          <cell r="J3364">
            <v>0.13401777899343545</v>
          </cell>
        </row>
        <row r="3365">
          <cell r="I3365">
            <v>4070</v>
          </cell>
          <cell r="J3365">
            <v>0.13402045951859956</v>
          </cell>
        </row>
        <row r="3366">
          <cell r="I3366">
            <v>4071</v>
          </cell>
          <cell r="J3366">
            <v>0.13402314004376367</v>
          </cell>
        </row>
        <row r="3367">
          <cell r="I3367">
            <v>4072</v>
          </cell>
          <cell r="J3367">
            <v>0.13402582056892778</v>
          </cell>
        </row>
        <row r="3368">
          <cell r="I3368">
            <v>4073</v>
          </cell>
          <cell r="J3368">
            <v>0.1340285010940919</v>
          </cell>
        </row>
        <row r="3369">
          <cell r="I3369">
            <v>4074</v>
          </cell>
          <cell r="J3369">
            <v>0.13403118161925601</v>
          </cell>
        </row>
        <row r="3370">
          <cell r="I3370">
            <v>4075</v>
          </cell>
          <cell r="J3370">
            <v>0.13403386214442012</v>
          </cell>
        </row>
        <row r="3371">
          <cell r="I3371">
            <v>4076</v>
          </cell>
          <cell r="J3371">
            <v>0.13403654266958423</v>
          </cell>
        </row>
        <row r="3372">
          <cell r="I3372">
            <v>4077</v>
          </cell>
          <cell r="J3372">
            <v>0.13403922319474834</v>
          </cell>
        </row>
        <row r="3373">
          <cell r="I3373">
            <v>4078</v>
          </cell>
          <cell r="J3373">
            <v>0.13404190371991245</v>
          </cell>
        </row>
        <row r="3374">
          <cell r="I3374">
            <v>4079</v>
          </cell>
          <cell r="J3374">
            <v>0.13404458424507659</v>
          </cell>
        </row>
        <row r="3375">
          <cell r="I3375">
            <v>4080</v>
          </cell>
          <cell r="J3375">
            <v>0.1340472647702407</v>
          </cell>
        </row>
        <row r="3376">
          <cell r="I3376">
            <v>4081</v>
          </cell>
          <cell r="J3376">
            <v>0.13404994529540482</v>
          </cell>
        </row>
        <row r="3377">
          <cell r="I3377">
            <v>4082</v>
          </cell>
          <cell r="J3377">
            <v>0.13405262582056893</v>
          </cell>
        </row>
        <row r="3378">
          <cell r="I3378">
            <v>4083</v>
          </cell>
          <cell r="J3378">
            <v>0.13405530634573304</v>
          </cell>
        </row>
        <row r="3379">
          <cell r="I3379">
            <v>4084</v>
          </cell>
          <cell r="J3379">
            <v>0.13405798687089715</v>
          </cell>
        </row>
        <row r="3380">
          <cell r="I3380">
            <v>4085</v>
          </cell>
          <cell r="J3380">
            <v>0.13406066739606126</v>
          </cell>
        </row>
        <row r="3381">
          <cell r="I3381">
            <v>4086</v>
          </cell>
          <cell r="J3381">
            <v>0.13406334792122537</v>
          </cell>
        </row>
        <row r="3382">
          <cell r="I3382">
            <v>4087</v>
          </cell>
          <cell r="J3382">
            <v>0.13406602844638948</v>
          </cell>
        </row>
        <row r="3383">
          <cell r="I3383">
            <v>4088</v>
          </cell>
          <cell r="J3383">
            <v>0.1340687089715536</v>
          </cell>
        </row>
        <row r="3384">
          <cell r="I3384">
            <v>4089</v>
          </cell>
          <cell r="J3384">
            <v>0.13407138949671771</v>
          </cell>
        </row>
        <row r="3385">
          <cell r="I3385">
            <v>4090</v>
          </cell>
          <cell r="J3385">
            <v>0.13407407002188182</v>
          </cell>
        </row>
        <row r="3386">
          <cell r="I3386">
            <v>4091</v>
          </cell>
          <cell r="J3386">
            <v>0.13407675054704596</v>
          </cell>
        </row>
        <row r="3387">
          <cell r="I3387">
            <v>4092</v>
          </cell>
          <cell r="J3387">
            <v>0.13407943107221007</v>
          </cell>
        </row>
        <row r="3388">
          <cell r="I3388">
            <v>4093</v>
          </cell>
          <cell r="J3388">
            <v>0.13408211159737418</v>
          </cell>
        </row>
        <row r="3389">
          <cell r="I3389">
            <v>4094</v>
          </cell>
          <cell r="J3389">
            <v>0.13408479212253829</v>
          </cell>
        </row>
        <row r="3390">
          <cell r="I3390">
            <v>4095</v>
          </cell>
          <cell r="J3390">
            <v>0.1340874726477024</v>
          </cell>
        </row>
        <row r="3391">
          <cell r="I3391">
            <v>4096</v>
          </cell>
          <cell r="J3391">
            <v>0.13409015317286652</v>
          </cell>
        </row>
        <row r="3392">
          <cell r="I3392">
            <v>4097</v>
          </cell>
          <cell r="J3392">
            <v>0.13409283369803063</v>
          </cell>
        </row>
        <row r="3393">
          <cell r="I3393">
            <v>4098</v>
          </cell>
          <cell r="J3393">
            <v>0.13409551422319474</v>
          </cell>
        </row>
        <row r="3394">
          <cell r="I3394">
            <v>4099</v>
          </cell>
          <cell r="J3394">
            <v>0.13409819474835885</v>
          </cell>
        </row>
        <row r="3395">
          <cell r="I3395">
            <v>4100</v>
          </cell>
          <cell r="J3395">
            <v>0.13410087527352296</v>
          </cell>
        </row>
        <row r="3396">
          <cell r="I3396">
            <v>4101</v>
          </cell>
          <cell r="J3396">
            <v>0.13410355579868707</v>
          </cell>
        </row>
        <row r="3397">
          <cell r="I3397">
            <v>4102</v>
          </cell>
          <cell r="J3397">
            <v>0.13410623632385119</v>
          </cell>
        </row>
        <row r="3398">
          <cell r="I3398">
            <v>4103</v>
          </cell>
          <cell r="J3398">
            <v>0.13410891684901532</v>
          </cell>
        </row>
        <row r="3399">
          <cell r="I3399">
            <v>4104</v>
          </cell>
          <cell r="J3399">
            <v>0.13411159737417944</v>
          </cell>
        </row>
        <row r="3400">
          <cell r="I3400">
            <v>4105</v>
          </cell>
          <cell r="J3400">
            <v>0.13411427789934355</v>
          </cell>
        </row>
        <row r="3401">
          <cell r="I3401">
            <v>4106</v>
          </cell>
          <cell r="J3401">
            <v>0.13411695842450766</v>
          </cell>
        </row>
        <row r="3402">
          <cell r="I3402">
            <v>4107</v>
          </cell>
          <cell r="J3402">
            <v>0.13411963894967177</v>
          </cell>
        </row>
        <row r="3403">
          <cell r="I3403">
            <v>4108</v>
          </cell>
          <cell r="J3403">
            <v>0.13412231947483588</v>
          </cell>
        </row>
        <row r="3404">
          <cell r="I3404">
            <v>4109</v>
          </cell>
          <cell r="J3404">
            <v>0.13412499999999999</v>
          </cell>
        </row>
        <row r="3405">
          <cell r="I3405">
            <v>4110</v>
          </cell>
          <cell r="J3405">
            <v>0.13412768052516411</v>
          </cell>
        </row>
        <row r="3406">
          <cell r="I3406">
            <v>4111</v>
          </cell>
          <cell r="J3406">
            <v>0.13413036105032822</v>
          </cell>
        </row>
        <row r="3407">
          <cell r="I3407">
            <v>4112</v>
          </cell>
          <cell r="J3407">
            <v>0.13413304157549233</v>
          </cell>
        </row>
        <row r="3408">
          <cell r="I3408">
            <v>4113</v>
          </cell>
          <cell r="J3408">
            <v>0.13413572210065644</v>
          </cell>
        </row>
        <row r="3409">
          <cell r="I3409">
            <v>4114</v>
          </cell>
          <cell r="J3409">
            <v>0.13413840262582055</v>
          </cell>
        </row>
        <row r="3410">
          <cell r="I3410">
            <v>4115</v>
          </cell>
          <cell r="J3410">
            <v>0.13414108315098466</v>
          </cell>
        </row>
        <row r="3411">
          <cell r="I3411">
            <v>4116</v>
          </cell>
          <cell r="J3411">
            <v>0.1341437636761488</v>
          </cell>
        </row>
        <row r="3412">
          <cell r="I3412">
            <v>4117</v>
          </cell>
          <cell r="J3412">
            <v>0.13414644420131291</v>
          </cell>
        </row>
        <row r="3413">
          <cell r="I3413">
            <v>4118</v>
          </cell>
          <cell r="J3413">
            <v>0.13414912472647703</v>
          </cell>
        </row>
        <row r="3414">
          <cell r="I3414">
            <v>4119</v>
          </cell>
          <cell r="J3414">
            <v>0.13415180525164114</v>
          </cell>
        </row>
        <row r="3415">
          <cell r="I3415">
            <v>4120</v>
          </cell>
          <cell r="J3415">
            <v>0.13415448577680525</v>
          </cell>
        </row>
        <row r="3416">
          <cell r="I3416">
            <v>4121</v>
          </cell>
          <cell r="J3416">
            <v>0.13415716630196936</v>
          </cell>
        </row>
        <row r="3417">
          <cell r="I3417">
            <v>4122</v>
          </cell>
          <cell r="J3417">
            <v>0.13415984682713347</v>
          </cell>
        </row>
        <row r="3418">
          <cell r="I3418">
            <v>4123</v>
          </cell>
          <cell r="J3418">
            <v>0.13416252735229758</v>
          </cell>
        </row>
        <row r="3419">
          <cell r="I3419">
            <v>4124</v>
          </cell>
          <cell r="J3419">
            <v>0.1341652078774617</v>
          </cell>
        </row>
        <row r="3420">
          <cell r="I3420">
            <v>4125</v>
          </cell>
          <cell r="J3420">
            <v>0.13416788840262581</v>
          </cell>
        </row>
        <row r="3421">
          <cell r="I3421">
            <v>4126</v>
          </cell>
          <cell r="J3421">
            <v>0.13417056892778992</v>
          </cell>
        </row>
        <row r="3422">
          <cell r="I3422">
            <v>4127</v>
          </cell>
          <cell r="J3422">
            <v>0.13417324945295403</v>
          </cell>
        </row>
        <row r="3423">
          <cell r="I3423">
            <v>4128</v>
          </cell>
          <cell r="J3423">
            <v>0.13417592997811817</v>
          </cell>
        </row>
        <row r="3424">
          <cell r="I3424">
            <v>4129</v>
          </cell>
          <cell r="J3424">
            <v>0.13417861050328228</v>
          </cell>
        </row>
        <row r="3425">
          <cell r="I3425">
            <v>4130</v>
          </cell>
          <cell r="J3425">
            <v>0.13418129102844639</v>
          </cell>
        </row>
        <row r="3426">
          <cell r="I3426">
            <v>4131</v>
          </cell>
          <cell r="J3426">
            <v>0.1341839715536105</v>
          </cell>
        </row>
        <row r="3427">
          <cell r="I3427">
            <v>4132</v>
          </cell>
          <cell r="J3427">
            <v>0.13418665207877462</v>
          </cell>
        </row>
        <row r="3428">
          <cell r="I3428">
            <v>4133</v>
          </cell>
          <cell r="J3428">
            <v>0.13418933260393873</v>
          </cell>
        </row>
        <row r="3429">
          <cell r="I3429">
            <v>4134</v>
          </cell>
          <cell r="J3429">
            <v>0.13419201312910284</v>
          </cell>
        </row>
        <row r="3430">
          <cell r="I3430">
            <v>4135</v>
          </cell>
          <cell r="J3430">
            <v>0.13419469365426695</v>
          </cell>
        </row>
        <row r="3431">
          <cell r="I3431">
            <v>4136</v>
          </cell>
          <cell r="J3431">
            <v>0.13419737417943106</v>
          </cell>
        </row>
        <row r="3432">
          <cell r="I3432">
            <v>4137</v>
          </cell>
          <cell r="J3432">
            <v>0.13420005470459517</v>
          </cell>
        </row>
        <row r="3433">
          <cell r="I3433">
            <v>4138</v>
          </cell>
          <cell r="J3433">
            <v>0.13420273522975928</v>
          </cell>
        </row>
        <row r="3434">
          <cell r="I3434">
            <v>4139</v>
          </cell>
          <cell r="J3434">
            <v>0.1342054157549234</v>
          </cell>
        </row>
        <row r="3435">
          <cell r="I3435">
            <v>4140</v>
          </cell>
          <cell r="J3435">
            <v>0.13420809628008754</v>
          </cell>
        </row>
        <row r="3436">
          <cell r="I3436">
            <v>4141</v>
          </cell>
          <cell r="J3436">
            <v>0.13421077680525165</v>
          </cell>
        </row>
        <row r="3437">
          <cell r="I3437">
            <v>4142</v>
          </cell>
          <cell r="J3437">
            <v>0.13421345733041576</v>
          </cell>
        </row>
        <row r="3438">
          <cell r="I3438">
            <v>4143</v>
          </cell>
          <cell r="J3438">
            <v>0.13421613785557987</v>
          </cell>
        </row>
        <row r="3439">
          <cell r="I3439">
            <v>4144</v>
          </cell>
          <cell r="J3439">
            <v>0.13421881838074398</v>
          </cell>
        </row>
        <row r="3440">
          <cell r="I3440">
            <v>4145</v>
          </cell>
          <cell r="J3440">
            <v>0.13422149890590809</v>
          </cell>
        </row>
        <row r="3441">
          <cell r="I3441">
            <v>4146</v>
          </cell>
          <cell r="J3441">
            <v>0.1342241794310722</v>
          </cell>
        </row>
        <row r="3442">
          <cell r="I3442">
            <v>4147</v>
          </cell>
          <cell r="J3442">
            <v>0.13422685995623632</v>
          </cell>
        </row>
        <row r="3443">
          <cell r="I3443">
            <v>4148</v>
          </cell>
          <cell r="J3443">
            <v>0.13422954048140043</v>
          </cell>
        </row>
        <row r="3444">
          <cell r="I3444">
            <v>4149</v>
          </cell>
          <cell r="J3444">
            <v>0.13423222100656454</v>
          </cell>
        </row>
        <row r="3445">
          <cell r="I3445">
            <v>4150</v>
          </cell>
          <cell r="J3445">
            <v>0.13423490153172865</v>
          </cell>
        </row>
        <row r="3446">
          <cell r="I3446">
            <v>4151</v>
          </cell>
          <cell r="J3446">
            <v>0.13423758205689276</v>
          </cell>
        </row>
        <row r="3447">
          <cell r="I3447">
            <v>4152</v>
          </cell>
          <cell r="J3447">
            <v>0.13424026258205687</v>
          </cell>
        </row>
        <row r="3448">
          <cell r="I3448">
            <v>4153</v>
          </cell>
          <cell r="J3448">
            <v>0.13424294310722101</v>
          </cell>
        </row>
        <row r="3449">
          <cell r="I3449">
            <v>4154</v>
          </cell>
          <cell r="J3449">
            <v>0.13424562363238512</v>
          </cell>
        </row>
        <row r="3450">
          <cell r="I3450">
            <v>4155</v>
          </cell>
          <cell r="J3450">
            <v>0.13424830415754924</v>
          </cell>
        </row>
        <row r="3451">
          <cell r="I3451">
            <v>4156</v>
          </cell>
          <cell r="J3451">
            <v>0.13425098468271335</v>
          </cell>
        </row>
        <row r="3452">
          <cell r="I3452">
            <v>4157</v>
          </cell>
          <cell r="J3452">
            <v>0.13425366520787746</v>
          </cell>
        </row>
        <row r="3453">
          <cell r="I3453">
            <v>4158</v>
          </cell>
          <cell r="J3453">
            <v>0.13425634573304157</v>
          </cell>
        </row>
        <row r="3454">
          <cell r="I3454">
            <v>4159</v>
          </cell>
          <cell r="J3454">
            <v>0.13425902625820568</v>
          </cell>
        </row>
        <row r="3455">
          <cell r="I3455">
            <v>4160</v>
          </cell>
          <cell r="J3455">
            <v>0.13426170678336979</v>
          </cell>
        </row>
        <row r="3456">
          <cell r="I3456">
            <v>4161</v>
          </cell>
          <cell r="J3456">
            <v>0.13426438730853391</v>
          </cell>
        </row>
        <row r="3457">
          <cell r="I3457">
            <v>4162</v>
          </cell>
          <cell r="J3457">
            <v>0.13426706783369802</v>
          </cell>
        </row>
        <row r="3458">
          <cell r="I3458">
            <v>4163</v>
          </cell>
          <cell r="J3458">
            <v>0.13426974835886213</v>
          </cell>
        </row>
        <row r="3459">
          <cell r="I3459">
            <v>4164</v>
          </cell>
          <cell r="J3459">
            <v>0.13427242888402624</v>
          </cell>
        </row>
        <row r="3460">
          <cell r="I3460">
            <v>4165</v>
          </cell>
          <cell r="J3460">
            <v>0.13427510940919038</v>
          </cell>
        </row>
        <row r="3461">
          <cell r="I3461">
            <v>4166</v>
          </cell>
          <cell r="J3461">
            <v>0.13427778993435449</v>
          </cell>
        </row>
        <row r="3462">
          <cell r="I3462">
            <v>4167</v>
          </cell>
          <cell r="J3462">
            <v>0.1342804704595186</v>
          </cell>
        </row>
        <row r="3463">
          <cell r="I3463">
            <v>4168</v>
          </cell>
          <cell r="J3463">
            <v>0.13428315098468271</v>
          </cell>
        </row>
        <row r="3464">
          <cell r="I3464">
            <v>4169</v>
          </cell>
          <cell r="J3464">
            <v>0.13428583150984683</v>
          </cell>
        </row>
        <row r="3465">
          <cell r="I3465">
            <v>4170</v>
          </cell>
          <cell r="J3465">
            <v>0.13428851203501094</v>
          </cell>
        </row>
        <row r="3466">
          <cell r="I3466">
            <v>4171</v>
          </cell>
          <cell r="J3466">
            <v>0.13429119256017505</v>
          </cell>
        </row>
        <row r="3467">
          <cell r="I3467">
            <v>4172</v>
          </cell>
          <cell r="J3467">
            <v>0.13429387308533916</v>
          </cell>
        </row>
        <row r="3468">
          <cell r="I3468">
            <v>4173</v>
          </cell>
          <cell r="J3468">
            <v>0.13429655361050327</v>
          </cell>
        </row>
        <row r="3469">
          <cell r="I3469">
            <v>4174</v>
          </cell>
          <cell r="J3469">
            <v>0.13429923413566738</v>
          </cell>
        </row>
        <row r="3470">
          <cell r="I3470">
            <v>4175</v>
          </cell>
          <cell r="J3470">
            <v>0.1343019146608315</v>
          </cell>
        </row>
        <row r="3471">
          <cell r="I3471">
            <v>4176</v>
          </cell>
          <cell r="J3471">
            <v>0.13430459518599561</v>
          </cell>
        </row>
        <row r="3472">
          <cell r="I3472">
            <v>4177</v>
          </cell>
          <cell r="J3472">
            <v>0.13430727571115975</v>
          </cell>
        </row>
        <row r="3473">
          <cell r="I3473">
            <v>4178</v>
          </cell>
          <cell r="J3473">
            <v>0.13430995623632386</v>
          </cell>
        </row>
        <row r="3474">
          <cell r="I3474">
            <v>4179</v>
          </cell>
          <cell r="J3474">
            <v>0.13431263676148797</v>
          </cell>
        </row>
        <row r="3475">
          <cell r="I3475">
            <v>4180</v>
          </cell>
          <cell r="J3475">
            <v>0.13431531728665208</v>
          </cell>
        </row>
        <row r="3476">
          <cell r="I3476">
            <v>4181</v>
          </cell>
          <cell r="J3476">
            <v>0.13431799781181619</v>
          </cell>
        </row>
        <row r="3477">
          <cell r="I3477">
            <v>4182</v>
          </cell>
          <cell r="J3477">
            <v>0.1343206783369803</v>
          </cell>
        </row>
        <row r="3478">
          <cell r="I3478">
            <v>4183</v>
          </cell>
          <cell r="J3478">
            <v>0.13432335886214442</v>
          </cell>
        </row>
        <row r="3479">
          <cell r="I3479">
            <v>4184</v>
          </cell>
          <cell r="J3479">
            <v>0.13432603938730853</v>
          </cell>
        </row>
        <row r="3480">
          <cell r="I3480">
            <v>4185</v>
          </cell>
          <cell r="J3480">
            <v>0.13432871991247264</v>
          </cell>
        </row>
        <row r="3481">
          <cell r="I3481">
            <v>4186</v>
          </cell>
          <cell r="J3481">
            <v>0.13433140043763675</v>
          </cell>
        </row>
        <row r="3482">
          <cell r="I3482">
            <v>4187</v>
          </cell>
          <cell r="J3482">
            <v>0.13433408096280086</v>
          </cell>
        </row>
        <row r="3483">
          <cell r="I3483">
            <v>4188</v>
          </cell>
          <cell r="J3483">
            <v>0.13433676148796497</v>
          </cell>
        </row>
        <row r="3484">
          <cell r="I3484">
            <v>4189</v>
          </cell>
          <cell r="J3484">
            <v>0.13433944201312908</v>
          </cell>
        </row>
        <row r="3485">
          <cell r="I3485">
            <v>4190</v>
          </cell>
          <cell r="J3485">
            <v>0.13434212253829322</v>
          </cell>
        </row>
        <row r="3486">
          <cell r="I3486">
            <v>4191</v>
          </cell>
          <cell r="J3486">
            <v>0.13434480306345734</v>
          </cell>
        </row>
        <row r="3487">
          <cell r="I3487">
            <v>4192</v>
          </cell>
          <cell r="J3487">
            <v>0.13434748358862145</v>
          </cell>
        </row>
        <row r="3488">
          <cell r="I3488">
            <v>4193</v>
          </cell>
          <cell r="J3488">
            <v>0.13435016411378556</v>
          </cell>
        </row>
        <row r="3489">
          <cell r="I3489">
            <v>4194</v>
          </cell>
          <cell r="J3489">
            <v>0.13435284463894967</v>
          </cell>
        </row>
        <row r="3490">
          <cell r="I3490">
            <v>4195</v>
          </cell>
          <cell r="J3490">
            <v>0.13435552516411378</v>
          </cell>
        </row>
        <row r="3491">
          <cell r="I3491">
            <v>4196</v>
          </cell>
          <cell r="J3491">
            <v>0.13435820568927789</v>
          </cell>
        </row>
        <row r="3492">
          <cell r="I3492">
            <v>4197</v>
          </cell>
          <cell r="J3492">
            <v>0.134360886214442</v>
          </cell>
        </row>
        <row r="3493">
          <cell r="I3493">
            <v>4198</v>
          </cell>
          <cell r="J3493">
            <v>0.13436356673960612</v>
          </cell>
        </row>
        <row r="3494">
          <cell r="I3494">
            <v>4199</v>
          </cell>
          <cell r="J3494">
            <v>0.13436624726477023</v>
          </cell>
        </row>
        <row r="3495">
          <cell r="I3495">
            <v>4200</v>
          </cell>
          <cell r="J3495">
            <v>0.13436892778993434</v>
          </cell>
        </row>
        <row r="3496">
          <cell r="I3496">
            <v>4201</v>
          </cell>
          <cell r="J3496">
            <v>0.13437160831509845</v>
          </cell>
        </row>
        <row r="3497">
          <cell r="I3497">
            <v>4202</v>
          </cell>
          <cell r="J3497">
            <v>0.13437428884026259</v>
          </cell>
        </row>
        <row r="3498">
          <cell r="I3498">
            <v>4203</v>
          </cell>
          <cell r="J3498">
            <v>0.1343769693654267</v>
          </cell>
        </row>
        <row r="3499">
          <cell r="I3499">
            <v>4204</v>
          </cell>
          <cell r="J3499">
            <v>0.13437964989059081</v>
          </cell>
        </row>
        <row r="3500">
          <cell r="I3500">
            <v>4205</v>
          </cell>
          <cell r="J3500">
            <v>0.13438233041575492</v>
          </cell>
        </row>
        <row r="3501">
          <cell r="I3501">
            <v>4206</v>
          </cell>
          <cell r="J3501">
            <v>0.13438501094091904</v>
          </cell>
        </row>
        <row r="3502">
          <cell r="I3502">
            <v>4207</v>
          </cell>
          <cell r="J3502">
            <v>0.13438769146608315</v>
          </cell>
        </row>
        <row r="3503">
          <cell r="I3503">
            <v>4208</v>
          </cell>
          <cell r="J3503">
            <v>0.13439037199124726</v>
          </cell>
        </row>
        <row r="3504">
          <cell r="I3504">
            <v>4209</v>
          </cell>
          <cell r="J3504">
            <v>0.13439305251641137</v>
          </cell>
        </row>
        <row r="3505">
          <cell r="I3505">
            <v>4210</v>
          </cell>
          <cell r="J3505">
            <v>0.13439573304157548</v>
          </cell>
        </row>
        <row r="3506">
          <cell r="I3506">
            <v>4211</v>
          </cell>
          <cell r="J3506">
            <v>0.13439841356673959</v>
          </cell>
        </row>
        <row r="3507">
          <cell r="I3507">
            <v>4212</v>
          </cell>
          <cell r="J3507">
            <v>0.13440109409190371</v>
          </cell>
        </row>
        <row r="3508">
          <cell r="I3508">
            <v>4213</v>
          </cell>
          <cell r="J3508">
            <v>0.13440377461706782</v>
          </cell>
        </row>
        <row r="3509">
          <cell r="I3509">
            <v>4214</v>
          </cell>
          <cell r="J3509">
            <v>0.13440645514223193</v>
          </cell>
        </row>
        <row r="3510">
          <cell r="I3510">
            <v>4215</v>
          </cell>
          <cell r="J3510">
            <v>0.13440913566739607</v>
          </cell>
        </row>
        <row r="3511">
          <cell r="I3511">
            <v>4216</v>
          </cell>
          <cell r="J3511">
            <v>0.13441181619256018</v>
          </cell>
        </row>
        <row r="3512">
          <cell r="I3512">
            <v>4217</v>
          </cell>
          <cell r="J3512">
            <v>0.13441449671772429</v>
          </cell>
        </row>
        <row r="3513">
          <cell r="I3513">
            <v>4218</v>
          </cell>
          <cell r="J3513">
            <v>0.1344171772428884</v>
          </cell>
        </row>
        <row r="3514">
          <cell r="I3514">
            <v>4219</v>
          </cell>
          <cell r="J3514">
            <v>0.13441985776805251</v>
          </cell>
        </row>
        <row r="3515">
          <cell r="I3515">
            <v>4220</v>
          </cell>
          <cell r="J3515">
            <v>0.13442253829321663</v>
          </cell>
        </row>
        <row r="3516">
          <cell r="I3516">
            <v>4221</v>
          </cell>
          <cell r="J3516">
            <v>0.13442521881838074</v>
          </cell>
        </row>
        <row r="3517">
          <cell r="I3517">
            <v>4222</v>
          </cell>
          <cell r="J3517">
            <v>0.13442789934354485</v>
          </cell>
        </row>
        <row r="3518">
          <cell r="I3518">
            <v>4223</v>
          </cell>
          <cell r="J3518">
            <v>0.13443057986870896</v>
          </cell>
        </row>
        <row r="3519">
          <cell r="I3519">
            <v>4224</v>
          </cell>
          <cell r="J3519">
            <v>0.13443326039387307</v>
          </cell>
        </row>
        <row r="3520">
          <cell r="I3520">
            <v>4225</v>
          </cell>
          <cell r="J3520">
            <v>0.13443594091903718</v>
          </cell>
        </row>
        <row r="3521">
          <cell r="I3521">
            <v>4226</v>
          </cell>
          <cell r="J3521">
            <v>0.1344386214442013</v>
          </cell>
        </row>
        <row r="3522">
          <cell r="I3522">
            <v>4227</v>
          </cell>
          <cell r="J3522">
            <v>0.13444130196936543</v>
          </cell>
        </row>
        <row r="3523">
          <cell r="I3523">
            <v>4228</v>
          </cell>
          <cell r="J3523">
            <v>0.13444398249452955</v>
          </cell>
        </row>
        <row r="3524">
          <cell r="I3524">
            <v>4229</v>
          </cell>
          <cell r="J3524">
            <v>0.13444666301969366</v>
          </cell>
        </row>
        <row r="3525">
          <cell r="I3525">
            <v>4230</v>
          </cell>
          <cell r="J3525">
            <v>0.13444934354485777</v>
          </cell>
        </row>
        <row r="3526">
          <cell r="I3526">
            <v>4231</v>
          </cell>
          <cell r="J3526">
            <v>0.13445202407002188</v>
          </cell>
        </row>
        <row r="3527">
          <cell r="I3527">
            <v>4232</v>
          </cell>
          <cell r="J3527">
            <v>0.13445470459518599</v>
          </cell>
        </row>
        <row r="3528">
          <cell r="I3528">
            <v>4233</v>
          </cell>
          <cell r="J3528">
            <v>0.1344573851203501</v>
          </cell>
        </row>
        <row r="3529">
          <cell r="I3529">
            <v>4234</v>
          </cell>
          <cell r="J3529">
            <v>0.13446006564551422</v>
          </cell>
        </row>
        <row r="3530">
          <cell r="I3530">
            <v>4235</v>
          </cell>
          <cell r="J3530">
            <v>0.13446274617067833</v>
          </cell>
        </row>
        <row r="3531">
          <cell r="I3531">
            <v>4236</v>
          </cell>
          <cell r="J3531">
            <v>0.13446542669584244</v>
          </cell>
        </row>
        <row r="3532">
          <cell r="I3532">
            <v>4237</v>
          </cell>
          <cell r="J3532">
            <v>0.13446810722100655</v>
          </cell>
        </row>
        <row r="3533">
          <cell r="I3533">
            <v>4238</v>
          </cell>
          <cell r="J3533">
            <v>0.13447078774617066</v>
          </cell>
        </row>
        <row r="3534">
          <cell r="I3534">
            <v>4239</v>
          </cell>
          <cell r="J3534">
            <v>0.1344734682713348</v>
          </cell>
        </row>
        <row r="3535">
          <cell r="I3535">
            <v>4240</v>
          </cell>
          <cell r="J3535">
            <v>0.13447614879649891</v>
          </cell>
        </row>
        <row r="3536">
          <cell r="I3536">
            <v>4241</v>
          </cell>
          <cell r="J3536">
            <v>0.13447882932166302</v>
          </cell>
        </row>
        <row r="3537">
          <cell r="I3537">
            <v>4242</v>
          </cell>
          <cell r="J3537">
            <v>0.13448150984682714</v>
          </cell>
        </row>
        <row r="3538">
          <cell r="I3538">
            <v>4243</v>
          </cell>
          <cell r="J3538">
            <v>0.13448419037199125</v>
          </cell>
        </row>
        <row r="3539">
          <cell r="I3539">
            <v>4244</v>
          </cell>
          <cell r="J3539">
            <v>0.13448687089715536</v>
          </cell>
        </row>
        <row r="3540">
          <cell r="I3540">
            <v>4245</v>
          </cell>
          <cell r="J3540">
            <v>0.13448955142231947</v>
          </cell>
        </row>
        <row r="3541">
          <cell r="I3541">
            <v>4246</v>
          </cell>
          <cell r="J3541">
            <v>0.13449223194748358</v>
          </cell>
        </row>
        <row r="3542">
          <cell r="I3542">
            <v>4247</v>
          </cell>
          <cell r="J3542">
            <v>0.13449491247264769</v>
          </cell>
        </row>
        <row r="3543">
          <cell r="I3543">
            <v>4248</v>
          </cell>
          <cell r="J3543">
            <v>0.1344975929978118</v>
          </cell>
        </row>
        <row r="3544">
          <cell r="I3544">
            <v>4249</v>
          </cell>
          <cell r="J3544">
            <v>0.13450027352297592</v>
          </cell>
        </row>
        <row r="3545">
          <cell r="I3545">
            <v>4250</v>
          </cell>
          <cell r="J3545">
            <v>0.13450295404814003</v>
          </cell>
        </row>
        <row r="3546">
          <cell r="I3546">
            <v>4251</v>
          </cell>
          <cell r="J3546">
            <v>0.13450563457330417</v>
          </cell>
        </row>
        <row r="3547">
          <cell r="I3547">
            <v>4252</v>
          </cell>
          <cell r="J3547">
            <v>0.13450831509846828</v>
          </cell>
        </row>
        <row r="3548">
          <cell r="I3548">
            <v>4253</v>
          </cell>
          <cell r="J3548">
            <v>0.13451099562363239</v>
          </cell>
        </row>
        <row r="3549">
          <cell r="I3549">
            <v>4254</v>
          </cell>
          <cell r="J3549">
            <v>0.1345136761487965</v>
          </cell>
        </row>
        <row r="3550">
          <cell r="I3550">
            <v>4255</v>
          </cell>
          <cell r="J3550">
            <v>0.13451635667396061</v>
          </cell>
        </row>
        <row r="3551">
          <cell r="I3551">
            <v>4256</v>
          </cell>
          <cell r="J3551">
            <v>0.13451903719912472</v>
          </cell>
        </row>
        <row r="3552">
          <cell r="I3552">
            <v>4257</v>
          </cell>
          <cell r="J3552">
            <v>0.13452171772428884</v>
          </cell>
        </row>
        <row r="3553">
          <cell r="I3553">
            <v>4258</v>
          </cell>
          <cell r="J3553">
            <v>0.13452439824945295</v>
          </cell>
        </row>
        <row r="3554">
          <cell r="I3554">
            <v>4259</v>
          </cell>
          <cell r="J3554">
            <v>0.13452707877461706</v>
          </cell>
        </row>
        <row r="3555">
          <cell r="I3555">
            <v>4260</v>
          </cell>
          <cell r="J3555">
            <v>0.13452975929978117</v>
          </cell>
        </row>
        <row r="3556">
          <cell r="I3556">
            <v>4261</v>
          </cell>
          <cell r="J3556">
            <v>0.13453243982494528</v>
          </cell>
        </row>
        <row r="3557">
          <cell r="I3557">
            <v>4262</v>
          </cell>
          <cell r="J3557">
            <v>0.13453512035010939</v>
          </cell>
        </row>
        <row r="3558">
          <cell r="I3558">
            <v>4263</v>
          </cell>
          <cell r="J3558">
            <v>0.13453780087527351</v>
          </cell>
        </row>
        <row r="3559">
          <cell r="I3559">
            <v>4264</v>
          </cell>
          <cell r="J3559">
            <v>0.13454048140043764</v>
          </cell>
        </row>
        <row r="3560">
          <cell r="I3560">
            <v>4265</v>
          </cell>
          <cell r="J3560">
            <v>0.13454316192560176</v>
          </cell>
        </row>
        <row r="3561">
          <cell r="I3561">
            <v>4266</v>
          </cell>
          <cell r="J3561">
            <v>0.13454584245076587</v>
          </cell>
        </row>
        <row r="3562">
          <cell r="I3562">
            <v>4267</v>
          </cell>
          <cell r="J3562">
            <v>0.13454852297592998</v>
          </cell>
        </row>
        <row r="3563">
          <cell r="I3563">
            <v>4268</v>
          </cell>
          <cell r="J3563">
            <v>0.13455120350109409</v>
          </cell>
        </row>
        <row r="3564">
          <cell r="I3564">
            <v>4269</v>
          </cell>
          <cell r="J3564">
            <v>0.1345538840262582</v>
          </cell>
        </row>
        <row r="3565">
          <cell r="I3565">
            <v>4270</v>
          </cell>
          <cell r="J3565">
            <v>0.13455656455142231</v>
          </cell>
        </row>
        <row r="3566">
          <cell r="I3566">
            <v>4271</v>
          </cell>
          <cell r="J3566">
            <v>0.13455924507658643</v>
          </cell>
        </row>
        <row r="3567">
          <cell r="I3567">
            <v>4272</v>
          </cell>
          <cell r="J3567">
            <v>0.13456192560175054</v>
          </cell>
        </row>
        <row r="3568">
          <cell r="I3568">
            <v>4273</v>
          </cell>
          <cell r="J3568">
            <v>0.13456460612691465</v>
          </cell>
        </row>
        <row r="3569">
          <cell r="I3569">
            <v>4274</v>
          </cell>
          <cell r="J3569">
            <v>0.13456728665207876</v>
          </cell>
        </row>
        <row r="3570">
          <cell r="I3570">
            <v>4275</v>
          </cell>
          <cell r="J3570">
            <v>0.13456996717724287</v>
          </cell>
        </row>
        <row r="3571">
          <cell r="I3571">
            <v>4276</v>
          </cell>
          <cell r="J3571">
            <v>0.13457264770240701</v>
          </cell>
        </row>
        <row r="3572">
          <cell r="I3572">
            <v>4277</v>
          </cell>
          <cell r="J3572">
            <v>0.13457532822757112</v>
          </cell>
        </row>
        <row r="3573">
          <cell r="I3573">
            <v>4278</v>
          </cell>
          <cell r="J3573">
            <v>0.13457800875273523</v>
          </cell>
        </row>
        <row r="3574">
          <cell r="I3574">
            <v>4279</v>
          </cell>
          <cell r="J3574">
            <v>0.13458068927789935</v>
          </cell>
        </row>
        <row r="3575">
          <cell r="I3575">
            <v>4280</v>
          </cell>
          <cell r="J3575">
            <v>0.13458336980306346</v>
          </cell>
        </row>
        <row r="3576">
          <cell r="I3576">
            <v>4281</v>
          </cell>
          <cell r="J3576">
            <v>0.13458605032822757</v>
          </cell>
        </row>
        <row r="3577">
          <cell r="I3577">
            <v>4282</v>
          </cell>
          <cell r="J3577">
            <v>0.13458873085339168</v>
          </cell>
        </row>
        <row r="3578">
          <cell r="I3578">
            <v>4283</v>
          </cell>
          <cell r="J3578">
            <v>0.13459141137855579</v>
          </cell>
        </row>
        <row r="3579">
          <cell r="I3579">
            <v>4284</v>
          </cell>
          <cell r="J3579">
            <v>0.1345940919037199</v>
          </cell>
        </row>
        <row r="3580">
          <cell r="I3580">
            <v>4285</v>
          </cell>
          <cell r="J3580">
            <v>0.13459677242888402</v>
          </cell>
        </row>
        <row r="3581">
          <cell r="I3581">
            <v>4286</v>
          </cell>
          <cell r="J3581">
            <v>0.13459945295404813</v>
          </cell>
        </row>
        <row r="3582">
          <cell r="I3582">
            <v>4287</v>
          </cell>
          <cell r="J3582">
            <v>0.13460213347921224</v>
          </cell>
        </row>
        <row r="3583">
          <cell r="I3583">
            <v>4288</v>
          </cell>
          <cell r="J3583">
            <v>0.13460481400437635</v>
          </cell>
        </row>
        <row r="3584">
          <cell r="I3584">
            <v>4289</v>
          </cell>
          <cell r="J3584">
            <v>0.13460749452954049</v>
          </cell>
        </row>
        <row r="3585">
          <cell r="I3585">
            <v>4290</v>
          </cell>
          <cell r="J3585">
            <v>0.1346101750547046</v>
          </cell>
        </row>
        <row r="3586">
          <cell r="I3586">
            <v>4291</v>
          </cell>
          <cell r="J3586">
            <v>0.13461285557986871</v>
          </cell>
        </row>
        <row r="3587">
          <cell r="I3587">
            <v>4292</v>
          </cell>
          <cell r="J3587">
            <v>0.13461553610503282</v>
          </cell>
        </row>
        <row r="3588">
          <cell r="I3588">
            <v>4293</v>
          </cell>
          <cell r="J3588">
            <v>0.13461821663019694</v>
          </cell>
        </row>
        <row r="3589">
          <cell r="I3589">
            <v>4294</v>
          </cell>
          <cell r="J3589">
            <v>0.13462089715536105</v>
          </cell>
        </row>
        <row r="3590">
          <cell r="I3590">
            <v>4295</v>
          </cell>
          <cell r="J3590">
            <v>0.13462357768052516</v>
          </cell>
        </row>
        <row r="3591">
          <cell r="I3591">
            <v>4296</v>
          </cell>
          <cell r="J3591">
            <v>0.13462625820568927</v>
          </cell>
        </row>
        <row r="3592">
          <cell r="I3592">
            <v>4297</v>
          </cell>
          <cell r="J3592">
            <v>0.13462893873085338</v>
          </cell>
        </row>
        <row r="3593">
          <cell r="I3593">
            <v>4298</v>
          </cell>
          <cell r="J3593">
            <v>0.13463161925601749</v>
          </cell>
        </row>
        <row r="3594">
          <cell r="I3594">
            <v>4299</v>
          </cell>
          <cell r="J3594">
            <v>0.1346342997811816</v>
          </cell>
        </row>
        <row r="3595">
          <cell r="I3595">
            <v>4300</v>
          </cell>
          <cell r="J3595">
            <v>0.13463698030634572</v>
          </cell>
        </row>
        <row r="3596">
          <cell r="I3596">
            <v>4301</v>
          </cell>
          <cell r="J3596">
            <v>0.13463966083150986</v>
          </cell>
        </row>
        <row r="3597">
          <cell r="I3597">
            <v>4302</v>
          </cell>
          <cell r="J3597">
            <v>0.13464234135667397</v>
          </cell>
        </row>
        <row r="3598">
          <cell r="I3598">
            <v>4303</v>
          </cell>
          <cell r="J3598">
            <v>0.13464502188183808</v>
          </cell>
        </row>
        <row r="3599">
          <cell r="I3599">
            <v>4304</v>
          </cell>
          <cell r="J3599">
            <v>0.13464770240700219</v>
          </cell>
        </row>
        <row r="3600">
          <cell r="I3600">
            <v>4305</v>
          </cell>
          <cell r="J3600">
            <v>0.1346503829321663</v>
          </cell>
        </row>
        <row r="3601">
          <cell r="I3601">
            <v>4306</v>
          </cell>
          <cell r="J3601">
            <v>0.13465306345733041</v>
          </cell>
        </row>
        <row r="3602">
          <cell r="I3602">
            <v>4307</v>
          </cell>
          <cell r="J3602">
            <v>0.13465574398249452</v>
          </cell>
        </row>
        <row r="3603">
          <cell r="I3603">
            <v>4308</v>
          </cell>
          <cell r="J3603">
            <v>0.13465842450765864</v>
          </cell>
        </row>
        <row r="3604">
          <cell r="I3604">
            <v>4309</v>
          </cell>
          <cell r="J3604">
            <v>0.13466110503282275</v>
          </cell>
        </row>
        <row r="3605">
          <cell r="I3605">
            <v>4310</v>
          </cell>
          <cell r="J3605">
            <v>0.13466378555798686</v>
          </cell>
        </row>
        <row r="3606">
          <cell r="I3606">
            <v>4311</v>
          </cell>
          <cell r="J3606">
            <v>0.13466646608315097</v>
          </cell>
        </row>
        <row r="3607">
          <cell r="I3607">
            <v>4312</v>
          </cell>
          <cell r="J3607">
            <v>0.13466914660831508</v>
          </cell>
        </row>
        <row r="3608">
          <cell r="I3608">
            <v>4313</v>
          </cell>
          <cell r="J3608">
            <v>0.13467182713347922</v>
          </cell>
        </row>
        <row r="3609">
          <cell r="I3609">
            <v>4314</v>
          </cell>
          <cell r="J3609">
            <v>0.13467450765864333</v>
          </cell>
        </row>
        <row r="3610">
          <cell r="I3610">
            <v>4315</v>
          </cell>
          <cell r="J3610">
            <v>0.13467718818380744</v>
          </cell>
        </row>
        <row r="3611">
          <cell r="I3611">
            <v>4316</v>
          </cell>
          <cell r="J3611">
            <v>0.13467986870897156</v>
          </cell>
        </row>
        <row r="3612">
          <cell r="I3612">
            <v>4317</v>
          </cell>
          <cell r="J3612">
            <v>0.13468254923413567</v>
          </cell>
        </row>
        <row r="3613">
          <cell r="I3613">
            <v>4318</v>
          </cell>
          <cell r="J3613">
            <v>0.13468522975929978</v>
          </cell>
        </row>
        <row r="3614">
          <cell r="I3614">
            <v>4319</v>
          </cell>
          <cell r="J3614">
            <v>0.13468791028446389</v>
          </cell>
        </row>
        <row r="3615">
          <cell r="I3615">
            <v>4320</v>
          </cell>
          <cell r="J3615">
            <v>0.134690590809628</v>
          </cell>
        </row>
        <row r="3616">
          <cell r="I3616">
            <v>4321</v>
          </cell>
          <cell r="J3616">
            <v>0.13469327133479211</v>
          </cell>
        </row>
        <row r="3617">
          <cell r="I3617">
            <v>4322</v>
          </cell>
          <cell r="J3617">
            <v>0.13469595185995623</v>
          </cell>
        </row>
        <row r="3618">
          <cell r="I3618">
            <v>4323</v>
          </cell>
          <cell r="J3618">
            <v>0.13469863238512034</v>
          </cell>
        </row>
        <row r="3619">
          <cell r="I3619">
            <v>4324</v>
          </cell>
          <cell r="J3619">
            <v>0.13470131291028445</v>
          </cell>
        </row>
        <row r="3620">
          <cell r="I3620">
            <v>4325</v>
          </cell>
          <cell r="J3620">
            <v>0.13470399343544856</v>
          </cell>
        </row>
        <row r="3621">
          <cell r="I3621">
            <v>4326</v>
          </cell>
          <cell r="J3621">
            <v>0.1347066739606127</v>
          </cell>
        </row>
        <row r="3622">
          <cell r="I3622">
            <v>4327</v>
          </cell>
          <cell r="J3622">
            <v>0.13470935448577681</v>
          </cell>
        </row>
        <row r="3623">
          <cell r="I3623">
            <v>4328</v>
          </cell>
          <cell r="J3623">
            <v>0.13471203501094092</v>
          </cell>
        </row>
        <row r="3624">
          <cell r="I3624">
            <v>4329</v>
          </cell>
          <cell r="J3624">
            <v>0.13471471553610503</v>
          </cell>
        </row>
        <row r="3625">
          <cell r="I3625">
            <v>4330</v>
          </cell>
          <cell r="J3625">
            <v>0.13471739606126915</v>
          </cell>
        </row>
        <row r="3626">
          <cell r="I3626">
            <v>4331</v>
          </cell>
          <cell r="J3626">
            <v>0.13472007658643326</v>
          </cell>
        </row>
        <row r="3627">
          <cell r="I3627">
            <v>4332</v>
          </cell>
          <cell r="J3627">
            <v>0.13472275711159737</v>
          </cell>
        </row>
        <row r="3628">
          <cell r="I3628">
            <v>4333</v>
          </cell>
          <cell r="J3628">
            <v>0.13472543763676148</v>
          </cell>
        </row>
        <row r="3629">
          <cell r="I3629">
            <v>4334</v>
          </cell>
          <cell r="J3629">
            <v>0.13472811816192559</v>
          </cell>
        </row>
        <row r="3630">
          <cell r="I3630">
            <v>4335</v>
          </cell>
          <cell r="J3630">
            <v>0.1347307986870897</v>
          </cell>
        </row>
        <row r="3631">
          <cell r="I3631">
            <v>4336</v>
          </cell>
          <cell r="J3631">
            <v>0.13473347921225381</v>
          </cell>
        </row>
        <row r="3632">
          <cell r="I3632">
            <v>4337</v>
          </cell>
          <cell r="J3632">
            <v>0.13473615973741793</v>
          </cell>
        </row>
        <row r="3633">
          <cell r="I3633">
            <v>4338</v>
          </cell>
          <cell r="J3633">
            <v>0.13473884026258207</v>
          </cell>
        </row>
        <row r="3634">
          <cell r="I3634">
            <v>4339</v>
          </cell>
          <cell r="J3634">
            <v>0.13474152078774618</v>
          </cell>
        </row>
        <row r="3635">
          <cell r="I3635">
            <v>4340</v>
          </cell>
          <cell r="J3635">
            <v>0.13474420131291029</v>
          </cell>
        </row>
        <row r="3636">
          <cell r="I3636">
            <v>4341</v>
          </cell>
          <cell r="J3636">
            <v>0.1347468818380744</v>
          </cell>
        </row>
        <row r="3637">
          <cell r="I3637">
            <v>4342</v>
          </cell>
          <cell r="J3637">
            <v>0.13474956236323851</v>
          </cell>
        </row>
        <row r="3638">
          <cell r="I3638">
            <v>4343</v>
          </cell>
          <cell r="J3638">
            <v>0.13475224288840262</v>
          </cell>
        </row>
        <row r="3639">
          <cell r="I3639">
            <v>4344</v>
          </cell>
          <cell r="J3639">
            <v>0.13475492341356674</v>
          </cell>
        </row>
        <row r="3640">
          <cell r="I3640">
            <v>4345</v>
          </cell>
          <cell r="J3640">
            <v>0.13475760393873085</v>
          </cell>
        </row>
        <row r="3641">
          <cell r="I3641">
            <v>4346</v>
          </cell>
          <cell r="J3641">
            <v>0.13476028446389496</v>
          </cell>
        </row>
        <row r="3642">
          <cell r="I3642">
            <v>4347</v>
          </cell>
          <cell r="J3642">
            <v>0.13476296498905907</v>
          </cell>
        </row>
        <row r="3643">
          <cell r="I3643">
            <v>4348</v>
          </cell>
          <cell r="J3643">
            <v>0.13476564551422318</v>
          </cell>
        </row>
        <row r="3644">
          <cell r="I3644">
            <v>4349</v>
          </cell>
          <cell r="J3644">
            <v>0.13476832603938729</v>
          </cell>
        </row>
        <row r="3645">
          <cell r="I3645">
            <v>4350</v>
          </cell>
          <cell r="J3645">
            <v>0.13477100656455143</v>
          </cell>
        </row>
        <row r="3646">
          <cell r="I3646">
            <v>4351</v>
          </cell>
          <cell r="J3646">
            <v>0.13477368708971554</v>
          </cell>
        </row>
        <row r="3647">
          <cell r="I3647">
            <v>4352</v>
          </cell>
          <cell r="J3647">
            <v>0.13477636761487966</v>
          </cell>
        </row>
        <row r="3648">
          <cell r="I3648">
            <v>4353</v>
          </cell>
          <cell r="J3648">
            <v>0.13477904814004377</v>
          </cell>
        </row>
        <row r="3649">
          <cell r="I3649">
            <v>4354</v>
          </cell>
          <cell r="J3649">
            <v>0.13478172866520788</v>
          </cell>
        </row>
        <row r="3650">
          <cell r="I3650">
            <v>4355</v>
          </cell>
          <cell r="J3650">
            <v>0.13478440919037199</v>
          </cell>
        </row>
        <row r="3651">
          <cell r="I3651">
            <v>4356</v>
          </cell>
          <cell r="J3651">
            <v>0.1347870897155361</v>
          </cell>
        </row>
        <row r="3652">
          <cell r="I3652">
            <v>4357</v>
          </cell>
          <cell r="J3652">
            <v>0.13478977024070021</v>
          </cell>
        </row>
        <row r="3653">
          <cell r="I3653">
            <v>4358</v>
          </cell>
          <cell r="J3653">
            <v>0.13479245076586432</v>
          </cell>
        </row>
        <row r="3654">
          <cell r="I3654">
            <v>4359</v>
          </cell>
          <cell r="J3654">
            <v>0.13479513129102844</v>
          </cell>
        </row>
        <row r="3655">
          <cell r="I3655">
            <v>4360</v>
          </cell>
          <cell r="J3655">
            <v>0.13479781181619255</v>
          </cell>
        </row>
        <row r="3656">
          <cell r="I3656">
            <v>4361</v>
          </cell>
          <cell r="J3656">
            <v>0.13480049234135666</v>
          </cell>
        </row>
        <row r="3657">
          <cell r="I3657">
            <v>4362</v>
          </cell>
          <cell r="J3657">
            <v>0.13480317286652077</v>
          </cell>
        </row>
        <row r="3658">
          <cell r="I3658">
            <v>4363</v>
          </cell>
          <cell r="J3658">
            <v>0.13480585339168491</v>
          </cell>
        </row>
        <row r="3659">
          <cell r="I3659">
            <v>4364</v>
          </cell>
          <cell r="J3659">
            <v>0.13480853391684902</v>
          </cell>
        </row>
        <row r="3660">
          <cell r="I3660">
            <v>4365</v>
          </cell>
          <cell r="J3660">
            <v>0.13481121444201313</v>
          </cell>
        </row>
        <row r="3661">
          <cell r="I3661">
            <v>4366</v>
          </cell>
          <cell r="J3661">
            <v>0.13481389496717724</v>
          </cell>
        </row>
        <row r="3662">
          <cell r="I3662">
            <v>4367</v>
          </cell>
          <cell r="J3662">
            <v>0.13481657549234136</v>
          </cell>
        </row>
        <row r="3663">
          <cell r="I3663">
            <v>4368</v>
          </cell>
          <cell r="J3663">
            <v>0.13481925601750547</v>
          </cell>
        </row>
        <row r="3664">
          <cell r="I3664">
            <v>4369</v>
          </cell>
          <cell r="J3664">
            <v>0.13482193654266958</v>
          </cell>
        </row>
        <row r="3665">
          <cell r="I3665">
            <v>4370</v>
          </cell>
          <cell r="J3665">
            <v>0.13482461706783369</v>
          </cell>
        </row>
        <row r="3666">
          <cell r="I3666">
            <v>4371</v>
          </cell>
          <cell r="J3666">
            <v>0.1348272975929978</v>
          </cell>
        </row>
        <row r="3667">
          <cell r="I3667">
            <v>4372</v>
          </cell>
          <cell r="J3667">
            <v>0.13482997811816191</v>
          </cell>
        </row>
        <row r="3668">
          <cell r="I3668">
            <v>4373</v>
          </cell>
          <cell r="J3668">
            <v>0.13483265864332603</v>
          </cell>
        </row>
        <row r="3669">
          <cell r="I3669">
            <v>4374</v>
          </cell>
          <cell r="J3669">
            <v>0.13483533916849014</v>
          </cell>
        </row>
        <row r="3670">
          <cell r="I3670">
            <v>4375</v>
          </cell>
          <cell r="J3670">
            <v>0.13483801969365428</v>
          </cell>
        </row>
        <row r="3671">
          <cell r="I3671">
            <v>4376</v>
          </cell>
          <cell r="J3671">
            <v>0.13484070021881839</v>
          </cell>
        </row>
        <row r="3672">
          <cell r="I3672">
            <v>4377</v>
          </cell>
          <cell r="J3672">
            <v>0.1348433807439825</v>
          </cell>
        </row>
        <row r="3673">
          <cell r="I3673">
            <v>4378</v>
          </cell>
          <cell r="J3673">
            <v>0.13484606126914661</v>
          </cell>
        </row>
        <row r="3674">
          <cell r="I3674">
            <v>4379</v>
          </cell>
          <cell r="J3674">
            <v>0.13484874179431072</v>
          </cell>
        </row>
        <row r="3675">
          <cell r="I3675">
            <v>4380</v>
          </cell>
          <cell r="J3675">
            <v>0.13485142231947483</v>
          </cell>
        </row>
        <row r="3676">
          <cell r="I3676">
            <v>4381</v>
          </cell>
          <cell r="J3676">
            <v>0.13485410284463895</v>
          </cell>
        </row>
        <row r="3677">
          <cell r="I3677">
            <v>4382</v>
          </cell>
          <cell r="J3677">
            <v>0.13485678336980306</v>
          </cell>
        </row>
        <row r="3678">
          <cell r="I3678">
            <v>4383</v>
          </cell>
          <cell r="J3678">
            <v>0.13485946389496717</v>
          </cell>
        </row>
        <row r="3679">
          <cell r="I3679">
            <v>4384</v>
          </cell>
          <cell r="J3679">
            <v>0.13486214442013128</v>
          </cell>
        </row>
        <row r="3680">
          <cell r="I3680">
            <v>4385</v>
          </cell>
          <cell r="J3680">
            <v>0.13486482494529539</v>
          </cell>
        </row>
        <row r="3681">
          <cell r="I3681">
            <v>4386</v>
          </cell>
          <cell r="J3681">
            <v>0.1348675054704595</v>
          </cell>
        </row>
        <row r="3682">
          <cell r="I3682">
            <v>4387</v>
          </cell>
          <cell r="J3682">
            <v>0.13487018599562364</v>
          </cell>
        </row>
        <row r="3683">
          <cell r="I3683">
            <v>4388</v>
          </cell>
          <cell r="J3683">
            <v>0.13487286652078775</v>
          </cell>
        </row>
        <row r="3684">
          <cell r="I3684">
            <v>4389</v>
          </cell>
          <cell r="J3684">
            <v>0.13487554704595187</v>
          </cell>
        </row>
        <row r="3685">
          <cell r="I3685">
            <v>4390</v>
          </cell>
          <cell r="J3685">
            <v>0.13487822757111598</v>
          </cell>
        </row>
        <row r="3686">
          <cell r="I3686">
            <v>4391</v>
          </cell>
          <cell r="J3686">
            <v>0.13488090809628009</v>
          </cell>
        </row>
        <row r="3687">
          <cell r="I3687">
            <v>4392</v>
          </cell>
          <cell r="J3687">
            <v>0.1348835886214442</v>
          </cell>
        </row>
        <row r="3688">
          <cell r="I3688">
            <v>4393</v>
          </cell>
          <cell r="J3688">
            <v>0.13488626914660831</v>
          </cell>
        </row>
        <row r="3689">
          <cell r="I3689">
            <v>4394</v>
          </cell>
          <cell r="J3689">
            <v>0.13488894967177242</v>
          </cell>
        </row>
        <row r="3690">
          <cell r="I3690">
            <v>4395</v>
          </cell>
          <cell r="J3690">
            <v>0.13489163019693654</v>
          </cell>
        </row>
        <row r="3691">
          <cell r="I3691">
            <v>4396</v>
          </cell>
          <cell r="J3691">
            <v>0.13489431072210065</v>
          </cell>
        </row>
        <row r="3692">
          <cell r="I3692">
            <v>4397</v>
          </cell>
          <cell r="J3692">
            <v>0.13489699124726476</v>
          </cell>
        </row>
        <row r="3693">
          <cell r="I3693">
            <v>4398</v>
          </cell>
          <cell r="J3693">
            <v>0.13489967177242887</v>
          </cell>
        </row>
        <row r="3694">
          <cell r="I3694">
            <v>4399</v>
          </cell>
          <cell r="J3694">
            <v>0.13490235229759298</v>
          </cell>
        </row>
        <row r="3695">
          <cell r="I3695">
            <v>4400</v>
          </cell>
          <cell r="J3695">
            <v>0.13490503282275712</v>
          </cell>
        </row>
        <row r="3696">
          <cell r="I3696">
            <v>4401</v>
          </cell>
          <cell r="J3696">
            <v>0.13490771334792123</v>
          </cell>
        </row>
        <row r="3697">
          <cell r="I3697">
            <v>4402</v>
          </cell>
          <cell r="J3697">
            <v>0.13491039387308534</v>
          </cell>
        </row>
        <row r="3698">
          <cell r="I3698">
            <v>4403</v>
          </cell>
          <cell r="J3698">
            <v>0.13491307439824946</v>
          </cell>
        </row>
        <row r="3699">
          <cell r="I3699">
            <v>4404</v>
          </cell>
          <cell r="J3699">
            <v>0.13491575492341357</v>
          </cell>
        </row>
        <row r="3700">
          <cell r="I3700">
            <v>4405</v>
          </cell>
          <cell r="J3700">
            <v>0.13491843544857768</v>
          </cell>
        </row>
        <row r="3701">
          <cell r="I3701">
            <v>4406</v>
          </cell>
          <cell r="J3701">
            <v>0.13492111597374179</v>
          </cell>
        </row>
        <row r="3702">
          <cell r="I3702">
            <v>4407</v>
          </cell>
          <cell r="J3702">
            <v>0.1349237964989059</v>
          </cell>
        </row>
        <row r="3703">
          <cell r="I3703">
            <v>4408</v>
          </cell>
          <cell r="J3703">
            <v>0.13492647702407001</v>
          </cell>
        </row>
        <row r="3704">
          <cell r="I3704">
            <v>4409</v>
          </cell>
          <cell r="J3704">
            <v>0.13492915754923412</v>
          </cell>
        </row>
        <row r="3705">
          <cell r="I3705">
            <v>4410</v>
          </cell>
          <cell r="J3705">
            <v>0.13493183807439824</v>
          </cell>
        </row>
        <row r="3706">
          <cell r="I3706">
            <v>4411</v>
          </cell>
          <cell r="J3706">
            <v>0.13493451859956235</v>
          </cell>
        </row>
        <row r="3707">
          <cell r="I3707">
            <v>4412</v>
          </cell>
          <cell r="J3707">
            <v>0.13493719912472649</v>
          </cell>
        </row>
        <row r="3708">
          <cell r="I3708">
            <v>4413</v>
          </cell>
          <cell r="J3708">
            <v>0.1349398796498906</v>
          </cell>
        </row>
        <row r="3709">
          <cell r="I3709">
            <v>4414</v>
          </cell>
          <cell r="J3709">
            <v>0.13494256017505471</v>
          </cell>
        </row>
        <row r="3710">
          <cell r="I3710">
            <v>4415</v>
          </cell>
          <cell r="J3710">
            <v>0.13494524070021882</v>
          </cell>
        </row>
        <row r="3711">
          <cell r="I3711">
            <v>4416</v>
          </cell>
          <cell r="J3711">
            <v>0.13494792122538293</v>
          </cell>
        </row>
        <row r="3712">
          <cell r="I3712">
            <v>4417</v>
          </cell>
          <cell r="J3712">
            <v>0.13495060175054704</v>
          </cell>
        </row>
        <row r="3713">
          <cell r="I3713">
            <v>4418</v>
          </cell>
          <cell r="J3713">
            <v>0.13495328227571116</v>
          </cell>
        </row>
        <row r="3714">
          <cell r="I3714">
            <v>4419</v>
          </cell>
          <cell r="J3714">
            <v>0.13495596280087527</v>
          </cell>
        </row>
        <row r="3715">
          <cell r="I3715">
            <v>4420</v>
          </cell>
          <cell r="J3715">
            <v>0.13495864332603938</v>
          </cell>
        </row>
        <row r="3716">
          <cell r="I3716">
            <v>4421</v>
          </cell>
          <cell r="J3716">
            <v>0.13496132385120349</v>
          </cell>
        </row>
        <row r="3717">
          <cell r="I3717">
            <v>4422</v>
          </cell>
          <cell r="J3717">
            <v>0.1349640043763676</v>
          </cell>
        </row>
        <row r="3718">
          <cell r="I3718">
            <v>4423</v>
          </cell>
          <cell r="J3718">
            <v>0.13496668490153171</v>
          </cell>
        </row>
        <row r="3719">
          <cell r="I3719">
            <v>4424</v>
          </cell>
          <cell r="J3719">
            <v>0.13496936542669585</v>
          </cell>
        </row>
        <row r="3720">
          <cell r="I3720">
            <v>4425</v>
          </cell>
          <cell r="J3720">
            <v>0.13497204595185996</v>
          </cell>
        </row>
        <row r="3721">
          <cell r="I3721">
            <v>4426</v>
          </cell>
          <cell r="J3721">
            <v>0.13497472647702408</v>
          </cell>
        </row>
        <row r="3722">
          <cell r="I3722">
            <v>4427</v>
          </cell>
          <cell r="J3722">
            <v>0.13497740700218819</v>
          </cell>
        </row>
        <row r="3723">
          <cell r="I3723">
            <v>4428</v>
          </cell>
          <cell r="J3723">
            <v>0.1349800875273523</v>
          </cell>
        </row>
        <row r="3724">
          <cell r="I3724">
            <v>4429</v>
          </cell>
          <cell r="J3724">
            <v>0.13498276805251641</v>
          </cell>
        </row>
        <row r="3725">
          <cell r="I3725">
            <v>4430</v>
          </cell>
          <cell r="J3725">
            <v>0.13498544857768052</v>
          </cell>
        </row>
        <row r="3726">
          <cell r="I3726">
            <v>4431</v>
          </cell>
          <cell r="J3726">
            <v>0.13498812910284463</v>
          </cell>
        </row>
        <row r="3727">
          <cell r="I3727">
            <v>4432</v>
          </cell>
          <cell r="J3727">
            <v>0.13499080962800875</v>
          </cell>
        </row>
        <row r="3728">
          <cell r="I3728">
            <v>4433</v>
          </cell>
          <cell r="J3728">
            <v>0.13499349015317286</v>
          </cell>
        </row>
        <row r="3729">
          <cell r="I3729">
            <v>4434</v>
          </cell>
          <cell r="J3729">
            <v>0.13499617067833697</v>
          </cell>
        </row>
        <row r="3730">
          <cell r="I3730">
            <v>4435</v>
          </cell>
          <cell r="J3730">
            <v>0.13499885120350108</v>
          </cell>
        </row>
        <row r="3731">
          <cell r="I3731">
            <v>4436</v>
          </cell>
          <cell r="J3731">
            <v>0.13500153172866519</v>
          </cell>
        </row>
        <row r="3732">
          <cell r="I3732">
            <v>4437</v>
          </cell>
          <cell r="J3732">
            <v>0.13500421225382933</v>
          </cell>
        </row>
        <row r="3733">
          <cell r="I3733">
            <v>4438</v>
          </cell>
          <cell r="J3733">
            <v>0.13500689277899344</v>
          </cell>
        </row>
        <row r="3734">
          <cell r="I3734">
            <v>4439</v>
          </cell>
          <cell r="J3734">
            <v>0.13500957330415755</v>
          </cell>
        </row>
        <row r="3735">
          <cell r="I3735">
            <v>4440</v>
          </cell>
          <cell r="J3735">
            <v>0.13501225382932167</v>
          </cell>
        </row>
        <row r="3736">
          <cell r="I3736">
            <v>4441</v>
          </cell>
          <cell r="J3736">
            <v>0.13501493435448578</v>
          </cell>
        </row>
        <row r="3737">
          <cell r="I3737">
            <v>4442</v>
          </cell>
          <cell r="J3737">
            <v>0.13501761487964989</v>
          </cell>
        </row>
        <row r="3738">
          <cell r="I3738">
            <v>4443</v>
          </cell>
          <cell r="J3738">
            <v>0.135020295404814</v>
          </cell>
        </row>
        <row r="3739">
          <cell r="I3739">
            <v>4444</v>
          </cell>
          <cell r="J3739">
            <v>0.13502297592997811</v>
          </cell>
        </row>
        <row r="3740">
          <cell r="I3740">
            <v>4445</v>
          </cell>
          <cell r="J3740">
            <v>0.13502565645514222</v>
          </cell>
        </row>
        <row r="3741">
          <cell r="I3741">
            <v>4446</v>
          </cell>
          <cell r="J3741">
            <v>0.13502833698030633</v>
          </cell>
        </row>
        <row r="3742">
          <cell r="I3742">
            <v>4447</v>
          </cell>
          <cell r="J3742">
            <v>0.13503101750547045</v>
          </cell>
        </row>
        <row r="3743">
          <cell r="I3743">
            <v>4448</v>
          </cell>
          <cell r="J3743">
            <v>0.13503369803063456</v>
          </cell>
        </row>
        <row r="3744">
          <cell r="I3744">
            <v>4449</v>
          </cell>
          <cell r="J3744">
            <v>0.1350363785557987</v>
          </cell>
        </row>
        <row r="3745">
          <cell r="I3745">
            <v>4450</v>
          </cell>
          <cell r="J3745">
            <v>0.13503905908096281</v>
          </cell>
        </row>
        <row r="3746">
          <cell r="I3746">
            <v>4451</v>
          </cell>
          <cell r="J3746">
            <v>0.13504173960612692</v>
          </cell>
        </row>
        <row r="3747">
          <cell r="I3747">
            <v>4452</v>
          </cell>
          <cell r="J3747">
            <v>0.13504442013129103</v>
          </cell>
        </row>
        <row r="3748">
          <cell r="I3748">
            <v>4453</v>
          </cell>
          <cell r="J3748">
            <v>0.13504710065645514</v>
          </cell>
        </row>
        <row r="3749">
          <cell r="I3749">
            <v>4454</v>
          </cell>
          <cell r="J3749">
            <v>0.13504978118161926</v>
          </cell>
        </row>
        <row r="3750">
          <cell r="I3750">
            <v>4455</v>
          </cell>
          <cell r="J3750">
            <v>0.13505246170678337</v>
          </cell>
        </row>
        <row r="3751">
          <cell r="I3751">
            <v>4456</v>
          </cell>
          <cell r="J3751">
            <v>0.13505514223194748</v>
          </cell>
        </row>
        <row r="3752">
          <cell r="I3752">
            <v>4457</v>
          </cell>
          <cell r="J3752">
            <v>0.13505782275711159</v>
          </cell>
        </row>
        <row r="3753">
          <cell r="I3753">
            <v>4458</v>
          </cell>
          <cell r="J3753">
            <v>0.1350605032822757</v>
          </cell>
        </row>
        <row r="3754">
          <cell r="I3754">
            <v>4459</v>
          </cell>
          <cell r="J3754">
            <v>0.13506318380743981</v>
          </cell>
        </row>
        <row r="3755">
          <cell r="I3755">
            <v>4460</v>
          </cell>
          <cell r="J3755">
            <v>0.13506586433260392</v>
          </cell>
        </row>
        <row r="3756">
          <cell r="I3756">
            <v>4461</v>
          </cell>
          <cell r="J3756">
            <v>0.13506854485776804</v>
          </cell>
        </row>
        <row r="3757">
          <cell r="I3757">
            <v>4462</v>
          </cell>
          <cell r="J3757">
            <v>0.13507122538293218</v>
          </cell>
        </row>
        <row r="3758">
          <cell r="I3758">
            <v>4463</v>
          </cell>
          <cell r="J3758">
            <v>0.13507390590809629</v>
          </cell>
        </row>
        <row r="3759">
          <cell r="I3759">
            <v>4464</v>
          </cell>
          <cell r="J3759">
            <v>0.1350765864332604</v>
          </cell>
        </row>
        <row r="3760">
          <cell r="I3760">
            <v>4465</v>
          </cell>
          <cell r="J3760">
            <v>0.13507926695842451</v>
          </cell>
        </row>
        <row r="3761">
          <cell r="I3761">
            <v>4466</v>
          </cell>
          <cell r="J3761">
            <v>0.13508194748358862</v>
          </cell>
        </row>
        <row r="3762">
          <cell r="I3762">
            <v>4467</v>
          </cell>
          <cell r="J3762">
            <v>0.13508462800875273</v>
          </cell>
        </row>
        <row r="3763">
          <cell r="I3763">
            <v>4468</v>
          </cell>
          <cell r="J3763">
            <v>0.13508730853391684</v>
          </cell>
        </row>
        <row r="3764">
          <cell r="I3764">
            <v>4469</v>
          </cell>
          <cell r="J3764">
            <v>0.13508998905908096</v>
          </cell>
        </row>
        <row r="3765">
          <cell r="I3765">
            <v>4470</v>
          </cell>
          <cell r="J3765">
            <v>0.13509266958424507</v>
          </cell>
        </row>
        <row r="3766">
          <cell r="I3766">
            <v>4471</v>
          </cell>
          <cell r="J3766">
            <v>0.13509535010940918</v>
          </cell>
        </row>
        <row r="3767">
          <cell r="I3767">
            <v>4472</v>
          </cell>
          <cell r="J3767">
            <v>0.13509803063457329</v>
          </cell>
        </row>
        <row r="3768">
          <cell r="I3768">
            <v>4473</v>
          </cell>
          <cell r="J3768">
            <v>0.1351007111597374</v>
          </cell>
        </row>
        <row r="3769">
          <cell r="I3769">
            <v>4474</v>
          </cell>
          <cell r="J3769">
            <v>0.13510339168490154</v>
          </cell>
        </row>
        <row r="3770">
          <cell r="I3770">
            <v>4475</v>
          </cell>
          <cell r="J3770">
            <v>0.13510607221006565</v>
          </cell>
        </row>
        <row r="3771">
          <cell r="I3771">
            <v>4476</v>
          </cell>
          <cell r="J3771">
            <v>0.13510875273522976</v>
          </cell>
        </row>
        <row r="3772">
          <cell r="I3772">
            <v>4477</v>
          </cell>
          <cell r="J3772">
            <v>0.13511143326039388</v>
          </cell>
        </row>
        <row r="3773">
          <cell r="I3773">
            <v>4478</v>
          </cell>
          <cell r="J3773">
            <v>0.13511411378555799</v>
          </cell>
        </row>
        <row r="3774">
          <cell r="I3774">
            <v>4479</v>
          </cell>
          <cell r="J3774">
            <v>0.1351167943107221</v>
          </cell>
        </row>
        <row r="3775">
          <cell r="I3775">
            <v>4480</v>
          </cell>
          <cell r="J3775">
            <v>0.13511947483588621</v>
          </cell>
        </row>
        <row r="3776">
          <cell r="I3776">
            <v>4481</v>
          </cell>
          <cell r="J3776">
            <v>0.13512215536105032</v>
          </cell>
        </row>
        <row r="3777">
          <cell r="I3777">
            <v>4482</v>
          </cell>
          <cell r="J3777">
            <v>0.13512483588621443</v>
          </cell>
        </row>
        <row r="3778">
          <cell r="I3778">
            <v>4483</v>
          </cell>
          <cell r="J3778">
            <v>0.13512751641137855</v>
          </cell>
        </row>
        <row r="3779">
          <cell r="I3779">
            <v>4484</v>
          </cell>
          <cell r="J3779">
            <v>0.13513019693654266</v>
          </cell>
        </row>
        <row r="3780">
          <cell r="I3780">
            <v>4485</v>
          </cell>
          <cell r="J3780">
            <v>0.13513287746170677</v>
          </cell>
        </row>
        <row r="3781">
          <cell r="I3781">
            <v>4486</v>
          </cell>
          <cell r="J3781">
            <v>0.13513555798687091</v>
          </cell>
        </row>
        <row r="3782">
          <cell r="I3782">
            <v>4487</v>
          </cell>
          <cell r="J3782">
            <v>0.13513823851203502</v>
          </cell>
        </row>
        <row r="3783">
          <cell r="I3783">
            <v>4488</v>
          </cell>
          <cell r="J3783">
            <v>0.13514091903719913</v>
          </cell>
        </row>
        <row r="3784">
          <cell r="I3784">
            <v>4489</v>
          </cell>
          <cell r="J3784">
            <v>0.13514359956236324</v>
          </cell>
        </row>
        <row r="3785">
          <cell r="I3785">
            <v>4490</v>
          </cell>
          <cell r="J3785">
            <v>0.13514628008752735</v>
          </cell>
        </row>
        <row r="3786">
          <cell r="I3786">
            <v>4491</v>
          </cell>
          <cell r="J3786">
            <v>0.13514896061269147</v>
          </cell>
        </row>
        <row r="3787">
          <cell r="I3787">
            <v>4492</v>
          </cell>
          <cell r="J3787">
            <v>0.13515164113785558</v>
          </cell>
        </row>
        <row r="3788">
          <cell r="I3788">
            <v>4493</v>
          </cell>
          <cell r="J3788">
            <v>0.13515432166301969</v>
          </cell>
        </row>
        <row r="3789">
          <cell r="I3789">
            <v>4494</v>
          </cell>
          <cell r="J3789">
            <v>0.1351570021881838</v>
          </cell>
        </row>
        <row r="3790">
          <cell r="I3790">
            <v>4495</v>
          </cell>
          <cell r="J3790">
            <v>0.13515968271334791</v>
          </cell>
        </row>
        <row r="3791">
          <cell r="I3791">
            <v>4496</v>
          </cell>
          <cell r="J3791">
            <v>0.13516236323851202</v>
          </cell>
        </row>
        <row r="3792">
          <cell r="I3792">
            <v>4497</v>
          </cell>
          <cell r="J3792">
            <v>0.13516504376367613</v>
          </cell>
        </row>
        <row r="3793">
          <cell r="I3793">
            <v>4498</v>
          </cell>
          <cell r="J3793">
            <v>0.13516772428884027</v>
          </cell>
        </row>
        <row r="3794">
          <cell r="I3794">
            <v>4499</v>
          </cell>
          <cell r="J3794">
            <v>0.13517040481400439</v>
          </cell>
        </row>
        <row r="3795">
          <cell r="I3795">
            <v>4500</v>
          </cell>
          <cell r="J3795">
            <v>0.1351730853391685</v>
          </cell>
        </row>
        <row r="3796">
          <cell r="I3796">
            <v>4501</v>
          </cell>
          <cell r="J3796">
            <v>0.13517576586433261</v>
          </cell>
        </row>
        <row r="3797">
          <cell r="I3797">
            <v>4502</v>
          </cell>
          <cell r="J3797">
            <v>0.13517844638949672</v>
          </cell>
        </row>
        <row r="3798">
          <cell r="I3798">
            <v>4503</v>
          </cell>
          <cell r="J3798">
            <v>0.13518112691466083</v>
          </cell>
        </row>
        <row r="3799">
          <cell r="I3799">
            <v>4504</v>
          </cell>
          <cell r="J3799">
            <v>0.13518380743982494</v>
          </cell>
        </row>
        <row r="3800">
          <cell r="I3800">
            <v>4505</v>
          </cell>
          <cell r="J3800">
            <v>0.13518648796498905</v>
          </cell>
        </row>
        <row r="3801">
          <cell r="I3801">
            <v>4506</v>
          </cell>
          <cell r="J3801">
            <v>0.13518916849015317</v>
          </cell>
        </row>
        <row r="3802">
          <cell r="I3802">
            <v>4507</v>
          </cell>
          <cell r="J3802">
            <v>0.13519184901531728</v>
          </cell>
        </row>
        <row r="3803">
          <cell r="I3803">
            <v>4508</v>
          </cell>
          <cell r="J3803">
            <v>0.13519452954048139</v>
          </cell>
        </row>
        <row r="3804">
          <cell r="I3804">
            <v>4509</v>
          </cell>
          <cell r="J3804">
            <v>0.1351972100656455</v>
          </cell>
        </row>
        <row r="3805">
          <cell r="I3805">
            <v>4510</v>
          </cell>
          <cell r="J3805">
            <v>0.13519989059080961</v>
          </cell>
        </row>
        <row r="3806">
          <cell r="I3806">
            <v>4511</v>
          </cell>
          <cell r="J3806">
            <v>0.13520257111597375</v>
          </cell>
        </row>
        <row r="3807">
          <cell r="I3807">
            <v>4512</v>
          </cell>
          <cell r="J3807">
            <v>0.13520525164113786</v>
          </cell>
        </row>
        <row r="3808">
          <cell r="I3808">
            <v>4513</v>
          </cell>
          <cell r="J3808">
            <v>0.13520793216630198</v>
          </cell>
        </row>
        <row r="3809">
          <cell r="I3809">
            <v>4514</v>
          </cell>
          <cell r="J3809">
            <v>0.13521061269146609</v>
          </cell>
        </row>
        <row r="3810">
          <cell r="I3810">
            <v>4515</v>
          </cell>
          <cell r="J3810">
            <v>0.1352132932166302</v>
          </cell>
        </row>
        <row r="3811">
          <cell r="I3811">
            <v>4516</v>
          </cell>
          <cell r="J3811">
            <v>0.13521597374179431</v>
          </cell>
        </row>
        <row r="3812">
          <cell r="I3812">
            <v>4517</v>
          </cell>
          <cell r="J3812">
            <v>0.13521865426695842</v>
          </cell>
        </row>
        <row r="3813">
          <cell r="I3813">
            <v>4518</v>
          </cell>
          <cell r="J3813">
            <v>0.13522133479212253</v>
          </cell>
        </row>
        <row r="3814">
          <cell r="I3814">
            <v>4519</v>
          </cell>
          <cell r="J3814">
            <v>0.13522401531728664</v>
          </cell>
        </row>
        <row r="3815">
          <cell r="I3815">
            <v>4520</v>
          </cell>
          <cell r="J3815">
            <v>0.13522669584245076</v>
          </cell>
        </row>
        <row r="3816">
          <cell r="I3816">
            <v>4521</v>
          </cell>
          <cell r="J3816">
            <v>0.13522937636761487</v>
          </cell>
        </row>
        <row r="3817">
          <cell r="I3817">
            <v>4522</v>
          </cell>
          <cell r="J3817">
            <v>0.13523205689277898</v>
          </cell>
        </row>
        <row r="3818">
          <cell r="I3818">
            <v>4523</v>
          </cell>
          <cell r="J3818">
            <v>0.13523473741794312</v>
          </cell>
        </row>
        <row r="3819">
          <cell r="I3819">
            <v>4524</v>
          </cell>
          <cell r="J3819">
            <v>0.13523741794310723</v>
          </cell>
        </row>
        <row r="3820">
          <cell r="I3820">
            <v>4525</v>
          </cell>
          <cell r="J3820">
            <v>0.13524009846827134</v>
          </cell>
        </row>
        <row r="3821">
          <cell r="I3821">
            <v>4526</v>
          </cell>
          <cell r="J3821">
            <v>0.13524277899343545</v>
          </cell>
        </row>
        <row r="3822">
          <cell r="I3822">
            <v>4527</v>
          </cell>
          <cell r="J3822">
            <v>0.13524545951859956</v>
          </cell>
        </row>
        <row r="3823">
          <cell r="I3823">
            <v>4528</v>
          </cell>
          <cell r="J3823">
            <v>0.13524814004376368</v>
          </cell>
        </row>
        <row r="3824">
          <cell r="I3824">
            <v>4529</v>
          </cell>
          <cell r="J3824">
            <v>0.13525082056892779</v>
          </cell>
        </row>
        <row r="3825">
          <cell r="I3825">
            <v>4530</v>
          </cell>
          <cell r="J3825">
            <v>0.1352535010940919</v>
          </cell>
        </row>
        <row r="3826">
          <cell r="I3826">
            <v>4531</v>
          </cell>
          <cell r="J3826">
            <v>0.13525618161925601</v>
          </cell>
        </row>
        <row r="3827">
          <cell r="I3827">
            <v>4532</v>
          </cell>
          <cell r="J3827">
            <v>0.13525886214442012</v>
          </cell>
        </row>
        <row r="3828">
          <cell r="I3828">
            <v>4533</v>
          </cell>
          <cell r="J3828">
            <v>0.13526154266958423</v>
          </cell>
        </row>
        <row r="3829">
          <cell r="I3829">
            <v>4534</v>
          </cell>
          <cell r="J3829">
            <v>0.13526422319474835</v>
          </cell>
        </row>
        <row r="3830">
          <cell r="I3830">
            <v>4535</v>
          </cell>
          <cell r="J3830">
            <v>0.13526690371991246</v>
          </cell>
        </row>
        <row r="3831">
          <cell r="I3831">
            <v>4536</v>
          </cell>
          <cell r="J3831">
            <v>0.1352695842450766</v>
          </cell>
        </row>
        <row r="3832">
          <cell r="I3832">
            <v>4537</v>
          </cell>
          <cell r="J3832">
            <v>0.13527226477024071</v>
          </cell>
        </row>
        <row r="3833">
          <cell r="I3833">
            <v>4538</v>
          </cell>
          <cell r="J3833">
            <v>0.13527494529540482</v>
          </cell>
        </row>
        <row r="3834">
          <cell r="I3834">
            <v>4539</v>
          </cell>
          <cell r="J3834">
            <v>0.13527762582056893</v>
          </cell>
        </row>
        <row r="3835">
          <cell r="I3835">
            <v>4540</v>
          </cell>
          <cell r="J3835">
            <v>0.13528030634573304</v>
          </cell>
        </row>
        <row r="3836">
          <cell r="I3836">
            <v>4541</v>
          </cell>
          <cell r="J3836">
            <v>0.13528298687089715</v>
          </cell>
        </row>
        <row r="3837">
          <cell r="I3837">
            <v>4542</v>
          </cell>
          <cell r="J3837">
            <v>0.13528566739606127</v>
          </cell>
        </row>
        <row r="3838">
          <cell r="I3838">
            <v>4543</v>
          </cell>
          <cell r="J3838">
            <v>0.13528834792122538</v>
          </cell>
        </row>
        <row r="3839">
          <cell r="I3839">
            <v>4544</v>
          </cell>
          <cell r="J3839">
            <v>0.13529102844638949</v>
          </cell>
        </row>
        <row r="3840">
          <cell r="I3840">
            <v>4545</v>
          </cell>
          <cell r="J3840">
            <v>0.1352937089715536</v>
          </cell>
        </row>
        <row r="3841">
          <cell r="I3841">
            <v>4546</v>
          </cell>
          <cell r="J3841">
            <v>0.13529638949671771</v>
          </cell>
        </row>
        <row r="3842">
          <cell r="I3842">
            <v>4547</v>
          </cell>
          <cell r="J3842">
            <v>0.13529907002188182</v>
          </cell>
        </row>
        <row r="3843">
          <cell r="I3843">
            <v>4548</v>
          </cell>
          <cell r="J3843">
            <v>0.13530175054704596</v>
          </cell>
        </row>
        <row r="3844">
          <cell r="I3844">
            <v>4549</v>
          </cell>
          <cell r="J3844">
            <v>0.13530443107221007</v>
          </cell>
        </row>
        <row r="3845">
          <cell r="I3845">
            <v>4550</v>
          </cell>
          <cell r="J3845">
            <v>0.13530711159737419</v>
          </cell>
        </row>
        <row r="3846">
          <cell r="I3846">
            <v>4551</v>
          </cell>
          <cell r="J3846">
            <v>0.1353097921225383</v>
          </cell>
        </row>
        <row r="3847">
          <cell r="I3847">
            <v>4552</v>
          </cell>
          <cell r="J3847">
            <v>0.13531247264770241</v>
          </cell>
        </row>
        <row r="3848">
          <cell r="I3848">
            <v>4553</v>
          </cell>
          <cell r="J3848">
            <v>0.13531515317286652</v>
          </cell>
        </row>
        <row r="3849">
          <cell r="I3849">
            <v>4554</v>
          </cell>
          <cell r="J3849">
            <v>0.13531783369803063</v>
          </cell>
        </row>
        <row r="3850">
          <cell r="I3850">
            <v>4555</v>
          </cell>
          <cell r="J3850">
            <v>0.13532051422319474</v>
          </cell>
        </row>
        <row r="3851">
          <cell r="I3851">
            <v>4556</v>
          </cell>
          <cell r="J3851">
            <v>0.13532319474835885</v>
          </cell>
        </row>
        <row r="3852">
          <cell r="I3852">
            <v>4557</v>
          </cell>
          <cell r="J3852">
            <v>0.13532587527352297</v>
          </cell>
        </row>
        <row r="3853">
          <cell r="I3853">
            <v>4558</v>
          </cell>
          <cell r="J3853">
            <v>0.13532855579868708</v>
          </cell>
        </row>
        <row r="3854">
          <cell r="I3854">
            <v>4559</v>
          </cell>
          <cell r="J3854">
            <v>0.13533123632385119</v>
          </cell>
        </row>
        <row r="3855">
          <cell r="I3855">
            <v>4560</v>
          </cell>
          <cell r="J3855">
            <v>0.13533391684901533</v>
          </cell>
        </row>
        <row r="3856">
          <cell r="I3856">
            <v>4561</v>
          </cell>
          <cell r="J3856">
            <v>0.13533659737417944</v>
          </cell>
        </row>
        <row r="3857">
          <cell r="I3857">
            <v>4562</v>
          </cell>
          <cell r="J3857">
            <v>0.13533927789934355</v>
          </cell>
        </row>
        <row r="3858">
          <cell r="I3858">
            <v>4563</v>
          </cell>
          <cell r="J3858">
            <v>0.13534195842450766</v>
          </cell>
        </row>
        <row r="3859">
          <cell r="I3859">
            <v>4564</v>
          </cell>
          <cell r="J3859">
            <v>0.13534463894967177</v>
          </cell>
        </row>
        <row r="3860">
          <cell r="I3860">
            <v>4565</v>
          </cell>
          <cell r="J3860">
            <v>0.13534731947483589</v>
          </cell>
        </row>
        <row r="3861">
          <cell r="I3861">
            <v>4566</v>
          </cell>
          <cell r="J3861">
            <v>0.13535</v>
          </cell>
        </row>
        <row r="3862">
          <cell r="I3862">
            <v>4567</v>
          </cell>
          <cell r="J3862">
            <v>0.13535268052516411</v>
          </cell>
        </row>
        <row r="3863">
          <cell r="I3863">
            <v>4568</v>
          </cell>
          <cell r="J3863">
            <v>0.13535536105032822</v>
          </cell>
        </row>
        <row r="3864">
          <cell r="I3864">
            <v>4569</v>
          </cell>
          <cell r="J3864">
            <v>0.13535804157549233</v>
          </cell>
        </row>
        <row r="3865">
          <cell r="I3865">
            <v>4570</v>
          </cell>
          <cell r="J3865">
            <v>0.13536072210065644</v>
          </cell>
        </row>
        <row r="3866">
          <cell r="I3866">
            <v>4571</v>
          </cell>
          <cell r="J3866">
            <v>0.13536340262582056</v>
          </cell>
        </row>
        <row r="3867">
          <cell r="I3867">
            <v>4572</v>
          </cell>
          <cell r="J3867">
            <v>0.13536608315098467</v>
          </cell>
        </row>
        <row r="3868">
          <cell r="I3868">
            <v>4573</v>
          </cell>
          <cell r="J3868">
            <v>0.13536876367614881</v>
          </cell>
        </row>
        <row r="3869">
          <cell r="I3869">
            <v>4574</v>
          </cell>
          <cell r="J3869">
            <v>0.13537144420131292</v>
          </cell>
        </row>
        <row r="3870">
          <cell r="I3870">
            <v>4575</v>
          </cell>
          <cell r="J3870">
            <v>0.13537412472647703</v>
          </cell>
        </row>
        <row r="3871">
          <cell r="I3871">
            <v>4576</v>
          </cell>
          <cell r="J3871">
            <v>0.13537680525164114</v>
          </cell>
        </row>
        <row r="3872">
          <cell r="I3872">
            <v>4577</v>
          </cell>
          <cell r="J3872">
            <v>0.13537948577680525</v>
          </cell>
        </row>
        <row r="3873">
          <cell r="I3873">
            <v>4578</v>
          </cell>
          <cell r="J3873">
            <v>0.13538216630196936</v>
          </cell>
        </row>
        <row r="3874">
          <cell r="I3874">
            <v>4579</v>
          </cell>
          <cell r="J3874">
            <v>0.13538484682713348</v>
          </cell>
        </row>
        <row r="3875">
          <cell r="I3875">
            <v>4580</v>
          </cell>
          <cell r="J3875">
            <v>0.13538752735229759</v>
          </cell>
        </row>
        <row r="3876">
          <cell r="I3876">
            <v>4581</v>
          </cell>
          <cell r="J3876">
            <v>0.1353902078774617</v>
          </cell>
        </row>
        <row r="3877">
          <cell r="I3877">
            <v>4582</v>
          </cell>
          <cell r="J3877">
            <v>0.13539288840262581</v>
          </cell>
        </row>
        <row r="3878">
          <cell r="I3878">
            <v>4583</v>
          </cell>
          <cell r="J3878">
            <v>0.13539556892778992</v>
          </cell>
        </row>
        <row r="3879">
          <cell r="I3879">
            <v>4584</v>
          </cell>
          <cell r="J3879">
            <v>0.13539824945295403</v>
          </cell>
        </row>
        <row r="3880">
          <cell r="I3880">
            <v>4585</v>
          </cell>
          <cell r="J3880">
            <v>0.13540092997811817</v>
          </cell>
        </row>
        <row r="3881">
          <cell r="I3881">
            <v>4586</v>
          </cell>
          <cell r="J3881">
            <v>0.13540361050328228</v>
          </cell>
        </row>
        <row r="3882">
          <cell r="I3882">
            <v>4587</v>
          </cell>
          <cell r="J3882">
            <v>0.1354062910284464</v>
          </cell>
        </row>
        <row r="3883">
          <cell r="I3883">
            <v>4588</v>
          </cell>
          <cell r="J3883">
            <v>0.13540897155361051</v>
          </cell>
        </row>
        <row r="3884">
          <cell r="I3884">
            <v>4589</v>
          </cell>
          <cell r="J3884">
            <v>0.13541165207877462</v>
          </cell>
        </row>
        <row r="3885">
          <cell r="I3885">
            <v>4590</v>
          </cell>
          <cell r="J3885">
            <v>0.13541433260393873</v>
          </cell>
        </row>
        <row r="3886">
          <cell r="I3886">
            <v>4591</v>
          </cell>
          <cell r="J3886">
            <v>0.13541701312910284</v>
          </cell>
        </row>
        <row r="3887">
          <cell r="I3887">
            <v>4592</v>
          </cell>
          <cell r="J3887">
            <v>0.13541969365426695</v>
          </cell>
        </row>
        <row r="3888">
          <cell r="I3888">
            <v>4593</v>
          </cell>
          <cell r="J3888">
            <v>0.13542237417943107</v>
          </cell>
        </row>
        <row r="3889">
          <cell r="I3889">
            <v>4594</v>
          </cell>
          <cell r="J3889">
            <v>0.13542505470459518</v>
          </cell>
        </row>
        <row r="3890">
          <cell r="I3890">
            <v>4595</v>
          </cell>
          <cell r="J3890">
            <v>0.13542773522975929</v>
          </cell>
        </row>
        <row r="3891">
          <cell r="I3891">
            <v>4596</v>
          </cell>
          <cell r="J3891">
            <v>0.1354304157549234</v>
          </cell>
        </row>
        <row r="3892">
          <cell r="I3892">
            <v>4597</v>
          </cell>
          <cell r="J3892">
            <v>0.13543309628008754</v>
          </cell>
        </row>
        <row r="3893">
          <cell r="I3893">
            <v>4598</v>
          </cell>
          <cell r="J3893">
            <v>0.13543577680525165</v>
          </cell>
        </row>
        <row r="3894">
          <cell r="I3894">
            <v>4599</v>
          </cell>
          <cell r="J3894">
            <v>0.13543845733041576</v>
          </cell>
        </row>
        <row r="3895">
          <cell r="I3895">
            <v>4600</v>
          </cell>
          <cell r="J3895">
            <v>0.13544113785557987</v>
          </cell>
        </row>
        <row r="3896">
          <cell r="I3896">
            <v>4601</v>
          </cell>
          <cell r="J3896">
            <v>0.13544381838074399</v>
          </cell>
        </row>
        <row r="3897">
          <cell r="I3897">
            <v>4602</v>
          </cell>
          <cell r="J3897">
            <v>0.1354464989059081</v>
          </cell>
        </row>
        <row r="3898">
          <cell r="I3898">
            <v>4603</v>
          </cell>
          <cell r="J3898">
            <v>0.13544917943107221</v>
          </cell>
        </row>
        <row r="3899">
          <cell r="I3899">
            <v>4604</v>
          </cell>
          <cell r="J3899">
            <v>0.13545185995623632</v>
          </cell>
        </row>
        <row r="3900">
          <cell r="I3900">
            <v>4605</v>
          </cell>
          <cell r="J3900">
            <v>0.13545454048140043</v>
          </cell>
        </row>
        <row r="3901">
          <cell r="I3901">
            <v>4606</v>
          </cell>
          <cell r="J3901">
            <v>0.13545722100656454</v>
          </cell>
        </row>
        <row r="3902">
          <cell r="I3902">
            <v>4607</v>
          </cell>
          <cell r="J3902">
            <v>0.13545990153172865</v>
          </cell>
        </row>
        <row r="3903">
          <cell r="I3903">
            <v>4608</v>
          </cell>
          <cell r="J3903">
            <v>0.13546258205689277</v>
          </cell>
        </row>
        <row r="3904">
          <cell r="I3904">
            <v>4609</v>
          </cell>
          <cell r="J3904">
            <v>0.13546526258205688</v>
          </cell>
        </row>
        <row r="3905">
          <cell r="I3905">
            <v>4610</v>
          </cell>
          <cell r="J3905">
            <v>0.13546794310722102</v>
          </cell>
        </row>
        <row r="3906">
          <cell r="I3906">
            <v>4611</v>
          </cell>
          <cell r="J3906">
            <v>0.13547062363238513</v>
          </cell>
        </row>
        <row r="3907">
          <cell r="I3907">
            <v>4612</v>
          </cell>
          <cell r="J3907">
            <v>0.13547330415754924</v>
          </cell>
        </row>
        <row r="3908">
          <cell r="I3908">
            <v>4613</v>
          </cell>
          <cell r="J3908">
            <v>0.13547598468271335</v>
          </cell>
        </row>
        <row r="3909">
          <cell r="I3909">
            <v>4614</v>
          </cell>
          <cell r="J3909">
            <v>0.13547866520787746</v>
          </cell>
        </row>
        <row r="3910">
          <cell r="I3910">
            <v>4615</v>
          </cell>
          <cell r="J3910">
            <v>0.13548134573304157</v>
          </cell>
        </row>
        <row r="3911">
          <cell r="I3911">
            <v>4616</v>
          </cell>
          <cell r="J3911">
            <v>0.13548402625820569</v>
          </cell>
        </row>
        <row r="3912">
          <cell r="I3912">
            <v>4617</v>
          </cell>
          <cell r="J3912">
            <v>0.1354867067833698</v>
          </cell>
        </row>
        <row r="3913">
          <cell r="I3913">
            <v>4618</v>
          </cell>
          <cell r="J3913">
            <v>0.13548938730853391</v>
          </cell>
        </row>
        <row r="3914">
          <cell r="I3914">
            <v>4619</v>
          </cell>
          <cell r="J3914">
            <v>0.13549206783369802</v>
          </cell>
        </row>
        <row r="3915">
          <cell r="I3915">
            <v>4620</v>
          </cell>
          <cell r="J3915">
            <v>0.13549474835886213</v>
          </cell>
        </row>
        <row r="3916">
          <cell r="I3916">
            <v>4621</v>
          </cell>
          <cell r="J3916">
            <v>0.13549742888402624</v>
          </cell>
        </row>
        <row r="3917">
          <cell r="I3917">
            <v>4622</v>
          </cell>
          <cell r="J3917">
            <v>0.13550010940919038</v>
          </cell>
        </row>
        <row r="3918">
          <cell r="I3918">
            <v>4623</v>
          </cell>
          <cell r="J3918">
            <v>0.1355027899343545</v>
          </cell>
        </row>
        <row r="3919">
          <cell r="I3919">
            <v>4624</v>
          </cell>
          <cell r="J3919">
            <v>0.13550547045951861</v>
          </cell>
        </row>
        <row r="3920">
          <cell r="I3920">
            <v>4625</v>
          </cell>
          <cell r="J3920">
            <v>0.13550815098468272</v>
          </cell>
        </row>
        <row r="3921">
          <cell r="I3921">
            <v>4626</v>
          </cell>
          <cell r="J3921">
            <v>0.13551083150984683</v>
          </cell>
        </row>
        <row r="3922">
          <cell r="I3922">
            <v>4627</v>
          </cell>
          <cell r="J3922">
            <v>0.13551351203501094</v>
          </cell>
        </row>
        <row r="3923">
          <cell r="I3923">
            <v>4628</v>
          </cell>
          <cell r="J3923">
            <v>0.13551619256017505</v>
          </cell>
        </row>
        <row r="3924">
          <cell r="I3924">
            <v>4629</v>
          </cell>
          <cell r="J3924">
            <v>0.13551887308533916</v>
          </cell>
        </row>
        <row r="3925">
          <cell r="I3925">
            <v>4630</v>
          </cell>
          <cell r="J3925">
            <v>0.13552155361050328</v>
          </cell>
        </row>
        <row r="3926">
          <cell r="I3926">
            <v>4631</v>
          </cell>
          <cell r="J3926">
            <v>0.13552423413566739</v>
          </cell>
        </row>
        <row r="3927">
          <cell r="I3927">
            <v>4632</v>
          </cell>
          <cell r="J3927">
            <v>0.1355269146608315</v>
          </cell>
        </row>
        <row r="3928">
          <cell r="I3928">
            <v>4633</v>
          </cell>
          <cell r="J3928">
            <v>0.13552959518599561</v>
          </cell>
        </row>
        <row r="3929">
          <cell r="I3929">
            <v>4634</v>
          </cell>
          <cell r="J3929">
            <v>0.13553227571115972</v>
          </cell>
        </row>
        <row r="3930">
          <cell r="I3930">
            <v>4635</v>
          </cell>
          <cell r="J3930">
            <v>0.13553495623632386</v>
          </cell>
        </row>
        <row r="3931">
          <cell r="I3931">
            <v>4636</v>
          </cell>
          <cell r="J3931">
            <v>0.13553763676148797</v>
          </cell>
        </row>
        <row r="3932">
          <cell r="I3932">
            <v>4637</v>
          </cell>
          <cell r="J3932">
            <v>0.13554031728665208</v>
          </cell>
        </row>
        <row r="3933">
          <cell r="I3933">
            <v>4638</v>
          </cell>
          <cell r="J3933">
            <v>0.1355429978118162</v>
          </cell>
        </row>
        <row r="3934">
          <cell r="I3934">
            <v>4639</v>
          </cell>
          <cell r="J3934">
            <v>0.13554567833698031</v>
          </cell>
        </row>
        <row r="3935">
          <cell r="I3935">
            <v>4640</v>
          </cell>
          <cell r="J3935">
            <v>0.13554835886214442</v>
          </cell>
        </row>
        <row r="3936">
          <cell r="I3936">
            <v>4641</v>
          </cell>
          <cell r="J3936">
            <v>0.13555103938730853</v>
          </cell>
        </row>
        <row r="3937">
          <cell r="I3937">
            <v>4642</v>
          </cell>
          <cell r="J3937">
            <v>0.13555371991247264</v>
          </cell>
        </row>
        <row r="3938">
          <cell r="I3938">
            <v>4643</v>
          </cell>
          <cell r="J3938">
            <v>0.13555640043763675</v>
          </cell>
        </row>
        <row r="3939">
          <cell r="I3939">
            <v>4644</v>
          </cell>
          <cell r="J3939">
            <v>0.13555908096280087</v>
          </cell>
        </row>
        <row r="3940">
          <cell r="I3940">
            <v>4645</v>
          </cell>
          <cell r="J3940">
            <v>0.13556176148796498</v>
          </cell>
        </row>
        <row r="3941">
          <cell r="I3941">
            <v>4646</v>
          </cell>
          <cell r="J3941">
            <v>0.13556444201312909</v>
          </cell>
        </row>
        <row r="3942">
          <cell r="I3942">
            <v>4647</v>
          </cell>
          <cell r="J3942">
            <v>0.13556712253829323</v>
          </cell>
        </row>
        <row r="3943">
          <cell r="I3943">
            <v>4648</v>
          </cell>
          <cell r="J3943">
            <v>0.13556980306345734</v>
          </cell>
        </row>
        <row r="3944">
          <cell r="I3944">
            <v>4649</v>
          </cell>
          <cell r="J3944">
            <v>0.13557248358862145</v>
          </cell>
        </row>
        <row r="3945">
          <cell r="I3945">
            <v>4650</v>
          </cell>
          <cell r="J3945">
            <v>0.13557516411378556</v>
          </cell>
        </row>
        <row r="3946">
          <cell r="I3946">
            <v>4651</v>
          </cell>
          <cell r="J3946">
            <v>0.13557784463894967</v>
          </cell>
        </row>
        <row r="3947">
          <cell r="I3947">
            <v>4652</v>
          </cell>
          <cell r="J3947">
            <v>0.13558052516411379</v>
          </cell>
        </row>
        <row r="3948">
          <cell r="I3948">
            <v>4653</v>
          </cell>
          <cell r="J3948">
            <v>0.1355832056892779</v>
          </cell>
        </row>
        <row r="3949">
          <cell r="I3949">
            <v>4654</v>
          </cell>
          <cell r="J3949">
            <v>0.13558588621444201</v>
          </cell>
        </row>
        <row r="3950">
          <cell r="I3950">
            <v>4655</v>
          </cell>
          <cell r="J3950">
            <v>0.13558856673960612</v>
          </cell>
        </row>
        <row r="3951">
          <cell r="I3951">
            <v>4656</v>
          </cell>
          <cell r="J3951">
            <v>0.13559124726477023</v>
          </cell>
        </row>
        <row r="3952">
          <cell r="I3952">
            <v>4657</v>
          </cell>
          <cell r="J3952">
            <v>0.13559392778993434</v>
          </cell>
        </row>
        <row r="3953">
          <cell r="I3953">
            <v>4658</v>
          </cell>
          <cell r="J3953">
            <v>0.13559660831509845</v>
          </cell>
        </row>
        <row r="3954">
          <cell r="I3954">
            <v>4659</v>
          </cell>
          <cell r="J3954">
            <v>0.13559928884026259</v>
          </cell>
        </row>
        <row r="3955">
          <cell r="I3955">
            <v>4660</v>
          </cell>
          <cell r="J3955">
            <v>0.13560196936542671</v>
          </cell>
        </row>
        <row r="3956">
          <cell r="I3956">
            <v>4661</v>
          </cell>
          <cell r="J3956">
            <v>0.13560464989059082</v>
          </cell>
        </row>
        <row r="3957">
          <cell r="I3957">
            <v>4662</v>
          </cell>
          <cell r="J3957">
            <v>0.13560733041575493</v>
          </cell>
        </row>
        <row r="3958">
          <cell r="I3958">
            <v>4663</v>
          </cell>
          <cell r="J3958">
            <v>0.13561001094091904</v>
          </cell>
        </row>
        <row r="3959">
          <cell r="I3959">
            <v>4664</v>
          </cell>
          <cell r="J3959">
            <v>0.13561269146608315</v>
          </cell>
        </row>
        <row r="3960">
          <cell r="I3960">
            <v>4665</v>
          </cell>
          <cell r="J3960">
            <v>0.13561537199124726</v>
          </cell>
        </row>
        <row r="3961">
          <cell r="I3961">
            <v>4666</v>
          </cell>
          <cell r="J3961">
            <v>0.13561805251641137</v>
          </cell>
        </row>
        <row r="3962">
          <cell r="I3962">
            <v>4667</v>
          </cell>
          <cell r="J3962">
            <v>0.13562073304157549</v>
          </cell>
        </row>
        <row r="3963">
          <cell r="I3963">
            <v>4668</v>
          </cell>
          <cell r="J3963">
            <v>0.1356234135667396</v>
          </cell>
        </row>
        <row r="3964">
          <cell r="I3964">
            <v>4669</v>
          </cell>
          <cell r="J3964">
            <v>0.13562609409190371</v>
          </cell>
        </row>
        <row r="3965">
          <cell r="I3965">
            <v>4670</v>
          </cell>
          <cell r="J3965">
            <v>0.13562877461706782</v>
          </cell>
        </row>
        <row r="3966">
          <cell r="I3966">
            <v>4671</v>
          </cell>
          <cell r="J3966">
            <v>0.13563145514223196</v>
          </cell>
        </row>
        <row r="3967">
          <cell r="I3967">
            <v>4672</v>
          </cell>
          <cell r="J3967">
            <v>0.13563413566739607</v>
          </cell>
        </row>
        <row r="3968">
          <cell r="I3968">
            <v>4673</v>
          </cell>
          <cell r="J3968">
            <v>0.13563681619256018</v>
          </cell>
        </row>
        <row r="3969">
          <cell r="I3969">
            <v>4674</v>
          </cell>
          <cell r="J3969">
            <v>0.13563949671772429</v>
          </cell>
        </row>
        <row r="3970">
          <cell r="I3970">
            <v>4675</v>
          </cell>
          <cell r="J3970">
            <v>0.13564217724288841</v>
          </cell>
        </row>
        <row r="3971">
          <cell r="I3971">
            <v>4676</v>
          </cell>
          <cell r="J3971">
            <v>0.13564485776805252</v>
          </cell>
        </row>
        <row r="3972">
          <cell r="I3972">
            <v>4677</v>
          </cell>
          <cell r="J3972">
            <v>0.13564753829321663</v>
          </cell>
        </row>
        <row r="3973">
          <cell r="I3973">
            <v>4678</v>
          </cell>
          <cell r="J3973">
            <v>0.13565021881838074</v>
          </cell>
        </row>
        <row r="3974">
          <cell r="I3974">
            <v>4679</v>
          </cell>
          <cell r="J3974">
            <v>0.13565289934354485</v>
          </cell>
        </row>
        <row r="3975">
          <cell r="I3975">
            <v>4680</v>
          </cell>
          <cell r="J3975">
            <v>0.13565557986870896</v>
          </cell>
        </row>
        <row r="3976">
          <cell r="I3976">
            <v>4681</v>
          </cell>
          <cell r="J3976">
            <v>0.13565826039387308</v>
          </cell>
        </row>
        <row r="3977">
          <cell r="I3977">
            <v>4682</v>
          </cell>
          <cell r="J3977">
            <v>0.13566094091903719</v>
          </cell>
        </row>
        <row r="3978">
          <cell r="I3978">
            <v>4683</v>
          </cell>
          <cell r="J3978">
            <v>0.1356636214442013</v>
          </cell>
        </row>
        <row r="3979">
          <cell r="I3979">
            <v>4684</v>
          </cell>
          <cell r="J3979">
            <v>0.13566630196936544</v>
          </cell>
        </row>
        <row r="3980">
          <cell r="I3980">
            <v>4685</v>
          </cell>
          <cell r="J3980">
            <v>0.13566898249452955</v>
          </cell>
        </row>
        <row r="3981">
          <cell r="I3981">
            <v>4686</v>
          </cell>
          <cell r="J3981">
            <v>0.13567166301969366</v>
          </cell>
        </row>
        <row r="3982">
          <cell r="I3982">
            <v>4687</v>
          </cell>
          <cell r="J3982">
            <v>0.13567434354485777</v>
          </cell>
        </row>
        <row r="3983">
          <cell r="I3983">
            <v>4688</v>
          </cell>
          <cell r="J3983">
            <v>0.13567702407002188</v>
          </cell>
        </row>
        <row r="3984">
          <cell r="I3984">
            <v>4689</v>
          </cell>
          <cell r="J3984">
            <v>0.135679704595186</v>
          </cell>
        </row>
        <row r="3985">
          <cell r="I3985">
            <v>4690</v>
          </cell>
          <cell r="J3985">
            <v>0.13568238512035011</v>
          </cell>
        </row>
        <row r="3986">
          <cell r="I3986">
            <v>4691</v>
          </cell>
          <cell r="J3986">
            <v>0.13568506564551422</v>
          </cell>
        </row>
        <row r="3987">
          <cell r="I3987">
            <v>4692</v>
          </cell>
          <cell r="J3987">
            <v>0.13568774617067833</v>
          </cell>
        </row>
        <row r="3988">
          <cell r="I3988">
            <v>4693</v>
          </cell>
          <cell r="J3988">
            <v>0.13569042669584244</v>
          </cell>
        </row>
        <row r="3989">
          <cell r="I3989">
            <v>4694</v>
          </cell>
          <cell r="J3989">
            <v>0.13569310722100655</v>
          </cell>
        </row>
        <row r="3990">
          <cell r="I3990">
            <v>4695</v>
          </cell>
          <cell r="J3990">
            <v>0.13569578774617067</v>
          </cell>
        </row>
        <row r="3991">
          <cell r="I3991">
            <v>4696</v>
          </cell>
          <cell r="J3991">
            <v>0.1356984682713348</v>
          </cell>
        </row>
        <row r="3992">
          <cell r="I3992">
            <v>4697</v>
          </cell>
          <cell r="J3992">
            <v>0.13570114879649892</v>
          </cell>
        </row>
        <row r="3993">
          <cell r="I3993">
            <v>4698</v>
          </cell>
          <cell r="J3993">
            <v>0.13570382932166303</v>
          </cell>
        </row>
        <row r="3994">
          <cell r="I3994">
            <v>4699</v>
          </cell>
          <cell r="J3994">
            <v>0.13570650984682714</v>
          </cell>
        </row>
        <row r="3995">
          <cell r="I3995">
            <v>4700</v>
          </cell>
          <cell r="J3995">
            <v>0.13570919037199125</v>
          </cell>
        </row>
        <row r="3996">
          <cell r="I3996">
            <v>4701</v>
          </cell>
          <cell r="J3996">
            <v>0.13571187089715536</v>
          </cell>
        </row>
        <row r="3997">
          <cell r="I3997">
            <v>4702</v>
          </cell>
          <cell r="J3997">
            <v>0.13571455142231947</v>
          </cell>
        </row>
        <row r="3998">
          <cell r="I3998">
            <v>4703</v>
          </cell>
          <cell r="J3998">
            <v>0.13571723194748359</v>
          </cell>
        </row>
        <row r="3999">
          <cell r="I3999">
            <v>4704</v>
          </cell>
          <cell r="J3999">
            <v>0.1357199124726477</v>
          </cell>
        </row>
        <row r="4000">
          <cell r="I4000">
            <v>4705</v>
          </cell>
          <cell r="J4000">
            <v>0.13572259299781181</v>
          </cell>
        </row>
        <row r="4001">
          <cell r="I4001">
            <v>4706</v>
          </cell>
          <cell r="J4001">
            <v>0.13572527352297592</v>
          </cell>
        </row>
        <row r="4002">
          <cell r="I4002">
            <v>4707</v>
          </cell>
          <cell r="J4002">
            <v>0.13572795404814003</v>
          </cell>
        </row>
        <row r="4003">
          <cell r="I4003">
            <v>4708</v>
          </cell>
          <cell r="J4003">
            <v>0.13573063457330414</v>
          </cell>
        </row>
        <row r="4004">
          <cell r="I4004">
            <v>4709</v>
          </cell>
          <cell r="J4004">
            <v>0.13573331509846828</v>
          </cell>
        </row>
        <row r="4005">
          <cell r="I4005">
            <v>4710</v>
          </cell>
          <cell r="J4005">
            <v>0.13573599562363239</v>
          </cell>
        </row>
        <row r="4006">
          <cell r="I4006">
            <v>4711</v>
          </cell>
          <cell r="J4006">
            <v>0.13573867614879651</v>
          </cell>
        </row>
        <row r="4007">
          <cell r="I4007">
            <v>4712</v>
          </cell>
          <cell r="J4007">
            <v>0.13574135667396062</v>
          </cell>
        </row>
        <row r="4008">
          <cell r="I4008">
            <v>4713</v>
          </cell>
          <cell r="J4008">
            <v>0.13574403719912473</v>
          </cell>
        </row>
        <row r="4009">
          <cell r="I4009">
            <v>4714</v>
          </cell>
          <cell r="J4009">
            <v>0.13574671772428884</v>
          </cell>
        </row>
        <row r="4010">
          <cell r="I4010">
            <v>4715</v>
          </cell>
          <cell r="J4010">
            <v>0.13574939824945295</v>
          </cell>
        </row>
        <row r="4011">
          <cell r="I4011">
            <v>4716</v>
          </cell>
          <cell r="J4011">
            <v>0.13575207877461706</v>
          </cell>
        </row>
        <row r="4012">
          <cell r="I4012">
            <v>4717</v>
          </cell>
          <cell r="J4012">
            <v>0.13575475929978117</v>
          </cell>
        </row>
        <row r="4013">
          <cell r="I4013">
            <v>4718</v>
          </cell>
          <cell r="J4013">
            <v>0.13575743982494529</v>
          </cell>
        </row>
        <row r="4014">
          <cell r="I4014">
            <v>4719</v>
          </cell>
          <cell r="J4014">
            <v>0.1357601203501094</v>
          </cell>
        </row>
        <row r="4015">
          <cell r="I4015">
            <v>4720</v>
          </cell>
          <cell r="J4015">
            <v>0.13576280087527351</v>
          </cell>
        </row>
        <row r="4016">
          <cell r="I4016">
            <v>4721</v>
          </cell>
          <cell r="J4016">
            <v>0.13576548140043765</v>
          </cell>
        </row>
        <row r="4017">
          <cell r="I4017">
            <v>4722</v>
          </cell>
          <cell r="J4017">
            <v>0.13576816192560176</v>
          </cell>
        </row>
        <row r="4018">
          <cell r="I4018">
            <v>4723</v>
          </cell>
          <cell r="J4018">
            <v>0.13577084245076587</v>
          </cell>
        </row>
        <row r="4019">
          <cell r="I4019">
            <v>4724</v>
          </cell>
          <cell r="J4019">
            <v>0.13577352297592998</v>
          </cell>
        </row>
        <row r="4020">
          <cell r="I4020">
            <v>4725</v>
          </cell>
          <cell r="J4020">
            <v>0.13577620350109409</v>
          </cell>
        </row>
        <row r="4021">
          <cell r="I4021">
            <v>4726</v>
          </cell>
          <cell r="J4021">
            <v>0.13577888402625821</v>
          </cell>
        </row>
        <row r="4022">
          <cell r="I4022">
            <v>4727</v>
          </cell>
          <cell r="J4022">
            <v>0.13578156455142232</v>
          </cell>
        </row>
        <row r="4023">
          <cell r="I4023">
            <v>4728</v>
          </cell>
          <cell r="J4023">
            <v>0.13578424507658643</v>
          </cell>
        </row>
        <row r="4024">
          <cell r="I4024">
            <v>4729</v>
          </cell>
          <cell r="J4024">
            <v>0.13578692560175054</v>
          </cell>
        </row>
        <row r="4025">
          <cell r="I4025">
            <v>4730</v>
          </cell>
          <cell r="J4025">
            <v>0.13578960612691465</v>
          </cell>
        </row>
        <row r="4026">
          <cell r="I4026">
            <v>4731</v>
          </cell>
          <cell r="J4026">
            <v>0.13579228665207876</v>
          </cell>
        </row>
        <row r="4027">
          <cell r="I4027">
            <v>4732</v>
          </cell>
          <cell r="J4027">
            <v>0.13579496717724288</v>
          </cell>
        </row>
        <row r="4028">
          <cell r="I4028">
            <v>4733</v>
          </cell>
          <cell r="J4028">
            <v>0.13579764770240701</v>
          </cell>
        </row>
        <row r="4029">
          <cell r="I4029">
            <v>4734</v>
          </cell>
          <cell r="J4029">
            <v>0.13580032822757113</v>
          </cell>
        </row>
        <row r="4030">
          <cell r="I4030">
            <v>4735</v>
          </cell>
          <cell r="J4030">
            <v>0.13580300875273524</v>
          </cell>
        </row>
        <row r="4031">
          <cell r="I4031">
            <v>4736</v>
          </cell>
          <cell r="J4031">
            <v>0.13580568927789935</v>
          </cell>
        </row>
        <row r="4032">
          <cell r="I4032">
            <v>4737</v>
          </cell>
          <cell r="J4032">
            <v>0.13580836980306346</v>
          </cell>
        </row>
        <row r="4033">
          <cell r="I4033">
            <v>4738</v>
          </cell>
          <cell r="J4033">
            <v>0.13581105032822757</v>
          </cell>
        </row>
        <row r="4034">
          <cell r="I4034">
            <v>4739</v>
          </cell>
          <cell r="J4034">
            <v>0.13581373085339168</v>
          </cell>
        </row>
        <row r="4035">
          <cell r="I4035">
            <v>4740</v>
          </cell>
          <cell r="J4035">
            <v>0.1358164113785558</v>
          </cell>
        </row>
        <row r="4036">
          <cell r="I4036">
            <v>4741</v>
          </cell>
          <cell r="J4036">
            <v>0.13581909190371991</v>
          </cell>
        </row>
        <row r="4037">
          <cell r="I4037">
            <v>4742</v>
          </cell>
          <cell r="J4037">
            <v>0.13582177242888402</v>
          </cell>
        </row>
        <row r="4038">
          <cell r="I4038">
            <v>4743</v>
          </cell>
          <cell r="J4038">
            <v>0.13582445295404813</v>
          </cell>
        </row>
        <row r="4039">
          <cell r="I4039">
            <v>4744</v>
          </cell>
          <cell r="J4039">
            <v>0.13582713347921224</v>
          </cell>
        </row>
        <row r="4040">
          <cell r="I4040">
            <v>4745</v>
          </cell>
          <cell r="J4040">
            <v>0.13582981400437638</v>
          </cell>
        </row>
        <row r="4041">
          <cell r="I4041">
            <v>4746</v>
          </cell>
          <cell r="J4041">
            <v>0.13583249452954049</v>
          </cell>
        </row>
        <row r="4042">
          <cell r="I4042">
            <v>4747</v>
          </cell>
          <cell r="J4042">
            <v>0.1358351750547046</v>
          </cell>
        </row>
        <row r="4043">
          <cell r="I4043">
            <v>4748</v>
          </cell>
          <cell r="J4043">
            <v>0.13583785557986872</v>
          </cell>
        </row>
        <row r="4044">
          <cell r="I4044">
            <v>4749</v>
          </cell>
          <cell r="J4044">
            <v>0.13584053610503283</v>
          </cell>
        </row>
        <row r="4045">
          <cell r="I4045">
            <v>4750</v>
          </cell>
          <cell r="J4045">
            <v>0.13584321663019694</v>
          </cell>
        </row>
        <row r="4046">
          <cell r="I4046">
            <v>4751</v>
          </cell>
          <cell r="J4046">
            <v>0.13584589715536105</v>
          </cell>
        </row>
        <row r="4047">
          <cell r="I4047">
            <v>4752</v>
          </cell>
          <cell r="J4047">
            <v>0.13584857768052516</v>
          </cell>
        </row>
        <row r="4048">
          <cell r="I4048">
            <v>4753</v>
          </cell>
          <cell r="J4048">
            <v>0.13585125820568927</v>
          </cell>
        </row>
        <row r="4049">
          <cell r="I4049">
            <v>4754</v>
          </cell>
          <cell r="J4049">
            <v>0.13585393873085339</v>
          </cell>
        </row>
        <row r="4050">
          <cell r="I4050">
            <v>4755</v>
          </cell>
          <cell r="J4050">
            <v>0.1358566192560175</v>
          </cell>
        </row>
        <row r="4051">
          <cell r="I4051">
            <v>4756</v>
          </cell>
          <cell r="J4051">
            <v>0.13585929978118161</v>
          </cell>
        </row>
        <row r="4052">
          <cell r="I4052">
            <v>4757</v>
          </cell>
          <cell r="J4052">
            <v>0.13586198030634572</v>
          </cell>
        </row>
        <row r="4053">
          <cell r="I4053">
            <v>4758</v>
          </cell>
          <cell r="J4053">
            <v>0.13586466083150986</v>
          </cell>
        </row>
        <row r="4054">
          <cell r="I4054">
            <v>4759</v>
          </cell>
          <cell r="J4054">
            <v>0.13586734135667397</v>
          </cell>
        </row>
        <row r="4055">
          <cell r="I4055">
            <v>4760</v>
          </cell>
          <cell r="J4055">
            <v>0.13587002188183808</v>
          </cell>
        </row>
        <row r="4056">
          <cell r="I4056">
            <v>4761</v>
          </cell>
          <cell r="J4056">
            <v>0.13587270240700219</v>
          </cell>
        </row>
        <row r="4057">
          <cell r="I4057">
            <v>4762</v>
          </cell>
          <cell r="J4057">
            <v>0.13587538293216631</v>
          </cell>
        </row>
        <row r="4058">
          <cell r="I4058">
            <v>4763</v>
          </cell>
          <cell r="J4058">
            <v>0.13587806345733042</v>
          </cell>
        </row>
        <row r="4059">
          <cell r="I4059">
            <v>4764</v>
          </cell>
          <cell r="J4059">
            <v>0.13588074398249453</v>
          </cell>
        </row>
        <row r="4060">
          <cell r="I4060">
            <v>4765</v>
          </cell>
          <cell r="J4060">
            <v>0.13588342450765864</v>
          </cell>
        </row>
        <row r="4061">
          <cell r="I4061">
            <v>4766</v>
          </cell>
          <cell r="J4061">
            <v>0.13588610503282275</v>
          </cell>
        </row>
        <row r="4062">
          <cell r="I4062">
            <v>4767</v>
          </cell>
          <cell r="J4062">
            <v>0.13588878555798686</v>
          </cell>
        </row>
        <row r="4063">
          <cell r="I4063">
            <v>4768</v>
          </cell>
          <cell r="J4063">
            <v>0.13589146608315097</v>
          </cell>
        </row>
        <row r="4064">
          <cell r="I4064">
            <v>4769</v>
          </cell>
          <cell r="J4064">
            <v>0.13589414660831509</v>
          </cell>
        </row>
        <row r="4065">
          <cell r="I4065">
            <v>4770</v>
          </cell>
          <cell r="J4065">
            <v>0.13589682713347923</v>
          </cell>
        </row>
        <row r="4066">
          <cell r="I4066">
            <v>4771</v>
          </cell>
          <cell r="J4066">
            <v>0.13589950765864334</v>
          </cell>
        </row>
        <row r="4067">
          <cell r="I4067">
            <v>4772</v>
          </cell>
          <cell r="J4067">
            <v>0.13590218818380745</v>
          </cell>
        </row>
        <row r="4068">
          <cell r="I4068">
            <v>4773</v>
          </cell>
          <cell r="J4068">
            <v>0.13590486870897156</v>
          </cell>
        </row>
        <row r="4069">
          <cell r="I4069">
            <v>4774</v>
          </cell>
          <cell r="J4069">
            <v>0.13590754923413567</v>
          </cell>
        </row>
        <row r="4070">
          <cell r="I4070">
            <v>4775</v>
          </cell>
          <cell r="J4070">
            <v>0.13591022975929978</v>
          </cell>
        </row>
        <row r="4071">
          <cell r="I4071">
            <v>4776</v>
          </cell>
          <cell r="J4071">
            <v>0.13591291028446389</v>
          </cell>
        </row>
        <row r="4072">
          <cell r="I4072">
            <v>4777</v>
          </cell>
          <cell r="J4072">
            <v>0.13591559080962801</v>
          </cell>
        </row>
        <row r="4073">
          <cell r="I4073">
            <v>4778</v>
          </cell>
          <cell r="J4073">
            <v>0.13591827133479212</v>
          </cell>
        </row>
        <row r="4074">
          <cell r="I4074">
            <v>4779</v>
          </cell>
          <cell r="J4074">
            <v>0.13592095185995623</v>
          </cell>
        </row>
        <row r="4075">
          <cell r="I4075">
            <v>4780</v>
          </cell>
          <cell r="J4075">
            <v>0.13592363238512034</v>
          </cell>
        </row>
        <row r="4076">
          <cell r="I4076">
            <v>4781</v>
          </cell>
          <cell r="J4076">
            <v>0.13592631291028445</v>
          </cell>
        </row>
        <row r="4077">
          <cell r="I4077">
            <v>4782</v>
          </cell>
          <cell r="J4077">
            <v>0.13592899343544856</v>
          </cell>
        </row>
        <row r="4078">
          <cell r="I4078">
            <v>4783</v>
          </cell>
          <cell r="J4078">
            <v>0.1359316739606127</v>
          </cell>
        </row>
        <row r="4079">
          <cell r="I4079">
            <v>4784</v>
          </cell>
          <cell r="J4079">
            <v>0.13593435448577681</v>
          </cell>
        </row>
        <row r="4080">
          <cell r="I4080">
            <v>4785</v>
          </cell>
          <cell r="J4080">
            <v>0.13593703501094093</v>
          </cell>
        </row>
        <row r="4081">
          <cell r="I4081">
            <v>4786</v>
          </cell>
          <cell r="J4081">
            <v>0.13593971553610504</v>
          </cell>
        </row>
        <row r="4082">
          <cell r="I4082">
            <v>4787</v>
          </cell>
          <cell r="J4082">
            <v>0.13594239606126915</v>
          </cell>
        </row>
        <row r="4083">
          <cell r="I4083">
            <v>4788</v>
          </cell>
          <cell r="J4083">
            <v>0.13594507658643326</v>
          </cell>
        </row>
        <row r="4084">
          <cell r="I4084">
            <v>4789</v>
          </cell>
          <cell r="J4084">
            <v>0.13594775711159737</v>
          </cell>
        </row>
        <row r="4085">
          <cell r="I4085">
            <v>4790</v>
          </cell>
          <cell r="J4085">
            <v>0.13595043763676148</v>
          </cell>
        </row>
        <row r="4086">
          <cell r="I4086">
            <v>4791</v>
          </cell>
          <cell r="J4086">
            <v>0.1359531181619256</v>
          </cell>
        </row>
        <row r="4087">
          <cell r="I4087">
            <v>4792</v>
          </cell>
          <cell r="J4087">
            <v>0.13595579868708971</v>
          </cell>
        </row>
        <row r="4088">
          <cell r="I4088">
            <v>4793</v>
          </cell>
          <cell r="J4088">
            <v>0.13595847921225382</v>
          </cell>
        </row>
        <row r="4089">
          <cell r="I4089">
            <v>4794</v>
          </cell>
          <cell r="J4089">
            <v>0.13596115973741793</v>
          </cell>
        </row>
        <row r="4090">
          <cell r="I4090">
            <v>4795</v>
          </cell>
          <cell r="J4090">
            <v>0.13596384026258207</v>
          </cell>
        </row>
        <row r="4091">
          <cell r="I4091">
            <v>4796</v>
          </cell>
          <cell r="J4091">
            <v>0.13596652078774618</v>
          </cell>
        </row>
        <row r="4092">
          <cell r="I4092">
            <v>4797</v>
          </cell>
          <cell r="J4092">
            <v>0.13596920131291029</v>
          </cell>
        </row>
        <row r="4093">
          <cell r="I4093">
            <v>4798</v>
          </cell>
          <cell r="J4093">
            <v>0.1359718818380744</v>
          </cell>
        </row>
        <row r="4094">
          <cell r="I4094">
            <v>4799</v>
          </cell>
          <cell r="J4094">
            <v>0.13597456236323852</v>
          </cell>
        </row>
        <row r="4095">
          <cell r="I4095">
            <v>4800</v>
          </cell>
          <cell r="J4095">
            <v>0.13597724288840263</v>
          </cell>
        </row>
        <row r="4096">
          <cell r="I4096">
            <v>4801</v>
          </cell>
          <cell r="J4096">
            <v>0.13597992341356674</v>
          </cell>
        </row>
        <row r="4097">
          <cell r="I4097">
            <v>4802</v>
          </cell>
          <cell r="J4097">
            <v>0.13598260393873085</v>
          </cell>
        </row>
        <row r="4098">
          <cell r="I4098">
            <v>4803</v>
          </cell>
          <cell r="J4098">
            <v>0.13598528446389496</v>
          </cell>
        </row>
        <row r="4099">
          <cell r="I4099">
            <v>4804</v>
          </cell>
          <cell r="J4099">
            <v>0.13598796498905907</v>
          </cell>
        </row>
        <row r="4100">
          <cell r="I4100">
            <v>4805</v>
          </cell>
          <cell r="J4100">
            <v>0.13599064551422319</v>
          </cell>
        </row>
        <row r="4101">
          <cell r="I4101">
            <v>4806</v>
          </cell>
          <cell r="J4101">
            <v>0.1359933260393873</v>
          </cell>
        </row>
        <row r="4102">
          <cell r="I4102">
            <v>4807</v>
          </cell>
          <cell r="J4102">
            <v>0.13599600656455144</v>
          </cell>
        </row>
        <row r="4103">
          <cell r="I4103">
            <v>4808</v>
          </cell>
          <cell r="J4103">
            <v>0.13599868708971555</v>
          </cell>
        </row>
        <row r="4104">
          <cell r="I4104">
            <v>4809</v>
          </cell>
          <cell r="J4104">
            <v>0.13600136761487966</v>
          </cell>
        </row>
        <row r="4105">
          <cell r="I4105">
            <v>4810</v>
          </cell>
          <cell r="J4105">
            <v>0.13600404814004377</v>
          </cell>
        </row>
        <row r="4106">
          <cell r="I4106">
            <v>4811</v>
          </cell>
          <cell r="J4106">
            <v>0.13600672866520788</v>
          </cell>
        </row>
        <row r="4107">
          <cell r="I4107">
            <v>4812</v>
          </cell>
          <cell r="J4107">
            <v>0.13600940919037199</v>
          </cell>
        </row>
        <row r="4108">
          <cell r="I4108">
            <v>4813</v>
          </cell>
          <cell r="J4108">
            <v>0.13601208971553611</v>
          </cell>
        </row>
        <row r="4109">
          <cell r="I4109">
            <v>4814</v>
          </cell>
          <cell r="J4109">
            <v>0.13601477024070022</v>
          </cell>
        </row>
        <row r="4110">
          <cell r="I4110">
            <v>4815</v>
          </cell>
          <cell r="J4110">
            <v>0.13601745076586433</v>
          </cell>
        </row>
        <row r="4111">
          <cell r="I4111">
            <v>4816</v>
          </cell>
          <cell r="J4111">
            <v>0.13602013129102844</v>
          </cell>
        </row>
        <row r="4112">
          <cell r="I4112">
            <v>4817</v>
          </cell>
          <cell r="J4112">
            <v>0.13602281181619255</v>
          </cell>
        </row>
        <row r="4113">
          <cell r="I4113">
            <v>4818</v>
          </cell>
          <cell r="J4113">
            <v>0.13602549234135666</v>
          </cell>
        </row>
        <row r="4114">
          <cell r="I4114">
            <v>4819</v>
          </cell>
          <cell r="J4114">
            <v>0.13602817286652077</v>
          </cell>
        </row>
        <row r="4115">
          <cell r="I4115">
            <v>4820</v>
          </cell>
          <cell r="J4115">
            <v>0.13603085339168491</v>
          </cell>
        </row>
        <row r="4116">
          <cell r="I4116">
            <v>4821</v>
          </cell>
          <cell r="J4116">
            <v>0.13603353391684903</v>
          </cell>
        </row>
        <row r="4117">
          <cell r="I4117">
            <v>4822</v>
          </cell>
          <cell r="J4117">
            <v>0.13603621444201314</v>
          </cell>
        </row>
        <row r="4118">
          <cell r="I4118">
            <v>4823</v>
          </cell>
          <cell r="J4118">
            <v>0.13603889496717725</v>
          </cell>
        </row>
        <row r="4119">
          <cell r="I4119">
            <v>4824</v>
          </cell>
          <cell r="J4119">
            <v>0.13604157549234136</v>
          </cell>
        </row>
        <row r="4120">
          <cell r="I4120">
            <v>4825</v>
          </cell>
          <cell r="J4120">
            <v>0.13604425601750547</v>
          </cell>
        </row>
        <row r="4121">
          <cell r="I4121">
            <v>4826</v>
          </cell>
          <cell r="J4121">
            <v>0.13604693654266958</v>
          </cell>
        </row>
        <row r="4122">
          <cell r="I4122">
            <v>4827</v>
          </cell>
          <cell r="J4122">
            <v>0.13604961706783369</v>
          </cell>
        </row>
        <row r="4123">
          <cell r="I4123">
            <v>4828</v>
          </cell>
          <cell r="J4123">
            <v>0.13605229759299781</v>
          </cell>
        </row>
        <row r="4124">
          <cell r="I4124">
            <v>4829</v>
          </cell>
          <cell r="J4124">
            <v>0.13605497811816192</v>
          </cell>
        </row>
        <row r="4125">
          <cell r="I4125">
            <v>4830</v>
          </cell>
          <cell r="J4125">
            <v>0.13605765864332603</v>
          </cell>
        </row>
        <row r="4126">
          <cell r="I4126">
            <v>4831</v>
          </cell>
          <cell r="J4126">
            <v>0.13606033916849014</v>
          </cell>
        </row>
        <row r="4127">
          <cell r="I4127">
            <v>4832</v>
          </cell>
          <cell r="J4127">
            <v>0.13606301969365428</v>
          </cell>
        </row>
        <row r="4128">
          <cell r="I4128">
            <v>4833</v>
          </cell>
          <cell r="J4128">
            <v>0.13606570021881839</v>
          </cell>
        </row>
        <row r="4129">
          <cell r="I4129">
            <v>4834</v>
          </cell>
          <cell r="J4129">
            <v>0.1360683807439825</v>
          </cell>
        </row>
        <row r="4130">
          <cell r="I4130">
            <v>4835</v>
          </cell>
          <cell r="J4130">
            <v>0.13607106126914661</v>
          </cell>
        </row>
        <row r="4131">
          <cell r="I4131">
            <v>4836</v>
          </cell>
          <cell r="J4131">
            <v>0.13607374179431073</v>
          </cell>
        </row>
        <row r="4132">
          <cell r="I4132">
            <v>4837</v>
          </cell>
          <cell r="J4132">
            <v>0.13607642231947484</v>
          </cell>
        </row>
        <row r="4133">
          <cell r="I4133">
            <v>4838</v>
          </cell>
          <cell r="J4133">
            <v>0.13607910284463895</v>
          </cell>
        </row>
        <row r="4134">
          <cell r="I4134">
            <v>4839</v>
          </cell>
          <cell r="J4134">
            <v>0.13608178336980306</v>
          </cell>
        </row>
        <row r="4135">
          <cell r="I4135">
            <v>4840</v>
          </cell>
          <cell r="J4135">
            <v>0.13608446389496717</v>
          </cell>
        </row>
        <row r="4136">
          <cell r="I4136">
            <v>4841</v>
          </cell>
          <cell r="J4136">
            <v>0.13608714442013128</v>
          </cell>
        </row>
        <row r="4137">
          <cell r="I4137">
            <v>4842</v>
          </cell>
          <cell r="J4137">
            <v>0.1360898249452954</v>
          </cell>
        </row>
        <row r="4138">
          <cell r="I4138">
            <v>4843</v>
          </cell>
          <cell r="J4138">
            <v>0.13609250547045951</v>
          </cell>
        </row>
        <row r="4139">
          <cell r="I4139">
            <v>4844</v>
          </cell>
          <cell r="J4139">
            <v>0.13609518599562365</v>
          </cell>
        </row>
        <row r="4140">
          <cell r="I4140">
            <v>4845</v>
          </cell>
          <cell r="J4140">
            <v>0.13609786652078776</v>
          </cell>
        </row>
        <row r="4141">
          <cell r="I4141">
            <v>4846</v>
          </cell>
          <cell r="J4141">
            <v>0.13610054704595187</v>
          </cell>
        </row>
        <row r="4142">
          <cell r="I4142">
            <v>4847</v>
          </cell>
          <cell r="J4142">
            <v>0.13610322757111598</v>
          </cell>
        </row>
        <row r="4143">
          <cell r="I4143">
            <v>4848</v>
          </cell>
          <cell r="J4143">
            <v>0.13610590809628009</v>
          </cell>
        </row>
        <row r="4144">
          <cell r="I4144">
            <v>4849</v>
          </cell>
          <cell r="J4144">
            <v>0.1361085886214442</v>
          </cell>
        </row>
        <row r="4145">
          <cell r="I4145">
            <v>4850</v>
          </cell>
          <cell r="J4145">
            <v>0.13611126914660832</v>
          </cell>
        </row>
        <row r="4146">
          <cell r="I4146">
            <v>4851</v>
          </cell>
          <cell r="J4146">
            <v>0.13611394967177243</v>
          </cell>
        </row>
        <row r="4147">
          <cell r="I4147">
            <v>4852</v>
          </cell>
          <cell r="J4147">
            <v>0.13611663019693654</v>
          </cell>
        </row>
        <row r="4148">
          <cell r="I4148">
            <v>4853</v>
          </cell>
          <cell r="J4148">
            <v>0.13611931072210065</v>
          </cell>
        </row>
        <row r="4149">
          <cell r="I4149">
            <v>4854</v>
          </cell>
          <cell r="J4149">
            <v>0.13612199124726476</v>
          </cell>
        </row>
        <row r="4150">
          <cell r="I4150">
            <v>4855</v>
          </cell>
          <cell r="J4150">
            <v>0.13612467177242887</v>
          </cell>
        </row>
        <row r="4151">
          <cell r="I4151">
            <v>4856</v>
          </cell>
          <cell r="J4151">
            <v>0.13612735229759299</v>
          </cell>
        </row>
        <row r="4152">
          <cell r="I4152">
            <v>4857</v>
          </cell>
          <cell r="J4152">
            <v>0.13613003282275712</v>
          </cell>
        </row>
        <row r="4153">
          <cell r="I4153">
            <v>4858</v>
          </cell>
          <cell r="J4153">
            <v>0.13613271334792124</v>
          </cell>
        </row>
        <row r="4154">
          <cell r="I4154">
            <v>4859</v>
          </cell>
          <cell r="J4154">
            <v>0.13613539387308535</v>
          </cell>
        </row>
        <row r="4155">
          <cell r="I4155">
            <v>4860</v>
          </cell>
          <cell r="J4155">
            <v>0.13613807439824946</v>
          </cell>
        </row>
        <row r="4156">
          <cell r="I4156">
            <v>4861</v>
          </cell>
          <cell r="J4156">
            <v>0.13614075492341357</v>
          </cell>
        </row>
        <row r="4157">
          <cell r="I4157">
            <v>4862</v>
          </cell>
          <cell r="J4157">
            <v>0.13614343544857768</v>
          </cell>
        </row>
        <row r="4158">
          <cell r="I4158">
            <v>4863</v>
          </cell>
          <cell r="J4158">
            <v>0.13614611597374179</v>
          </cell>
        </row>
        <row r="4159">
          <cell r="I4159">
            <v>4864</v>
          </cell>
          <cell r="J4159">
            <v>0.13614879649890591</v>
          </cell>
        </row>
        <row r="4160">
          <cell r="I4160">
            <v>4865</v>
          </cell>
          <cell r="J4160">
            <v>0.13615147702407002</v>
          </cell>
        </row>
        <row r="4161">
          <cell r="I4161">
            <v>4866</v>
          </cell>
          <cell r="J4161">
            <v>0.13615415754923413</v>
          </cell>
        </row>
        <row r="4162">
          <cell r="I4162">
            <v>4867</v>
          </cell>
          <cell r="J4162">
            <v>0.13615683807439824</v>
          </cell>
        </row>
        <row r="4163">
          <cell r="I4163">
            <v>4868</v>
          </cell>
          <cell r="J4163">
            <v>0.13615951859956235</v>
          </cell>
        </row>
        <row r="4164">
          <cell r="I4164">
            <v>4869</v>
          </cell>
          <cell r="J4164">
            <v>0.13616219912472649</v>
          </cell>
        </row>
        <row r="4165">
          <cell r="I4165">
            <v>4870</v>
          </cell>
          <cell r="J4165">
            <v>0.1361648796498906</v>
          </cell>
        </row>
        <row r="4166">
          <cell r="I4166">
            <v>4871</v>
          </cell>
          <cell r="J4166">
            <v>0.13616756017505471</v>
          </cell>
        </row>
        <row r="4167">
          <cell r="I4167">
            <v>4872</v>
          </cell>
          <cell r="J4167">
            <v>0.13617024070021883</v>
          </cell>
        </row>
        <row r="4168">
          <cell r="I4168">
            <v>4873</v>
          </cell>
          <cell r="J4168">
            <v>0.13617292122538294</v>
          </cell>
        </row>
        <row r="4169">
          <cell r="I4169">
            <v>4874</v>
          </cell>
          <cell r="J4169">
            <v>0.13617560175054705</v>
          </cell>
        </row>
        <row r="4170">
          <cell r="I4170">
            <v>4875</v>
          </cell>
          <cell r="J4170">
            <v>0.13617828227571116</v>
          </cell>
        </row>
        <row r="4171">
          <cell r="I4171">
            <v>4876</v>
          </cell>
          <cell r="J4171">
            <v>0.13618096280087527</v>
          </cell>
        </row>
        <row r="4172">
          <cell r="I4172">
            <v>4877</v>
          </cell>
          <cell r="J4172">
            <v>0.13618364332603938</v>
          </cell>
        </row>
        <row r="4173">
          <cell r="I4173">
            <v>4878</v>
          </cell>
          <cell r="J4173">
            <v>0.13618632385120349</v>
          </cell>
        </row>
        <row r="4174">
          <cell r="I4174">
            <v>4879</v>
          </cell>
          <cell r="J4174">
            <v>0.13618900437636761</v>
          </cell>
        </row>
        <row r="4175">
          <cell r="I4175">
            <v>4880</v>
          </cell>
          <cell r="J4175">
            <v>0.13619168490153172</v>
          </cell>
        </row>
        <row r="4176">
          <cell r="I4176">
            <v>4881</v>
          </cell>
          <cell r="J4176">
            <v>0.13619436542669583</v>
          </cell>
        </row>
        <row r="4177">
          <cell r="I4177">
            <v>4882</v>
          </cell>
          <cell r="J4177">
            <v>0.13619704595185997</v>
          </cell>
        </row>
        <row r="4178">
          <cell r="I4178">
            <v>4883</v>
          </cell>
          <cell r="J4178">
            <v>0.13619972647702408</v>
          </cell>
        </row>
        <row r="4179">
          <cell r="I4179">
            <v>4884</v>
          </cell>
          <cell r="J4179">
            <v>0.13620240700218819</v>
          </cell>
        </row>
        <row r="4180">
          <cell r="I4180">
            <v>4885</v>
          </cell>
          <cell r="J4180">
            <v>0.1362050875273523</v>
          </cell>
        </row>
        <row r="4181">
          <cell r="I4181">
            <v>4886</v>
          </cell>
          <cell r="J4181">
            <v>0.13620776805251641</v>
          </cell>
        </row>
        <row r="4182">
          <cell r="I4182">
            <v>4887</v>
          </cell>
          <cell r="J4182">
            <v>0.13621044857768053</v>
          </cell>
        </row>
        <row r="4183">
          <cell r="I4183">
            <v>4888</v>
          </cell>
          <cell r="J4183">
            <v>0.13621312910284464</v>
          </cell>
        </row>
        <row r="4184">
          <cell r="I4184">
            <v>4889</v>
          </cell>
          <cell r="J4184">
            <v>0.13621580962800875</v>
          </cell>
        </row>
        <row r="4185">
          <cell r="I4185">
            <v>4890</v>
          </cell>
          <cell r="J4185">
            <v>0.13621849015317286</v>
          </cell>
        </row>
        <row r="4186">
          <cell r="I4186">
            <v>4891</v>
          </cell>
          <cell r="J4186">
            <v>0.13622117067833697</v>
          </cell>
        </row>
        <row r="4187">
          <cell r="I4187">
            <v>4892</v>
          </cell>
          <cell r="J4187">
            <v>0.13622385120350108</v>
          </cell>
        </row>
        <row r="4188">
          <cell r="I4188">
            <v>4893</v>
          </cell>
          <cell r="J4188">
            <v>0.1362265317286652</v>
          </cell>
        </row>
        <row r="4189">
          <cell r="I4189">
            <v>4894</v>
          </cell>
          <cell r="J4189">
            <v>0.13622921225382933</v>
          </cell>
        </row>
        <row r="4190">
          <cell r="I4190">
            <v>4895</v>
          </cell>
          <cell r="J4190">
            <v>0.13623189277899345</v>
          </cell>
        </row>
        <row r="4191">
          <cell r="I4191">
            <v>4896</v>
          </cell>
          <cell r="J4191">
            <v>0.13623457330415756</v>
          </cell>
        </row>
        <row r="4192">
          <cell r="I4192">
            <v>4897</v>
          </cell>
          <cell r="J4192">
            <v>0.13623725382932167</v>
          </cell>
        </row>
        <row r="4193">
          <cell r="I4193">
            <v>4898</v>
          </cell>
          <cell r="J4193">
            <v>0.13623993435448578</v>
          </cell>
        </row>
        <row r="4194">
          <cell r="I4194">
            <v>4899</v>
          </cell>
          <cell r="J4194">
            <v>0.13624261487964989</v>
          </cell>
        </row>
        <row r="4195">
          <cell r="I4195">
            <v>4900</v>
          </cell>
          <cell r="J4195">
            <v>0.136245295404814</v>
          </cell>
        </row>
        <row r="4196">
          <cell r="I4196">
            <v>4901</v>
          </cell>
          <cell r="J4196">
            <v>0.13624797592997812</v>
          </cell>
        </row>
        <row r="4197">
          <cell r="I4197">
            <v>4902</v>
          </cell>
          <cell r="J4197">
            <v>0.13625065645514223</v>
          </cell>
        </row>
        <row r="4198">
          <cell r="I4198">
            <v>4903</v>
          </cell>
          <cell r="J4198">
            <v>0.13625333698030634</v>
          </cell>
        </row>
        <row r="4199">
          <cell r="I4199">
            <v>4904</v>
          </cell>
          <cell r="J4199">
            <v>0.13625601750547045</v>
          </cell>
        </row>
        <row r="4200">
          <cell r="I4200">
            <v>4905</v>
          </cell>
          <cell r="J4200">
            <v>0.13625869803063456</v>
          </cell>
        </row>
        <row r="4201">
          <cell r="I4201">
            <v>4906</v>
          </cell>
          <cell r="J4201">
            <v>0.1362613785557987</v>
          </cell>
        </row>
        <row r="4202">
          <cell r="I4202">
            <v>4907</v>
          </cell>
          <cell r="J4202">
            <v>0.13626405908096281</v>
          </cell>
        </row>
        <row r="4203">
          <cell r="I4203">
            <v>4908</v>
          </cell>
          <cell r="J4203">
            <v>0.13626673960612692</v>
          </cell>
        </row>
        <row r="4204">
          <cell r="I4204">
            <v>4909</v>
          </cell>
          <cell r="J4204">
            <v>0.13626942013129104</v>
          </cell>
        </row>
        <row r="4205">
          <cell r="I4205">
            <v>4910</v>
          </cell>
          <cell r="J4205">
            <v>0.13627210065645515</v>
          </cell>
        </row>
        <row r="4206">
          <cell r="I4206">
            <v>4911</v>
          </cell>
          <cell r="J4206">
            <v>0.13627478118161926</v>
          </cell>
        </row>
        <row r="4207">
          <cell r="I4207">
            <v>4912</v>
          </cell>
          <cell r="J4207">
            <v>0.13627746170678337</v>
          </cell>
        </row>
        <row r="4208">
          <cell r="I4208">
            <v>4913</v>
          </cell>
          <cell r="J4208">
            <v>0.13628014223194748</v>
          </cell>
        </row>
        <row r="4209">
          <cell r="I4209">
            <v>4914</v>
          </cell>
          <cell r="J4209">
            <v>0.13628282275711159</v>
          </cell>
        </row>
        <row r="4210">
          <cell r="I4210">
            <v>4915</v>
          </cell>
          <cell r="J4210">
            <v>0.13628550328227571</v>
          </cell>
        </row>
        <row r="4211">
          <cell r="I4211">
            <v>4916</v>
          </cell>
          <cell r="J4211">
            <v>0.13628818380743982</v>
          </cell>
        </row>
        <row r="4212">
          <cell r="I4212">
            <v>4917</v>
          </cell>
          <cell r="J4212">
            <v>0.13629086433260393</v>
          </cell>
        </row>
        <row r="4213">
          <cell r="I4213">
            <v>4918</v>
          </cell>
          <cell r="J4213">
            <v>0.13629354485776807</v>
          </cell>
        </row>
        <row r="4214">
          <cell r="I4214">
            <v>4919</v>
          </cell>
          <cell r="J4214">
            <v>0.13629622538293218</v>
          </cell>
        </row>
        <row r="4215">
          <cell r="I4215">
            <v>4920</v>
          </cell>
          <cell r="J4215">
            <v>0.13629890590809629</v>
          </cell>
        </row>
        <row r="4216">
          <cell r="I4216">
            <v>4921</v>
          </cell>
          <cell r="J4216">
            <v>0.1363015864332604</v>
          </cell>
        </row>
        <row r="4217">
          <cell r="I4217">
            <v>4922</v>
          </cell>
          <cell r="J4217">
            <v>0.13630426695842451</v>
          </cell>
        </row>
        <row r="4218">
          <cell r="I4218">
            <v>4923</v>
          </cell>
          <cell r="J4218">
            <v>0.13630694748358863</v>
          </cell>
        </row>
        <row r="4219">
          <cell r="I4219">
            <v>4924</v>
          </cell>
          <cell r="J4219">
            <v>0.13630962800875274</v>
          </cell>
        </row>
        <row r="4220">
          <cell r="I4220">
            <v>4925</v>
          </cell>
          <cell r="J4220">
            <v>0.13631230853391685</v>
          </cell>
        </row>
        <row r="4221">
          <cell r="I4221">
            <v>4926</v>
          </cell>
          <cell r="J4221">
            <v>0.13631498905908096</v>
          </cell>
        </row>
        <row r="4222">
          <cell r="I4222">
            <v>4927</v>
          </cell>
          <cell r="J4222">
            <v>0.13631766958424507</v>
          </cell>
        </row>
        <row r="4223">
          <cell r="I4223">
            <v>4928</v>
          </cell>
          <cell r="J4223">
            <v>0.13632035010940918</v>
          </cell>
        </row>
        <row r="4224">
          <cell r="I4224">
            <v>4929</v>
          </cell>
          <cell r="J4224">
            <v>0.13632303063457329</v>
          </cell>
        </row>
        <row r="4225">
          <cell r="I4225">
            <v>4930</v>
          </cell>
          <cell r="J4225">
            <v>0.13632571115973741</v>
          </cell>
        </row>
        <row r="4226">
          <cell r="I4226">
            <v>4931</v>
          </cell>
          <cell r="J4226">
            <v>0.13632839168490155</v>
          </cell>
        </row>
        <row r="4227">
          <cell r="I4227">
            <v>4932</v>
          </cell>
          <cell r="J4227">
            <v>0.13633107221006566</v>
          </cell>
        </row>
        <row r="4228">
          <cell r="I4228">
            <v>4933</v>
          </cell>
          <cell r="J4228">
            <v>0.13633375273522977</v>
          </cell>
        </row>
        <row r="4229">
          <cell r="I4229">
            <v>4934</v>
          </cell>
          <cell r="J4229">
            <v>0.13633643326039388</v>
          </cell>
        </row>
        <row r="4230">
          <cell r="I4230">
            <v>4935</v>
          </cell>
          <cell r="J4230">
            <v>0.13633911378555799</v>
          </cell>
        </row>
        <row r="4231">
          <cell r="I4231">
            <v>4936</v>
          </cell>
          <cell r="J4231">
            <v>0.1363417943107221</v>
          </cell>
        </row>
        <row r="4232">
          <cell r="I4232">
            <v>4937</v>
          </cell>
          <cell r="J4232">
            <v>0.13634447483588621</v>
          </cell>
        </row>
        <row r="4233">
          <cell r="I4233">
            <v>4938</v>
          </cell>
          <cell r="J4233">
            <v>0.13634715536105033</v>
          </cell>
        </row>
        <row r="4234">
          <cell r="I4234">
            <v>4939</v>
          </cell>
          <cell r="J4234">
            <v>0.13634983588621444</v>
          </cell>
        </row>
        <row r="4235">
          <cell r="I4235">
            <v>4940</v>
          </cell>
          <cell r="J4235">
            <v>0.13635251641137855</v>
          </cell>
        </row>
        <row r="4236">
          <cell r="I4236">
            <v>4941</v>
          </cell>
          <cell r="J4236">
            <v>0.13635519693654266</v>
          </cell>
        </row>
        <row r="4237">
          <cell r="I4237">
            <v>4942</v>
          </cell>
          <cell r="J4237">
            <v>0.13635787746170677</v>
          </cell>
        </row>
        <row r="4238">
          <cell r="I4238">
            <v>4943</v>
          </cell>
          <cell r="J4238">
            <v>0.13636055798687091</v>
          </cell>
        </row>
        <row r="4239">
          <cell r="I4239">
            <v>4944</v>
          </cell>
          <cell r="J4239">
            <v>0.13636323851203502</v>
          </cell>
        </row>
        <row r="4240">
          <cell r="I4240">
            <v>4945</v>
          </cell>
          <cell r="J4240">
            <v>0.13636591903719913</v>
          </cell>
        </row>
        <row r="4241">
          <cell r="I4241">
            <v>4946</v>
          </cell>
          <cell r="J4241">
            <v>0.13636859956236325</v>
          </cell>
        </row>
        <row r="4242">
          <cell r="I4242">
            <v>4947</v>
          </cell>
          <cell r="J4242">
            <v>0.13637128008752736</v>
          </cell>
        </row>
        <row r="4243">
          <cell r="I4243">
            <v>4948</v>
          </cell>
          <cell r="J4243">
            <v>0.13637396061269147</v>
          </cell>
        </row>
        <row r="4244">
          <cell r="I4244">
            <v>4949</v>
          </cell>
          <cell r="J4244">
            <v>0.13637664113785558</v>
          </cell>
        </row>
        <row r="4245">
          <cell r="I4245">
            <v>4950</v>
          </cell>
          <cell r="J4245">
            <v>0.13637932166301969</v>
          </cell>
        </row>
        <row r="4246">
          <cell r="I4246">
            <v>4951</v>
          </cell>
          <cell r="J4246">
            <v>0.1363820021881838</v>
          </cell>
        </row>
        <row r="4247">
          <cell r="I4247">
            <v>4952</v>
          </cell>
          <cell r="J4247">
            <v>0.13638468271334792</v>
          </cell>
        </row>
        <row r="4248">
          <cell r="I4248">
            <v>4953</v>
          </cell>
          <cell r="J4248">
            <v>0.13638736323851203</v>
          </cell>
        </row>
        <row r="4249">
          <cell r="I4249">
            <v>4954</v>
          </cell>
          <cell r="J4249">
            <v>0.13639004376367614</v>
          </cell>
        </row>
        <row r="4250">
          <cell r="I4250">
            <v>4955</v>
          </cell>
          <cell r="J4250">
            <v>0.13639272428884025</v>
          </cell>
        </row>
        <row r="4251">
          <cell r="I4251">
            <v>4956</v>
          </cell>
          <cell r="J4251">
            <v>0.13639540481400439</v>
          </cell>
        </row>
        <row r="4252">
          <cell r="I4252">
            <v>4957</v>
          </cell>
          <cell r="J4252">
            <v>0.1363980853391685</v>
          </cell>
        </row>
        <row r="4253">
          <cell r="I4253">
            <v>4958</v>
          </cell>
          <cell r="J4253">
            <v>0.13640076586433261</v>
          </cell>
        </row>
        <row r="4254">
          <cell r="I4254">
            <v>4959</v>
          </cell>
          <cell r="J4254">
            <v>0.13640344638949672</v>
          </cell>
        </row>
        <row r="4255">
          <cell r="I4255">
            <v>4960</v>
          </cell>
          <cell r="J4255">
            <v>0.13640612691466084</v>
          </cell>
        </row>
        <row r="4256">
          <cell r="I4256">
            <v>4961</v>
          </cell>
          <cell r="J4256">
            <v>0.13640880743982495</v>
          </cell>
        </row>
        <row r="4257">
          <cell r="I4257">
            <v>4962</v>
          </cell>
          <cell r="J4257">
            <v>0.13641148796498906</v>
          </cell>
        </row>
        <row r="4258">
          <cell r="I4258">
            <v>4963</v>
          </cell>
          <cell r="J4258">
            <v>0.13641416849015317</v>
          </cell>
        </row>
        <row r="4259">
          <cell r="I4259">
            <v>4964</v>
          </cell>
          <cell r="J4259">
            <v>0.13641684901531728</v>
          </cell>
        </row>
        <row r="4260">
          <cell r="I4260">
            <v>4965</v>
          </cell>
          <cell r="J4260">
            <v>0.13641952954048139</v>
          </cell>
        </row>
        <row r="4261">
          <cell r="I4261">
            <v>4966</v>
          </cell>
          <cell r="J4261">
            <v>0.13642221006564551</v>
          </cell>
        </row>
        <row r="4262">
          <cell r="I4262">
            <v>4967</v>
          </cell>
          <cell r="J4262">
            <v>0.13642489059080962</v>
          </cell>
        </row>
        <row r="4263">
          <cell r="I4263">
            <v>4968</v>
          </cell>
          <cell r="J4263">
            <v>0.13642757111597376</v>
          </cell>
        </row>
        <row r="4264">
          <cell r="I4264">
            <v>4969</v>
          </cell>
          <cell r="J4264">
            <v>0.13643025164113787</v>
          </cell>
        </row>
        <row r="4265">
          <cell r="I4265">
            <v>4970</v>
          </cell>
          <cell r="J4265">
            <v>0.13643293216630198</v>
          </cell>
        </row>
        <row r="4266">
          <cell r="I4266">
            <v>4971</v>
          </cell>
          <cell r="J4266">
            <v>0.13643561269146609</v>
          </cell>
        </row>
        <row r="4267">
          <cell r="I4267">
            <v>4972</v>
          </cell>
          <cell r="J4267">
            <v>0.1364382932166302</v>
          </cell>
        </row>
        <row r="4268">
          <cell r="I4268">
            <v>4973</v>
          </cell>
          <cell r="J4268">
            <v>0.13644097374179431</v>
          </cell>
        </row>
        <row r="4269">
          <cell r="I4269">
            <v>4974</v>
          </cell>
          <cell r="J4269">
            <v>0.13644365426695843</v>
          </cell>
        </row>
        <row r="4270">
          <cell r="I4270">
            <v>4975</v>
          </cell>
          <cell r="J4270">
            <v>0.13644633479212254</v>
          </cell>
        </row>
        <row r="4271">
          <cell r="I4271">
            <v>4976</v>
          </cell>
          <cell r="J4271">
            <v>0.13644901531728665</v>
          </cell>
        </row>
        <row r="4272">
          <cell r="I4272">
            <v>4977</v>
          </cell>
          <cell r="J4272">
            <v>0.13645169584245076</v>
          </cell>
        </row>
        <row r="4273">
          <cell r="I4273">
            <v>4978</v>
          </cell>
          <cell r="J4273">
            <v>0.13645437636761487</v>
          </cell>
        </row>
        <row r="4274">
          <cell r="I4274">
            <v>4979</v>
          </cell>
          <cell r="J4274">
            <v>0.13645705689277898</v>
          </cell>
        </row>
        <row r="4275">
          <cell r="I4275">
            <v>4980</v>
          </cell>
          <cell r="J4275">
            <v>0.13645973741794312</v>
          </cell>
        </row>
        <row r="4276">
          <cell r="I4276">
            <v>4981</v>
          </cell>
          <cell r="J4276">
            <v>0.13646241794310723</v>
          </cell>
        </row>
        <row r="4277">
          <cell r="I4277">
            <v>4982</v>
          </cell>
          <cell r="J4277">
            <v>0.13646509846827135</v>
          </cell>
        </row>
        <row r="4278">
          <cell r="I4278">
            <v>4983</v>
          </cell>
          <cell r="J4278">
            <v>0.13646777899343546</v>
          </cell>
        </row>
        <row r="4279">
          <cell r="I4279">
            <v>4984</v>
          </cell>
          <cell r="J4279">
            <v>0.13647045951859957</v>
          </cell>
        </row>
        <row r="4280">
          <cell r="I4280">
            <v>4985</v>
          </cell>
          <cell r="J4280">
            <v>0.13647314004376368</v>
          </cell>
        </row>
        <row r="4281">
          <cell r="I4281">
            <v>4986</v>
          </cell>
          <cell r="J4281">
            <v>0.13647582056892779</v>
          </cell>
        </row>
        <row r="4282">
          <cell r="I4282">
            <v>4987</v>
          </cell>
          <cell r="J4282">
            <v>0.1364785010940919</v>
          </cell>
        </row>
        <row r="4283">
          <cell r="I4283">
            <v>4988</v>
          </cell>
          <cell r="J4283">
            <v>0.13648118161925601</v>
          </cell>
        </row>
        <row r="4284">
          <cell r="I4284">
            <v>4989</v>
          </cell>
          <cell r="J4284">
            <v>0.13648386214442013</v>
          </cell>
        </row>
        <row r="4285">
          <cell r="I4285">
            <v>4990</v>
          </cell>
          <cell r="J4285">
            <v>0.13648654266958424</v>
          </cell>
        </row>
        <row r="4286">
          <cell r="I4286">
            <v>4991</v>
          </cell>
          <cell r="J4286">
            <v>0.13648922319474835</v>
          </cell>
        </row>
        <row r="4287">
          <cell r="I4287">
            <v>4992</v>
          </cell>
          <cell r="J4287">
            <v>0.13649190371991246</v>
          </cell>
        </row>
        <row r="4288">
          <cell r="I4288">
            <v>4993</v>
          </cell>
          <cell r="J4288">
            <v>0.1364945842450766</v>
          </cell>
        </row>
        <row r="4289">
          <cell r="I4289">
            <v>4994</v>
          </cell>
          <cell r="J4289">
            <v>0.13649726477024071</v>
          </cell>
        </row>
        <row r="4290">
          <cell r="I4290">
            <v>4995</v>
          </cell>
          <cell r="J4290">
            <v>0.13649994529540482</v>
          </cell>
        </row>
        <row r="4291">
          <cell r="I4291">
            <v>4996</v>
          </cell>
          <cell r="J4291">
            <v>0.13650262582056893</v>
          </cell>
        </row>
        <row r="4292">
          <cell r="I4292">
            <v>4997</v>
          </cell>
          <cell r="J4292">
            <v>0.13650530634573305</v>
          </cell>
        </row>
        <row r="4293">
          <cell r="I4293">
            <v>4998</v>
          </cell>
          <cell r="J4293">
            <v>0.13650798687089716</v>
          </cell>
        </row>
        <row r="4294">
          <cell r="I4294">
            <v>4999</v>
          </cell>
          <cell r="J4294">
            <v>0.13651066739606127</v>
          </cell>
        </row>
        <row r="4295">
          <cell r="I4295">
            <v>5000</v>
          </cell>
          <cell r="J4295">
            <v>0.13651334792122538</v>
          </cell>
        </row>
        <row r="4296">
          <cell r="I4296">
            <v>5001</v>
          </cell>
          <cell r="J4296">
            <v>0.13651602844638949</v>
          </cell>
        </row>
        <row r="4297">
          <cell r="I4297">
            <v>5002</v>
          </cell>
          <cell r="J4297">
            <v>0.1365187089715536</v>
          </cell>
        </row>
        <row r="4298">
          <cell r="I4298">
            <v>5003</v>
          </cell>
          <cell r="J4298">
            <v>0.13652138949671772</v>
          </cell>
        </row>
        <row r="4299">
          <cell r="I4299">
            <v>5004</v>
          </cell>
          <cell r="J4299">
            <v>0.13652407002188183</v>
          </cell>
        </row>
        <row r="4300">
          <cell r="I4300">
            <v>5005</v>
          </cell>
          <cell r="J4300">
            <v>0.13652675054704597</v>
          </cell>
        </row>
        <row r="4301">
          <cell r="I4301">
            <v>5006</v>
          </cell>
          <cell r="J4301">
            <v>0.13652943107221008</v>
          </cell>
        </row>
        <row r="4302">
          <cell r="I4302">
            <v>5007</v>
          </cell>
          <cell r="J4302">
            <v>0.13653211159737419</v>
          </cell>
        </row>
        <row r="4303">
          <cell r="I4303">
            <v>5008</v>
          </cell>
          <cell r="J4303">
            <v>0.1365347921225383</v>
          </cell>
        </row>
        <row r="4304">
          <cell r="I4304">
            <v>5009</v>
          </cell>
          <cell r="J4304">
            <v>0.13653747264770241</v>
          </cell>
        </row>
        <row r="4305">
          <cell r="I4305">
            <v>5010</v>
          </cell>
          <cell r="J4305">
            <v>0.13654015317286652</v>
          </cell>
        </row>
        <row r="4306">
          <cell r="I4306">
            <v>5011</v>
          </cell>
          <cell r="J4306">
            <v>0.13654283369803064</v>
          </cell>
        </row>
        <row r="4307">
          <cell r="I4307">
            <v>5012</v>
          </cell>
          <cell r="J4307">
            <v>0.13654551422319475</v>
          </cell>
        </row>
        <row r="4308">
          <cell r="I4308">
            <v>5013</v>
          </cell>
          <cell r="J4308">
            <v>0.13654819474835886</v>
          </cell>
        </row>
        <row r="4309">
          <cell r="I4309">
            <v>5014</v>
          </cell>
          <cell r="J4309">
            <v>0.13655087527352297</v>
          </cell>
        </row>
        <row r="4310">
          <cell r="I4310">
            <v>5015</v>
          </cell>
          <cell r="J4310">
            <v>0.13655355579868708</v>
          </cell>
        </row>
        <row r="4311">
          <cell r="I4311">
            <v>5016</v>
          </cell>
          <cell r="J4311">
            <v>0.13655623632385119</v>
          </cell>
        </row>
        <row r="4312">
          <cell r="I4312">
            <v>5017</v>
          </cell>
          <cell r="J4312">
            <v>0.13655891684901533</v>
          </cell>
        </row>
        <row r="4313">
          <cell r="I4313">
            <v>5018</v>
          </cell>
          <cell r="J4313">
            <v>0.13656159737417944</v>
          </cell>
        </row>
        <row r="4314">
          <cell r="I4314">
            <v>5019</v>
          </cell>
          <cell r="J4314">
            <v>0.13656427789934356</v>
          </cell>
        </row>
        <row r="4315">
          <cell r="I4315">
            <v>5020</v>
          </cell>
          <cell r="J4315">
            <v>0.13656695842450767</v>
          </cell>
        </row>
        <row r="4316">
          <cell r="I4316">
            <v>5021</v>
          </cell>
          <cell r="J4316">
            <v>0.13656963894967178</v>
          </cell>
        </row>
        <row r="4317">
          <cell r="I4317">
            <v>5022</v>
          </cell>
          <cell r="J4317">
            <v>0.13657231947483589</v>
          </cell>
        </row>
        <row r="4318">
          <cell r="I4318">
            <v>5023</v>
          </cell>
          <cell r="J4318">
            <v>0.136575</v>
          </cell>
        </row>
        <row r="4319">
          <cell r="I4319">
            <v>5024</v>
          </cell>
          <cell r="J4319">
            <v>0.13657768052516411</v>
          </cell>
        </row>
        <row r="4320">
          <cell r="I4320">
            <v>5025</v>
          </cell>
          <cell r="J4320">
            <v>0.13658036105032823</v>
          </cell>
        </row>
        <row r="4321">
          <cell r="I4321">
            <v>5026</v>
          </cell>
          <cell r="J4321">
            <v>0.13658304157549234</v>
          </cell>
        </row>
        <row r="4322">
          <cell r="I4322">
            <v>5027</v>
          </cell>
          <cell r="J4322">
            <v>0.13658572210065645</v>
          </cell>
        </row>
        <row r="4323">
          <cell r="I4323">
            <v>5028</v>
          </cell>
          <cell r="J4323">
            <v>0.13658840262582056</v>
          </cell>
        </row>
        <row r="4324">
          <cell r="I4324">
            <v>5029</v>
          </cell>
          <cell r="J4324">
            <v>0.13659108315098467</v>
          </cell>
        </row>
        <row r="4325">
          <cell r="I4325">
            <v>5030</v>
          </cell>
          <cell r="J4325">
            <v>0.13659376367614881</v>
          </cell>
        </row>
        <row r="4326">
          <cell r="I4326">
            <v>5031</v>
          </cell>
          <cell r="J4326">
            <v>0.13659644420131292</v>
          </cell>
        </row>
        <row r="4327">
          <cell r="I4327">
            <v>5032</v>
          </cell>
          <cell r="J4327">
            <v>0.13659912472647703</v>
          </cell>
        </row>
        <row r="4328">
          <cell r="I4328">
            <v>5033</v>
          </cell>
          <cell r="J4328">
            <v>0.13660180525164115</v>
          </cell>
        </row>
        <row r="4329">
          <cell r="I4329">
            <v>5034</v>
          </cell>
          <cell r="J4329">
            <v>0.13660448577680526</v>
          </cell>
        </row>
        <row r="4330">
          <cell r="I4330">
            <v>5035</v>
          </cell>
          <cell r="J4330">
            <v>0.13660716630196937</v>
          </cell>
        </row>
        <row r="4331">
          <cell r="I4331">
            <v>5036</v>
          </cell>
          <cell r="J4331">
            <v>0.13660984682713348</v>
          </cell>
        </row>
        <row r="4332">
          <cell r="I4332">
            <v>5037</v>
          </cell>
          <cell r="J4332">
            <v>0.13661252735229759</v>
          </cell>
        </row>
        <row r="4333">
          <cell r="I4333">
            <v>5038</v>
          </cell>
          <cell r="J4333">
            <v>0.1366152078774617</v>
          </cell>
        </row>
        <row r="4334">
          <cell r="I4334">
            <v>5039</v>
          </cell>
          <cell r="J4334">
            <v>0.13661788840262581</v>
          </cell>
        </row>
        <row r="4335">
          <cell r="I4335">
            <v>5040</v>
          </cell>
          <cell r="J4335">
            <v>0.13662056892778993</v>
          </cell>
        </row>
        <row r="4336">
          <cell r="I4336">
            <v>5041</v>
          </cell>
          <cell r="J4336">
            <v>0.13662324945295404</v>
          </cell>
        </row>
        <row r="4337">
          <cell r="I4337">
            <v>5042</v>
          </cell>
          <cell r="J4337">
            <v>0.13662592997811818</v>
          </cell>
        </row>
        <row r="4338">
          <cell r="I4338">
            <v>5043</v>
          </cell>
          <cell r="J4338">
            <v>0.13662861050328229</v>
          </cell>
        </row>
        <row r="4339">
          <cell r="I4339">
            <v>5044</v>
          </cell>
          <cell r="J4339">
            <v>0.1366312910284464</v>
          </cell>
        </row>
        <row r="4340">
          <cell r="I4340">
            <v>5045</v>
          </cell>
          <cell r="J4340">
            <v>0.13663397155361051</v>
          </cell>
        </row>
        <row r="4341">
          <cell r="I4341">
            <v>5046</v>
          </cell>
          <cell r="J4341">
            <v>0.13663665207877462</v>
          </cell>
        </row>
        <row r="4342">
          <cell r="I4342">
            <v>5047</v>
          </cell>
          <cell r="J4342">
            <v>0.13663933260393873</v>
          </cell>
        </row>
        <row r="4343">
          <cell r="I4343">
            <v>5048</v>
          </cell>
          <cell r="J4343">
            <v>0.13664201312910285</v>
          </cell>
        </row>
        <row r="4344">
          <cell r="I4344">
            <v>5049</v>
          </cell>
          <cell r="J4344">
            <v>0.13664469365426696</v>
          </cell>
        </row>
        <row r="4345">
          <cell r="I4345">
            <v>5050</v>
          </cell>
          <cell r="J4345">
            <v>0.13664737417943107</v>
          </cell>
        </row>
        <row r="4346">
          <cell r="I4346">
            <v>5051</v>
          </cell>
          <cell r="J4346">
            <v>0.13665005470459518</v>
          </cell>
        </row>
        <row r="4347">
          <cell r="I4347">
            <v>5052</v>
          </cell>
          <cell r="J4347">
            <v>0.13665273522975929</v>
          </cell>
        </row>
        <row r="4348">
          <cell r="I4348">
            <v>5053</v>
          </cell>
          <cell r="J4348">
            <v>0.1366554157549234</v>
          </cell>
        </row>
        <row r="4349">
          <cell r="I4349">
            <v>5054</v>
          </cell>
          <cell r="J4349">
            <v>0.13665809628008754</v>
          </cell>
        </row>
        <row r="4350">
          <cell r="I4350">
            <v>5055</v>
          </cell>
          <cell r="J4350">
            <v>0.13666077680525165</v>
          </cell>
        </row>
        <row r="4351">
          <cell r="I4351">
            <v>5056</v>
          </cell>
          <cell r="J4351">
            <v>0.13666345733041577</v>
          </cell>
        </row>
        <row r="4352">
          <cell r="I4352">
            <v>5057</v>
          </cell>
          <cell r="J4352">
            <v>0.13666613785557988</v>
          </cell>
        </row>
        <row r="4353">
          <cell r="I4353">
            <v>5058</v>
          </cell>
          <cell r="J4353">
            <v>0.13666881838074399</v>
          </cell>
        </row>
        <row r="4354">
          <cell r="I4354">
            <v>5059</v>
          </cell>
          <cell r="J4354">
            <v>0.1366714989059081</v>
          </cell>
        </row>
        <row r="4355">
          <cell r="I4355">
            <v>5060</v>
          </cell>
          <cell r="J4355">
            <v>0.13667417943107221</v>
          </cell>
        </row>
        <row r="4356">
          <cell r="I4356">
            <v>5061</v>
          </cell>
          <cell r="J4356">
            <v>0.13667685995623632</v>
          </cell>
        </row>
        <row r="4357">
          <cell r="I4357">
            <v>5062</v>
          </cell>
          <cell r="J4357">
            <v>0.13667954048140044</v>
          </cell>
        </row>
        <row r="4358">
          <cell r="I4358">
            <v>5063</v>
          </cell>
          <cell r="J4358">
            <v>0.13668222100656455</v>
          </cell>
        </row>
        <row r="4359">
          <cell r="I4359">
            <v>5064</v>
          </cell>
          <cell r="J4359">
            <v>0.13668490153172866</v>
          </cell>
        </row>
        <row r="4360">
          <cell r="I4360">
            <v>5065</v>
          </cell>
          <cell r="J4360">
            <v>0.13668758205689277</v>
          </cell>
        </row>
        <row r="4361">
          <cell r="I4361">
            <v>5066</v>
          </cell>
          <cell r="J4361">
            <v>0.13669026258205688</v>
          </cell>
        </row>
        <row r="4362">
          <cell r="I4362">
            <v>5067</v>
          </cell>
          <cell r="J4362">
            <v>0.13669294310722102</v>
          </cell>
        </row>
        <row r="4363">
          <cell r="I4363">
            <v>5068</v>
          </cell>
          <cell r="J4363">
            <v>0.13669562363238513</v>
          </cell>
        </row>
        <row r="4364">
          <cell r="I4364">
            <v>5069</v>
          </cell>
          <cell r="J4364">
            <v>0.13669830415754924</v>
          </cell>
        </row>
        <row r="4365">
          <cell r="I4365">
            <v>5070</v>
          </cell>
          <cell r="J4365">
            <v>0.13670098468271336</v>
          </cell>
        </row>
        <row r="4366">
          <cell r="I4366">
            <v>5071</v>
          </cell>
          <cell r="J4366">
            <v>0.13670366520787747</v>
          </cell>
        </row>
        <row r="4367">
          <cell r="I4367">
            <v>5072</v>
          </cell>
          <cell r="J4367">
            <v>0.13670634573304158</v>
          </cell>
        </row>
        <row r="4368">
          <cell r="I4368">
            <v>5073</v>
          </cell>
          <cell r="J4368">
            <v>0.13670902625820569</v>
          </cell>
        </row>
        <row r="4369">
          <cell r="I4369">
            <v>5074</v>
          </cell>
          <cell r="J4369">
            <v>0.1367117067833698</v>
          </cell>
        </row>
        <row r="4370">
          <cell r="I4370">
            <v>5075</v>
          </cell>
          <cell r="J4370">
            <v>0.13671438730853391</v>
          </cell>
        </row>
        <row r="4371">
          <cell r="I4371">
            <v>5076</v>
          </cell>
          <cell r="J4371">
            <v>0.13671706783369802</v>
          </cell>
        </row>
        <row r="4372">
          <cell r="I4372">
            <v>5077</v>
          </cell>
          <cell r="J4372">
            <v>0.13671974835886214</v>
          </cell>
        </row>
        <row r="4373">
          <cell r="I4373">
            <v>5078</v>
          </cell>
          <cell r="J4373">
            <v>0.13672242888402625</v>
          </cell>
        </row>
        <row r="4374">
          <cell r="I4374">
            <v>5079</v>
          </cell>
          <cell r="J4374">
            <v>0.13672510940919039</v>
          </cell>
        </row>
        <row r="4375">
          <cell r="I4375">
            <v>5080</v>
          </cell>
          <cell r="J4375">
            <v>0.1367277899343545</v>
          </cell>
        </row>
        <row r="4376">
          <cell r="I4376">
            <v>5081</v>
          </cell>
          <cell r="J4376">
            <v>0.13673047045951861</v>
          </cell>
        </row>
        <row r="4377">
          <cell r="I4377">
            <v>5082</v>
          </cell>
          <cell r="J4377">
            <v>0.13673315098468272</v>
          </cell>
        </row>
        <row r="4378">
          <cell r="I4378">
            <v>5083</v>
          </cell>
          <cell r="J4378">
            <v>0.13673583150984683</v>
          </cell>
        </row>
        <row r="4379">
          <cell r="I4379">
            <v>5084</v>
          </cell>
          <cell r="J4379">
            <v>0.13673851203501095</v>
          </cell>
        </row>
        <row r="4380">
          <cell r="I4380">
            <v>5085</v>
          </cell>
          <cell r="J4380">
            <v>0.13674119256017506</v>
          </cell>
        </row>
        <row r="4381">
          <cell r="I4381">
            <v>5086</v>
          </cell>
          <cell r="J4381">
            <v>0.13674387308533917</v>
          </cell>
        </row>
        <row r="4382">
          <cell r="I4382">
            <v>5087</v>
          </cell>
          <cell r="J4382">
            <v>0.13674655361050328</v>
          </cell>
        </row>
        <row r="4383">
          <cell r="I4383">
            <v>5088</v>
          </cell>
          <cell r="J4383">
            <v>0.13674923413566739</v>
          </cell>
        </row>
        <row r="4384">
          <cell r="I4384">
            <v>5089</v>
          </cell>
          <cell r="J4384">
            <v>0.1367519146608315</v>
          </cell>
        </row>
        <row r="4385">
          <cell r="I4385">
            <v>5090</v>
          </cell>
          <cell r="J4385">
            <v>0.13675459518599561</v>
          </cell>
        </row>
        <row r="4386">
          <cell r="I4386">
            <v>5091</v>
          </cell>
          <cell r="J4386">
            <v>0.13675727571115975</v>
          </cell>
        </row>
        <row r="4387">
          <cell r="I4387">
            <v>5092</v>
          </cell>
          <cell r="J4387">
            <v>0.13675995623632387</v>
          </cell>
        </row>
        <row r="4388">
          <cell r="I4388">
            <v>5093</v>
          </cell>
          <cell r="J4388">
            <v>0.13676263676148798</v>
          </cell>
        </row>
        <row r="4389">
          <cell r="I4389">
            <v>5094</v>
          </cell>
          <cell r="J4389">
            <v>0.13676531728665209</v>
          </cell>
        </row>
        <row r="4390">
          <cell r="I4390">
            <v>5095</v>
          </cell>
          <cell r="J4390">
            <v>0.1367679978118162</v>
          </cell>
        </row>
        <row r="4391">
          <cell r="I4391">
            <v>5096</v>
          </cell>
          <cell r="J4391">
            <v>0.13677067833698031</v>
          </cell>
        </row>
        <row r="4392">
          <cell r="I4392">
            <v>5097</v>
          </cell>
          <cell r="J4392">
            <v>0.13677335886214442</v>
          </cell>
        </row>
        <row r="4393">
          <cell r="I4393">
            <v>5098</v>
          </cell>
          <cell r="J4393">
            <v>0.13677603938730853</v>
          </cell>
        </row>
        <row r="4394">
          <cell r="I4394">
            <v>5099</v>
          </cell>
          <cell r="J4394">
            <v>0.13677871991247265</v>
          </cell>
        </row>
        <row r="4395">
          <cell r="I4395">
            <v>5100</v>
          </cell>
          <cell r="J4395">
            <v>0.13678140043763676</v>
          </cell>
        </row>
        <row r="4396">
          <cell r="I4396">
            <v>5101</v>
          </cell>
          <cell r="J4396">
            <v>0.13678408096280087</v>
          </cell>
        </row>
        <row r="4397">
          <cell r="I4397">
            <v>5102</v>
          </cell>
          <cell r="J4397">
            <v>0.13678676148796498</v>
          </cell>
        </row>
        <row r="4398">
          <cell r="I4398">
            <v>5103</v>
          </cell>
          <cell r="J4398">
            <v>0.13678944201312909</v>
          </cell>
        </row>
        <row r="4399">
          <cell r="I4399">
            <v>5104</v>
          </cell>
          <cell r="J4399">
            <v>0.13679212253829323</v>
          </cell>
        </row>
        <row r="4400">
          <cell r="I4400">
            <v>5105</v>
          </cell>
          <cell r="J4400">
            <v>0.13679480306345734</v>
          </cell>
        </row>
        <row r="4401">
          <cell r="I4401">
            <v>5106</v>
          </cell>
          <cell r="J4401">
            <v>0.13679748358862145</v>
          </cell>
        </row>
        <row r="4402">
          <cell r="I4402">
            <v>5107</v>
          </cell>
          <cell r="J4402">
            <v>0.13680016411378557</v>
          </cell>
        </row>
        <row r="4403">
          <cell r="I4403">
            <v>5108</v>
          </cell>
          <cell r="J4403">
            <v>0.13680284463894968</v>
          </cell>
        </row>
        <row r="4404">
          <cell r="I4404">
            <v>5109</v>
          </cell>
          <cell r="J4404">
            <v>0.13680552516411379</v>
          </cell>
        </row>
        <row r="4405">
          <cell r="I4405">
            <v>5110</v>
          </cell>
          <cell r="J4405">
            <v>0.1368082056892779</v>
          </cell>
        </row>
        <row r="4406">
          <cell r="I4406">
            <v>5111</v>
          </cell>
          <cell r="J4406">
            <v>0.13681088621444201</v>
          </cell>
        </row>
        <row r="4407">
          <cell r="I4407">
            <v>5112</v>
          </cell>
          <cell r="J4407">
            <v>0.13681356673960612</v>
          </cell>
        </row>
        <row r="4408">
          <cell r="I4408">
            <v>5113</v>
          </cell>
          <cell r="J4408">
            <v>0.13681624726477024</v>
          </cell>
        </row>
        <row r="4409">
          <cell r="I4409">
            <v>5114</v>
          </cell>
          <cell r="J4409">
            <v>0.13681892778993435</v>
          </cell>
        </row>
        <row r="4410">
          <cell r="I4410">
            <v>5115</v>
          </cell>
          <cell r="J4410">
            <v>0.13682160831509846</v>
          </cell>
        </row>
        <row r="4411">
          <cell r="I4411">
            <v>5116</v>
          </cell>
          <cell r="J4411">
            <v>0.1368242888402626</v>
          </cell>
        </row>
        <row r="4412">
          <cell r="I4412">
            <v>5117</v>
          </cell>
          <cell r="J4412">
            <v>0.13682696936542671</v>
          </cell>
        </row>
        <row r="4413">
          <cell r="I4413">
            <v>5118</v>
          </cell>
          <cell r="J4413">
            <v>0.13682964989059082</v>
          </cell>
        </row>
        <row r="4414">
          <cell r="I4414">
            <v>5119</v>
          </cell>
          <cell r="J4414">
            <v>0.13683233041575493</v>
          </cell>
        </row>
        <row r="4415">
          <cell r="I4415">
            <v>5120</v>
          </cell>
          <cell r="J4415">
            <v>0.13683501094091904</v>
          </cell>
        </row>
        <row r="4416">
          <cell r="I4416">
            <v>5121</v>
          </cell>
          <cell r="J4416">
            <v>0.13683769146608316</v>
          </cell>
        </row>
        <row r="4417">
          <cell r="I4417">
            <v>5122</v>
          </cell>
          <cell r="J4417">
            <v>0.13684037199124727</v>
          </cell>
        </row>
        <row r="4418">
          <cell r="I4418">
            <v>5123</v>
          </cell>
          <cell r="J4418">
            <v>0.13684305251641138</v>
          </cell>
        </row>
        <row r="4419">
          <cell r="I4419">
            <v>5124</v>
          </cell>
          <cell r="J4419">
            <v>0.13684573304157549</v>
          </cell>
        </row>
        <row r="4420">
          <cell r="I4420">
            <v>5125</v>
          </cell>
          <cell r="J4420">
            <v>0.1368484135667396</v>
          </cell>
        </row>
        <row r="4421">
          <cell r="I4421">
            <v>5126</v>
          </cell>
          <cell r="J4421">
            <v>0.13685109409190371</v>
          </cell>
        </row>
        <row r="4422">
          <cell r="I4422">
            <v>5127</v>
          </cell>
          <cell r="J4422">
            <v>0.13685377461706782</v>
          </cell>
        </row>
        <row r="4423">
          <cell r="I4423">
            <v>5128</v>
          </cell>
          <cell r="J4423">
            <v>0.13685645514223194</v>
          </cell>
        </row>
        <row r="4424">
          <cell r="I4424">
            <v>5129</v>
          </cell>
          <cell r="J4424">
            <v>0.13685913566739608</v>
          </cell>
        </row>
        <row r="4425">
          <cell r="I4425">
            <v>5130</v>
          </cell>
          <cell r="J4425">
            <v>0.13686181619256019</v>
          </cell>
        </row>
        <row r="4426">
          <cell r="I4426">
            <v>5131</v>
          </cell>
          <cell r="J4426">
            <v>0.1368644967177243</v>
          </cell>
        </row>
        <row r="4427">
          <cell r="I4427">
            <v>5132</v>
          </cell>
          <cell r="J4427">
            <v>0.13686717724288841</v>
          </cell>
        </row>
        <row r="4428">
          <cell r="I4428">
            <v>5133</v>
          </cell>
          <cell r="J4428">
            <v>0.13686985776805252</v>
          </cell>
        </row>
        <row r="4429">
          <cell r="I4429">
            <v>5134</v>
          </cell>
          <cell r="J4429">
            <v>0.13687253829321663</v>
          </cell>
        </row>
        <row r="4430">
          <cell r="I4430">
            <v>5135</v>
          </cell>
          <cell r="J4430">
            <v>0.13687521881838075</v>
          </cell>
        </row>
        <row r="4431">
          <cell r="I4431">
            <v>5136</v>
          </cell>
          <cell r="J4431">
            <v>0.13687789934354486</v>
          </cell>
        </row>
        <row r="4432">
          <cell r="I4432">
            <v>5137</v>
          </cell>
          <cell r="J4432">
            <v>0.13688057986870897</v>
          </cell>
        </row>
        <row r="4433">
          <cell r="I4433">
            <v>5138</v>
          </cell>
          <cell r="J4433">
            <v>0.13688326039387308</v>
          </cell>
        </row>
        <row r="4434">
          <cell r="I4434">
            <v>5139</v>
          </cell>
          <cell r="J4434">
            <v>0.13688594091903719</v>
          </cell>
        </row>
        <row r="4435">
          <cell r="I4435">
            <v>5140</v>
          </cell>
          <cell r="J4435">
            <v>0.1368886214442013</v>
          </cell>
        </row>
        <row r="4436">
          <cell r="I4436">
            <v>5141</v>
          </cell>
          <cell r="J4436">
            <v>0.13689130196936544</v>
          </cell>
        </row>
        <row r="4437">
          <cell r="I4437">
            <v>5142</v>
          </cell>
          <cell r="J4437">
            <v>0.13689398249452955</v>
          </cell>
        </row>
        <row r="4438">
          <cell r="I4438">
            <v>5143</v>
          </cell>
          <cell r="J4438">
            <v>0.13689666301969367</v>
          </cell>
        </row>
        <row r="4439">
          <cell r="I4439">
            <v>5144</v>
          </cell>
          <cell r="J4439">
            <v>0.13689934354485778</v>
          </cell>
        </row>
        <row r="4440">
          <cell r="I4440">
            <v>5145</v>
          </cell>
          <cell r="J4440">
            <v>0.13690202407002189</v>
          </cell>
        </row>
        <row r="4441">
          <cell r="I4441">
            <v>5146</v>
          </cell>
          <cell r="J4441">
            <v>0.136904704595186</v>
          </cell>
        </row>
        <row r="4442">
          <cell r="I4442">
            <v>5147</v>
          </cell>
          <cell r="J4442">
            <v>0.13690738512035011</v>
          </cell>
        </row>
        <row r="4443">
          <cell r="I4443">
            <v>5148</v>
          </cell>
          <cell r="J4443">
            <v>0.13691006564551422</v>
          </cell>
        </row>
        <row r="4444">
          <cell r="I4444">
            <v>5149</v>
          </cell>
          <cell r="J4444">
            <v>0.13691274617067833</v>
          </cell>
        </row>
        <row r="4445">
          <cell r="I4445">
            <v>5150</v>
          </cell>
          <cell r="J4445">
            <v>0.13691542669584245</v>
          </cell>
        </row>
        <row r="4446">
          <cell r="I4446">
            <v>5151</v>
          </cell>
          <cell r="J4446">
            <v>0.13691810722100656</v>
          </cell>
        </row>
        <row r="4447">
          <cell r="I4447">
            <v>5152</v>
          </cell>
          <cell r="J4447">
            <v>0.13692078774617067</v>
          </cell>
        </row>
        <row r="4448">
          <cell r="I4448">
            <v>5153</v>
          </cell>
          <cell r="J4448">
            <v>0.13692346827133481</v>
          </cell>
        </row>
        <row r="4449">
          <cell r="I4449">
            <v>5154</v>
          </cell>
          <cell r="J4449">
            <v>0.13692614879649892</v>
          </cell>
        </row>
        <row r="4450">
          <cell r="I4450">
            <v>5155</v>
          </cell>
          <cell r="J4450">
            <v>0.13692882932166303</v>
          </cell>
        </row>
        <row r="4451">
          <cell r="I4451">
            <v>5156</v>
          </cell>
          <cell r="J4451">
            <v>0.13693150984682714</v>
          </cell>
        </row>
        <row r="4452">
          <cell r="I4452">
            <v>5157</v>
          </cell>
          <cell r="J4452">
            <v>0.13693419037199125</v>
          </cell>
        </row>
        <row r="4453">
          <cell r="I4453">
            <v>5158</v>
          </cell>
          <cell r="J4453">
            <v>0.13693687089715537</v>
          </cell>
        </row>
        <row r="4454">
          <cell r="I4454">
            <v>5159</v>
          </cell>
          <cell r="J4454">
            <v>0.13693955142231948</v>
          </cell>
        </row>
        <row r="4455">
          <cell r="I4455">
            <v>5160</v>
          </cell>
          <cell r="J4455">
            <v>0.13694223194748359</v>
          </cell>
        </row>
        <row r="4456">
          <cell r="I4456">
            <v>5161</v>
          </cell>
          <cell r="J4456">
            <v>0.1369449124726477</v>
          </cell>
        </row>
        <row r="4457">
          <cell r="I4457">
            <v>5162</v>
          </cell>
          <cell r="J4457">
            <v>0.13694759299781181</v>
          </cell>
        </row>
        <row r="4458">
          <cell r="I4458">
            <v>5163</v>
          </cell>
          <cell r="J4458">
            <v>0.13695027352297592</v>
          </cell>
        </row>
        <row r="4459">
          <cell r="I4459">
            <v>5164</v>
          </cell>
          <cell r="J4459">
            <v>0.13695295404814004</v>
          </cell>
        </row>
        <row r="4460">
          <cell r="I4460">
            <v>5165</v>
          </cell>
          <cell r="J4460">
            <v>0.13695563457330417</v>
          </cell>
        </row>
        <row r="4461">
          <cell r="I4461">
            <v>5166</v>
          </cell>
          <cell r="J4461">
            <v>0.13695831509846829</v>
          </cell>
        </row>
        <row r="4462">
          <cell r="I4462">
            <v>5167</v>
          </cell>
          <cell r="J4462">
            <v>0.1369609956236324</v>
          </cell>
        </row>
        <row r="4463">
          <cell r="I4463">
            <v>5168</v>
          </cell>
          <cell r="J4463">
            <v>0.13696367614879651</v>
          </cell>
        </row>
        <row r="4464">
          <cell r="I4464">
            <v>5169</v>
          </cell>
          <cell r="J4464">
            <v>0.13696635667396062</v>
          </cell>
        </row>
        <row r="4465">
          <cell r="I4465">
            <v>5170</v>
          </cell>
          <cell r="J4465">
            <v>0.13696903719912473</v>
          </cell>
        </row>
        <row r="4466">
          <cell r="I4466">
            <v>5171</v>
          </cell>
          <cell r="J4466">
            <v>0.13697171772428884</v>
          </cell>
        </row>
        <row r="4467">
          <cell r="I4467">
            <v>5172</v>
          </cell>
          <cell r="J4467">
            <v>0.13697439824945296</v>
          </cell>
        </row>
        <row r="4468">
          <cell r="I4468">
            <v>5173</v>
          </cell>
          <cell r="J4468">
            <v>0.13697707877461707</v>
          </cell>
        </row>
        <row r="4469">
          <cell r="I4469">
            <v>5174</v>
          </cell>
          <cell r="J4469">
            <v>0.13697975929978118</v>
          </cell>
        </row>
        <row r="4470">
          <cell r="I4470">
            <v>5175</v>
          </cell>
          <cell r="J4470">
            <v>0.13698243982494529</v>
          </cell>
        </row>
        <row r="4471">
          <cell r="I4471">
            <v>5176</v>
          </cell>
          <cell r="J4471">
            <v>0.1369851203501094</v>
          </cell>
        </row>
        <row r="4472">
          <cell r="I4472">
            <v>5177</v>
          </cell>
          <cell r="J4472">
            <v>0.13698780087527351</v>
          </cell>
        </row>
        <row r="4473">
          <cell r="I4473">
            <v>5178</v>
          </cell>
          <cell r="J4473">
            <v>0.13699048140043765</v>
          </cell>
        </row>
        <row r="4474">
          <cell r="I4474">
            <v>5179</v>
          </cell>
          <cell r="J4474">
            <v>0.13699316192560176</v>
          </cell>
        </row>
        <row r="4475">
          <cell r="I4475">
            <v>5180</v>
          </cell>
          <cell r="J4475">
            <v>0.13699584245076588</v>
          </cell>
        </row>
        <row r="4476">
          <cell r="I4476">
            <v>5181</v>
          </cell>
          <cell r="J4476">
            <v>0.13699852297592999</v>
          </cell>
        </row>
        <row r="4477">
          <cell r="I4477">
            <v>5182</v>
          </cell>
          <cell r="J4477">
            <v>0.1370012035010941</v>
          </cell>
        </row>
        <row r="4478">
          <cell r="I4478">
            <v>5183</v>
          </cell>
          <cell r="J4478">
            <v>0.13700388402625821</v>
          </cell>
        </row>
        <row r="4479">
          <cell r="I4479">
            <v>5184</v>
          </cell>
          <cell r="J4479">
            <v>0.13700656455142232</v>
          </cell>
        </row>
        <row r="4480">
          <cell r="I4480">
            <v>5185</v>
          </cell>
          <cell r="J4480">
            <v>0.13700924507658643</v>
          </cell>
        </row>
        <row r="4481">
          <cell r="I4481">
            <v>5186</v>
          </cell>
          <cell r="J4481">
            <v>0.13701192560175054</v>
          </cell>
        </row>
        <row r="4482">
          <cell r="I4482">
            <v>5187</v>
          </cell>
          <cell r="J4482">
            <v>0.13701460612691466</v>
          </cell>
        </row>
        <row r="4483">
          <cell r="I4483">
            <v>5188</v>
          </cell>
          <cell r="J4483">
            <v>0.13701728665207877</v>
          </cell>
        </row>
        <row r="4484">
          <cell r="I4484">
            <v>5189</v>
          </cell>
          <cell r="J4484">
            <v>0.13701996717724288</v>
          </cell>
        </row>
        <row r="4485">
          <cell r="I4485">
            <v>5190</v>
          </cell>
          <cell r="J4485">
            <v>0.13702264770240702</v>
          </cell>
        </row>
        <row r="4486">
          <cell r="I4486">
            <v>5191</v>
          </cell>
          <cell r="J4486">
            <v>0.13702532822757113</v>
          </cell>
        </row>
        <row r="4487">
          <cell r="I4487">
            <v>5192</v>
          </cell>
          <cell r="J4487">
            <v>0.13702800875273524</v>
          </cell>
        </row>
        <row r="4488">
          <cell r="I4488">
            <v>5193</v>
          </cell>
          <cell r="J4488">
            <v>0.13703068927789935</v>
          </cell>
        </row>
        <row r="4489">
          <cell r="I4489">
            <v>5194</v>
          </cell>
          <cell r="J4489">
            <v>0.13703336980306347</v>
          </cell>
        </row>
        <row r="4490">
          <cell r="I4490">
            <v>5195</v>
          </cell>
          <cell r="J4490">
            <v>0.13703605032822758</v>
          </cell>
        </row>
        <row r="4491">
          <cell r="I4491">
            <v>5196</v>
          </cell>
          <cell r="J4491">
            <v>0.13703873085339169</v>
          </cell>
        </row>
        <row r="4492">
          <cell r="I4492">
            <v>5197</v>
          </cell>
          <cell r="J4492">
            <v>0.1370414113785558</v>
          </cell>
        </row>
        <row r="4493">
          <cell r="I4493">
            <v>5198</v>
          </cell>
          <cell r="J4493">
            <v>0.13704409190371991</v>
          </cell>
        </row>
        <row r="4494">
          <cell r="I4494">
            <v>5199</v>
          </cell>
          <cell r="J4494">
            <v>0.13704677242888402</v>
          </cell>
        </row>
        <row r="4495">
          <cell r="I4495">
            <v>5200</v>
          </cell>
          <cell r="J4495">
            <v>0.13704945295404813</v>
          </cell>
        </row>
        <row r="4496">
          <cell r="I4496">
            <v>5201</v>
          </cell>
          <cell r="J4496">
            <v>0.13705213347921225</v>
          </cell>
        </row>
        <row r="4497">
          <cell r="I4497">
            <v>5202</v>
          </cell>
          <cell r="J4497">
            <v>0.13705481400437636</v>
          </cell>
        </row>
        <row r="4498">
          <cell r="I4498">
            <v>5203</v>
          </cell>
          <cell r="J4498">
            <v>0.1370574945295405</v>
          </cell>
        </row>
        <row r="4499">
          <cell r="I4499">
            <v>5204</v>
          </cell>
          <cell r="J4499">
            <v>0.13706017505470461</v>
          </cell>
        </row>
        <row r="4500">
          <cell r="I4500">
            <v>5205</v>
          </cell>
          <cell r="J4500">
            <v>0.13706285557986872</v>
          </cell>
        </row>
        <row r="4501">
          <cell r="I4501">
            <v>5206</v>
          </cell>
          <cell r="J4501">
            <v>0.13706553610503283</v>
          </cell>
        </row>
        <row r="4502">
          <cell r="I4502">
            <v>5207</v>
          </cell>
          <cell r="J4502">
            <v>0.13706821663019694</v>
          </cell>
        </row>
        <row r="4503">
          <cell r="I4503">
            <v>5208</v>
          </cell>
          <cell r="J4503">
            <v>0.13707089715536105</v>
          </cell>
        </row>
        <row r="4504">
          <cell r="I4504">
            <v>5209</v>
          </cell>
          <cell r="J4504">
            <v>0.13707357768052517</v>
          </cell>
        </row>
        <row r="4505">
          <cell r="I4505">
            <v>5210</v>
          </cell>
          <cell r="J4505">
            <v>0.13707625820568928</v>
          </cell>
        </row>
        <row r="4506">
          <cell r="I4506">
            <v>5211</v>
          </cell>
          <cell r="J4506">
            <v>0.13707893873085339</v>
          </cell>
        </row>
        <row r="4507">
          <cell r="I4507">
            <v>5212</v>
          </cell>
          <cell r="J4507">
            <v>0.1370816192560175</v>
          </cell>
        </row>
        <row r="4508">
          <cell r="I4508">
            <v>5213</v>
          </cell>
          <cell r="J4508">
            <v>0.13708429978118161</v>
          </cell>
        </row>
        <row r="4509">
          <cell r="I4509">
            <v>5214</v>
          </cell>
          <cell r="J4509">
            <v>0.13708698030634572</v>
          </cell>
        </row>
        <row r="4510">
          <cell r="I4510">
            <v>5215</v>
          </cell>
          <cell r="J4510">
            <v>0.13708966083150986</v>
          </cell>
        </row>
        <row r="4511">
          <cell r="I4511">
            <v>5216</v>
          </cell>
          <cell r="J4511">
            <v>0.13709234135667397</v>
          </cell>
        </row>
        <row r="4512">
          <cell r="I4512">
            <v>5217</v>
          </cell>
          <cell r="J4512">
            <v>0.13709502188183809</v>
          </cell>
        </row>
        <row r="4513">
          <cell r="I4513">
            <v>5218</v>
          </cell>
          <cell r="J4513">
            <v>0.1370977024070022</v>
          </cell>
        </row>
        <row r="4514">
          <cell r="I4514">
            <v>5219</v>
          </cell>
          <cell r="J4514">
            <v>0.13710038293216631</v>
          </cell>
        </row>
        <row r="4515">
          <cell r="I4515">
            <v>5220</v>
          </cell>
          <cell r="J4515">
            <v>0.13710306345733042</v>
          </cell>
        </row>
        <row r="4516">
          <cell r="I4516">
            <v>5221</v>
          </cell>
          <cell r="J4516">
            <v>0.13710574398249453</v>
          </cell>
        </row>
        <row r="4517">
          <cell r="I4517">
            <v>5222</v>
          </cell>
          <cell r="J4517">
            <v>0.13710842450765864</v>
          </cell>
        </row>
        <row r="4518">
          <cell r="I4518">
            <v>5223</v>
          </cell>
          <cell r="J4518">
            <v>0.13711110503282276</v>
          </cell>
        </row>
        <row r="4519">
          <cell r="I4519">
            <v>5224</v>
          </cell>
          <cell r="J4519">
            <v>0.13711378555798687</v>
          </cell>
        </row>
        <row r="4520">
          <cell r="I4520">
            <v>5225</v>
          </cell>
          <cell r="J4520">
            <v>0.13711646608315098</v>
          </cell>
        </row>
        <row r="4521">
          <cell r="I4521">
            <v>5226</v>
          </cell>
          <cell r="J4521">
            <v>0.13711914660831509</v>
          </cell>
        </row>
        <row r="4522">
          <cell r="I4522">
            <v>5227</v>
          </cell>
          <cell r="J4522">
            <v>0.13712182713347923</v>
          </cell>
        </row>
        <row r="4523">
          <cell r="I4523">
            <v>5228</v>
          </cell>
          <cell r="J4523">
            <v>0.13712450765864334</v>
          </cell>
        </row>
        <row r="4524">
          <cell r="I4524">
            <v>5229</v>
          </cell>
          <cell r="J4524">
            <v>0.13712718818380745</v>
          </cell>
        </row>
        <row r="4525">
          <cell r="I4525">
            <v>5230</v>
          </cell>
          <cell r="J4525">
            <v>0.13712986870897156</v>
          </cell>
        </row>
        <row r="4526">
          <cell r="I4526">
            <v>5231</v>
          </cell>
          <cell r="J4526">
            <v>0.13713254923413568</v>
          </cell>
        </row>
        <row r="4527">
          <cell r="I4527">
            <v>5232</v>
          </cell>
          <cell r="J4527">
            <v>0.13713522975929979</v>
          </cell>
        </row>
        <row r="4528">
          <cell r="I4528">
            <v>5233</v>
          </cell>
          <cell r="J4528">
            <v>0.1371379102844639</v>
          </cell>
        </row>
        <row r="4529">
          <cell r="I4529">
            <v>5234</v>
          </cell>
          <cell r="J4529">
            <v>0.13714059080962801</v>
          </cell>
        </row>
        <row r="4530">
          <cell r="I4530">
            <v>5235</v>
          </cell>
          <cell r="J4530">
            <v>0.13714327133479212</v>
          </cell>
        </row>
        <row r="4531">
          <cell r="I4531">
            <v>5236</v>
          </cell>
          <cell r="J4531">
            <v>0.13714595185995623</v>
          </cell>
        </row>
        <row r="4532">
          <cell r="I4532">
            <v>5237</v>
          </cell>
          <cell r="J4532">
            <v>0.13714863238512034</v>
          </cell>
        </row>
        <row r="4533">
          <cell r="I4533">
            <v>5238</v>
          </cell>
          <cell r="J4533">
            <v>0.13715131291028446</v>
          </cell>
        </row>
        <row r="4534">
          <cell r="I4534">
            <v>5239</v>
          </cell>
          <cell r="J4534">
            <v>0.1371539934354486</v>
          </cell>
        </row>
        <row r="4535">
          <cell r="I4535">
            <v>5240</v>
          </cell>
          <cell r="J4535">
            <v>0.13715667396061271</v>
          </cell>
        </row>
        <row r="4536">
          <cell r="I4536">
            <v>5241</v>
          </cell>
          <cell r="J4536">
            <v>0.13715935448577682</v>
          </cell>
        </row>
        <row r="4537">
          <cell r="I4537">
            <v>5242</v>
          </cell>
          <cell r="J4537">
            <v>0.13716203501094093</v>
          </cell>
        </row>
        <row r="4538">
          <cell r="I4538">
            <v>5243</v>
          </cell>
          <cell r="J4538">
            <v>0.13716471553610504</v>
          </cell>
        </row>
        <row r="4539">
          <cell r="I4539">
            <v>5244</v>
          </cell>
          <cell r="J4539">
            <v>0.13716739606126915</v>
          </cell>
        </row>
        <row r="4540">
          <cell r="I4540">
            <v>5245</v>
          </cell>
          <cell r="J4540">
            <v>0.13717007658643326</v>
          </cell>
        </row>
        <row r="4541">
          <cell r="I4541">
            <v>5246</v>
          </cell>
          <cell r="J4541">
            <v>0.13717275711159738</v>
          </cell>
        </row>
        <row r="4542">
          <cell r="I4542">
            <v>5247</v>
          </cell>
          <cell r="J4542">
            <v>0.13717543763676149</v>
          </cell>
        </row>
        <row r="4543">
          <cell r="I4543">
            <v>5248</v>
          </cell>
          <cell r="J4543">
            <v>0.1371781181619256</v>
          </cell>
        </row>
        <row r="4544">
          <cell r="I4544">
            <v>5249</v>
          </cell>
          <cell r="J4544">
            <v>0.13718079868708971</v>
          </cell>
        </row>
        <row r="4545">
          <cell r="I4545">
            <v>5250</v>
          </cell>
          <cell r="J4545">
            <v>0.13718347921225382</v>
          </cell>
        </row>
        <row r="4546">
          <cell r="I4546">
            <v>5251</v>
          </cell>
          <cell r="J4546">
            <v>0.13718615973741793</v>
          </cell>
        </row>
        <row r="4547">
          <cell r="I4547">
            <v>5252</v>
          </cell>
          <cell r="J4547">
            <v>0.13718884026258207</v>
          </cell>
        </row>
        <row r="4548">
          <cell r="I4548">
            <v>5253</v>
          </cell>
          <cell r="J4548">
            <v>0.13719152078774619</v>
          </cell>
        </row>
        <row r="4549">
          <cell r="I4549">
            <v>5254</v>
          </cell>
          <cell r="J4549">
            <v>0.1371942013129103</v>
          </cell>
        </row>
        <row r="4550">
          <cell r="I4550">
            <v>5255</v>
          </cell>
          <cell r="J4550">
            <v>0.13719688183807441</v>
          </cell>
        </row>
        <row r="4551">
          <cell r="I4551">
            <v>5256</v>
          </cell>
          <cell r="J4551">
            <v>0.13719956236323852</v>
          </cell>
        </row>
        <row r="4552">
          <cell r="I4552">
            <v>5257</v>
          </cell>
          <cell r="J4552">
            <v>0.13720224288840263</v>
          </cell>
        </row>
        <row r="4553">
          <cell r="I4553">
            <v>5258</v>
          </cell>
          <cell r="J4553">
            <v>0.13720492341356674</v>
          </cell>
        </row>
        <row r="4554">
          <cell r="I4554">
            <v>5259</v>
          </cell>
          <cell r="J4554">
            <v>0.13720760393873085</v>
          </cell>
        </row>
        <row r="4555">
          <cell r="I4555">
            <v>5260</v>
          </cell>
          <cell r="J4555">
            <v>0.13721028446389497</v>
          </cell>
        </row>
        <row r="4556">
          <cell r="I4556">
            <v>5261</v>
          </cell>
          <cell r="J4556">
            <v>0.13721296498905908</v>
          </cell>
        </row>
        <row r="4557">
          <cell r="I4557">
            <v>5262</v>
          </cell>
          <cell r="J4557">
            <v>0.13721564551422319</v>
          </cell>
        </row>
        <row r="4558">
          <cell r="I4558">
            <v>5263</v>
          </cell>
          <cell r="J4558">
            <v>0.1372183260393873</v>
          </cell>
        </row>
        <row r="4559">
          <cell r="I4559">
            <v>5264</v>
          </cell>
          <cell r="J4559">
            <v>0.13722100656455144</v>
          </cell>
        </row>
        <row r="4560">
          <cell r="I4560">
            <v>5265</v>
          </cell>
          <cell r="J4560">
            <v>0.13722368708971555</v>
          </cell>
        </row>
        <row r="4561">
          <cell r="I4561">
            <v>5266</v>
          </cell>
          <cell r="J4561">
            <v>0.13722636761487966</v>
          </cell>
        </row>
        <row r="4562">
          <cell r="I4562">
            <v>5267</v>
          </cell>
          <cell r="J4562">
            <v>0.13722904814004377</v>
          </cell>
        </row>
        <row r="4563">
          <cell r="I4563">
            <v>5268</v>
          </cell>
          <cell r="J4563">
            <v>0.13723172866520789</v>
          </cell>
        </row>
        <row r="4564">
          <cell r="I4564">
            <v>5269</v>
          </cell>
          <cell r="J4564">
            <v>0.137234409190372</v>
          </cell>
        </row>
        <row r="4565">
          <cell r="I4565">
            <v>5270</v>
          </cell>
          <cell r="J4565">
            <v>0.13723708971553611</v>
          </cell>
        </row>
        <row r="4566">
          <cell r="I4566">
            <v>5271</v>
          </cell>
          <cell r="J4566">
            <v>0.13723977024070022</v>
          </cell>
        </row>
        <row r="4567">
          <cell r="I4567">
            <v>5272</v>
          </cell>
          <cell r="J4567">
            <v>0.13724245076586433</v>
          </cell>
        </row>
        <row r="4568">
          <cell r="I4568">
            <v>5273</v>
          </cell>
          <cell r="J4568">
            <v>0.13724513129102844</v>
          </cell>
        </row>
        <row r="4569">
          <cell r="I4569">
            <v>5274</v>
          </cell>
          <cell r="J4569">
            <v>0.13724781181619256</v>
          </cell>
        </row>
        <row r="4570">
          <cell r="I4570">
            <v>5275</v>
          </cell>
          <cell r="J4570">
            <v>0.13725049234135667</v>
          </cell>
        </row>
        <row r="4571">
          <cell r="I4571">
            <v>5276</v>
          </cell>
          <cell r="J4571">
            <v>0.13725317286652078</v>
          </cell>
        </row>
        <row r="4572">
          <cell r="I4572">
            <v>5277</v>
          </cell>
          <cell r="J4572">
            <v>0.13725585339168492</v>
          </cell>
        </row>
        <row r="4573">
          <cell r="I4573">
            <v>5278</v>
          </cell>
          <cell r="J4573">
            <v>0.13725853391684903</v>
          </cell>
        </row>
        <row r="4574">
          <cell r="I4574">
            <v>5279</v>
          </cell>
          <cell r="J4574">
            <v>0.13726121444201314</v>
          </cell>
        </row>
        <row r="4575">
          <cell r="I4575">
            <v>5280</v>
          </cell>
          <cell r="J4575">
            <v>0.13726389496717725</v>
          </cell>
        </row>
        <row r="4576">
          <cell r="I4576">
            <v>5281</v>
          </cell>
          <cell r="J4576">
            <v>0.13726657549234136</v>
          </cell>
        </row>
        <row r="4577">
          <cell r="I4577">
            <v>5282</v>
          </cell>
          <cell r="J4577">
            <v>0.13726925601750548</v>
          </cell>
        </row>
        <row r="4578">
          <cell r="I4578">
            <v>5283</v>
          </cell>
          <cell r="J4578">
            <v>0.13727193654266959</v>
          </cell>
        </row>
        <row r="4579">
          <cell r="I4579">
            <v>5284</v>
          </cell>
          <cell r="J4579">
            <v>0.1372746170678337</v>
          </cell>
        </row>
        <row r="4580">
          <cell r="I4580">
            <v>5285</v>
          </cell>
          <cell r="J4580">
            <v>0.13727729759299781</v>
          </cell>
        </row>
        <row r="4581">
          <cell r="I4581">
            <v>5286</v>
          </cell>
          <cell r="J4581">
            <v>0.13727997811816192</v>
          </cell>
        </row>
        <row r="4582">
          <cell r="I4582">
            <v>5287</v>
          </cell>
          <cell r="J4582">
            <v>0.13728265864332603</v>
          </cell>
        </row>
        <row r="4583">
          <cell r="I4583">
            <v>5288</v>
          </cell>
          <cell r="J4583">
            <v>0.13728533916849014</v>
          </cell>
        </row>
        <row r="4584">
          <cell r="I4584">
            <v>5289</v>
          </cell>
          <cell r="J4584">
            <v>0.13728801969365428</v>
          </cell>
        </row>
        <row r="4585">
          <cell r="I4585">
            <v>5290</v>
          </cell>
          <cell r="J4585">
            <v>0.1372907002188184</v>
          </cell>
        </row>
        <row r="4586">
          <cell r="I4586">
            <v>5291</v>
          </cell>
          <cell r="J4586">
            <v>0.13729338074398251</v>
          </cell>
        </row>
        <row r="4587">
          <cell r="I4587">
            <v>5292</v>
          </cell>
          <cell r="J4587">
            <v>0.13729606126914662</v>
          </cell>
        </row>
        <row r="4588">
          <cell r="I4588">
            <v>5293</v>
          </cell>
          <cell r="J4588">
            <v>0.13729874179431073</v>
          </cell>
        </row>
        <row r="4589">
          <cell r="I4589">
            <v>5294</v>
          </cell>
          <cell r="J4589">
            <v>0.13730142231947484</v>
          </cell>
        </row>
        <row r="4590">
          <cell r="I4590">
            <v>5295</v>
          </cell>
          <cell r="J4590">
            <v>0.13730410284463895</v>
          </cell>
        </row>
        <row r="4591">
          <cell r="I4591">
            <v>5296</v>
          </cell>
          <cell r="J4591">
            <v>0.13730678336980306</v>
          </cell>
        </row>
        <row r="4592">
          <cell r="I4592">
            <v>5297</v>
          </cell>
          <cell r="J4592">
            <v>0.13730946389496718</v>
          </cell>
        </row>
        <row r="4593">
          <cell r="I4593">
            <v>5298</v>
          </cell>
          <cell r="J4593">
            <v>0.13731214442013129</v>
          </cell>
        </row>
        <row r="4594">
          <cell r="I4594">
            <v>5299</v>
          </cell>
          <cell r="J4594">
            <v>0.1373148249452954</v>
          </cell>
        </row>
        <row r="4595">
          <cell r="I4595">
            <v>5300</v>
          </cell>
          <cell r="J4595">
            <v>0.13731750547045951</v>
          </cell>
        </row>
        <row r="4596">
          <cell r="I4596">
            <v>5301</v>
          </cell>
          <cell r="J4596">
            <v>0.13732018599562362</v>
          </cell>
        </row>
        <row r="4597">
          <cell r="I4597">
            <v>5302</v>
          </cell>
          <cell r="J4597">
            <v>0.13732286652078776</v>
          </cell>
        </row>
        <row r="4598">
          <cell r="I4598">
            <v>5303</v>
          </cell>
          <cell r="J4598">
            <v>0.13732554704595187</v>
          </cell>
        </row>
        <row r="4599">
          <cell r="I4599">
            <v>5304</v>
          </cell>
          <cell r="J4599">
            <v>0.13732822757111598</v>
          </cell>
        </row>
        <row r="4600">
          <cell r="I4600">
            <v>5305</v>
          </cell>
          <cell r="J4600">
            <v>0.1373309080962801</v>
          </cell>
        </row>
        <row r="4601">
          <cell r="I4601">
            <v>5306</v>
          </cell>
          <cell r="J4601">
            <v>0.13733358862144421</v>
          </cell>
        </row>
        <row r="4602">
          <cell r="I4602">
            <v>5307</v>
          </cell>
          <cell r="J4602">
            <v>0.13733626914660832</v>
          </cell>
        </row>
        <row r="4603">
          <cell r="I4603">
            <v>5308</v>
          </cell>
          <cell r="J4603">
            <v>0.13733894967177243</v>
          </cell>
        </row>
        <row r="4604">
          <cell r="I4604">
            <v>5309</v>
          </cell>
          <cell r="J4604">
            <v>0.13734163019693654</v>
          </cell>
        </row>
        <row r="4605">
          <cell r="I4605">
            <v>5310</v>
          </cell>
          <cell r="J4605">
            <v>0.13734431072210065</v>
          </cell>
        </row>
        <row r="4606">
          <cell r="I4606">
            <v>5311</v>
          </cell>
          <cell r="J4606">
            <v>0.13734699124726477</v>
          </cell>
        </row>
        <row r="4607">
          <cell r="I4607">
            <v>5312</v>
          </cell>
          <cell r="J4607">
            <v>0.13734967177242888</v>
          </cell>
        </row>
        <row r="4608">
          <cell r="I4608">
            <v>5313</v>
          </cell>
          <cell r="J4608">
            <v>0.13735235229759299</v>
          </cell>
        </row>
        <row r="4609">
          <cell r="I4609">
            <v>5314</v>
          </cell>
          <cell r="J4609">
            <v>0.13735503282275713</v>
          </cell>
        </row>
        <row r="4610">
          <cell r="I4610">
            <v>5315</v>
          </cell>
          <cell r="J4610">
            <v>0.13735771334792124</v>
          </cell>
        </row>
        <row r="4611">
          <cell r="I4611">
            <v>5316</v>
          </cell>
          <cell r="J4611">
            <v>0.13736039387308535</v>
          </cell>
        </row>
        <row r="4612">
          <cell r="I4612">
            <v>5317</v>
          </cell>
          <cell r="J4612">
            <v>0.13736307439824946</v>
          </cell>
        </row>
        <row r="4613">
          <cell r="I4613">
            <v>5318</v>
          </cell>
          <cell r="J4613">
            <v>0.13736575492341357</v>
          </cell>
        </row>
        <row r="4614">
          <cell r="I4614">
            <v>5319</v>
          </cell>
          <cell r="J4614">
            <v>0.13736843544857769</v>
          </cell>
        </row>
        <row r="4615">
          <cell r="I4615">
            <v>5320</v>
          </cell>
          <cell r="J4615">
            <v>0.1373711159737418</v>
          </cell>
        </row>
        <row r="4616">
          <cell r="I4616">
            <v>5321</v>
          </cell>
          <cell r="J4616">
            <v>0.13737379649890591</v>
          </cell>
        </row>
        <row r="4617">
          <cell r="I4617">
            <v>5322</v>
          </cell>
          <cell r="J4617">
            <v>0.13737647702407002</v>
          </cell>
        </row>
        <row r="4618">
          <cell r="I4618">
            <v>5323</v>
          </cell>
          <cell r="J4618">
            <v>0.13737915754923413</v>
          </cell>
        </row>
        <row r="4619">
          <cell r="I4619">
            <v>5324</v>
          </cell>
          <cell r="J4619">
            <v>0.13738183807439824</v>
          </cell>
        </row>
        <row r="4620">
          <cell r="I4620">
            <v>5325</v>
          </cell>
          <cell r="J4620">
            <v>0.13738451859956236</v>
          </cell>
        </row>
        <row r="4621">
          <cell r="I4621">
            <v>5326</v>
          </cell>
          <cell r="J4621">
            <v>0.13738719912472649</v>
          </cell>
        </row>
        <row r="4622">
          <cell r="I4622">
            <v>5327</v>
          </cell>
          <cell r="J4622">
            <v>0.13738987964989061</v>
          </cell>
        </row>
        <row r="4623">
          <cell r="I4623">
            <v>5328</v>
          </cell>
          <cell r="J4623">
            <v>0.13739256017505472</v>
          </cell>
        </row>
        <row r="4624">
          <cell r="I4624">
            <v>5329</v>
          </cell>
          <cell r="J4624">
            <v>0.13739524070021883</v>
          </cell>
        </row>
        <row r="4625">
          <cell r="I4625">
            <v>5330</v>
          </cell>
          <cell r="J4625">
            <v>0.13739792122538294</v>
          </cell>
        </row>
        <row r="4626">
          <cell r="I4626">
            <v>5331</v>
          </cell>
          <cell r="J4626">
            <v>0.13740060175054705</v>
          </cell>
        </row>
        <row r="4627">
          <cell r="I4627">
            <v>5332</v>
          </cell>
          <cell r="J4627">
            <v>0.13740328227571116</v>
          </cell>
        </row>
        <row r="4628">
          <cell r="I4628">
            <v>5333</v>
          </cell>
          <cell r="J4628">
            <v>0.13740596280087528</v>
          </cell>
        </row>
        <row r="4629">
          <cell r="I4629">
            <v>5334</v>
          </cell>
          <cell r="J4629">
            <v>0.13740864332603939</v>
          </cell>
        </row>
        <row r="4630">
          <cell r="I4630">
            <v>5335</v>
          </cell>
          <cell r="J4630">
            <v>0.1374113238512035</v>
          </cell>
        </row>
        <row r="4631">
          <cell r="I4631">
            <v>5336</v>
          </cell>
          <cell r="J4631">
            <v>0.13741400437636761</v>
          </cell>
        </row>
        <row r="4632">
          <cell r="I4632">
            <v>5337</v>
          </cell>
          <cell r="J4632">
            <v>0.13741668490153172</v>
          </cell>
        </row>
        <row r="4633">
          <cell r="I4633">
            <v>5338</v>
          </cell>
          <cell r="J4633">
            <v>0.13741936542669586</v>
          </cell>
        </row>
        <row r="4634">
          <cell r="I4634">
            <v>5339</v>
          </cell>
          <cell r="J4634">
            <v>0.13742204595185997</v>
          </cell>
        </row>
        <row r="4635">
          <cell r="I4635">
            <v>5340</v>
          </cell>
          <cell r="J4635">
            <v>0.13742472647702408</v>
          </cell>
        </row>
        <row r="4636">
          <cell r="I4636">
            <v>5341</v>
          </cell>
          <cell r="J4636">
            <v>0.1374274070021882</v>
          </cell>
        </row>
        <row r="4637">
          <cell r="I4637">
            <v>5342</v>
          </cell>
          <cell r="J4637">
            <v>0.13743008752735231</v>
          </cell>
        </row>
        <row r="4638">
          <cell r="I4638">
            <v>5343</v>
          </cell>
          <cell r="J4638">
            <v>0.13743276805251642</v>
          </cell>
        </row>
        <row r="4639">
          <cell r="I4639">
            <v>5344</v>
          </cell>
          <cell r="J4639">
            <v>0.13743544857768053</v>
          </cell>
        </row>
        <row r="4640">
          <cell r="I4640">
            <v>5345</v>
          </cell>
          <cell r="J4640">
            <v>0.13743812910284464</v>
          </cell>
        </row>
        <row r="4641">
          <cell r="I4641">
            <v>5346</v>
          </cell>
          <cell r="J4641">
            <v>0.13744080962800875</v>
          </cell>
        </row>
        <row r="4642">
          <cell r="I4642">
            <v>5347</v>
          </cell>
          <cell r="J4642">
            <v>0.13744349015317286</v>
          </cell>
        </row>
        <row r="4643">
          <cell r="I4643">
            <v>5348</v>
          </cell>
          <cell r="J4643">
            <v>0.13744617067833698</v>
          </cell>
        </row>
        <row r="4644">
          <cell r="I4644">
            <v>5349</v>
          </cell>
          <cell r="J4644">
            <v>0.13744885120350109</v>
          </cell>
        </row>
        <row r="4645">
          <cell r="I4645">
            <v>5350</v>
          </cell>
          <cell r="J4645">
            <v>0.1374515317286652</v>
          </cell>
        </row>
        <row r="4646">
          <cell r="I4646">
            <v>5351</v>
          </cell>
          <cell r="J4646">
            <v>0.13745421225382934</v>
          </cell>
        </row>
        <row r="4647">
          <cell r="I4647">
            <v>5352</v>
          </cell>
          <cell r="J4647">
            <v>0.13745689277899345</v>
          </cell>
        </row>
        <row r="4648">
          <cell r="I4648">
            <v>5353</v>
          </cell>
          <cell r="J4648">
            <v>0.13745957330415756</v>
          </cell>
        </row>
        <row r="4649">
          <cell r="I4649">
            <v>5354</v>
          </cell>
          <cell r="J4649">
            <v>0.13746225382932167</v>
          </cell>
        </row>
        <row r="4650">
          <cell r="I4650">
            <v>5355</v>
          </cell>
          <cell r="J4650">
            <v>0.13746493435448578</v>
          </cell>
        </row>
        <row r="4651">
          <cell r="I4651">
            <v>5356</v>
          </cell>
          <cell r="J4651">
            <v>0.1374676148796499</v>
          </cell>
        </row>
        <row r="4652">
          <cell r="I4652">
            <v>5357</v>
          </cell>
          <cell r="J4652">
            <v>0.13747029540481401</v>
          </cell>
        </row>
        <row r="4653">
          <cell r="I4653">
            <v>5358</v>
          </cell>
          <cell r="J4653">
            <v>0.13747297592997812</v>
          </cell>
        </row>
        <row r="4654">
          <cell r="I4654">
            <v>5359</v>
          </cell>
          <cell r="J4654">
            <v>0.13747565645514223</v>
          </cell>
        </row>
        <row r="4655">
          <cell r="I4655">
            <v>5360</v>
          </cell>
          <cell r="J4655">
            <v>0.13747833698030634</v>
          </cell>
        </row>
        <row r="4656">
          <cell r="I4656">
            <v>5361</v>
          </cell>
          <cell r="J4656">
            <v>0.13748101750547045</v>
          </cell>
        </row>
        <row r="4657">
          <cell r="I4657">
            <v>5362</v>
          </cell>
          <cell r="J4657">
            <v>0.13748369803063457</v>
          </cell>
        </row>
        <row r="4658">
          <cell r="I4658">
            <v>5363</v>
          </cell>
          <cell r="J4658">
            <v>0.13748637855579871</v>
          </cell>
        </row>
        <row r="4659">
          <cell r="I4659">
            <v>5364</v>
          </cell>
          <cell r="J4659">
            <v>0.13748905908096282</v>
          </cell>
        </row>
        <row r="4660">
          <cell r="I4660">
            <v>5365</v>
          </cell>
          <cell r="J4660">
            <v>0.13749173960612693</v>
          </cell>
        </row>
        <row r="4661">
          <cell r="I4661">
            <v>5366</v>
          </cell>
          <cell r="J4661">
            <v>0.13749442013129104</v>
          </cell>
        </row>
        <row r="4662">
          <cell r="I4662">
            <v>5367</v>
          </cell>
          <cell r="J4662">
            <v>0.13749710065645515</v>
          </cell>
        </row>
        <row r="4663">
          <cell r="I4663">
            <v>5368</v>
          </cell>
          <cell r="J4663">
            <v>0.13749978118161926</v>
          </cell>
        </row>
        <row r="4664">
          <cell r="I4664">
            <v>5369</v>
          </cell>
          <cell r="J4664">
            <v>0.13750246170678337</v>
          </cell>
        </row>
        <row r="4665">
          <cell r="I4665">
            <v>5370</v>
          </cell>
          <cell r="J4665">
            <v>0.13750514223194749</v>
          </cell>
        </row>
        <row r="4666">
          <cell r="I4666">
            <v>5371</v>
          </cell>
          <cell r="J4666">
            <v>0.1375078227571116</v>
          </cell>
        </row>
        <row r="4667">
          <cell r="I4667">
            <v>5372</v>
          </cell>
          <cell r="J4667">
            <v>0.13751050328227571</v>
          </cell>
        </row>
        <row r="4668">
          <cell r="I4668">
            <v>5373</v>
          </cell>
          <cell r="J4668">
            <v>0.13751318380743982</v>
          </cell>
        </row>
        <row r="4669">
          <cell r="I4669">
            <v>5374</v>
          </cell>
          <cell r="J4669">
            <v>0.13751586433260393</v>
          </cell>
        </row>
        <row r="4670">
          <cell r="I4670">
            <v>5375</v>
          </cell>
          <cell r="J4670">
            <v>0.13751854485776804</v>
          </cell>
        </row>
        <row r="4671">
          <cell r="I4671">
            <v>5376</v>
          </cell>
          <cell r="J4671">
            <v>0.13752122538293218</v>
          </cell>
        </row>
        <row r="4672">
          <cell r="I4672">
            <v>5377</v>
          </cell>
          <cell r="J4672">
            <v>0.13752390590809629</v>
          </cell>
        </row>
        <row r="4673">
          <cell r="I4673">
            <v>5378</v>
          </cell>
          <cell r="J4673">
            <v>0.13752658643326041</v>
          </cell>
        </row>
        <row r="4674">
          <cell r="I4674">
            <v>5379</v>
          </cell>
          <cell r="J4674">
            <v>0.13752926695842452</v>
          </cell>
        </row>
        <row r="4675">
          <cell r="I4675">
            <v>5380</v>
          </cell>
          <cell r="J4675">
            <v>0.13753194748358863</v>
          </cell>
        </row>
        <row r="4676">
          <cell r="I4676">
            <v>5381</v>
          </cell>
          <cell r="J4676">
            <v>0.13753462800875274</v>
          </cell>
        </row>
        <row r="4677">
          <cell r="I4677">
            <v>5382</v>
          </cell>
          <cell r="J4677">
            <v>0.13753730853391685</v>
          </cell>
        </row>
        <row r="4678">
          <cell r="I4678">
            <v>5383</v>
          </cell>
          <cell r="J4678">
            <v>0.13753998905908096</v>
          </cell>
        </row>
        <row r="4679">
          <cell r="I4679">
            <v>5384</v>
          </cell>
          <cell r="J4679">
            <v>0.13754266958424508</v>
          </cell>
        </row>
        <row r="4680">
          <cell r="I4680">
            <v>5385</v>
          </cell>
          <cell r="J4680">
            <v>0.13754535010940919</v>
          </cell>
        </row>
        <row r="4681">
          <cell r="I4681">
            <v>5386</v>
          </cell>
          <cell r="J4681">
            <v>0.1375480306345733</v>
          </cell>
        </row>
        <row r="4682">
          <cell r="I4682">
            <v>5387</v>
          </cell>
          <cell r="J4682">
            <v>0.13755071115973741</v>
          </cell>
        </row>
        <row r="4683">
          <cell r="I4683">
            <v>5388</v>
          </cell>
          <cell r="J4683">
            <v>0.13755339168490155</v>
          </cell>
        </row>
        <row r="4684">
          <cell r="I4684">
            <v>5389</v>
          </cell>
          <cell r="J4684">
            <v>0.13755607221006566</v>
          </cell>
        </row>
        <row r="4685">
          <cell r="I4685">
            <v>5390</v>
          </cell>
          <cell r="J4685">
            <v>0.13755875273522977</v>
          </cell>
        </row>
        <row r="4686">
          <cell r="I4686">
            <v>5391</v>
          </cell>
          <cell r="J4686">
            <v>0.13756143326039388</v>
          </cell>
        </row>
        <row r="4687">
          <cell r="I4687">
            <v>5392</v>
          </cell>
          <cell r="J4687">
            <v>0.137564113785558</v>
          </cell>
        </row>
        <row r="4688">
          <cell r="I4688">
            <v>5393</v>
          </cell>
          <cell r="J4688">
            <v>0.13756679431072211</v>
          </cell>
        </row>
        <row r="4689">
          <cell r="I4689">
            <v>5394</v>
          </cell>
          <cell r="J4689">
            <v>0.13756947483588622</v>
          </cell>
        </row>
        <row r="4690">
          <cell r="I4690">
            <v>5395</v>
          </cell>
          <cell r="J4690">
            <v>0.13757215536105033</v>
          </cell>
        </row>
        <row r="4691">
          <cell r="I4691">
            <v>5396</v>
          </cell>
          <cell r="J4691">
            <v>0.13757483588621444</v>
          </cell>
        </row>
        <row r="4692">
          <cell r="I4692">
            <v>5397</v>
          </cell>
          <cell r="J4692">
            <v>0.13757751641137855</v>
          </cell>
        </row>
        <row r="4693">
          <cell r="I4693">
            <v>5398</v>
          </cell>
          <cell r="J4693">
            <v>0.13758019693654266</v>
          </cell>
        </row>
        <row r="4694">
          <cell r="I4694">
            <v>5399</v>
          </cell>
          <cell r="J4694">
            <v>0.13758287746170678</v>
          </cell>
        </row>
        <row r="4695">
          <cell r="I4695">
            <v>5400</v>
          </cell>
          <cell r="J4695">
            <v>0.13758555798687092</v>
          </cell>
        </row>
        <row r="4696">
          <cell r="I4696">
            <v>5401</v>
          </cell>
          <cell r="J4696">
            <v>0.13758823851203503</v>
          </cell>
        </row>
        <row r="4697">
          <cell r="I4697">
            <v>5402</v>
          </cell>
          <cell r="J4697">
            <v>0.13759091903719914</v>
          </cell>
        </row>
        <row r="4698">
          <cell r="I4698">
            <v>5403</v>
          </cell>
          <cell r="J4698">
            <v>0.13759359956236325</v>
          </cell>
        </row>
        <row r="4699">
          <cell r="I4699">
            <v>5404</v>
          </cell>
          <cell r="J4699">
            <v>0.13759628008752736</v>
          </cell>
        </row>
        <row r="4700">
          <cell r="I4700">
            <v>5405</v>
          </cell>
          <cell r="J4700">
            <v>0.13759896061269147</v>
          </cell>
        </row>
        <row r="4701">
          <cell r="I4701">
            <v>5406</v>
          </cell>
          <cell r="J4701">
            <v>0.13760164113785558</v>
          </cell>
        </row>
        <row r="4702">
          <cell r="I4702">
            <v>5407</v>
          </cell>
          <cell r="J4702">
            <v>0.1376043216630197</v>
          </cell>
        </row>
        <row r="4703">
          <cell r="I4703">
            <v>5408</v>
          </cell>
          <cell r="J4703">
            <v>0.13760700218818381</v>
          </cell>
        </row>
        <row r="4704">
          <cell r="I4704">
            <v>5409</v>
          </cell>
          <cell r="J4704">
            <v>0.13760968271334792</v>
          </cell>
        </row>
        <row r="4705">
          <cell r="I4705">
            <v>5410</v>
          </cell>
          <cell r="J4705">
            <v>0.13761236323851203</v>
          </cell>
        </row>
        <row r="4706">
          <cell r="I4706">
            <v>5411</v>
          </cell>
          <cell r="J4706">
            <v>0.13761504376367614</v>
          </cell>
        </row>
        <row r="4707">
          <cell r="I4707">
            <v>5412</v>
          </cell>
          <cell r="J4707">
            <v>0.13761772428884028</v>
          </cell>
        </row>
        <row r="4708">
          <cell r="I4708">
            <v>5413</v>
          </cell>
          <cell r="J4708">
            <v>0.13762040481400439</v>
          </cell>
        </row>
        <row r="4709">
          <cell r="I4709">
            <v>5414</v>
          </cell>
          <cell r="J4709">
            <v>0.1376230853391685</v>
          </cell>
        </row>
        <row r="4710">
          <cell r="I4710">
            <v>5415</v>
          </cell>
          <cell r="J4710">
            <v>0.13762576586433262</v>
          </cell>
        </row>
        <row r="4711">
          <cell r="I4711">
            <v>5416</v>
          </cell>
          <cell r="J4711">
            <v>0.13762844638949673</v>
          </cell>
        </row>
        <row r="4712">
          <cell r="I4712">
            <v>5417</v>
          </cell>
          <cell r="J4712">
            <v>0.13763112691466084</v>
          </cell>
        </row>
        <row r="4713">
          <cell r="I4713">
            <v>5418</v>
          </cell>
          <cell r="J4713">
            <v>0.13763380743982495</v>
          </cell>
        </row>
        <row r="4714">
          <cell r="I4714">
            <v>5419</v>
          </cell>
          <cell r="J4714">
            <v>0.13763648796498906</v>
          </cell>
        </row>
        <row r="4715">
          <cell r="I4715">
            <v>5420</v>
          </cell>
          <cell r="J4715">
            <v>0.13763916849015317</v>
          </cell>
        </row>
        <row r="4716">
          <cell r="I4716">
            <v>5421</v>
          </cell>
          <cell r="J4716">
            <v>0.13764184901531729</v>
          </cell>
        </row>
        <row r="4717">
          <cell r="I4717">
            <v>5422</v>
          </cell>
          <cell r="J4717">
            <v>0.1376445295404814</v>
          </cell>
        </row>
        <row r="4718">
          <cell r="I4718">
            <v>5423</v>
          </cell>
          <cell r="J4718">
            <v>0.13764721006564551</v>
          </cell>
        </row>
        <row r="4719">
          <cell r="I4719">
            <v>5424</v>
          </cell>
          <cell r="J4719">
            <v>0.13764989059080962</v>
          </cell>
        </row>
        <row r="4720">
          <cell r="I4720">
            <v>5425</v>
          </cell>
          <cell r="J4720">
            <v>0.13765257111597376</v>
          </cell>
        </row>
        <row r="4721">
          <cell r="I4721">
            <v>5426</v>
          </cell>
          <cell r="J4721">
            <v>0.13765525164113787</v>
          </cell>
        </row>
        <row r="4722">
          <cell r="I4722">
            <v>5427</v>
          </cell>
          <cell r="J4722">
            <v>0.13765793216630198</v>
          </cell>
        </row>
        <row r="4723">
          <cell r="I4723">
            <v>5428</v>
          </cell>
          <cell r="J4723">
            <v>0.13766061269146609</v>
          </cell>
        </row>
        <row r="4724">
          <cell r="I4724">
            <v>5429</v>
          </cell>
          <cell r="J4724">
            <v>0.13766329321663021</v>
          </cell>
        </row>
        <row r="4725">
          <cell r="I4725">
            <v>5430</v>
          </cell>
          <cell r="J4725">
            <v>0.13766597374179432</v>
          </cell>
        </row>
        <row r="4726">
          <cell r="I4726">
            <v>5431</v>
          </cell>
          <cell r="J4726">
            <v>0.13766865426695843</v>
          </cell>
        </row>
        <row r="4727">
          <cell r="I4727">
            <v>5432</v>
          </cell>
          <cell r="J4727">
            <v>0.13767133479212254</v>
          </cell>
        </row>
        <row r="4728">
          <cell r="I4728">
            <v>5433</v>
          </cell>
          <cell r="J4728">
            <v>0.13767401531728665</v>
          </cell>
        </row>
        <row r="4729">
          <cell r="I4729">
            <v>5434</v>
          </cell>
          <cell r="J4729">
            <v>0.13767669584245076</v>
          </cell>
        </row>
        <row r="4730">
          <cell r="I4730">
            <v>5435</v>
          </cell>
          <cell r="J4730">
            <v>0.13767937636761488</v>
          </cell>
        </row>
        <row r="4731">
          <cell r="I4731">
            <v>5436</v>
          </cell>
          <cell r="J4731">
            <v>0.13768205689277899</v>
          </cell>
        </row>
        <row r="4732">
          <cell r="I4732">
            <v>5437</v>
          </cell>
          <cell r="J4732">
            <v>0.13768473741794313</v>
          </cell>
        </row>
        <row r="4733">
          <cell r="I4733">
            <v>5438</v>
          </cell>
          <cell r="J4733">
            <v>0.13768741794310724</v>
          </cell>
        </row>
        <row r="4734">
          <cell r="I4734">
            <v>5439</v>
          </cell>
          <cell r="J4734">
            <v>0.13769009846827135</v>
          </cell>
        </row>
        <row r="4735">
          <cell r="I4735">
            <v>5440</v>
          </cell>
          <cell r="J4735">
            <v>0.13769277899343546</v>
          </cell>
        </row>
        <row r="4736">
          <cell r="I4736">
            <v>5441</v>
          </cell>
          <cell r="J4736">
            <v>0.13769545951859957</v>
          </cell>
        </row>
        <row r="4737">
          <cell r="I4737">
            <v>5442</v>
          </cell>
          <cell r="J4737">
            <v>0.13769814004376368</v>
          </cell>
        </row>
        <row r="4738">
          <cell r="I4738">
            <v>5443</v>
          </cell>
          <cell r="J4738">
            <v>0.1377008205689278</v>
          </cell>
        </row>
        <row r="4739">
          <cell r="I4739">
            <v>5444</v>
          </cell>
          <cell r="J4739">
            <v>0.13770350109409191</v>
          </cell>
        </row>
        <row r="4740">
          <cell r="I4740">
            <v>5445</v>
          </cell>
          <cell r="J4740">
            <v>0.13770618161925602</v>
          </cell>
        </row>
        <row r="4741">
          <cell r="I4741">
            <v>5446</v>
          </cell>
          <cell r="J4741">
            <v>0.13770886214442013</v>
          </cell>
        </row>
        <row r="4742">
          <cell r="I4742">
            <v>5447</v>
          </cell>
          <cell r="J4742">
            <v>0.13771154266958424</v>
          </cell>
        </row>
        <row r="4743">
          <cell r="I4743">
            <v>5448</v>
          </cell>
          <cell r="J4743">
            <v>0.13771422319474835</v>
          </cell>
        </row>
        <row r="4744">
          <cell r="I4744">
            <v>5449</v>
          </cell>
          <cell r="J4744">
            <v>0.13771690371991246</v>
          </cell>
        </row>
        <row r="4745">
          <cell r="I4745">
            <v>5450</v>
          </cell>
          <cell r="J4745">
            <v>0.1377195842450766</v>
          </cell>
        </row>
        <row r="4746">
          <cell r="I4746">
            <v>5451</v>
          </cell>
          <cell r="J4746">
            <v>0.13772226477024072</v>
          </cell>
        </row>
        <row r="4747">
          <cell r="I4747">
            <v>5452</v>
          </cell>
          <cell r="J4747">
            <v>0.13772494529540483</v>
          </cell>
        </row>
        <row r="4748">
          <cell r="I4748">
            <v>5453</v>
          </cell>
          <cell r="J4748">
            <v>0.13772762582056894</v>
          </cell>
        </row>
        <row r="4749">
          <cell r="I4749">
            <v>5454</v>
          </cell>
          <cell r="J4749">
            <v>0.13773030634573305</v>
          </cell>
        </row>
        <row r="4750">
          <cell r="I4750">
            <v>5455</v>
          </cell>
          <cell r="J4750">
            <v>0.13773298687089716</v>
          </cell>
        </row>
        <row r="4751">
          <cell r="I4751">
            <v>5456</v>
          </cell>
          <cell r="J4751">
            <v>0.13773566739606127</v>
          </cell>
        </row>
        <row r="4752">
          <cell r="I4752">
            <v>5457</v>
          </cell>
          <cell r="J4752">
            <v>0.13773834792122538</v>
          </cell>
        </row>
        <row r="4753">
          <cell r="I4753">
            <v>5458</v>
          </cell>
          <cell r="J4753">
            <v>0.1377410284463895</v>
          </cell>
        </row>
        <row r="4754">
          <cell r="I4754">
            <v>5459</v>
          </cell>
          <cell r="J4754">
            <v>0.13774370897155361</v>
          </cell>
        </row>
        <row r="4755">
          <cell r="I4755">
            <v>5460</v>
          </cell>
          <cell r="J4755">
            <v>0.13774638949671772</v>
          </cell>
        </row>
        <row r="4756">
          <cell r="I4756">
            <v>5461</v>
          </cell>
          <cell r="J4756">
            <v>0.13774907002188183</v>
          </cell>
        </row>
        <row r="4757">
          <cell r="I4757">
            <v>5462</v>
          </cell>
          <cell r="J4757">
            <v>0.13775175054704597</v>
          </cell>
        </row>
        <row r="4758">
          <cell r="I4758">
            <v>5463</v>
          </cell>
          <cell r="J4758">
            <v>0.13775443107221008</v>
          </cell>
        </row>
        <row r="4759">
          <cell r="I4759">
            <v>5464</v>
          </cell>
          <cell r="J4759">
            <v>0.13775711159737419</v>
          </cell>
        </row>
        <row r="4760">
          <cell r="I4760">
            <v>5465</v>
          </cell>
          <cell r="J4760">
            <v>0.1377597921225383</v>
          </cell>
        </row>
        <row r="4761">
          <cell r="I4761">
            <v>5466</v>
          </cell>
          <cell r="J4761">
            <v>0.13776247264770242</v>
          </cell>
        </row>
        <row r="4762">
          <cell r="I4762">
            <v>5467</v>
          </cell>
          <cell r="J4762">
            <v>0.13776515317286653</v>
          </cell>
        </row>
        <row r="4763">
          <cell r="I4763">
            <v>5468</v>
          </cell>
          <cell r="J4763">
            <v>0.13776783369803064</v>
          </cell>
        </row>
        <row r="4764">
          <cell r="I4764">
            <v>5469</v>
          </cell>
          <cell r="J4764">
            <v>0.13777051422319475</v>
          </cell>
        </row>
        <row r="4765">
          <cell r="I4765">
            <v>5470</v>
          </cell>
          <cell r="J4765">
            <v>0.13777319474835886</v>
          </cell>
        </row>
        <row r="4766">
          <cell r="I4766">
            <v>5471</v>
          </cell>
          <cell r="J4766">
            <v>0.13777587527352297</v>
          </cell>
        </row>
        <row r="4767">
          <cell r="I4767">
            <v>5472</v>
          </cell>
          <cell r="J4767">
            <v>0.13777855579868709</v>
          </cell>
        </row>
        <row r="4768">
          <cell r="I4768">
            <v>5473</v>
          </cell>
          <cell r="J4768">
            <v>0.1377812363238512</v>
          </cell>
        </row>
        <row r="4769">
          <cell r="I4769">
            <v>5474</v>
          </cell>
          <cell r="J4769">
            <v>0.13778391684901531</v>
          </cell>
        </row>
        <row r="4770">
          <cell r="I4770">
            <v>5475</v>
          </cell>
          <cell r="J4770">
            <v>0.13778659737417945</v>
          </cell>
        </row>
        <row r="4771">
          <cell r="I4771">
            <v>5476</v>
          </cell>
          <cell r="J4771">
            <v>0.13778927789934356</v>
          </cell>
        </row>
        <row r="4772">
          <cell r="I4772">
            <v>5477</v>
          </cell>
          <cell r="J4772">
            <v>0.13779195842450767</v>
          </cell>
        </row>
        <row r="4773">
          <cell r="I4773">
            <v>5478</v>
          </cell>
          <cell r="J4773">
            <v>0.13779463894967178</v>
          </cell>
        </row>
        <row r="4774">
          <cell r="I4774">
            <v>5479</v>
          </cell>
          <cell r="J4774">
            <v>0.13779731947483589</v>
          </cell>
        </row>
        <row r="4775">
          <cell r="I4775">
            <v>5480</v>
          </cell>
          <cell r="J4775">
            <v>0.13780000000000001</v>
          </cell>
        </row>
        <row r="4776">
          <cell r="I4776">
            <v>5481</v>
          </cell>
          <cell r="J4776">
            <v>0.13780180821917809</v>
          </cell>
        </row>
        <row r="4777">
          <cell r="I4777">
            <v>5482</v>
          </cell>
          <cell r="J4777">
            <v>0.13780361643835617</v>
          </cell>
        </row>
        <row r="4778">
          <cell r="I4778">
            <v>5483</v>
          </cell>
          <cell r="J4778">
            <v>0.13780542465753426</v>
          </cell>
        </row>
        <row r="4779">
          <cell r="I4779">
            <v>5484</v>
          </cell>
          <cell r="J4779">
            <v>0.13780723287671234</v>
          </cell>
        </row>
        <row r="4780">
          <cell r="I4780">
            <v>5485</v>
          </cell>
          <cell r="J4780">
            <v>0.13780904109589043</v>
          </cell>
        </row>
        <row r="4781">
          <cell r="I4781">
            <v>5486</v>
          </cell>
          <cell r="J4781">
            <v>0.13781084931506851</v>
          </cell>
        </row>
        <row r="4782">
          <cell r="I4782">
            <v>5487</v>
          </cell>
          <cell r="J4782">
            <v>0.13781265753424657</v>
          </cell>
        </row>
        <row r="4783">
          <cell r="I4783">
            <v>5488</v>
          </cell>
          <cell r="J4783">
            <v>0.13781446575342465</v>
          </cell>
        </row>
        <row r="4784">
          <cell r="I4784">
            <v>5489</v>
          </cell>
          <cell r="J4784">
            <v>0.13781627397260274</v>
          </cell>
        </row>
        <row r="4785">
          <cell r="I4785">
            <v>5490</v>
          </cell>
          <cell r="J4785">
            <v>0.13781808219178082</v>
          </cell>
        </row>
        <row r="4786">
          <cell r="I4786">
            <v>5491</v>
          </cell>
          <cell r="J4786">
            <v>0.13781989041095891</v>
          </cell>
        </row>
        <row r="4787">
          <cell r="I4787">
            <v>5492</v>
          </cell>
          <cell r="J4787">
            <v>0.13782169863013699</v>
          </cell>
        </row>
        <row r="4788">
          <cell r="I4788">
            <v>5493</v>
          </cell>
          <cell r="J4788">
            <v>0.13782350684931508</v>
          </cell>
        </row>
        <row r="4789">
          <cell r="I4789">
            <v>5494</v>
          </cell>
          <cell r="J4789">
            <v>0.13782531506849316</v>
          </cell>
        </row>
        <row r="4790">
          <cell r="I4790">
            <v>5495</v>
          </cell>
          <cell r="J4790">
            <v>0.13782712328767124</v>
          </cell>
        </row>
        <row r="4791">
          <cell r="I4791">
            <v>5496</v>
          </cell>
          <cell r="J4791">
            <v>0.13782893150684933</v>
          </cell>
        </row>
        <row r="4792">
          <cell r="I4792">
            <v>5497</v>
          </cell>
          <cell r="J4792">
            <v>0.13783073972602741</v>
          </cell>
        </row>
        <row r="4793">
          <cell r="I4793">
            <v>5498</v>
          </cell>
          <cell r="J4793">
            <v>0.1378325479452055</v>
          </cell>
        </row>
        <row r="4794">
          <cell r="I4794">
            <v>5499</v>
          </cell>
          <cell r="J4794">
            <v>0.13783435616438358</v>
          </cell>
        </row>
        <row r="4795">
          <cell r="I4795">
            <v>5500</v>
          </cell>
          <cell r="J4795">
            <v>0.13783616438356164</v>
          </cell>
        </row>
        <row r="4796">
          <cell r="I4796">
            <v>5501</v>
          </cell>
          <cell r="J4796">
            <v>0.13783797260273972</v>
          </cell>
        </row>
        <row r="4797">
          <cell r="I4797">
            <v>5502</v>
          </cell>
          <cell r="J4797">
            <v>0.13783978082191781</v>
          </cell>
        </row>
        <row r="4798">
          <cell r="I4798">
            <v>5503</v>
          </cell>
          <cell r="J4798">
            <v>0.13784158904109589</v>
          </cell>
        </row>
        <row r="4799">
          <cell r="I4799">
            <v>5504</v>
          </cell>
          <cell r="J4799">
            <v>0.13784339726027398</v>
          </cell>
        </row>
        <row r="4800">
          <cell r="I4800">
            <v>5505</v>
          </cell>
          <cell r="J4800">
            <v>0.13784520547945206</v>
          </cell>
        </row>
        <row r="4801">
          <cell r="I4801">
            <v>5506</v>
          </cell>
          <cell r="J4801">
            <v>0.13784701369863014</v>
          </cell>
        </row>
        <row r="4802">
          <cell r="I4802">
            <v>5507</v>
          </cell>
          <cell r="J4802">
            <v>0.13784882191780823</v>
          </cell>
        </row>
        <row r="4803">
          <cell r="I4803">
            <v>5508</v>
          </cell>
          <cell r="J4803">
            <v>0.13785063013698631</v>
          </cell>
        </row>
        <row r="4804">
          <cell r="I4804">
            <v>5509</v>
          </cell>
          <cell r="J4804">
            <v>0.1378524383561644</v>
          </cell>
        </row>
        <row r="4805">
          <cell r="I4805">
            <v>5510</v>
          </cell>
          <cell r="J4805">
            <v>0.13785424657534248</v>
          </cell>
        </row>
        <row r="4806">
          <cell r="I4806">
            <v>5511</v>
          </cell>
          <cell r="J4806">
            <v>0.13785605479452057</v>
          </cell>
        </row>
        <row r="4807">
          <cell r="I4807">
            <v>5512</v>
          </cell>
          <cell r="J4807">
            <v>0.13785786301369862</v>
          </cell>
        </row>
        <row r="4808">
          <cell r="I4808">
            <v>5513</v>
          </cell>
          <cell r="J4808">
            <v>0.13785967123287671</v>
          </cell>
        </row>
        <row r="4809">
          <cell r="I4809">
            <v>5514</v>
          </cell>
          <cell r="J4809">
            <v>0.13786147945205479</v>
          </cell>
        </row>
        <row r="4810">
          <cell r="I4810">
            <v>5515</v>
          </cell>
          <cell r="J4810">
            <v>0.13786328767123288</v>
          </cell>
        </row>
        <row r="4811">
          <cell r="I4811">
            <v>5516</v>
          </cell>
          <cell r="J4811">
            <v>0.13786509589041096</v>
          </cell>
        </row>
        <row r="4812">
          <cell r="I4812">
            <v>5517</v>
          </cell>
          <cell r="J4812">
            <v>0.13786690410958904</v>
          </cell>
        </row>
        <row r="4813">
          <cell r="I4813">
            <v>5518</v>
          </cell>
          <cell r="J4813">
            <v>0.13786871232876713</v>
          </cell>
        </row>
        <row r="4814">
          <cell r="I4814">
            <v>5519</v>
          </cell>
          <cell r="J4814">
            <v>0.13787052054794521</v>
          </cell>
        </row>
        <row r="4815">
          <cell r="I4815">
            <v>5520</v>
          </cell>
          <cell r="J4815">
            <v>0.1378723287671233</v>
          </cell>
        </row>
        <row r="4816">
          <cell r="I4816">
            <v>5521</v>
          </cell>
          <cell r="J4816">
            <v>0.13787413698630138</v>
          </cell>
        </row>
        <row r="4817">
          <cell r="I4817">
            <v>5522</v>
          </cell>
          <cell r="J4817">
            <v>0.13787594520547947</v>
          </cell>
        </row>
        <row r="4818">
          <cell r="I4818">
            <v>5523</v>
          </cell>
          <cell r="J4818">
            <v>0.13787775342465755</v>
          </cell>
        </row>
        <row r="4819">
          <cell r="I4819">
            <v>5524</v>
          </cell>
          <cell r="J4819">
            <v>0.13787956164383564</v>
          </cell>
        </row>
        <row r="4820">
          <cell r="I4820">
            <v>5525</v>
          </cell>
          <cell r="J4820">
            <v>0.13788136986301369</v>
          </cell>
        </row>
        <row r="4821">
          <cell r="I4821">
            <v>5526</v>
          </cell>
          <cell r="J4821">
            <v>0.13788317808219178</v>
          </cell>
        </row>
        <row r="4822">
          <cell r="I4822">
            <v>5527</v>
          </cell>
          <cell r="J4822">
            <v>0.13788498630136986</v>
          </cell>
        </row>
        <row r="4823">
          <cell r="I4823">
            <v>5528</v>
          </cell>
          <cell r="J4823">
            <v>0.13788679452054795</v>
          </cell>
        </row>
        <row r="4824">
          <cell r="I4824">
            <v>5529</v>
          </cell>
          <cell r="J4824">
            <v>0.13788860273972603</v>
          </cell>
        </row>
        <row r="4825">
          <cell r="I4825">
            <v>5530</v>
          </cell>
          <cell r="J4825">
            <v>0.13789041095890411</v>
          </cell>
        </row>
        <row r="4826">
          <cell r="I4826">
            <v>5531</v>
          </cell>
          <cell r="J4826">
            <v>0.1378922191780822</v>
          </cell>
        </row>
        <row r="4827">
          <cell r="I4827">
            <v>5532</v>
          </cell>
          <cell r="J4827">
            <v>0.13789402739726028</v>
          </cell>
        </row>
        <row r="4828">
          <cell r="I4828">
            <v>5533</v>
          </cell>
          <cell r="J4828">
            <v>0.13789583561643837</v>
          </cell>
        </row>
        <row r="4829">
          <cell r="I4829">
            <v>5534</v>
          </cell>
          <cell r="J4829">
            <v>0.13789764383561645</v>
          </cell>
        </row>
        <row r="4830">
          <cell r="I4830">
            <v>5535</v>
          </cell>
          <cell r="J4830">
            <v>0.13789945205479454</v>
          </cell>
        </row>
        <row r="4831">
          <cell r="I4831">
            <v>5536</v>
          </cell>
          <cell r="J4831">
            <v>0.13790126027397262</v>
          </cell>
        </row>
        <row r="4832">
          <cell r="I4832">
            <v>5537</v>
          </cell>
          <cell r="J4832">
            <v>0.1379030684931507</v>
          </cell>
        </row>
        <row r="4833">
          <cell r="I4833">
            <v>5538</v>
          </cell>
          <cell r="J4833">
            <v>0.13790487671232876</v>
          </cell>
        </row>
        <row r="4834">
          <cell r="I4834">
            <v>5539</v>
          </cell>
          <cell r="J4834">
            <v>0.13790668493150685</v>
          </cell>
        </row>
        <row r="4835">
          <cell r="I4835">
            <v>5540</v>
          </cell>
          <cell r="J4835">
            <v>0.13790849315068493</v>
          </cell>
        </row>
        <row r="4836">
          <cell r="I4836">
            <v>5541</v>
          </cell>
          <cell r="J4836">
            <v>0.13791030136986301</v>
          </cell>
        </row>
        <row r="4837">
          <cell r="I4837">
            <v>5542</v>
          </cell>
          <cell r="J4837">
            <v>0.1379121095890411</v>
          </cell>
        </row>
        <row r="4838">
          <cell r="I4838">
            <v>5543</v>
          </cell>
          <cell r="J4838">
            <v>0.13791391780821918</v>
          </cell>
        </row>
        <row r="4839">
          <cell r="I4839">
            <v>5544</v>
          </cell>
          <cell r="J4839">
            <v>0.13791572602739727</v>
          </cell>
        </row>
        <row r="4840">
          <cell r="I4840">
            <v>5545</v>
          </cell>
          <cell r="J4840">
            <v>0.13791753424657535</v>
          </cell>
        </row>
        <row r="4841">
          <cell r="I4841">
            <v>5546</v>
          </cell>
          <cell r="J4841">
            <v>0.13791934246575344</v>
          </cell>
        </row>
        <row r="4842">
          <cell r="I4842">
            <v>5547</v>
          </cell>
          <cell r="J4842">
            <v>0.13792115068493152</v>
          </cell>
        </row>
        <row r="4843">
          <cell r="I4843">
            <v>5548</v>
          </cell>
          <cell r="J4843">
            <v>0.1379229589041096</v>
          </cell>
        </row>
        <row r="4844">
          <cell r="I4844">
            <v>5549</v>
          </cell>
          <cell r="J4844">
            <v>0.13792476712328769</v>
          </cell>
        </row>
        <row r="4845">
          <cell r="I4845">
            <v>5550</v>
          </cell>
          <cell r="J4845">
            <v>0.13792657534246575</v>
          </cell>
        </row>
        <row r="4846">
          <cell r="I4846">
            <v>5551</v>
          </cell>
          <cell r="J4846">
            <v>0.13792838356164383</v>
          </cell>
        </row>
        <row r="4847">
          <cell r="I4847">
            <v>5552</v>
          </cell>
          <cell r="J4847">
            <v>0.13793019178082191</v>
          </cell>
        </row>
        <row r="4848">
          <cell r="I4848">
            <v>5553</v>
          </cell>
          <cell r="J4848">
            <v>0.137932</v>
          </cell>
        </row>
        <row r="4849">
          <cell r="I4849">
            <v>5554</v>
          </cell>
          <cell r="J4849">
            <v>0.13793380821917808</v>
          </cell>
        </row>
        <row r="4850">
          <cell r="I4850">
            <v>5555</v>
          </cell>
          <cell r="J4850">
            <v>0.13793561643835617</v>
          </cell>
        </row>
        <row r="4851">
          <cell r="I4851">
            <v>5556</v>
          </cell>
          <cell r="J4851">
            <v>0.13793742465753425</v>
          </cell>
        </row>
        <row r="4852">
          <cell r="I4852">
            <v>5557</v>
          </cell>
          <cell r="J4852">
            <v>0.13793923287671234</v>
          </cell>
        </row>
        <row r="4853">
          <cell r="I4853">
            <v>5558</v>
          </cell>
          <cell r="J4853">
            <v>0.13794104109589042</v>
          </cell>
        </row>
        <row r="4854">
          <cell r="I4854">
            <v>5559</v>
          </cell>
          <cell r="J4854">
            <v>0.13794284931506851</v>
          </cell>
        </row>
        <row r="4855">
          <cell r="I4855">
            <v>5560</v>
          </cell>
          <cell r="J4855">
            <v>0.13794465753424659</v>
          </cell>
        </row>
        <row r="4856">
          <cell r="I4856">
            <v>5561</v>
          </cell>
          <cell r="J4856">
            <v>0.13794646575342467</v>
          </cell>
        </row>
        <row r="4857">
          <cell r="I4857">
            <v>5562</v>
          </cell>
          <cell r="J4857">
            <v>0.13794827397260276</v>
          </cell>
        </row>
        <row r="4858">
          <cell r="I4858">
            <v>5563</v>
          </cell>
          <cell r="J4858">
            <v>0.13795008219178082</v>
          </cell>
        </row>
        <row r="4859">
          <cell r="I4859">
            <v>5564</v>
          </cell>
          <cell r="J4859">
            <v>0.1379518904109589</v>
          </cell>
        </row>
        <row r="4860">
          <cell r="I4860">
            <v>5565</v>
          </cell>
          <cell r="J4860">
            <v>0.13795369863013698</v>
          </cell>
        </row>
        <row r="4861">
          <cell r="I4861">
            <v>5566</v>
          </cell>
          <cell r="J4861">
            <v>0.13795550684931507</v>
          </cell>
        </row>
        <row r="4862">
          <cell r="I4862">
            <v>5567</v>
          </cell>
          <cell r="J4862">
            <v>0.13795731506849315</v>
          </cell>
        </row>
        <row r="4863">
          <cell r="I4863">
            <v>5568</v>
          </cell>
          <cell r="J4863">
            <v>0.13795912328767124</v>
          </cell>
        </row>
        <row r="4864">
          <cell r="I4864">
            <v>5569</v>
          </cell>
          <cell r="J4864">
            <v>0.13796093150684932</v>
          </cell>
        </row>
        <row r="4865">
          <cell r="I4865">
            <v>5570</v>
          </cell>
          <cell r="J4865">
            <v>0.13796273972602741</v>
          </cell>
        </row>
        <row r="4866">
          <cell r="I4866">
            <v>5571</v>
          </cell>
          <cell r="J4866">
            <v>0.13796454794520549</v>
          </cell>
        </row>
        <row r="4867">
          <cell r="I4867">
            <v>5572</v>
          </cell>
          <cell r="J4867">
            <v>0.13796635616438357</v>
          </cell>
        </row>
        <row r="4868">
          <cell r="I4868">
            <v>5573</v>
          </cell>
          <cell r="J4868">
            <v>0.13796816438356166</v>
          </cell>
        </row>
        <row r="4869">
          <cell r="I4869">
            <v>5574</v>
          </cell>
          <cell r="J4869">
            <v>0.13796997260273974</v>
          </cell>
        </row>
        <row r="4870">
          <cell r="I4870">
            <v>5575</v>
          </cell>
          <cell r="J4870">
            <v>0.13797178082191783</v>
          </cell>
        </row>
        <row r="4871">
          <cell r="I4871">
            <v>5576</v>
          </cell>
          <cell r="J4871">
            <v>0.13797358904109588</v>
          </cell>
        </row>
        <row r="4872">
          <cell r="I4872">
            <v>5577</v>
          </cell>
          <cell r="J4872">
            <v>0.13797539726027397</v>
          </cell>
        </row>
        <row r="4873">
          <cell r="I4873">
            <v>5578</v>
          </cell>
          <cell r="J4873">
            <v>0.13797720547945205</v>
          </cell>
        </row>
        <row r="4874">
          <cell r="I4874">
            <v>5579</v>
          </cell>
          <cell r="J4874">
            <v>0.13797901369863014</v>
          </cell>
        </row>
        <row r="4875">
          <cell r="I4875">
            <v>5580</v>
          </cell>
          <cell r="J4875">
            <v>0.13798082191780822</v>
          </cell>
        </row>
        <row r="4876">
          <cell r="I4876">
            <v>5581</v>
          </cell>
          <cell r="J4876">
            <v>0.13798263013698631</v>
          </cell>
        </row>
        <row r="4877">
          <cell r="I4877">
            <v>5582</v>
          </cell>
          <cell r="J4877">
            <v>0.13798443835616439</v>
          </cell>
        </row>
        <row r="4878">
          <cell r="I4878">
            <v>5583</v>
          </cell>
          <cell r="J4878">
            <v>0.13798624657534247</v>
          </cell>
        </row>
        <row r="4879">
          <cell r="I4879">
            <v>5584</v>
          </cell>
          <cell r="J4879">
            <v>0.13798805479452056</v>
          </cell>
        </row>
        <row r="4880">
          <cell r="I4880">
            <v>5585</v>
          </cell>
          <cell r="J4880">
            <v>0.13798986301369864</v>
          </cell>
        </row>
        <row r="4881">
          <cell r="I4881">
            <v>5586</v>
          </cell>
          <cell r="J4881">
            <v>0.13799167123287673</v>
          </cell>
        </row>
        <row r="4882">
          <cell r="I4882">
            <v>5587</v>
          </cell>
          <cell r="J4882">
            <v>0.13799347945205481</v>
          </cell>
        </row>
        <row r="4883">
          <cell r="I4883">
            <v>5588</v>
          </cell>
          <cell r="J4883">
            <v>0.13799528767123287</v>
          </cell>
        </row>
        <row r="4884">
          <cell r="I4884">
            <v>5589</v>
          </cell>
          <cell r="J4884">
            <v>0.13799709589041095</v>
          </cell>
        </row>
        <row r="4885">
          <cell r="I4885">
            <v>5590</v>
          </cell>
          <cell r="J4885">
            <v>0.13799890410958904</v>
          </cell>
        </row>
        <row r="4886">
          <cell r="I4886">
            <v>5591</v>
          </cell>
          <cell r="J4886">
            <v>0.13800071232876712</v>
          </cell>
        </row>
        <row r="4887">
          <cell r="I4887">
            <v>5592</v>
          </cell>
          <cell r="J4887">
            <v>0.13800252054794521</v>
          </cell>
        </row>
        <row r="4888">
          <cell r="I4888">
            <v>5593</v>
          </cell>
          <cell r="J4888">
            <v>0.13800432876712329</v>
          </cell>
        </row>
        <row r="4889">
          <cell r="I4889">
            <v>5594</v>
          </cell>
          <cell r="J4889">
            <v>0.13800613698630138</v>
          </cell>
        </row>
        <row r="4890">
          <cell r="I4890">
            <v>5595</v>
          </cell>
          <cell r="J4890">
            <v>0.13800794520547946</v>
          </cell>
        </row>
        <row r="4891">
          <cell r="I4891">
            <v>5596</v>
          </cell>
          <cell r="J4891">
            <v>0.13800975342465754</v>
          </cell>
        </row>
        <row r="4892">
          <cell r="I4892">
            <v>5597</v>
          </cell>
          <cell r="J4892">
            <v>0.13801156164383563</v>
          </cell>
        </row>
        <row r="4893">
          <cell r="I4893">
            <v>5598</v>
          </cell>
          <cell r="J4893">
            <v>0.13801336986301371</v>
          </cell>
        </row>
        <row r="4894">
          <cell r="I4894">
            <v>5599</v>
          </cell>
          <cell r="J4894">
            <v>0.1380151780821918</v>
          </cell>
        </row>
        <row r="4895">
          <cell r="I4895">
            <v>5600</v>
          </cell>
          <cell r="J4895">
            <v>0.13801698630136988</v>
          </cell>
        </row>
        <row r="4896">
          <cell r="I4896">
            <v>5601</v>
          </cell>
          <cell r="J4896">
            <v>0.13801879452054794</v>
          </cell>
        </row>
        <row r="4897">
          <cell r="I4897">
            <v>5602</v>
          </cell>
          <cell r="J4897">
            <v>0.13802060273972602</v>
          </cell>
        </row>
        <row r="4898">
          <cell r="I4898">
            <v>5603</v>
          </cell>
          <cell r="J4898">
            <v>0.13802241095890411</v>
          </cell>
        </row>
        <row r="4899">
          <cell r="I4899">
            <v>5604</v>
          </cell>
          <cell r="J4899">
            <v>0.13802421917808219</v>
          </cell>
        </row>
        <row r="4900">
          <cell r="I4900">
            <v>5605</v>
          </cell>
          <cell r="J4900">
            <v>0.13802602739726028</v>
          </cell>
        </row>
        <row r="4901">
          <cell r="I4901">
            <v>5606</v>
          </cell>
          <cell r="J4901">
            <v>0.13802783561643836</v>
          </cell>
        </row>
        <row r="4902">
          <cell r="I4902">
            <v>5607</v>
          </cell>
          <cell r="J4902">
            <v>0.13802964383561644</v>
          </cell>
        </row>
        <row r="4903">
          <cell r="I4903">
            <v>5608</v>
          </cell>
          <cell r="J4903">
            <v>0.13803145205479453</v>
          </cell>
        </row>
        <row r="4904">
          <cell r="I4904">
            <v>5609</v>
          </cell>
          <cell r="J4904">
            <v>0.13803326027397261</v>
          </cell>
        </row>
        <row r="4905">
          <cell r="I4905">
            <v>5610</v>
          </cell>
          <cell r="J4905">
            <v>0.1380350684931507</v>
          </cell>
        </row>
        <row r="4906">
          <cell r="I4906">
            <v>5611</v>
          </cell>
          <cell r="J4906">
            <v>0.13803687671232878</v>
          </cell>
        </row>
        <row r="4907">
          <cell r="I4907">
            <v>5612</v>
          </cell>
          <cell r="J4907">
            <v>0.13803868493150687</v>
          </cell>
        </row>
        <row r="4908">
          <cell r="I4908">
            <v>5613</v>
          </cell>
          <cell r="J4908">
            <v>0.13804049315068495</v>
          </cell>
        </row>
        <row r="4909">
          <cell r="I4909">
            <v>5614</v>
          </cell>
          <cell r="J4909">
            <v>0.13804230136986301</v>
          </cell>
        </row>
        <row r="4910">
          <cell r="I4910">
            <v>5615</v>
          </cell>
          <cell r="J4910">
            <v>0.13804410958904109</v>
          </cell>
        </row>
        <row r="4911">
          <cell r="I4911">
            <v>5616</v>
          </cell>
          <cell r="J4911">
            <v>0.13804591780821918</v>
          </cell>
        </row>
        <row r="4912">
          <cell r="I4912">
            <v>5617</v>
          </cell>
          <cell r="J4912">
            <v>0.13804772602739726</v>
          </cell>
        </row>
        <row r="4913">
          <cell r="I4913">
            <v>5618</v>
          </cell>
          <cell r="J4913">
            <v>0.13804953424657534</v>
          </cell>
        </row>
        <row r="4914">
          <cell r="I4914">
            <v>5619</v>
          </cell>
          <cell r="J4914">
            <v>0.13805134246575343</v>
          </cell>
        </row>
        <row r="4915">
          <cell r="I4915">
            <v>5620</v>
          </cell>
          <cell r="J4915">
            <v>0.13805315068493151</v>
          </cell>
        </row>
        <row r="4916">
          <cell r="I4916">
            <v>5621</v>
          </cell>
          <cell r="J4916">
            <v>0.1380549589041096</v>
          </cell>
        </row>
        <row r="4917">
          <cell r="I4917">
            <v>5622</v>
          </cell>
          <cell r="J4917">
            <v>0.13805676712328768</v>
          </cell>
        </row>
        <row r="4918">
          <cell r="I4918">
            <v>5623</v>
          </cell>
          <cell r="J4918">
            <v>0.13805857534246577</v>
          </cell>
        </row>
        <row r="4919">
          <cell r="I4919">
            <v>5624</v>
          </cell>
          <cell r="J4919">
            <v>0.13806038356164385</v>
          </cell>
        </row>
        <row r="4920">
          <cell r="I4920">
            <v>5625</v>
          </cell>
          <cell r="J4920">
            <v>0.13806219178082194</v>
          </cell>
        </row>
        <row r="4921">
          <cell r="I4921">
            <v>5626</v>
          </cell>
          <cell r="J4921">
            <v>0.13806399999999999</v>
          </cell>
        </row>
        <row r="4922">
          <cell r="I4922">
            <v>5627</v>
          </cell>
          <cell r="J4922">
            <v>0.13806580821917808</v>
          </cell>
        </row>
        <row r="4923">
          <cell r="I4923">
            <v>5628</v>
          </cell>
          <cell r="J4923">
            <v>0.13806761643835616</v>
          </cell>
        </row>
        <row r="4924">
          <cell r="I4924">
            <v>5629</v>
          </cell>
          <cell r="J4924">
            <v>0.13806942465753425</v>
          </cell>
        </row>
        <row r="4925">
          <cell r="I4925">
            <v>5630</v>
          </cell>
          <cell r="J4925">
            <v>0.13807123287671233</v>
          </cell>
        </row>
        <row r="4926">
          <cell r="I4926">
            <v>5631</v>
          </cell>
          <cell r="J4926">
            <v>0.13807304109589041</v>
          </cell>
        </row>
        <row r="4927">
          <cell r="I4927">
            <v>5632</v>
          </cell>
          <cell r="J4927">
            <v>0.1380748493150685</v>
          </cell>
        </row>
        <row r="4928">
          <cell r="I4928">
            <v>5633</v>
          </cell>
          <cell r="J4928">
            <v>0.13807665753424658</v>
          </cell>
        </row>
        <row r="4929">
          <cell r="I4929">
            <v>5634</v>
          </cell>
          <cell r="J4929">
            <v>0.13807846575342467</v>
          </cell>
        </row>
        <row r="4930">
          <cell r="I4930">
            <v>5635</v>
          </cell>
          <cell r="J4930">
            <v>0.13808027397260275</v>
          </cell>
        </row>
        <row r="4931">
          <cell r="I4931">
            <v>5636</v>
          </cell>
          <cell r="J4931">
            <v>0.13808208219178084</v>
          </cell>
        </row>
        <row r="4932">
          <cell r="I4932">
            <v>5637</v>
          </cell>
          <cell r="J4932">
            <v>0.13808389041095892</v>
          </cell>
        </row>
        <row r="4933">
          <cell r="I4933">
            <v>5638</v>
          </cell>
          <cell r="J4933">
            <v>0.138085698630137</v>
          </cell>
        </row>
        <row r="4934">
          <cell r="I4934">
            <v>5639</v>
          </cell>
          <cell r="J4934">
            <v>0.13808750684931506</v>
          </cell>
        </row>
        <row r="4935">
          <cell r="I4935">
            <v>5640</v>
          </cell>
          <cell r="J4935">
            <v>0.13808931506849315</v>
          </cell>
        </row>
        <row r="4936">
          <cell r="I4936">
            <v>5641</v>
          </cell>
          <cell r="J4936">
            <v>0.13809112328767123</v>
          </cell>
        </row>
        <row r="4937">
          <cell r="I4937">
            <v>5642</v>
          </cell>
          <cell r="J4937">
            <v>0.13809293150684931</v>
          </cell>
        </row>
        <row r="4938">
          <cell r="I4938">
            <v>5643</v>
          </cell>
          <cell r="J4938">
            <v>0.1380947397260274</v>
          </cell>
        </row>
        <row r="4939">
          <cell r="I4939">
            <v>5644</v>
          </cell>
          <cell r="J4939">
            <v>0.13809654794520548</v>
          </cell>
        </row>
        <row r="4940">
          <cell r="I4940">
            <v>5645</v>
          </cell>
          <cell r="J4940">
            <v>0.13809835616438357</v>
          </cell>
        </row>
        <row r="4941">
          <cell r="I4941">
            <v>5646</v>
          </cell>
          <cell r="J4941">
            <v>0.13810016438356165</v>
          </cell>
        </row>
        <row r="4942">
          <cell r="I4942">
            <v>5647</v>
          </cell>
          <cell r="J4942">
            <v>0.13810197260273974</v>
          </cell>
        </row>
        <row r="4943">
          <cell r="I4943">
            <v>5648</v>
          </cell>
          <cell r="J4943">
            <v>0.13810378082191782</v>
          </cell>
        </row>
        <row r="4944">
          <cell r="I4944">
            <v>5649</v>
          </cell>
          <cell r="J4944">
            <v>0.13810558904109591</v>
          </cell>
        </row>
        <row r="4945">
          <cell r="I4945">
            <v>5650</v>
          </cell>
          <cell r="J4945">
            <v>0.13810739726027399</v>
          </cell>
        </row>
        <row r="4946">
          <cell r="I4946">
            <v>5651</v>
          </cell>
          <cell r="J4946">
            <v>0.13810920547945207</v>
          </cell>
        </row>
        <row r="4947">
          <cell r="I4947">
            <v>5652</v>
          </cell>
          <cell r="J4947">
            <v>0.13811101369863013</v>
          </cell>
        </row>
        <row r="4948">
          <cell r="I4948">
            <v>5653</v>
          </cell>
          <cell r="J4948">
            <v>0.13811282191780822</v>
          </cell>
        </row>
        <row r="4949">
          <cell r="I4949">
            <v>5654</v>
          </cell>
          <cell r="J4949">
            <v>0.1381146301369863</v>
          </cell>
        </row>
        <row r="4950">
          <cell r="I4950">
            <v>5655</v>
          </cell>
          <cell r="J4950">
            <v>0.13811643835616438</v>
          </cell>
        </row>
        <row r="4951">
          <cell r="I4951">
            <v>5656</v>
          </cell>
          <cell r="J4951">
            <v>0.13811824657534247</v>
          </cell>
        </row>
        <row r="4952">
          <cell r="I4952">
            <v>5657</v>
          </cell>
          <cell r="J4952">
            <v>0.13812005479452055</v>
          </cell>
        </row>
        <row r="4953">
          <cell r="I4953">
            <v>5658</v>
          </cell>
          <cell r="J4953">
            <v>0.13812186301369864</v>
          </cell>
        </row>
        <row r="4954">
          <cell r="I4954">
            <v>5659</v>
          </cell>
          <cell r="J4954">
            <v>0.13812367123287672</v>
          </cell>
        </row>
        <row r="4955">
          <cell r="I4955">
            <v>5660</v>
          </cell>
          <cell r="J4955">
            <v>0.13812547945205481</v>
          </cell>
        </row>
        <row r="4956">
          <cell r="I4956">
            <v>5661</v>
          </cell>
          <cell r="J4956">
            <v>0.13812728767123289</v>
          </cell>
        </row>
        <row r="4957">
          <cell r="I4957">
            <v>5662</v>
          </cell>
          <cell r="J4957">
            <v>0.13812909589041097</v>
          </cell>
        </row>
        <row r="4958">
          <cell r="I4958">
            <v>5663</v>
          </cell>
          <cell r="J4958">
            <v>0.13813090410958906</v>
          </cell>
        </row>
        <row r="4959">
          <cell r="I4959">
            <v>5664</v>
          </cell>
          <cell r="J4959">
            <v>0.13813271232876712</v>
          </cell>
        </row>
        <row r="4960">
          <cell r="I4960">
            <v>5665</v>
          </cell>
          <cell r="J4960">
            <v>0.1381345205479452</v>
          </cell>
        </row>
        <row r="4961">
          <cell r="I4961">
            <v>5666</v>
          </cell>
          <cell r="J4961">
            <v>0.13813632876712328</v>
          </cell>
        </row>
        <row r="4962">
          <cell r="I4962">
            <v>5667</v>
          </cell>
          <cell r="J4962">
            <v>0.13813813698630137</v>
          </cell>
        </row>
        <row r="4963">
          <cell r="I4963">
            <v>5668</v>
          </cell>
          <cell r="J4963">
            <v>0.13813994520547945</v>
          </cell>
        </row>
        <row r="4964">
          <cell r="I4964">
            <v>5669</v>
          </cell>
          <cell r="J4964">
            <v>0.13814175342465754</v>
          </cell>
        </row>
        <row r="4965">
          <cell r="I4965">
            <v>5670</v>
          </cell>
          <cell r="J4965">
            <v>0.13814356164383562</v>
          </cell>
        </row>
        <row r="4966">
          <cell r="I4966">
            <v>5671</v>
          </cell>
          <cell r="J4966">
            <v>0.13814536986301371</v>
          </cell>
        </row>
        <row r="4967">
          <cell r="I4967">
            <v>5672</v>
          </cell>
          <cell r="J4967">
            <v>0.13814717808219179</v>
          </cell>
        </row>
        <row r="4968">
          <cell r="I4968">
            <v>5673</v>
          </cell>
          <cell r="J4968">
            <v>0.13814898630136987</v>
          </cell>
        </row>
        <row r="4969">
          <cell r="I4969">
            <v>5674</v>
          </cell>
          <cell r="J4969">
            <v>0.13815079452054796</v>
          </cell>
        </row>
        <row r="4970">
          <cell r="I4970">
            <v>5675</v>
          </cell>
          <cell r="J4970">
            <v>0.13815260273972604</v>
          </cell>
        </row>
        <row r="4971">
          <cell r="I4971">
            <v>5676</v>
          </cell>
          <cell r="J4971">
            <v>0.13815441095890413</v>
          </cell>
        </row>
        <row r="4972">
          <cell r="I4972">
            <v>5677</v>
          </cell>
          <cell r="J4972">
            <v>0.13815621917808218</v>
          </cell>
        </row>
        <row r="4973">
          <cell r="I4973">
            <v>5678</v>
          </cell>
          <cell r="J4973">
            <v>0.13815802739726027</v>
          </cell>
        </row>
        <row r="4974">
          <cell r="I4974">
            <v>5679</v>
          </cell>
          <cell r="J4974">
            <v>0.13815983561643835</v>
          </cell>
        </row>
        <row r="4975">
          <cell r="I4975">
            <v>5680</v>
          </cell>
          <cell r="J4975">
            <v>0.13816164383561644</v>
          </cell>
        </row>
        <row r="4976">
          <cell r="I4976">
            <v>5681</v>
          </cell>
          <cell r="J4976">
            <v>0.13816345205479452</v>
          </cell>
        </row>
        <row r="4977">
          <cell r="I4977">
            <v>5682</v>
          </cell>
          <cell r="J4977">
            <v>0.13816526027397261</v>
          </cell>
        </row>
        <row r="4978">
          <cell r="I4978">
            <v>5683</v>
          </cell>
          <cell r="J4978">
            <v>0.13816706849315069</v>
          </cell>
        </row>
        <row r="4979">
          <cell r="I4979">
            <v>5684</v>
          </cell>
          <cell r="J4979">
            <v>0.13816887671232878</v>
          </cell>
        </row>
        <row r="4980">
          <cell r="I4980">
            <v>5685</v>
          </cell>
          <cell r="J4980">
            <v>0.13817068493150686</v>
          </cell>
        </row>
        <row r="4981">
          <cell r="I4981">
            <v>5686</v>
          </cell>
          <cell r="J4981">
            <v>0.13817249315068494</v>
          </cell>
        </row>
        <row r="4982">
          <cell r="I4982">
            <v>5687</v>
          </cell>
          <cell r="J4982">
            <v>0.13817430136986303</v>
          </cell>
        </row>
        <row r="4983">
          <cell r="I4983">
            <v>5688</v>
          </cell>
          <cell r="J4983">
            <v>0.13817610958904111</v>
          </cell>
        </row>
        <row r="4984">
          <cell r="I4984">
            <v>5689</v>
          </cell>
          <cell r="J4984">
            <v>0.1381779178082192</v>
          </cell>
        </row>
        <row r="4985">
          <cell r="I4985">
            <v>5690</v>
          </cell>
          <cell r="J4985">
            <v>0.13817972602739725</v>
          </cell>
        </row>
        <row r="4986">
          <cell r="I4986">
            <v>5691</v>
          </cell>
          <cell r="J4986">
            <v>0.13818153424657534</v>
          </cell>
        </row>
        <row r="4987">
          <cell r="I4987">
            <v>5692</v>
          </cell>
          <cell r="J4987">
            <v>0.13818334246575342</v>
          </cell>
        </row>
        <row r="4988">
          <cell r="I4988">
            <v>5693</v>
          </cell>
          <cell r="J4988">
            <v>0.13818515068493151</v>
          </cell>
        </row>
        <row r="4989">
          <cell r="I4989">
            <v>5694</v>
          </cell>
          <cell r="J4989">
            <v>0.13818695890410959</v>
          </cell>
        </row>
        <row r="4990">
          <cell r="I4990">
            <v>5695</v>
          </cell>
          <cell r="J4990">
            <v>0.13818876712328768</v>
          </cell>
        </row>
        <row r="4991">
          <cell r="I4991">
            <v>5696</v>
          </cell>
          <cell r="J4991">
            <v>0.13819057534246576</v>
          </cell>
        </row>
        <row r="4992">
          <cell r="I4992">
            <v>5697</v>
          </cell>
          <cell r="J4992">
            <v>0.13819238356164384</v>
          </cell>
        </row>
        <row r="4993">
          <cell r="I4993">
            <v>5698</v>
          </cell>
          <cell r="J4993">
            <v>0.13819419178082193</v>
          </cell>
        </row>
        <row r="4994">
          <cell r="I4994">
            <v>5699</v>
          </cell>
          <cell r="J4994">
            <v>0.13819600000000001</v>
          </cell>
        </row>
        <row r="4995">
          <cell r="I4995">
            <v>5700</v>
          </cell>
          <cell r="J4995">
            <v>0.1381978082191781</v>
          </cell>
        </row>
        <row r="4996">
          <cell r="I4996">
            <v>5701</v>
          </cell>
          <cell r="J4996">
            <v>0.13819961643835618</v>
          </cell>
        </row>
        <row r="4997">
          <cell r="I4997">
            <v>5702</v>
          </cell>
          <cell r="J4997">
            <v>0.13820142465753424</v>
          </cell>
        </row>
        <row r="4998">
          <cell r="I4998">
            <v>5703</v>
          </cell>
          <cell r="J4998">
            <v>0.13820323287671232</v>
          </cell>
        </row>
        <row r="4999">
          <cell r="I4999">
            <v>5704</v>
          </cell>
          <cell r="J4999">
            <v>0.13820504109589041</v>
          </cell>
        </row>
        <row r="5000">
          <cell r="I5000">
            <v>5705</v>
          </cell>
          <cell r="J5000">
            <v>0.13820684931506849</v>
          </cell>
        </row>
        <row r="5001">
          <cell r="I5001">
            <v>5706</v>
          </cell>
          <cell r="J5001">
            <v>0.13820865753424658</v>
          </cell>
        </row>
        <row r="5002">
          <cell r="I5002">
            <v>5707</v>
          </cell>
          <cell r="J5002">
            <v>0.13821046575342466</v>
          </cell>
        </row>
        <row r="5003">
          <cell r="I5003">
            <v>5708</v>
          </cell>
          <cell r="J5003">
            <v>0.13821227397260274</v>
          </cell>
        </row>
        <row r="5004">
          <cell r="I5004">
            <v>5709</v>
          </cell>
          <cell r="J5004">
            <v>0.13821408219178083</v>
          </cell>
        </row>
        <row r="5005">
          <cell r="I5005">
            <v>5710</v>
          </cell>
          <cell r="J5005">
            <v>0.13821589041095891</v>
          </cell>
        </row>
        <row r="5006">
          <cell r="I5006">
            <v>5711</v>
          </cell>
          <cell r="J5006">
            <v>0.138217698630137</v>
          </cell>
        </row>
        <row r="5007">
          <cell r="I5007">
            <v>5712</v>
          </cell>
          <cell r="J5007">
            <v>0.13821950684931508</v>
          </cell>
        </row>
        <row r="5008">
          <cell r="I5008">
            <v>5713</v>
          </cell>
          <cell r="J5008">
            <v>0.13822131506849317</v>
          </cell>
        </row>
        <row r="5009">
          <cell r="I5009">
            <v>5714</v>
          </cell>
          <cell r="J5009">
            <v>0.13822312328767125</v>
          </cell>
        </row>
        <row r="5010">
          <cell r="I5010">
            <v>5715</v>
          </cell>
          <cell r="J5010">
            <v>0.13822493150684931</v>
          </cell>
        </row>
        <row r="5011">
          <cell r="I5011">
            <v>5716</v>
          </cell>
          <cell r="J5011">
            <v>0.13822673972602739</v>
          </cell>
        </row>
        <row r="5012">
          <cell r="I5012">
            <v>5717</v>
          </cell>
          <cell r="J5012">
            <v>0.13822854794520548</v>
          </cell>
        </row>
        <row r="5013">
          <cell r="I5013">
            <v>5718</v>
          </cell>
          <cell r="J5013">
            <v>0.13823035616438356</v>
          </cell>
        </row>
        <row r="5014">
          <cell r="I5014">
            <v>5719</v>
          </cell>
          <cell r="J5014">
            <v>0.13823216438356165</v>
          </cell>
        </row>
        <row r="5015">
          <cell r="I5015">
            <v>5720</v>
          </cell>
          <cell r="J5015">
            <v>0.13823397260273973</v>
          </cell>
        </row>
        <row r="5016">
          <cell r="I5016">
            <v>5721</v>
          </cell>
          <cell r="J5016">
            <v>0.13823578082191781</v>
          </cell>
        </row>
        <row r="5017">
          <cell r="I5017">
            <v>5722</v>
          </cell>
          <cell r="J5017">
            <v>0.1382375890410959</v>
          </cell>
        </row>
        <row r="5018">
          <cell r="I5018">
            <v>5723</v>
          </cell>
          <cell r="J5018">
            <v>0.13823939726027398</v>
          </cell>
        </row>
        <row r="5019">
          <cell r="I5019">
            <v>5724</v>
          </cell>
          <cell r="J5019">
            <v>0.13824120547945207</v>
          </cell>
        </row>
        <row r="5020">
          <cell r="I5020">
            <v>5725</v>
          </cell>
          <cell r="J5020">
            <v>0.13824301369863015</v>
          </cell>
        </row>
        <row r="5021">
          <cell r="I5021">
            <v>5726</v>
          </cell>
          <cell r="J5021">
            <v>0.13824482191780824</v>
          </cell>
        </row>
        <row r="5022">
          <cell r="I5022">
            <v>5727</v>
          </cell>
          <cell r="J5022">
            <v>0.13824663013698632</v>
          </cell>
        </row>
        <row r="5023">
          <cell r="I5023">
            <v>5728</v>
          </cell>
          <cell r="J5023">
            <v>0.13824843835616438</v>
          </cell>
        </row>
        <row r="5024">
          <cell r="I5024">
            <v>5729</v>
          </cell>
          <cell r="J5024">
            <v>0.13825024657534246</v>
          </cell>
        </row>
        <row r="5025">
          <cell r="I5025">
            <v>5730</v>
          </cell>
          <cell r="J5025">
            <v>0.13825205479452055</v>
          </cell>
        </row>
        <row r="5026">
          <cell r="I5026">
            <v>5731</v>
          </cell>
          <cell r="J5026">
            <v>0.13825386301369863</v>
          </cell>
        </row>
        <row r="5027">
          <cell r="I5027">
            <v>5732</v>
          </cell>
          <cell r="J5027">
            <v>0.13825567123287671</v>
          </cell>
        </row>
        <row r="5028">
          <cell r="I5028">
            <v>5733</v>
          </cell>
          <cell r="J5028">
            <v>0.1382574794520548</v>
          </cell>
        </row>
        <row r="5029">
          <cell r="I5029">
            <v>5734</v>
          </cell>
          <cell r="J5029">
            <v>0.13825928767123288</v>
          </cell>
        </row>
        <row r="5030">
          <cell r="I5030">
            <v>5735</v>
          </cell>
          <cell r="J5030">
            <v>0.13826109589041097</v>
          </cell>
        </row>
        <row r="5031">
          <cell r="I5031">
            <v>5736</v>
          </cell>
          <cell r="J5031">
            <v>0.13826290410958905</v>
          </cell>
        </row>
        <row r="5032">
          <cell r="I5032">
            <v>5737</v>
          </cell>
          <cell r="J5032">
            <v>0.13826471232876714</v>
          </cell>
        </row>
        <row r="5033">
          <cell r="I5033">
            <v>5738</v>
          </cell>
          <cell r="J5033">
            <v>0.13826652054794522</v>
          </cell>
        </row>
        <row r="5034">
          <cell r="I5034">
            <v>5739</v>
          </cell>
          <cell r="J5034">
            <v>0.13826832876712331</v>
          </cell>
        </row>
        <row r="5035">
          <cell r="I5035">
            <v>5740</v>
          </cell>
          <cell r="J5035">
            <v>0.13827013698630136</v>
          </cell>
        </row>
        <row r="5036">
          <cell r="I5036">
            <v>5741</v>
          </cell>
          <cell r="J5036">
            <v>0.13827194520547945</v>
          </cell>
        </row>
        <row r="5037">
          <cell r="I5037">
            <v>5742</v>
          </cell>
          <cell r="J5037">
            <v>0.13827375342465753</v>
          </cell>
        </row>
        <row r="5038">
          <cell r="I5038">
            <v>5743</v>
          </cell>
          <cell r="J5038">
            <v>0.13827556164383561</v>
          </cell>
        </row>
        <row r="5039">
          <cell r="I5039">
            <v>5744</v>
          </cell>
          <cell r="J5039">
            <v>0.1382773698630137</v>
          </cell>
        </row>
        <row r="5040">
          <cell r="I5040">
            <v>5745</v>
          </cell>
          <cell r="J5040">
            <v>0.13827917808219178</v>
          </cell>
        </row>
        <row r="5041">
          <cell r="I5041">
            <v>5746</v>
          </cell>
          <cell r="J5041">
            <v>0.13828098630136987</v>
          </cell>
        </row>
        <row r="5042">
          <cell r="I5042">
            <v>5747</v>
          </cell>
          <cell r="J5042">
            <v>0.13828279452054795</v>
          </cell>
        </row>
        <row r="5043">
          <cell r="I5043">
            <v>5748</v>
          </cell>
          <cell r="J5043">
            <v>0.13828460273972604</v>
          </cell>
        </row>
        <row r="5044">
          <cell r="I5044">
            <v>5749</v>
          </cell>
          <cell r="J5044">
            <v>0.13828641095890412</v>
          </cell>
        </row>
        <row r="5045">
          <cell r="I5045">
            <v>5750</v>
          </cell>
          <cell r="J5045">
            <v>0.13828821917808221</v>
          </cell>
        </row>
        <row r="5046">
          <cell r="I5046">
            <v>5751</v>
          </cell>
          <cell r="J5046">
            <v>0.13829002739726029</v>
          </cell>
        </row>
        <row r="5047">
          <cell r="I5047">
            <v>5752</v>
          </cell>
          <cell r="J5047">
            <v>0.13829183561643837</v>
          </cell>
        </row>
        <row r="5048">
          <cell r="I5048">
            <v>5753</v>
          </cell>
          <cell r="J5048">
            <v>0.13829364383561643</v>
          </cell>
        </row>
        <row r="5049">
          <cell r="I5049">
            <v>5754</v>
          </cell>
          <cell r="J5049">
            <v>0.13829545205479452</v>
          </cell>
        </row>
        <row r="5050">
          <cell r="I5050">
            <v>5755</v>
          </cell>
          <cell r="J5050">
            <v>0.1382972602739726</v>
          </cell>
        </row>
        <row r="5051">
          <cell r="I5051">
            <v>5756</v>
          </cell>
          <cell r="J5051">
            <v>0.13829906849315068</v>
          </cell>
        </row>
        <row r="5052">
          <cell r="I5052">
            <v>5757</v>
          </cell>
          <cell r="J5052">
            <v>0.13830087671232877</v>
          </cell>
        </row>
        <row r="5053">
          <cell r="I5053">
            <v>5758</v>
          </cell>
          <cell r="J5053">
            <v>0.13830268493150685</v>
          </cell>
        </row>
        <row r="5054">
          <cell r="I5054">
            <v>5759</v>
          </cell>
          <cell r="J5054">
            <v>0.13830449315068494</v>
          </cell>
        </row>
        <row r="5055">
          <cell r="I5055">
            <v>5760</v>
          </cell>
          <cell r="J5055">
            <v>0.13830630136986302</v>
          </cell>
        </row>
        <row r="5056">
          <cell r="I5056">
            <v>5761</v>
          </cell>
          <cell r="J5056">
            <v>0.13830810958904111</v>
          </cell>
        </row>
        <row r="5057">
          <cell r="I5057">
            <v>5762</v>
          </cell>
          <cell r="J5057">
            <v>0.13830991780821919</v>
          </cell>
        </row>
        <row r="5058">
          <cell r="I5058">
            <v>5763</v>
          </cell>
          <cell r="J5058">
            <v>0.13831172602739727</v>
          </cell>
        </row>
        <row r="5059">
          <cell r="I5059">
            <v>5764</v>
          </cell>
          <cell r="J5059">
            <v>0.13831353424657536</v>
          </cell>
        </row>
        <row r="5060">
          <cell r="I5060">
            <v>5765</v>
          </cell>
          <cell r="J5060">
            <v>0.13831534246575344</v>
          </cell>
        </row>
        <row r="5061">
          <cell r="I5061">
            <v>5766</v>
          </cell>
          <cell r="J5061">
            <v>0.1383171506849315</v>
          </cell>
        </row>
        <row r="5062">
          <cell r="I5062">
            <v>5767</v>
          </cell>
          <cell r="J5062">
            <v>0.13831895890410958</v>
          </cell>
        </row>
        <row r="5063">
          <cell r="I5063">
            <v>5768</v>
          </cell>
          <cell r="J5063">
            <v>0.13832076712328767</v>
          </cell>
        </row>
        <row r="5064">
          <cell r="I5064">
            <v>5769</v>
          </cell>
          <cell r="J5064">
            <v>0.13832257534246575</v>
          </cell>
        </row>
        <row r="5065">
          <cell r="I5065">
            <v>5770</v>
          </cell>
          <cell r="J5065">
            <v>0.13832438356164384</v>
          </cell>
        </row>
        <row r="5066">
          <cell r="I5066">
            <v>5771</v>
          </cell>
          <cell r="J5066">
            <v>0.13832619178082192</v>
          </cell>
        </row>
        <row r="5067">
          <cell r="I5067">
            <v>5772</v>
          </cell>
          <cell r="J5067">
            <v>0.13832800000000001</v>
          </cell>
        </row>
        <row r="5068">
          <cell r="I5068">
            <v>5773</v>
          </cell>
          <cell r="J5068">
            <v>0.13832980821917809</v>
          </cell>
        </row>
        <row r="5069">
          <cell r="I5069">
            <v>5774</v>
          </cell>
          <cell r="J5069">
            <v>0.13833161643835618</v>
          </cell>
        </row>
        <row r="5070">
          <cell r="I5070">
            <v>5775</v>
          </cell>
          <cell r="J5070">
            <v>0.13833342465753426</v>
          </cell>
        </row>
        <row r="5071">
          <cell r="I5071">
            <v>5776</v>
          </cell>
          <cell r="J5071">
            <v>0.13833523287671234</v>
          </cell>
        </row>
        <row r="5072">
          <cell r="I5072">
            <v>5777</v>
          </cell>
          <cell r="J5072">
            <v>0.13833704109589043</v>
          </cell>
        </row>
        <row r="5073">
          <cell r="I5073">
            <v>5778</v>
          </cell>
          <cell r="J5073">
            <v>0.13833884931506849</v>
          </cell>
        </row>
        <row r="5074">
          <cell r="I5074">
            <v>5779</v>
          </cell>
          <cell r="J5074">
            <v>0.13834065753424657</v>
          </cell>
        </row>
        <row r="5075">
          <cell r="I5075">
            <v>5780</v>
          </cell>
          <cell r="J5075">
            <v>0.13834246575342465</v>
          </cell>
        </row>
        <row r="5076">
          <cell r="I5076">
            <v>5781</v>
          </cell>
          <cell r="J5076">
            <v>0.13834427397260274</v>
          </cell>
        </row>
        <row r="5077">
          <cell r="I5077">
            <v>5782</v>
          </cell>
          <cell r="J5077">
            <v>0.13834608219178082</v>
          </cell>
        </row>
        <row r="5078">
          <cell r="I5078">
            <v>5783</v>
          </cell>
          <cell r="J5078">
            <v>0.13834789041095891</v>
          </cell>
        </row>
        <row r="5079">
          <cell r="I5079">
            <v>5784</v>
          </cell>
          <cell r="J5079">
            <v>0.13834969863013699</v>
          </cell>
        </row>
        <row r="5080">
          <cell r="I5080">
            <v>5785</v>
          </cell>
          <cell r="J5080">
            <v>0.13835150684931508</v>
          </cell>
        </row>
        <row r="5081">
          <cell r="I5081">
            <v>5786</v>
          </cell>
          <cell r="J5081">
            <v>0.13835331506849316</v>
          </cell>
        </row>
        <row r="5082">
          <cell r="I5082">
            <v>5787</v>
          </cell>
          <cell r="J5082">
            <v>0.13835512328767124</v>
          </cell>
        </row>
        <row r="5083">
          <cell r="I5083">
            <v>5788</v>
          </cell>
          <cell r="J5083">
            <v>0.13835693150684933</v>
          </cell>
        </row>
        <row r="5084">
          <cell r="I5084">
            <v>5789</v>
          </cell>
          <cell r="J5084">
            <v>0.13835873972602741</v>
          </cell>
        </row>
        <row r="5085">
          <cell r="I5085">
            <v>5790</v>
          </cell>
          <cell r="J5085">
            <v>0.1383605479452055</v>
          </cell>
        </row>
        <row r="5086">
          <cell r="I5086">
            <v>5791</v>
          </cell>
          <cell r="J5086">
            <v>0.13836235616438355</v>
          </cell>
        </row>
        <row r="5087">
          <cell r="I5087">
            <v>5792</v>
          </cell>
          <cell r="J5087">
            <v>0.13836416438356164</v>
          </cell>
        </row>
        <row r="5088">
          <cell r="I5088">
            <v>5793</v>
          </cell>
          <cell r="J5088">
            <v>0.13836597260273972</v>
          </cell>
        </row>
        <row r="5089">
          <cell r="I5089">
            <v>5794</v>
          </cell>
          <cell r="J5089">
            <v>0.13836778082191781</v>
          </cell>
        </row>
        <row r="5090">
          <cell r="I5090">
            <v>5795</v>
          </cell>
          <cell r="J5090">
            <v>0.13836958904109589</v>
          </cell>
        </row>
        <row r="5091">
          <cell r="I5091">
            <v>5796</v>
          </cell>
          <cell r="J5091">
            <v>0.13837139726027398</v>
          </cell>
        </row>
        <row r="5092">
          <cell r="I5092">
            <v>5797</v>
          </cell>
          <cell r="J5092">
            <v>0.13837320547945206</v>
          </cell>
        </row>
        <row r="5093">
          <cell r="I5093">
            <v>5798</v>
          </cell>
          <cell r="J5093">
            <v>0.13837501369863014</v>
          </cell>
        </row>
        <row r="5094">
          <cell r="I5094">
            <v>5799</v>
          </cell>
          <cell r="J5094">
            <v>0.13837682191780823</v>
          </cell>
        </row>
        <row r="5095">
          <cell r="I5095">
            <v>5800</v>
          </cell>
          <cell r="J5095">
            <v>0.13837863013698631</v>
          </cell>
        </row>
        <row r="5096">
          <cell r="I5096">
            <v>5801</v>
          </cell>
          <cell r="J5096">
            <v>0.1383804383561644</v>
          </cell>
        </row>
        <row r="5097">
          <cell r="I5097">
            <v>5802</v>
          </cell>
          <cell r="J5097">
            <v>0.13838224657534248</v>
          </cell>
        </row>
        <row r="5098">
          <cell r="I5098">
            <v>5803</v>
          </cell>
          <cell r="J5098">
            <v>0.13838405479452057</v>
          </cell>
        </row>
        <row r="5099">
          <cell r="I5099">
            <v>5804</v>
          </cell>
          <cell r="J5099">
            <v>0.13838586301369862</v>
          </cell>
        </row>
        <row r="5100">
          <cell r="I5100">
            <v>5805</v>
          </cell>
          <cell r="J5100">
            <v>0.13838767123287671</v>
          </cell>
        </row>
        <row r="5101">
          <cell r="I5101">
            <v>5806</v>
          </cell>
          <cell r="J5101">
            <v>0.13838947945205479</v>
          </cell>
        </row>
        <row r="5102">
          <cell r="I5102">
            <v>5807</v>
          </cell>
          <cell r="J5102">
            <v>0.13839128767123288</v>
          </cell>
        </row>
        <row r="5103">
          <cell r="I5103">
            <v>5808</v>
          </cell>
          <cell r="J5103">
            <v>0.13839309589041096</v>
          </cell>
        </row>
        <row r="5104">
          <cell r="I5104">
            <v>5809</v>
          </cell>
          <cell r="J5104">
            <v>0.13839490410958905</v>
          </cell>
        </row>
        <row r="5105">
          <cell r="I5105">
            <v>5810</v>
          </cell>
          <cell r="J5105">
            <v>0.13839671232876713</v>
          </cell>
        </row>
        <row r="5106">
          <cell r="I5106">
            <v>5811</v>
          </cell>
          <cell r="J5106">
            <v>0.13839852054794521</v>
          </cell>
        </row>
        <row r="5107">
          <cell r="I5107">
            <v>5812</v>
          </cell>
          <cell r="J5107">
            <v>0.1384003287671233</v>
          </cell>
        </row>
        <row r="5108">
          <cell r="I5108">
            <v>5813</v>
          </cell>
          <cell r="J5108">
            <v>0.13840213698630138</v>
          </cell>
        </row>
        <row r="5109">
          <cell r="I5109">
            <v>5814</v>
          </cell>
          <cell r="J5109">
            <v>0.13840394520547947</v>
          </cell>
        </row>
        <row r="5110">
          <cell r="I5110">
            <v>5815</v>
          </cell>
          <cell r="J5110">
            <v>0.13840575342465755</v>
          </cell>
        </row>
        <row r="5111">
          <cell r="I5111">
            <v>5816</v>
          </cell>
          <cell r="J5111">
            <v>0.13840756164383561</v>
          </cell>
        </row>
        <row r="5112">
          <cell r="I5112">
            <v>5817</v>
          </cell>
          <cell r="J5112">
            <v>0.13840936986301369</v>
          </cell>
        </row>
        <row r="5113">
          <cell r="I5113">
            <v>5818</v>
          </cell>
          <cell r="J5113">
            <v>0.13841117808219178</v>
          </cell>
        </row>
        <row r="5114">
          <cell r="I5114">
            <v>5819</v>
          </cell>
          <cell r="J5114">
            <v>0.13841298630136986</v>
          </cell>
        </row>
        <row r="5115">
          <cell r="I5115">
            <v>5820</v>
          </cell>
          <cell r="J5115">
            <v>0.13841479452054795</v>
          </cell>
        </row>
        <row r="5116">
          <cell r="I5116">
            <v>5821</v>
          </cell>
          <cell r="J5116">
            <v>0.13841660273972603</v>
          </cell>
        </row>
        <row r="5117">
          <cell r="I5117">
            <v>5822</v>
          </cell>
          <cell r="J5117">
            <v>0.13841841095890411</v>
          </cell>
        </row>
        <row r="5118">
          <cell r="I5118">
            <v>5823</v>
          </cell>
          <cell r="J5118">
            <v>0.1384202191780822</v>
          </cell>
        </row>
        <row r="5119">
          <cell r="I5119">
            <v>5824</v>
          </cell>
          <cell r="J5119">
            <v>0.13842202739726028</v>
          </cell>
        </row>
        <row r="5120">
          <cell r="I5120">
            <v>5825</v>
          </cell>
          <cell r="J5120">
            <v>0.13842383561643837</v>
          </cell>
        </row>
        <row r="5121">
          <cell r="I5121">
            <v>5826</v>
          </cell>
          <cell r="J5121">
            <v>0.13842564383561645</v>
          </cell>
        </row>
        <row r="5122">
          <cell r="I5122">
            <v>5827</v>
          </cell>
          <cell r="J5122">
            <v>0.13842745205479454</v>
          </cell>
        </row>
        <row r="5123">
          <cell r="I5123">
            <v>5828</v>
          </cell>
          <cell r="J5123">
            <v>0.13842926027397262</v>
          </cell>
        </row>
        <row r="5124">
          <cell r="I5124">
            <v>5829</v>
          </cell>
          <cell r="J5124">
            <v>0.13843106849315068</v>
          </cell>
        </row>
        <row r="5125">
          <cell r="I5125">
            <v>5830</v>
          </cell>
          <cell r="J5125">
            <v>0.13843287671232876</v>
          </cell>
        </row>
        <row r="5126">
          <cell r="I5126">
            <v>5831</v>
          </cell>
          <cell r="J5126">
            <v>0.13843468493150685</v>
          </cell>
        </row>
        <row r="5127">
          <cell r="I5127">
            <v>5832</v>
          </cell>
          <cell r="J5127">
            <v>0.13843649315068493</v>
          </cell>
        </row>
        <row r="5128">
          <cell r="I5128">
            <v>5833</v>
          </cell>
          <cell r="J5128">
            <v>0.13843830136986301</v>
          </cell>
        </row>
        <row r="5129">
          <cell r="I5129">
            <v>5834</v>
          </cell>
          <cell r="J5129">
            <v>0.1384401095890411</v>
          </cell>
        </row>
        <row r="5130">
          <cell r="I5130">
            <v>5835</v>
          </cell>
          <cell r="J5130">
            <v>0.13844191780821918</v>
          </cell>
        </row>
        <row r="5131">
          <cell r="I5131">
            <v>5836</v>
          </cell>
          <cell r="J5131">
            <v>0.13844372602739727</v>
          </cell>
        </row>
        <row r="5132">
          <cell r="I5132">
            <v>5837</v>
          </cell>
          <cell r="J5132">
            <v>0.13844553424657535</v>
          </cell>
        </row>
        <row r="5133">
          <cell r="I5133">
            <v>5838</v>
          </cell>
          <cell r="J5133">
            <v>0.13844734246575344</v>
          </cell>
        </row>
        <row r="5134">
          <cell r="I5134">
            <v>5839</v>
          </cell>
          <cell r="J5134">
            <v>0.13844915068493152</v>
          </cell>
        </row>
        <row r="5135">
          <cell r="I5135">
            <v>5840</v>
          </cell>
          <cell r="J5135">
            <v>0.13845095890410961</v>
          </cell>
        </row>
        <row r="5136">
          <cell r="I5136">
            <v>5841</v>
          </cell>
          <cell r="J5136">
            <v>0.13845276712328769</v>
          </cell>
        </row>
        <row r="5137">
          <cell r="I5137">
            <v>5842</v>
          </cell>
          <cell r="J5137">
            <v>0.13845457534246575</v>
          </cell>
        </row>
        <row r="5138">
          <cell r="I5138">
            <v>5843</v>
          </cell>
          <cell r="J5138">
            <v>0.13845638356164383</v>
          </cell>
        </row>
        <row r="5139">
          <cell r="I5139">
            <v>5844</v>
          </cell>
          <cell r="J5139">
            <v>0.13845819178082192</v>
          </cell>
        </row>
        <row r="5140">
          <cell r="I5140">
            <v>5845</v>
          </cell>
          <cell r="J5140">
            <v>0.13846</v>
          </cell>
        </row>
        <row r="5141">
          <cell r="I5141">
            <v>5846</v>
          </cell>
          <cell r="J5141">
            <v>0.13846180821917808</v>
          </cell>
        </row>
        <row r="5142">
          <cell r="I5142">
            <v>5847</v>
          </cell>
          <cell r="J5142">
            <v>0.13846361643835617</v>
          </cell>
        </row>
        <row r="5143">
          <cell r="I5143">
            <v>5848</v>
          </cell>
          <cell r="J5143">
            <v>0.13846542465753425</v>
          </cell>
        </row>
        <row r="5144">
          <cell r="I5144">
            <v>5849</v>
          </cell>
          <cell r="J5144">
            <v>0.13846723287671234</v>
          </cell>
        </row>
        <row r="5145">
          <cell r="I5145">
            <v>5850</v>
          </cell>
          <cell r="J5145">
            <v>0.13846904109589042</v>
          </cell>
        </row>
        <row r="5146">
          <cell r="I5146">
            <v>5851</v>
          </cell>
          <cell r="J5146">
            <v>0.13847084931506851</v>
          </cell>
        </row>
        <row r="5147">
          <cell r="I5147">
            <v>5852</v>
          </cell>
          <cell r="J5147">
            <v>0.13847265753424659</v>
          </cell>
        </row>
        <row r="5148">
          <cell r="I5148">
            <v>5853</v>
          </cell>
          <cell r="J5148">
            <v>0.13847446575342467</v>
          </cell>
        </row>
        <row r="5149">
          <cell r="I5149">
            <v>5854</v>
          </cell>
          <cell r="J5149">
            <v>0.13847627397260273</v>
          </cell>
        </row>
        <row r="5150">
          <cell r="I5150">
            <v>5855</v>
          </cell>
          <cell r="J5150">
            <v>0.13847808219178082</v>
          </cell>
        </row>
        <row r="5151">
          <cell r="I5151">
            <v>5856</v>
          </cell>
          <cell r="J5151">
            <v>0.1384798904109589</v>
          </cell>
        </row>
        <row r="5152">
          <cell r="I5152">
            <v>5857</v>
          </cell>
          <cell r="J5152">
            <v>0.13848169863013698</v>
          </cell>
        </row>
        <row r="5153">
          <cell r="I5153">
            <v>5858</v>
          </cell>
          <cell r="J5153">
            <v>0.13848350684931507</v>
          </cell>
        </row>
        <row r="5154">
          <cell r="I5154">
            <v>5859</v>
          </cell>
          <cell r="J5154">
            <v>0.13848531506849315</v>
          </cell>
        </row>
        <row r="5155">
          <cell r="I5155">
            <v>5860</v>
          </cell>
          <cell r="J5155">
            <v>0.13848712328767124</v>
          </cell>
        </row>
        <row r="5156">
          <cell r="I5156">
            <v>5861</v>
          </cell>
          <cell r="J5156">
            <v>0.13848893150684932</v>
          </cell>
        </row>
        <row r="5157">
          <cell r="I5157">
            <v>5862</v>
          </cell>
          <cell r="J5157">
            <v>0.13849073972602741</v>
          </cell>
        </row>
        <row r="5158">
          <cell r="I5158">
            <v>5863</v>
          </cell>
          <cell r="J5158">
            <v>0.13849254794520549</v>
          </cell>
        </row>
        <row r="5159">
          <cell r="I5159">
            <v>5864</v>
          </cell>
          <cell r="J5159">
            <v>0.13849435616438358</v>
          </cell>
        </row>
        <row r="5160">
          <cell r="I5160">
            <v>5865</v>
          </cell>
          <cell r="J5160">
            <v>0.13849616438356166</v>
          </cell>
        </row>
        <row r="5161">
          <cell r="I5161">
            <v>5866</v>
          </cell>
          <cell r="J5161">
            <v>0.13849797260273974</v>
          </cell>
        </row>
        <row r="5162">
          <cell r="I5162">
            <v>5867</v>
          </cell>
          <cell r="J5162">
            <v>0.1384997808219178</v>
          </cell>
        </row>
        <row r="5163">
          <cell r="I5163">
            <v>5868</v>
          </cell>
          <cell r="J5163">
            <v>0.13850158904109588</v>
          </cell>
        </row>
        <row r="5164">
          <cell r="I5164">
            <v>5869</v>
          </cell>
          <cell r="J5164">
            <v>0.13850339726027397</v>
          </cell>
        </row>
        <row r="5165">
          <cell r="I5165">
            <v>5870</v>
          </cell>
          <cell r="J5165">
            <v>0.13850520547945205</v>
          </cell>
        </row>
        <row r="5166">
          <cell r="I5166">
            <v>5871</v>
          </cell>
          <cell r="J5166">
            <v>0.13850701369863014</v>
          </cell>
        </row>
        <row r="5167">
          <cell r="I5167">
            <v>5872</v>
          </cell>
          <cell r="J5167">
            <v>0.13850882191780822</v>
          </cell>
        </row>
        <row r="5168">
          <cell r="I5168">
            <v>5873</v>
          </cell>
          <cell r="J5168">
            <v>0.13851063013698631</v>
          </cell>
        </row>
        <row r="5169">
          <cell r="I5169">
            <v>5874</v>
          </cell>
          <cell r="J5169">
            <v>0.13851243835616439</v>
          </cell>
        </row>
        <row r="5170">
          <cell r="I5170">
            <v>5875</v>
          </cell>
          <cell r="J5170">
            <v>0.13851424657534248</v>
          </cell>
        </row>
        <row r="5171">
          <cell r="I5171">
            <v>5876</v>
          </cell>
          <cell r="J5171">
            <v>0.13851605479452056</v>
          </cell>
        </row>
        <row r="5172">
          <cell r="I5172">
            <v>5877</v>
          </cell>
          <cell r="J5172">
            <v>0.13851786301369864</v>
          </cell>
        </row>
        <row r="5173">
          <cell r="I5173">
            <v>5878</v>
          </cell>
          <cell r="J5173">
            <v>0.13851967123287673</v>
          </cell>
        </row>
        <row r="5174">
          <cell r="I5174">
            <v>5879</v>
          </cell>
          <cell r="J5174">
            <v>0.13852147945205481</v>
          </cell>
        </row>
        <row r="5175">
          <cell r="I5175">
            <v>5880</v>
          </cell>
          <cell r="J5175">
            <v>0.13852328767123287</v>
          </cell>
        </row>
        <row r="5176">
          <cell r="I5176">
            <v>5881</v>
          </cell>
          <cell r="J5176">
            <v>0.13852509589041095</v>
          </cell>
        </row>
        <row r="5177">
          <cell r="I5177">
            <v>5882</v>
          </cell>
          <cell r="J5177">
            <v>0.13852690410958904</v>
          </cell>
        </row>
        <row r="5178">
          <cell r="I5178">
            <v>5883</v>
          </cell>
          <cell r="J5178">
            <v>0.13852871232876712</v>
          </cell>
        </row>
        <row r="5179">
          <cell r="I5179">
            <v>5884</v>
          </cell>
          <cell r="J5179">
            <v>0.13853052054794521</v>
          </cell>
        </row>
        <row r="5180">
          <cell r="I5180">
            <v>5885</v>
          </cell>
          <cell r="J5180">
            <v>0.13853232876712329</v>
          </cell>
        </row>
        <row r="5181">
          <cell r="I5181">
            <v>5886</v>
          </cell>
          <cell r="J5181">
            <v>0.13853413698630138</v>
          </cell>
        </row>
        <row r="5182">
          <cell r="I5182">
            <v>5887</v>
          </cell>
          <cell r="J5182">
            <v>0.13853594520547946</v>
          </cell>
        </row>
        <row r="5183">
          <cell r="I5183">
            <v>5888</v>
          </cell>
          <cell r="J5183">
            <v>0.13853775342465754</v>
          </cell>
        </row>
        <row r="5184">
          <cell r="I5184">
            <v>5889</v>
          </cell>
          <cell r="J5184">
            <v>0.13853956164383563</v>
          </cell>
        </row>
        <row r="5185">
          <cell r="I5185">
            <v>5890</v>
          </cell>
          <cell r="J5185">
            <v>0.13854136986301371</v>
          </cell>
        </row>
        <row r="5186">
          <cell r="I5186">
            <v>5891</v>
          </cell>
          <cell r="J5186">
            <v>0.1385431780821918</v>
          </cell>
        </row>
        <row r="5187">
          <cell r="I5187">
            <v>5892</v>
          </cell>
          <cell r="J5187">
            <v>0.13854498630136985</v>
          </cell>
        </row>
        <row r="5188">
          <cell r="I5188">
            <v>5893</v>
          </cell>
          <cell r="J5188">
            <v>0.13854679452054794</v>
          </cell>
        </row>
        <row r="5189">
          <cell r="I5189">
            <v>5894</v>
          </cell>
          <cell r="J5189">
            <v>0.13854860273972602</v>
          </cell>
        </row>
        <row r="5190">
          <cell r="I5190">
            <v>5895</v>
          </cell>
          <cell r="J5190">
            <v>0.13855041095890411</v>
          </cell>
        </row>
        <row r="5191">
          <cell r="I5191">
            <v>5896</v>
          </cell>
          <cell r="J5191">
            <v>0.13855221917808219</v>
          </cell>
        </row>
        <row r="5192">
          <cell r="I5192">
            <v>5897</v>
          </cell>
          <cell r="J5192">
            <v>0.13855402739726028</v>
          </cell>
        </row>
        <row r="5193">
          <cell r="I5193">
            <v>5898</v>
          </cell>
          <cell r="J5193">
            <v>0.13855583561643836</v>
          </cell>
        </row>
        <row r="5194">
          <cell r="I5194">
            <v>5899</v>
          </cell>
          <cell r="J5194">
            <v>0.13855764383561645</v>
          </cell>
        </row>
        <row r="5195">
          <cell r="I5195">
            <v>5900</v>
          </cell>
          <cell r="J5195">
            <v>0.13855945205479453</v>
          </cell>
        </row>
        <row r="5196">
          <cell r="I5196">
            <v>5901</v>
          </cell>
          <cell r="J5196">
            <v>0.13856126027397261</v>
          </cell>
        </row>
        <row r="5197">
          <cell r="I5197">
            <v>5902</v>
          </cell>
          <cell r="J5197">
            <v>0.1385630684931507</v>
          </cell>
        </row>
        <row r="5198">
          <cell r="I5198">
            <v>5903</v>
          </cell>
          <cell r="J5198">
            <v>0.13856487671232878</v>
          </cell>
        </row>
        <row r="5199">
          <cell r="I5199">
            <v>5904</v>
          </cell>
          <cell r="J5199">
            <v>0.13856668493150687</v>
          </cell>
        </row>
        <row r="5200">
          <cell r="I5200">
            <v>5905</v>
          </cell>
          <cell r="J5200">
            <v>0.13856849315068492</v>
          </cell>
        </row>
        <row r="5201">
          <cell r="I5201">
            <v>5906</v>
          </cell>
          <cell r="J5201">
            <v>0.13857030136986301</v>
          </cell>
        </row>
        <row r="5202">
          <cell r="I5202">
            <v>5907</v>
          </cell>
          <cell r="J5202">
            <v>0.13857210958904109</v>
          </cell>
        </row>
        <row r="5203">
          <cell r="I5203">
            <v>5908</v>
          </cell>
          <cell r="J5203">
            <v>0.13857391780821918</v>
          </cell>
        </row>
        <row r="5204">
          <cell r="I5204">
            <v>5909</v>
          </cell>
          <cell r="J5204">
            <v>0.13857572602739726</v>
          </cell>
        </row>
        <row r="5205">
          <cell r="I5205">
            <v>5910</v>
          </cell>
          <cell r="J5205">
            <v>0.13857753424657535</v>
          </cell>
        </row>
        <row r="5206">
          <cell r="I5206">
            <v>5911</v>
          </cell>
          <cell r="J5206">
            <v>0.13857934246575343</v>
          </cell>
        </row>
        <row r="5207">
          <cell r="I5207">
            <v>5912</v>
          </cell>
          <cell r="J5207">
            <v>0.13858115068493151</v>
          </cell>
        </row>
        <row r="5208">
          <cell r="I5208">
            <v>5913</v>
          </cell>
          <cell r="J5208">
            <v>0.1385829589041096</v>
          </cell>
        </row>
        <row r="5209">
          <cell r="I5209">
            <v>5914</v>
          </cell>
          <cell r="J5209">
            <v>0.13858476712328768</v>
          </cell>
        </row>
        <row r="5210">
          <cell r="I5210">
            <v>5915</v>
          </cell>
          <cell r="J5210">
            <v>0.13858657534246577</v>
          </cell>
        </row>
        <row r="5211">
          <cell r="I5211">
            <v>5916</v>
          </cell>
          <cell r="J5211">
            <v>0.13858838356164385</v>
          </cell>
        </row>
        <row r="5212">
          <cell r="I5212">
            <v>5917</v>
          </cell>
          <cell r="J5212">
            <v>0.13859019178082194</v>
          </cell>
        </row>
        <row r="5213">
          <cell r="I5213">
            <v>5918</v>
          </cell>
          <cell r="J5213">
            <v>0.13859199999999999</v>
          </cell>
        </row>
        <row r="5214">
          <cell r="I5214">
            <v>5919</v>
          </cell>
          <cell r="J5214">
            <v>0.13859380821917808</v>
          </cell>
        </row>
        <row r="5215">
          <cell r="I5215">
            <v>5920</v>
          </cell>
          <cell r="J5215">
            <v>0.13859561643835616</v>
          </cell>
        </row>
        <row r="5216">
          <cell r="I5216">
            <v>5921</v>
          </cell>
          <cell r="J5216">
            <v>0.13859742465753425</v>
          </cell>
        </row>
        <row r="5217">
          <cell r="I5217">
            <v>5922</v>
          </cell>
          <cell r="J5217">
            <v>0.13859923287671233</v>
          </cell>
        </row>
        <row r="5218">
          <cell r="I5218">
            <v>5923</v>
          </cell>
          <cell r="J5218">
            <v>0.13860104109589041</v>
          </cell>
        </row>
        <row r="5219">
          <cell r="I5219">
            <v>5924</v>
          </cell>
          <cell r="J5219">
            <v>0.1386028493150685</v>
          </cell>
        </row>
        <row r="5220">
          <cell r="I5220">
            <v>5925</v>
          </cell>
          <cell r="J5220">
            <v>0.13860465753424658</v>
          </cell>
        </row>
        <row r="5221">
          <cell r="I5221">
            <v>5926</v>
          </cell>
          <cell r="J5221">
            <v>0.13860646575342467</v>
          </cell>
        </row>
        <row r="5222">
          <cell r="I5222">
            <v>5927</v>
          </cell>
          <cell r="J5222">
            <v>0.13860827397260275</v>
          </cell>
        </row>
        <row r="5223">
          <cell r="I5223">
            <v>5928</v>
          </cell>
          <cell r="J5223">
            <v>0.13861008219178084</v>
          </cell>
        </row>
        <row r="5224">
          <cell r="I5224">
            <v>5929</v>
          </cell>
          <cell r="J5224">
            <v>0.13861189041095892</v>
          </cell>
        </row>
        <row r="5225">
          <cell r="I5225">
            <v>5930</v>
          </cell>
          <cell r="J5225">
            <v>0.13861369863013698</v>
          </cell>
        </row>
        <row r="5226">
          <cell r="I5226">
            <v>5931</v>
          </cell>
          <cell r="J5226">
            <v>0.13861550684931506</v>
          </cell>
        </row>
        <row r="5227">
          <cell r="I5227">
            <v>5932</v>
          </cell>
          <cell r="J5227">
            <v>0.13861731506849315</v>
          </cell>
        </row>
        <row r="5228">
          <cell r="I5228">
            <v>5933</v>
          </cell>
          <cell r="J5228">
            <v>0.13861912328767123</v>
          </cell>
        </row>
        <row r="5229">
          <cell r="I5229">
            <v>5934</v>
          </cell>
          <cell r="J5229">
            <v>0.13862093150684932</v>
          </cell>
        </row>
        <row r="5230">
          <cell r="I5230">
            <v>5935</v>
          </cell>
          <cell r="J5230">
            <v>0.1386227397260274</v>
          </cell>
        </row>
        <row r="5231">
          <cell r="I5231">
            <v>5936</v>
          </cell>
          <cell r="J5231">
            <v>0.13862454794520548</v>
          </cell>
        </row>
        <row r="5232">
          <cell r="I5232">
            <v>5937</v>
          </cell>
          <cell r="J5232">
            <v>0.13862635616438357</v>
          </cell>
        </row>
        <row r="5233">
          <cell r="I5233">
            <v>5938</v>
          </cell>
          <cell r="J5233">
            <v>0.13862816438356165</v>
          </cell>
        </row>
        <row r="5234">
          <cell r="I5234">
            <v>5939</v>
          </cell>
          <cell r="J5234">
            <v>0.13862997260273974</v>
          </cell>
        </row>
        <row r="5235">
          <cell r="I5235">
            <v>5940</v>
          </cell>
          <cell r="J5235">
            <v>0.13863178082191782</v>
          </cell>
        </row>
        <row r="5236">
          <cell r="I5236">
            <v>5941</v>
          </cell>
          <cell r="J5236">
            <v>0.13863358904109591</v>
          </cell>
        </row>
        <row r="5237">
          <cell r="I5237">
            <v>5942</v>
          </cell>
          <cell r="J5237">
            <v>0.13863539726027399</v>
          </cell>
        </row>
        <row r="5238">
          <cell r="I5238">
            <v>5943</v>
          </cell>
          <cell r="J5238">
            <v>0.13863720547945205</v>
          </cell>
        </row>
        <row r="5239">
          <cell r="I5239">
            <v>5944</v>
          </cell>
          <cell r="J5239">
            <v>0.13863901369863013</v>
          </cell>
        </row>
        <row r="5240">
          <cell r="I5240">
            <v>5945</v>
          </cell>
          <cell r="J5240">
            <v>0.13864082191780822</v>
          </cell>
        </row>
        <row r="5241">
          <cell r="I5241">
            <v>5946</v>
          </cell>
          <cell r="J5241">
            <v>0.1386426301369863</v>
          </cell>
        </row>
        <row r="5242">
          <cell r="I5242">
            <v>5947</v>
          </cell>
          <cell r="J5242">
            <v>0.13864443835616438</v>
          </cell>
        </row>
        <row r="5243">
          <cell r="I5243">
            <v>5948</v>
          </cell>
          <cell r="J5243">
            <v>0.13864624657534247</v>
          </cell>
        </row>
        <row r="5244">
          <cell r="I5244">
            <v>5949</v>
          </cell>
          <cell r="J5244">
            <v>0.13864805479452055</v>
          </cell>
        </row>
        <row r="5245">
          <cell r="I5245">
            <v>5950</v>
          </cell>
          <cell r="J5245">
            <v>0.13864986301369864</v>
          </cell>
        </row>
        <row r="5246">
          <cell r="I5246">
            <v>5951</v>
          </cell>
          <cell r="J5246">
            <v>0.13865167123287672</v>
          </cell>
        </row>
        <row r="5247">
          <cell r="I5247">
            <v>5952</v>
          </cell>
          <cell r="J5247">
            <v>0.13865347945205481</v>
          </cell>
        </row>
        <row r="5248">
          <cell r="I5248">
            <v>5953</v>
          </cell>
          <cell r="J5248">
            <v>0.13865528767123289</v>
          </cell>
        </row>
        <row r="5249">
          <cell r="I5249">
            <v>5954</v>
          </cell>
          <cell r="J5249">
            <v>0.13865709589041098</v>
          </cell>
        </row>
        <row r="5250">
          <cell r="I5250">
            <v>5955</v>
          </cell>
          <cell r="J5250">
            <v>0.13865890410958906</v>
          </cell>
        </row>
        <row r="5251">
          <cell r="I5251">
            <v>5956</v>
          </cell>
          <cell r="J5251">
            <v>0.13866071232876712</v>
          </cell>
        </row>
        <row r="5252">
          <cell r="I5252">
            <v>5957</v>
          </cell>
          <cell r="J5252">
            <v>0.1386625205479452</v>
          </cell>
        </row>
        <row r="5253">
          <cell r="I5253">
            <v>5958</v>
          </cell>
          <cell r="J5253">
            <v>0.13866432876712328</v>
          </cell>
        </row>
        <row r="5254">
          <cell r="I5254">
            <v>5959</v>
          </cell>
          <cell r="J5254">
            <v>0.13866613698630137</v>
          </cell>
        </row>
        <row r="5255">
          <cell r="I5255">
            <v>5960</v>
          </cell>
          <cell r="J5255">
            <v>0.13866794520547945</v>
          </cell>
        </row>
        <row r="5256">
          <cell r="I5256">
            <v>5961</v>
          </cell>
          <cell r="J5256">
            <v>0.13866975342465754</v>
          </cell>
        </row>
        <row r="5257">
          <cell r="I5257">
            <v>5962</v>
          </cell>
          <cell r="J5257">
            <v>0.13867156164383562</v>
          </cell>
        </row>
        <row r="5258">
          <cell r="I5258">
            <v>5963</v>
          </cell>
          <cell r="J5258">
            <v>0.13867336986301371</v>
          </cell>
        </row>
        <row r="5259">
          <cell r="I5259">
            <v>5964</v>
          </cell>
          <cell r="J5259">
            <v>0.13867517808219179</v>
          </cell>
        </row>
        <row r="5260">
          <cell r="I5260">
            <v>5965</v>
          </cell>
          <cell r="J5260">
            <v>0.13867698630136988</v>
          </cell>
        </row>
        <row r="5261">
          <cell r="I5261">
            <v>5966</v>
          </cell>
          <cell r="J5261">
            <v>0.13867879452054796</v>
          </cell>
        </row>
        <row r="5262">
          <cell r="I5262">
            <v>5967</v>
          </cell>
          <cell r="J5262">
            <v>0.13868060273972604</v>
          </cell>
        </row>
        <row r="5263">
          <cell r="I5263">
            <v>5968</v>
          </cell>
          <cell r="J5263">
            <v>0.1386824109589041</v>
          </cell>
        </row>
        <row r="5264">
          <cell r="I5264">
            <v>5969</v>
          </cell>
          <cell r="J5264">
            <v>0.13868421917808219</v>
          </cell>
        </row>
        <row r="5265">
          <cell r="I5265">
            <v>5970</v>
          </cell>
          <cell r="J5265">
            <v>0.13868602739726027</v>
          </cell>
        </row>
        <row r="5266">
          <cell r="I5266">
            <v>5971</v>
          </cell>
          <cell r="J5266">
            <v>0.13868783561643835</v>
          </cell>
        </row>
        <row r="5267">
          <cell r="I5267">
            <v>5972</v>
          </cell>
          <cell r="J5267">
            <v>0.13868964383561644</v>
          </cell>
        </row>
        <row r="5268">
          <cell r="I5268">
            <v>5973</v>
          </cell>
          <cell r="J5268">
            <v>0.13869145205479452</v>
          </cell>
        </row>
        <row r="5269">
          <cell r="I5269">
            <v>5974</v>
          </cell>
          <cell r="J5269">
            <v>0.13869326027397261</v>
          </cell>
        </row>
        <row r="5270">
          <cell r="I5270">
            <v>5975</v>
          </cell>
          <cell r="J5270">
            <v>0.13869506849315069</v>
          </cell>
        </row>
        <row r="5271">
          <cell r="I5271">
            <v>5976</v>
          </cell>
          <cell r="J5271">
            <v>0.13869687671232878</v>
          </cell>
        </row>
        <row r="5272">
          <cell r="I5272">
            <v>5977</v>
          </cell>
          <cell r="J5272">
            <v>0.13869868493150686</v>
          </cell>
        </row>
        <row r="5273">
          <cell r="I5273">
            <v>5978</v>
          </cell>
          <cell r="J5273">
            <v>0.13870049315068494</v>
          </cell>
        </row>
        <row r="5274">
          <cell r="I5274">
            <v>5979</v>
          </cell>
          <cell r="J5274">
            <v>0.13870230136986303</v>
          </cell>
        </row>
        <row r="5275">
          <cell r="I5275">
            <v>5980</v>
          </cell>
          <cell r="J5275">
            <v>0.13870410958904111</v>
          </cell>
        </row>
        <row r="5276">
          <cell r="I5276">
            <v>5981</v>
          </cell>
          <cell r="J5276">
            <v>0.13870591780821917</v>
          </cell>
        </row>
        <row r="5277">
          <cell r="I5277">
            <v>5982</v>
          </cell>
          <cell r="J5277">
            <v>0.13870772602739725</v>
          </cell>
        </row>
        <row r="5278">
          <cell r="I5278">
            <v>5983</v>
          </cell>
          <cell r="J5278">
            <v>0.13870953424657534</v>
          </cell>
        </row>
        <row r="5279">
          <cell r="I5279">
            <v>5984</v>
          </cell>
          <cell r="J5279">
            <v>0.13871134246575342</v>
          </cell>
        </row>
        <row r="5280">
          <cell r="I5280">
            <v>5985</v>
          </cell>
          <cell r="J5280">
            <v>0.13871315068493151</v>
          </cell>
        </row>
        <row r="5281">
          <cell r="I5281">
            <v>5986</v>
          </cell>
          <cell r="J5281">
            <v>0.13871495890410959</v>
          </cell>
        </row>
        <row r="5282">
          <cell r="I5282">
            <v>5987</v>
          </cell>
          <cell r="J5282">
            <v>0.13871676712328768</v>
          </cell>
        </row>
        <row r="5283">
          <cell r="I5283">
            <v>5988</v>
          </cell>
          <cell r="J5283">
            <v>0.13871857534246576</v>
          </cell>
        </row>
        <row r="5284">
          <cell r="I5284">
            <v>5989</v>
          </cell>
          <cell r="J5284">
            <v>0.13872038356164385</v>
          </cell>
        </row>
        <row r="5285">
          <cell r="I5285">
            <v>5990</v>
          </cell>
          <cell r="J5285">
            <v>0.13872219178082193</v>
          </cell>
        </row>
        <row r="5286">
          <cell r="I5286">
            <v>5991</v>
          </cell>
          <cell r="J5286">
            <v>0.13872400000000001</v>
          </cell>
        </row>
        <row r="5287">
          <cell r="I5287">
            <v>5992</v>
          </cell>
          <cell r="J5287">
            <v>0.1387258082191781</v>
          </cell>
        </row>
        <row r="5288">
          <cell r="I5288">
            <v>5993</v>
          </cell>
          <cell r="J5288">
            <v>0.13872761643835618</v>
          </cell>
        </row>
        <row r="5289">
          <cell r="I5289">
            <v>5994</v>
          </cell>
          <cell r="J5289">
            <v>0.13872942465753424</v>
          </cell>
        </row>
        <row r="5290">
          <cell r="I5290">
            <v>5995</v>
          </cell>
          <cell r="J5290">
            <v>0.13873123287671232</v>
          </cell>
        </row>
        <row r="5291">
          <cell r="I5291">
            <v>5996</v>
          </cell>
          <cell r="J5291">
            <v>0.13873304109589041</v>
          </cell>
        </row>
        <row r="5292">
          <cell r="I5292">
            <v>5997</v>
          </cell>
          <cell r="J5292">
            <v>0.13873484931506849</v>
          </cell>
        </row>
        <row r="5293">
          <cell r="I5293">
            <v>5998</v>
          </cell>
          <cell r="J5293">
            <v>0.13873665753424658</v>
          </cell>
        </row>
        <row r="5294">
          <cell r="I5294">
            <v>5999</v>
          </cell>
          <cell r="J5294">
            <v>0.13873846575342466</v>
          </cell>
        </row>
        <row r="5295">
          <cell r="I5295">
            <v>6000</v>
          </cell>
          <cell r="J5295">
            <v>0.13874027397260275</v>
          </cell>
        </row>
        <row r="5296">
          <cell r="I5296">
            <v>6001</v>
          </cell>
          <cell r="J5296">
            <v>0.13874208219178083</v>
          </cell>
        </row>
        <row r="5297">
          <cell r="I5297">
            <v>6002</v>
          </cell>
          <cell r="J5297">
            <v>0.13874389041095891</v>
          </cell>
        </row>
        <row r="5298">
          <cell r="I5298">
            <v>6003</v>
          </cell>
          <cell r="J5298">
            <v>0.138745698630137</v>
          </cell>
        </row>
        <row r="5299">
          <cell r="I5299">
            <v>6004</v>
          </cell>
          <cell r="J5299">
            <v>0.13874750684931508</v>
          </cell>
        </row>
        <row r="5300">
          <cell r="I5300">
            <v>6005</v>
          </cell>
          <cell r="J5300">
            <v>0.13874931506849317</v>
          </cell>
        </row>
        <row r="5301">
          <cell r="I5301">
            <v>6006</v>
          </cell>
          <cell r="J5301">
            <v>0.13875112328767122</v>
          </cell>
        </row>
        <row r="5302">
          <cell r="I5302">
            <v>6007</v>
          </cell>
          <cell r="J5302">
            <v>0.13875293150684931</v>
          </cell>
        </row>
        <row r="5303">
          <cell r="I5303">
            <v>6008</v>
          </cell>
          <cell r="J5303">
            <v>0.13875473972602739</v>
          </cell>
        </row>
        <row r="5304">
          <cell r="I5304">
            <v>6009</v>
          </cell>
          <cell r="J5304">
            <v>0.13875654794520548</v>
          </cell>
        </row>
        <row r="5305">
          <cell r="I5305">
            <v>6010</v>
          </cell>
          <cell r="J5305">
            <v>0.13875835616438356</v>
          </cell>
        </row>
        <row r="5306">
          <cell r="I5306">
            <v>6011</v>
          </cell>
          <cell r="J5306">
            <v>0.13876016438356165</v>
          </cell>
        </row>
        <row r="5307">
          <cell r="I5307">
            <v>6012</v>
          </cell>
          <cell r="J5307">
            <v>0.13876197260273973</v>
          </cell>
        </row>
        <row r="5308">
          <cell r="I5308">
            <v>6013</v>
          </cell>
          <cell r="J5308">
            <v>0.13876378082191781</v>
          </cell>
        </row>
        <row r="5309">
          <cell r="I5309">
            <v>6014</v>
          </cell>
          <cell r="J5309">
            <v>0.1387655890410959</v>
          </cell>
        </row>
        <row r="5310">
          <cell r="I5310">
            <v>6015</v>
          </cell>
          <cell r="J5310">
            <v>0.13876739726027398</v>
          </cell>
        </row>
        <row r="5311">
          <cell r="I5311">
            <v>6016</v>
          </cell>
          <cell r="J5311">
            <v>0.13876920547945207</v>
          </cell>
        </row>
        <row r="5312">
          <cell r="I5312">
            <v>6017</v>
          </cell>
          <cell r="J5312">
            <v>0.13877101369863015</v>
          </cell>
        </row>
        <row r="5313">
          <cell r="I5313">
            <v>6018</v>
          </cell>
          <cell r="J5313">
            <v>0.13877282191780824</v>
          </cell>
        </row>
        <row r="5314">
          <cell r="I5314">
            <v>6019</v>
          </cell>
          <cell r="J5314">
            <v>0.13877463013698629</v>
          </cell>
        </row>
        <row r="5315">
          <cell r="I5315">
            <v>6020</v>
          </cell>
          <cell r="J5315">
            <v>0.13877643835616438</v>
          </cell>
        </row>
        <row r="5316">
          <cell r="I5316">
            <v>6021</v>
          </cell>
          <cell r="J5316">
            <v>0.13877824657534246</v>
          </cell>
        </row>
        <row r="5317">
          <cell r="I5317">
            <v>6022</v>
          </cell>
          <cell r="J5317">
            <v>0.13878005479452055</v>
          </cell>
        </row>
        <row r="5318">
          <cell r="I5318">
            <v>6023</v>
          </cell>
          <cell r="J5318">
            <v>0.13878186301369863</v>
          </cell>
        </row>
        <row r="5319">
          <cell r="I5319">
            <v>6024</v>
          </cell>
          <cell r="J5319">
            <v>0.13878367123287672</v>
          </cell>
        </row>
        <row r="5320">
          <cell r="I5320">
            <v>6025</v>
          </cell>
          <cell r="J5320">
            <v>0.1387854794520548</v>
          </cell>
        </row>
        <row r="5321">
          <cell r="I5321">
            <v>6026</v>
          </cell>
          <cell r="J5321">
            <v>0.13878728767123288</v>
          </cell>
        </row>
        <row r="5322">
          <cell r="I5322">
            <v>6027</v>
          </cell>
          <cell r="J5322">
            <v>0.13878909589041097</v>
          </cell>
        </row>
        <row r="5323">
          <cell r="I5323">
            <v>6028</v>
          </cell>
          <cell r="J5323">
            <v>0.13879090410958905</v>
          </cell>
        </row>
        <row r="5324">
          <cell r="I5324">
            <v>6029</v>
          </cell>
          <cell r="J5324">
            <v>0.13879271232876714</v>
          </cell>
        </row>
        <row r="5325">
          <cell r="I5325">
            <v>6030</v>
          </cell>
          <cell r="J5325">
            <v>0.13879452054794522</v>
          </cell>
        </row>
        <row r="5326">
          <cell r="I5326">
            <v>6031</v>
          </cell>
          <cell r="J5326">
            <v>0.13879632876712331</v>
          </cell>
        </row>
        <row r="5327">
          <cell r="I5327">
            <v>6032</v>
          </cell>
          <cell r="J5327">
            <v>0.13879813698630136</v>
          </cell>
        </row>
        <row r="5328">
          <cell r="I5328">
            <v>6033</v>
          </cell>
          <cell r="J5328">
            <v>0.13879994520547945</v>
          </cell>
        </row>
        <row r="5329">
          <cell r="I5329">
            <v>6034</v>
          </cell>
          <cell r="J5329">
            <v>0.13880175342465753</v>
          </cell>
        </row>
        <row r="5330">
          <cell r="I5330">
            <v>6035</v>
          </cell>
          <cell r="J5330">
            <v>0.13880356164383562</v>
          </cell>
        </row>
        <row r="5331">
          <cell r="I5331">
            <v>6036</v>
          </cell>
          <cell r="J5331">
            <v>0.1388053698630137</v>
          </cell>
        </row>
        <row r="5332">
          <cell r="I5332">
            <v>6037</v>
          </cell>
          <cell r="J5332">
            <v>0.13880717808219178</v>
          </cell>
        </row>
        <row r="5333">
          <cell r="I5333">
            <v>6038</v>
          </cell>
          <cell r="J5333">
            <v>0.13880898630136987</v>
          </cell>
        </row>
        <row r="5334">
          <cell r="I5334">
            <v>6039</v>
          </cell>
          <cell r="J5334">
            <v>0.13881079452054795</v>
          </cell>
        </row>
        <row r="5335">
          <cell r="I5335">
            <v>6040</v>
          </cell>
          <cell r="J5335">
            <v>0.13881260273972604</v>
          </cell>
        </row>
        <row r="5336">
          <cell r="I5336">
            <v>6041</v>
          </cell>
          <cell r="J5336">
            <v>0.13881441095890412</v>
          </cell>
        </row>
        <row r="5337">
          <cell r="I5337">
            <v>6042</v>
          </cell>
          <cell r="J5337">
            <v>0.13881621917808221</v>
          </cell>
        </row>
        <row r="5338">
          <cell r="I5338">
            <v>6043</v>
          </cell>
          <cell r="J5338">
            <v>0.13881802739726029</v>
          </cell>
        </row>
        <row r="5339">
          <cell r="I5339">
            <v>6044</v>
          </cell>
          <cell r="J5339">
            <v>0.13881983561643835</v>
          </cell>
        </row>
        <row r="5340">
          <cell r="I5340">
            <v>6045</v>
          </cell>
          <cell r="J5340">
            <v>0.13882164383561643</v>
          </cell>
        </row>
        <row r="5341">
          <cell r="I5341">
            <v>6046</v>
          </cell>
          <cell r="J5341">
            <v>0.13882345205479452</v>
          </cell>
        </row>
        <row r="5342">
          <cell r="I5342">
            <v>6047</v>
          </cell>
          <cell r="J5342">
            <v>0.1388252602739726</v>
          </cell>
        </row>
        <row r="5343">
          <cell r="I5343">
            <v>6048</v>
          </cell>
          <cell r="J5343">
            <v>0.13882706849315068</v>
          </cell>
        </row>
        <row r="5344">
          <cell r="I5344">
            <v>6049</v>
          </cell>
          <cell r="J5344">
            <v>0.13882887671232877</v>
          </cell>
        </row>
        <row r="5345">
          <cell r="I5345">
            <v>6050</v>
          </cell>
          <cell r="J5345">
            <v>0.13883068493150685</v>
          </cell>
        </row>
        <row r="5346">
          <cell r="I5346">
            <v>6051</v>
          </cell>
          <cell r="J5346">
            <v>0.13883249315068494</v>
          </cell>
        </row>
        <row r="5347">
          <cell r="I5347">
            <v>6052</v>
          </cell>
          <cell r="J5347">
            <v>0.13883430136986302</v>
          </cell>
        </row>
        <row r="5348">
          <cell r="I5348">
            <v>6053</v>
          </cell>
          <cell r="J5348">
            <v>0.13883610958904111</v>
          </cell>
        </row>
        <row r="5349">
          <cell r="I5349">
            <v>6054</v>
          </cell>
          <cell r="J5349">
            <v>0.13883791780821919</v>
          </cell>
        </row>
        <row r="5350">
          <cell r="I5350">
            <v>6055</v>
          </cell>
          <cell r="J5350">
            <v>0.13883972602739728</v>
          </cell>
        </row>
        <row r="5351">
          <cell r="I5351">
            <v>6056</v>
          </cell>
          <cell r="J5351">
            <v>0.13884153424657536</v>
          </cell>
        </row>
        <row r="5352">
          <cell r="I5352">
            <v>6057</v>
          </cell>
          <cell r="J5352">
            <v>0.13884334246575342</v>
          </cell>
        </row>
        <row r="5353">
          <cell r="I5353">
            <v>6058</v>
          </cell>
          <cell r="J5353">
            <v>0.1388451506849315</v>
          </cell>
        </row>
        <row r="5354">
          <cell r="I5354">
            <v>6059</v>
          </cell>
          <cell r="J5354">
            <v>0.13884695890410959</v>
          </cell>
        </row>
        <row r="5355">
          <cell r="I5355">
            <v>6060</v>
          </cell>
          <cell r="J5355">
            <v>0.13884876712328767</v>
          </cell>
        </row>
        <row r="5356">
          <cell r="I5356">
            <v>6061</v>
          </cell>
          <cell r="J5356">
            <v>0.13885057534246575</v>
          </cell>
        </row>
        <row r="5357">
          <cell r="I5357">
            <v>6062</v>
          </cell>
          <cell r="J5357">
            <v>0.13885238356164384</v>
          </cell>
        </row>
        <row r="5358">
          <cell r="I5358">
            <v>6063</v>
          </cell>
          <cell r="J5358">
            <v>0.13885419178082192</v>
          </cell>
        </row>
        <row r="5359">
          <cell r="I5359">
            <v>6064</v>
          </cell>
          <cell r="J5359">
            <v>0.13885600000000001</v>
          </cell>
        </row>
        <row r="5360">
          <cell r="I5360">
            <v>6065</v>
          </cell>
          <cell r="J5360">
            <v>0.13885780821917809</v>
          </cell>
        </row>
        <row r="5361">
          <cell r="I5361">
            <v>6066</v>
          </cell>
          <cell r="J5361">
            <v>0.13885961643835618</v>
          </cell>
        </row>
        <row r="5362">
          <cell r="I5362">
            <v>6067</v>
          </cell>
          <cell r="J5362">
            <v>0.13886142465753426</v>
          </cell>
        </row>
        <row r="5363">
          <cell r="I5363">
            <v>6068</v>
          </cell>
          <cell r="J5363">
            <v>0.13886323287671234</v>
          </cell>
        </row>
        <row r="5364">
          <cell r="I5364">
            <v>6069</v>
          </cell>
          <cell r="J5364">
            <v>0.13886504109589043</v>
          </cell>
        </row>
        <row r="5365">
          <cell r="I5365">
            <v>6070</v>
          </cell>
          <cell r="J5365">
            <v>0.13886684931506849</v>
          </cell>
        </row>
        <row r="5366">
          <cell r="I5366">
            <v>6071</v>
          </cell>
          <cell r="J5366">
            <v>0.13886865753424657</v>
          </cell>
        </row>
        <row r="5367">
          <cell r="I5367">
            <v>6072</v>
          </cell>
          <cell r="J5367">
            <v>0.13887046575342465</v>
          </cell>
        </row>
        <row r="5368">
          <cell r="I5368">
            <v>6073</v>
          </cell>
          <cell r="J5368">
            <v>0.13887227397260274</v>
          </cell>
        </row>
        <row r="5369">
          <cell r="I5369">
            <v>6074</v>
          </cell>
          <cell r="J5369">
            <v>0.13887408219178082</v>
          </cell>
        </row>
        <row r="5370">
          <cell r="I5370">
            <v>6075</v>
          </cell>
          <cell r="J5370">
            <v>0.13887589041095891</v>
          </cell>
        </row>
        <row r="5371">
          <cell r="I5371">
            <v>6076</v>
          </cell>
          <cell r="J5371">
            <v>0.13887769863013699</v>
          </cell>
        </row>
        <row r="5372">
          <cell r="I5372">
            <v>6077</v>
          </cell>
          <cell r="J5372">
            <v>0.13887950684931508</v>
          </cell>
        </row>
        <row r="5373">
          <cell r="I5373">
            <v>6078</v>
          </cell>
          <cell r="J5373">
            <v>0.13888131506849316</v>
          </cell>
        </row>
        <row r="5374">
          <cell r="I5374">
            <v>6079</v>
          </cell>
          <cell r="J5374">
            <v>0.13888312328767125</v>
          </cell>
        </row>
        <row r="5375">
          <cell r="I5375">
            <v>6080</v>
          </cell>
          <cell r="J5375">
            <v>0.13888493150684933</v>
          </cell>
        </row>
        <row r="5376">
          <cell r="I5376">
            <v>6081</v>
          </cell>
          <cell r="J5376">
            <v>0.13888673972602741</v>
          </cell>
        </row>
        <row r="5377">
          <cell r="I5377">
            <v>6082</v>
          </cell>
          <cell r="J5377">
            <v>0.1388885479452055</v>
          </cell>
        </row>
        <row r="5378">
          <cell r="I5378">
            <v>6083</v>
          </cell>
          <cell r="J5378">
            <v>0.13889035616438355</v>
          </cell>
        </row>
        <row r="5379">
          <cell r="I5379">
            <v>6084</v>
          </cell>
          <cell r="J5379">
            <v>0.13889216438356164</v>
          </cell>
        </row>
        <row r="5380">
          <cell r="I5380">
            <v>6085</v>
          </cell>
          <cell r="J5380">
            <v>0.13889397260273972</v>
          </cell>
        </row>
        <row r="5381">
          <cell r="I5381">
            <v>6086</v>
          </cell>
          <cell r="J5381">
            <v>0.13889578082191781</v>
          </cell>
        </row>
        <row r="5382">
          <cell r="I5382">
            <v>6087</v>
          </cell>
          <cell r="J5382">
            <v>0.13889758904109589</v>
          </cell>
        </row>
        <row r="5383">
          <cell r="I5383">
            <v>6088</v>
          </cell>
          <cell r="J5383">
            <v>0.13889939726027398</v>
          </cell>
        </row>
        <row r="5384">
          <cell r="I5384">
            <v>6089</v>
          </cell>
          <cell r="J5384">
            <v>0.13890120547945206</v>
          </cell>
        </row>
        <row r="5385">
          <cell r="I5385">
            <v>6090</v>
          </cell>
          <cell r="J5385">
            <v>0.13890301369863015</v>
          </cell>
        </row>
        <row r="5386">
          <cell r="I5386">
            <v>6091</v>
          </cell>
          <cell r="J5386">
            <v>0.13890482191780823</v>
          </cell>
        </row>
        <row r="5387">
          <cell r="I5387">
            <v>6092</v>
          </cell>
          <cell r="J5387">
            <v>0.13890663013698631</v>
          </cell>
        </row>
        <row r="5388">
          <cell r="I5388">
            <v>6093</v>
          </cell>
          <cell r="J5388">
            <v>0.1389084383561644</v>
          </cell>
        </row>
        <row r="5389">
          <cell r="I5389">
            <v>6094</v>
          </cell>
          <cell r="J5389">
            <v>0.13891024657534248</v>
          </cell>
        </row>
        <row r="5390">
          <cell r="I5390">
            <v>6095</v>
          </cell>
          <cell r="J5390">
            <v>0.13891205479452054</v>
          </cell>
        </row>
        <row r="5391">
          <cell r="I5391">
            <v>6096</v>
          </cell>
          <cell r="J5391">
            <v>0.13891386301369862</v>
          </cell>
        </row>
        <row r="5392">
          <cell r="I5392">
            <v>6097</v>
          </cell>
          <cell r="J5392">
            <v>0.13891567123287671</v>
          </cell>
        </row>
        <row r="5393">
          <cell r="I5393">
            <v>6098</v>
          </cell>
          <cell r="J5393">
            <v>0.13891747945205479</v>
          </cell>
        </row>
        <row r="5394">
          <cell r="I5394">
            <v>6099</v>
          </cell>
          <cell r="J5394">
            <v>0.13891928767123288</v>
          </cell>
        </row>
        <row r="5395">
          <cell r="I5395">
            <v>6100</v>
          </cell>
          <cell r="J5395">
            <v>0.13892109589041096</v>
          </cell>
        </row>
        <row r="5396">
          <cell r="I5396">
            <v>6101</v>
          </cell>
          <cell r="J5396">
            <v>0.13892290410958905</v>
          </cell>
        </row>
        <row r="5397">
          <cell r="I5397">
            <v>6102</v>
          </cell>
          <cell r="J5397">
            <v>0.13892471232876713</v>
          </cell>
        </row>
        <row r="5398">
          <cell r="I5398">
            <v>6103</v>
          </cell>
          <cell r="J5398">
            <v>0.13892652054794521</v>
          </cell>
        </row>
        <row r="5399">
          <cell r="I5399">
            <v>6104</v>
          </cell>
          <cell r="J5399">
            <v>0.1389283287671233</v>
          </cell>
        </row>
        <row r="5400">
          <cell r="I5400">
            <v>6105</v>
          </cell>
          <cell r="J5400">
            <v>0.13893013698630138</v>
          </cell>
        </row>
        <row r="5401">
          <cell r="I5401">
            <v>6106</v>
          </cell>
          <cell r="J5401">
            <v>0.13893194520547947</v>
          </cell>
        </row>
        <row r="5402">
          <cell r="I5402">
            <v>6107</v>
          </cell>
          <cell r="J5402">
            <v>0.13893375342465755</v>
          </cell>
        </row>
        <row r="5403">
          <cell r="I5403">
            <v>6108</v>
          </cell>
          <cell r="J5403">
            <v>0.13893556164383561</v>
          </cell>
        </row>
        <row r="5404">
          <cell r="I5404">
            <v>6109</v>
          </cell>
          <cell r="J5404">
            <v>0.13893736986301369</v>
          </cell>
        </row>
        <row r="5405">
          <cell r="I5405">
            <v>6110</v>
          </cell>
          <cell r="J5405">
            <v>0.13893917808219178</v>
          </cell>
        </row>
        <row r="5406">
          <cell r="I5406">
            <v>6111</v>
          </cell>
          <cell r="J5406">
            <v>0.13894098630136986</v>
          </cell>
        </row>
        <row r="5407">
          <cell r="I5407">
            <v>6112</v>
          </cell>
          <cell r="J5407">
            <v>0.13894279452054795</v>
          </cell>
        </row>
        <row r="5408">
          <cell r="I5408">
            <v>6113</v>
          </cell>
          <cell r="J5408">
            <v>0.13894460273972603</v>
          </cell>
        </row>
        <row r="5409">
          <cell r="I5409">
            <v>6114</v>
          </cell>
          <cell r="J5409">
            <v>0.13894641095890412</v>
          </cell>
        </row>
        <row r="5410">
          <cell r="I5410">
            <v>6115</v>
          </cell>
          <cell r="J5410">
            <v>0.1389482191780822</v>
          </cell>
        </row>
        <row r="5411">
          <cell r="I5411">
            <v>6116</v>
          </cell>
          <cell r="J5411">
            <v>0.13895002739726028</v>
          </cell>
        </row>
        <row r="5412">
          <cell r="I5412">
            <v>6117</v>
          </cell>
          <cell r="J5412">
            <v>0.13895183561643837</v>
          </cell>
        </row>
        <row r="5413">
          <cell r="I5413">
            <v>6118</v>
          </cell>
          <cell r="J5413">
            <v>0.13895364383561645</v>
          </cell>
        </row>
        <row r="5414">
          <cell r="I5414">
            <v>6119</v>
          </cell>
          <cell r="J5414">
            <v>0.13895545205479454</v>
          </cell>
        </row>
        <row r="5415">
          <cell r="I5415">
            <v>6120</v>
          </cell>
          <cell r="J5415">
            <v>0.13895726027397259</v>
          </cell>
        </row>
        <row r="5416">
          <cell r="I5416">
            <v>6121</v>
          </cell>
          <cell r="J5416">
            <v>0.13895906849315068</v>
          </cell>
        </row>
        <row r="5417">
          <cell r="I5417">
            <v>6122</v>
          </cell>
          <cell r="J5417">
            <v>0.13896087671232876</v>
          </cell>
        </row>
        <row r="5418">
          <cell r="I5418">
            <v>6123</v>
          </cell>
          <cell r="J5418">
            <v>0.13896268493150685</v>
          </cell>
        </row>
        <row r="5419">
          <cell r="I5419">
            <v>6124</v>
          </cell>
          <cell r="J5419">
            <v>0.13896449315068493</v>
          </cell>
        </row>
        <row r="5420">
          <cell r="I5420">
            <v>6125</v>
          </cell>
          <cell r="J5420">
            <v>0.13896630136986302</v>
          </cell>
        </row>
        <row r="5421">
          <cell r="I5421">
            <v>6126</v>
          </cell>
          <cell r="J5421">
            <v>0.1389681095890411</v>
          </cell>
        </row>
        <row r="5422">
          <cell r="I5422">
            <v>6127</v>
          </cell>
          <cell r="J5422">
            <v>0.13896991780821918</v>
          </cell>
        </row>
        <row r="5423">
          <cell r="I5423">
            <v>6128</v>
          </cell>
          <cell r="J5423">
            <v>0.13897172602739727</v>
          </cell>
        </row>
        <row r="5424">
          <cell r="I5424">
            <v>6129</v>
          </cell>
          <cell r="J5424">
            <v>0.13897353424657535</v>
          </cell>
        </row>
        <row r="5425">
          <cell r="I5425">
            <v>6130</v>
          </cell>
          <cell r="J5425">
            <v>0.13897534246575344</v>
          </cell>
        </row>
        <row r="5426">
          <cell r="I5426">
            <v>6131</v>
          </cell>
          <cell r="J5426">
            <v>0.13897715068493152</v>
          </cell>
        </row>
        <row r="5427">
          <cell r="I5427">
            <v>6132</v>
          </cell>
          <cell r="J5427">
            <v>0.13897895890410961</v>
          </cell>
        </row>
        <row r="5428">
          <cell r="I5428">
            <v>6133</v>
          </cell>
          <cell r="J5428">
            <v>0.13898076712328766</v>
          </cell>
        </row>
        <row r="5429">
          <cell r="I5429">
            <v>6134</v>
          </cell>
          <cell r="J5429">
            <v>0.13898257534246575</v>
          </cell>
        </row>
        <row r="5430">
          <cell r="I5430">
            <v>6135</v>
          </cell>
          <cell r="J5430">
            <v>0.13898438356164383</v>
          </cell>
        </row>
        <row r="5431">
          <cell r="I5431">
            <v>6136</v>
          </cell>
          <cell r="J5431">
            <v>0.13898619178082192</v>
          </cell>
        </row>
        <row r="5432">
          <cell r="I5432">
            <v>6137</v>
          </cell>
          <cell r="J5432">
            <v>0.138988</v>
          </cell>
        </row>
        <row r="5433">
          <cell r="I5433">
            <v>6138</v>
          </cell>
          <cell r="J5433">
            <v>0.13898980821917808</v>
          </cell>
        </row>
        <row r="5434">
          <cell r="I5434">
            <v>6139</v>
          </cell>
          <cell r="J5434">
            <v>0.13899161643835617</v>
          </cell>
        </row>
        <row r="5435">
          <cell r="I5435">
            <v>6140</v>
          </cell>
          <cell r="J5435">
            <v>0.13899342465753425</v>
          </cell>
        </row>
        <row r="5436">
          <cell r="I5436">
            <v>6141</v>
          </cell>
          <cell r="J5436">
            <v>0.13899523287671234</v>
          </cell>
        </row>
        <row r="5437">
          <cell r="I5437">
            <v>6142</v>
          </cell>
          <cell r="J5437">
            <v>0.13899704109589042</v>
          </cell>
        </row>
        <row r="5438">
          <cell r="I5438">
            <v>6143</v>
          </cell>
          <cell r="J5438">
            <v>0.13899884931506851</v>
          </cell>
        </row>
        <row r="5439">
          <cell r="I5439">
            <v>6144</v>
          </cell>
          <cell r="J5439">
            <v>0.13900065753424659</v>
          </cell>
        </row>
        <row r="5440">
          <cell r="I5440">
            <v>6145</v>
          </cell>
          <cell r="J5440">
            <v>0.13900246575342468</v>
          </cell>
        </row>
        <row r="5441">
          <cell r="I5441">
            <v>6146</v>
          </cell>
          <cell r="J5441">
            <v>0.13900427397260273</v>
          </cell>
        </row>
        <row r="5442">
          <cell r="I5442">
            <v>6147</v>
          </cell>
          <cell r="J5442">
            <v>0.13900608219178082</v>
          </cell>
        </row>
        <row r="5443">
          <cell r="I5443">
            <v>6148</v>
          </cell>
          <cell r="J5443">
            <v>0.1390078904109589</v>
          </cell>
        </row>
        <row r="5444">
          <cell r="I5444">
            <v>6149</v>
          </cell>
          <cell r="J5444">
            <v>0.13900969863013699</v>
          </cell>
        </row>
        <row r="5445">
          <cell r="I5445">
            <v>6150</v>
          </cell>
          <cell r="J5445">
            <v>0.13901150684931507</v>
          </cell>
        </row>
        <row r="5446">
          <cell r="I5446">
            <v>6151</v>
          </cell>
          <cell r="J5446">
            <v>0.13901331506849315</v>
          </cell>
        </row>
        <row r="5447">
          <cell r="I5447">
            <v>6152</v>
          </cell>
          <cell r="J5447">
            <v>0.13901512328767124</v>
          </cell>
        </row>
        <row r="5448">
          <cell r="I5448">
            <v>6153</v>
          </cell>
          <cell r="J5448">
            <v>0.13901693150684932</v>
          </cell>
        </row>
        <row r="5449">
          <cell r="I5449">
            <v>6154</v>
          </cell>
          <cell r="J5449">
            <v>0.13901873972602741</v>
          </cell>
        </row>
        <row r="5450">
          <cell r="I5450">
            <v>6155</v>
          </cell>
          <cell r="J5450">
            <v>0.13902054794520549</v>
          </cell>
        </row>
        <row r="5451">
          <cell r="I5451">
            <v>6156</v>
          </cell>
          <cell r="J5451">
            <v>0.13902235616438358</v>
          </cell>
        </row>
        <row r="5452">
          <cell r="I5452">
            <v>6157</v>
          </cell>
          <cell r="J5452">
            <v>0.13902416438356166</v>
          </cell>
        </row>
        <row r="5453">
          <cell r="I5453">
            <v>6158</v>
          </cell>
          <cell r="J5453">
            <v>0.13902597260273974</v>
          </cell>
        </row>
        <row r="5454">
          <cell r="I5454">
            <v>6159</v>
          </cell>
          <cell r="J5454">
            <v>0.1390277808219178</v>
          </cell>
        </row>
        <row r="5455">
          <cell r="I5455">
            <v>6160</v>
          </cell>
          <cell r="J5455">
            <v>0.13902958904109589</v>
          </cell>
        </row>
        <row r="5456">
          <cell r="I5456">
            <v>6161</v>
          </cell>
          <cell r="J5456">
            <v>0.13903139726027397</v>
          </cell>
        </row>
        <row r="5457">
          <cell r="I5457">
            <v>6162</v>
          </cell>
          <cell r="J5457">
            <v>0.13903320547945205</v>
          </cell>
        </row>
        <row r="5458">
          <cell r="I5458">
            <v>6163</v>
          </cell>
          <cell r="J5458">
            <v>0.13903501369863014</v>
          </cell>
        </row>
        <row r="5459">
          <cell r="I5459">
            <v>6164</v>
          </cell>
          <cell r="J5459">
            <v>0.13903682191780822</v>
          </cell>
        </row>
        <row r="5460">
          <cell r="I5460">
            <v>6165</v>
          </cell>
          <cell r="J5460">
            <v>0.13903863013698631</v>
          </cell>
        </row>
        <row r="5461">
          <cell r="I5461">
            <v>6166</v>
          </cell>
          <cell r="J5461">
            <v>0.13904043835616439</v>
          </cell>
        </row>
        <row r="5462">
          <cell r="I5462">
            <v>6167</v>
          </cell>
          <cell r="J5462">
            <v>0.13904224657534248</v>
          </cell>
        </row>
        <row r="5463">
          <cell r="I5463">
            <v>6168</v>
          </cell>
          <cell r="J5463">
            <v>0.13904405479452056</v>
          </cell>
        </row>
        <row r="5464">
          <cell r="I5464">
            <v>6169</v>
          </cell>
          <cell r="J5464">
            <v>0.13904586301369865</v>
          </cell>
        </row>
        <row r="5465">
          <cell r="I5465">
            <v>6170</v>
          </cell>
          <cell r="J5465">
            <v>0.13904767123287673</v>
          </cell>
        </row>
        <row r="5466">
          <cell r="I5466">
            <v>6171</v>
          </cell>
          <cell r="J5466">
            <v>0.13904947945205479</v>
          </cell>
        </row>
        <row r="5467">
          <cell r="I5467">
            <v>6172</v>
          </cell>
          <cell r="J5467">
            <v>0.13905128767123287</v>
          </cell>
        </row>
        <row r="5468">
          <cell r="I5468">
            <v>6173</v>
          </cell>
          <cell r="J5468">
            <v>0.13905309589041095</v>
          </cell>
        </row>
        <row r="5469">
          <cell r="I5469">
            <v>6174</v>
          </cell>
          <cell r="J5469">
            <v>0.13905490410958904</v>
          </cell>
        </row>
        <row r="5470">
          <cell r="I5470">
            <v>6175</v>
          </cell>
          <cell r="J5470">
            <v>0.13905671232876712</v>
          </cell>
        </row>
        <row r="5471">
          <cell r="I5471">
            <v>6176</v>
          </cell>
          <cell r="J5471">
            <v>0.13905852054794521</v>
          </cell>
        </row>
        <row r="5472">
          <cell r="I5472">
            <v>6177</v>
          </cell>
          <cell r="J5472">
            <v>0.13906032876712329</v>
          </cell>
        </row>
        <row r="5473">
          <cell r="I5473">
            <v>6178</v>
          </cell>
          <cell r="J5473">
            <v>0.13906213698630138</v>
          </cell>
        </row>
        <row r="5474">
          <cell r="I5474">
            <v>6179</v>
          </cell>
          <cell r="J5474">
            <v>0.13906394520547946</v>
          </cell>
        </row>
        <row r="5475">
          <cell r="I5475">
            <v>6180</v>
          </cell>
          <cell r="J5475">
            <v>0.13906575342465755</v>
          </cell>
        </row>
        <row r="5476">
          <cell r="I5476">
            <v>6181</v>
          </cell>
          <cell r="J5476">
            <v>0.13906756164383563</v>
          </cell>
        </row>
        <row r="5477">
          <cell r="I5477">
            <v>6182</v>
          </cell>
          <cell r="J5477">
            <v>0.13906936986301371</v>
          </cell>
        </row>
        <row r="5478">
          <cell r="I5478">
            <v>6183</v>
          </cell>
          <cell r="J5478">
            <v>0.1390711780821918</v>
          </cell>
        </row>
        <row r="5479">
          <cell r="I5479">
            <v>6184</v>
          </cell>
          <cell r="J5479">
            <v>0.13907298630136986</v>
          </cell>
        </row>
        <row r="5480">
          <cell r="I5480">
            <v>6185</v>
          </cell>
          <cell r="J5480">
            <v>0.13907479452054794</v>
          </cell>
        </row>
        <row r="5481">
          <cell r="I5481">
            <v>6186</v>
          </cell>
          <cell r="J5481">
            <v>0.13907660273972602</v>
          </cell>
        </row>
        <row r="5482">
          <cell r="I5482">
            <v>6187</v>
          </cell>
          <cell r="J5482">
            <v>0.13907841095890411</v>
          </cell>
        </row>
        <row r="5483">
          <cell r="I5483">
            <v>6188</v>
          </cell>
          <cell r="J5483">
            <v>0.13908021917808219</v>
          </cell>
        </row>
        <row r="5484">
          <cell r="I5484">
            <v>6189</v>
          </cell>
          <cell r="J5484">
            <v>0.13908202739726028</v>
          </cell>
        </row>
        <row r="5485">
          <cell r="I5485">
            <v>6190</v>
          </cell>
          <cell r="J5485">
            <v>0.13908383561643836</v>
          </cell>
        </row>
        <row r="5486">
          <cell r="I5486">
            <v>6191</v>
          </cell>
          <cell r="J5486">
            <v>0.13908564383561645</v>
          </cell>
        </row>
        <row r="5487">
          <cell r="I5487">
            <v>6192</v>
          </cell>
          <cell r="J5487">
            <v>0.13908745205479453</v>
          </cell>
        </row>
        <row r="5488">
          <cell r="I5488">
            <v>6193</v>
          </cell>
          <cell r="J5488">
            <v>0.13908926027397261</v>
          </cell>
        </row>
        <row r="5489">
          <cell r="I5489">
            <v>6194</v>
          </cell>
          <cell r="J5489">
            <v>0.1390910684931507</v>
          </cell>
        </row>
        <row r="5490">
          <cell r="I5490">
            <v>6195</v>
          </cell>
          <cell r="J5490">
            <v>0.13909287671232878</v>
          </cell>
        </row>
        <row r="5491">
          <cell r="I5491">
            <v>6196</v>
          </cell>
          <cell r="J5491">
            <v>0.13909468493150687</v>
          </cell>
        </row>
        <row r="5492">
          <cell r="I5492">
            <v>6197</v>
          </cell>
          <cell r="J5492">
            <v>0.13909649315068492</v>
          </cell>
        </row>
        <row r="5493">
          <cell r="I5493">
            <v>6198</v>
          </cell>
          <cell r="J5493">
            <v>0.13909830136986301</v>
          </cell>
        </row>
        <row r="5494">
          <cell r="I5494">
            <v>6199</v>
          </cell>
          <cell r="J5494">
            <v>0.13910010958904109</v>
          </cell>
        </row>
        <row r="5495">
          <cell r="I5495">
            <v>6200</v>
          </cell>
          <cell r="J5495">
            <v>0.13910191780821918</v>
          </cell>
        </row>
        <row r="5496">
          <cell r="I5496">
            <v>6201</v>
          </cell>
          <cell r="J5496">
            <v>0.13910372602739726</v>
          </cell>
        </row>
        <row r="5497">
          <cell r="I5497">
            <v>6202</v>
          </cell>
          <cell r="J5497">
            <v>0.13910553424657535</v>
          </cell>
        </row>
        <row r="5498">
          <cell r="I5498">
            <v>6203</v>
          </cell>
          <cell r="J5498">
            <v>0.13910734246575343</v>
          </cell>
        </row>
        <row r="5499">
          <cell r="I5499">
            <v>6204</v>
          </cell>
          <cell r="J5499">
            <v>0.13910915068493152</v>
          </cell>
        </row>
        <row r="5500">
          <cell r="I5500">
            <v>6205</v>
          </cell>
          <cell r="J5500">
            <v>0.1391109589041096</v>
          </cell>
        </row>
        <row r="5501">
          <cell r="I5501">
            <v>6206</v>
          </cell>
          <cell r="J5501">
            <v>0.13911276712328768</v>
          </cell>
        </row>
        <row r="5502">
          <cell r="I5502">
            <v>6207</v>
          </cell>
          <cell r="J5502">
            <v>0.13911457534246577</v>
          </cell>
        </row>
        <row r="5503">
          <cell r="I5503">
            <v>6208</v>
          </cell>
          <cell r="J5503">
            <v>0.13911638356164385</v>
          </cell>
        </row>
        <row r="5504">
          <cell r="I5504">
            <v>6209</v>
          </cell>
          <cell r="J5504">
            <v>0.13911819178082191</v>
          </cell>
        </row>
        <row r="5505">
          <cell r="I5505">
            <v>6210</v>
          </cell>
          <cell r="J5505">
            <v>0.13911999999999999</v>
          </cell>
        </row>
        <row r="5506">
          <cell r="I5506">
            <v>6211</v>
          </cell>
          <cell r="J5506">
            <v>0.13912180821917808</v>
          </cell>
        </row>
        <row r="5507">
          <cell r="I5507">
            <v>6212</v>
          </cell>
          <cell r="J5507">
            <v>0.13912361643835616</v>
          </cell>
        </row>
        <row r="5508">
          <cell r="I5508">
            <v>6213</v>
          </cell>
          <cell r="J5508">
            <v>0.13912542465753425</v>
          </cell>
        </row>
        <row r="5509">
          <cell r="I5509">
            <v>6214</v>
          </cell>
          <cell r="J5509">
            <v>0.13912723287671233</v>
          </cell>
        </row>
        <row r="5510">
          <cell r="I5510">
            <v>6215</v>
          </cell>
          <cell r="J5510">
            <v>0.13912904109589042</v>
          </cell>
        </row>
        <row r="5511">
          <cell r="I5511">
            <v>6216</v>
          </cell>
          <cell r="J5511">
            <v>0.1391308493150685</v>
          </cell>
        </row>
        <row r="5512">
          <cell r="I5512">
            <v>6217</v>
          </cell>
          <cell r="J5512">
            <v>0.13913265753424658</v>
          </cell>
        </row>
        <row r="5513">
          <cell r="I5513">
            <v>6218</v>
          </cell>
          <cell r="J5513">
            <v>0.13913446575342467</v>
          </cell>
        </row>
        <row r="5514">
          <cell r="I5514">
            <v>6219</v>
          </cell>
          <cell r="J5514">
            <v>0.13913627397260275</v>
          </cell>
        </row>
        <row r="5515">
          <cell r="I5515">
            <v>6220</v>
          </cell>
          <cell r="J5515">
            <v>0.13913808219178084</v>
          </cell>
        </row>
        <row r="5516">
          <cell r="I5516">
            <v>6221</v>
          </cell>
          <cell r="J5516">
            <v>0.13913989041095892</v>
          </cell>
        </row>
        <row r="5517">
          <cell r="I5517">
            <v>6222</v>
          </cell>
          <cell r="J5517">
            <v>0.13914169863013698</v>
          </cell>
        </row>
        <row r="5518">
          <cell r="I5518">
            <v>6223</v>
          </cell>
          <cell r="J5518">
            <v>0.13914350684931506</v>
          </cell>
        </row>
        <row r="5519">
          <cell r="I5519">
            <v>6224</v>
          </cell>
          <cell r="J5519">
            <v>0.13914531506849315</v>
          </cell>
        </row>
        <row r="5520">
          <cell r="I5520">
            <v>6225</v>
          </cell>
          <cell r="J5520">
            <v>0.13914712328767123</v>
          </cell>
        </row>
        <row r="5521">
          <cell r="I5521">
            <v>6226</v>
          </cell>
          <cell r="J5521">
            <v>0.13914893150684932</v>
          </cell>
        </row>
        <row r="5522">
          <cell r="I5522">
            <v>6227</v>
          </cell>
          <cell r="J5522">
            <v>0.1391507397260274</v>
          </cell>
        </row>
        <row r="5523">
          <cell r="I5523">
            <v>6228</v>
          </cell>
          <cell r="J5523">
            <v>0.13915254794520548</v>
          </cell>
        </row>
        <row r="5524">
          <cell r="I5524">
            <v>6229</v>
          </cell>
          <cell r="J5524">
            <v>0.13915435616438357</v>
          </cell>
        </row>
        <row r="5525">
          <cell r="I5525">
            <v>6230</v>
          </cell>
          <cell r="J5525">
            <v>0.13915616438356165</v>
          </cell>
        </row>
        <row r="5526">
          <cell r="I5526">
            <v>6231</v>
          </cell>
          <cell r="J5526">
            <v>0.13915797260273974</v>
          </cell>
        </row>
        <row r="5527">
          <cell r="I5527">
            <v>6232</v>
          </cell>
          <cell r="J5527">
            <v>0.13915978082191782</v>
          </cell>
        </row>
        <row r="5528">
          <cell r="I5528">
            <v>6233</v>
          </cell>
          <cell r="J5528">
            <v>0.13916158904109591</v>
          </cell>
        </row>
        <row r="5529">
          <cell r="I5529">
            <v>6234</v>
          </cell>
          <cell r="J5529">
            <v>0.13916339726027399</v>
          </cell>
        </row>
        <row r="5530">
          <cell r="I5530">
            <v>6235</v>
          </cell>
          <cell r="J5530">
            <v>0.13916520547945205</v>
          </cell>
        </row>
        <row r="5531">
          <cell r="I5531">
            <v>6236</v>
          </cell>
          <cell r="J5531">
            <v>0.13916701369863013</v>
          </cell>
        </row>
        <row r="5532">
          <cell r="I5532">
            <v>6237</v>
          </cell>
          <cell r="J5532">
            <v>0.13916882191780822</v>
          </cell>
        </row>
        <row r="5533">
          <cell r="I5533">
            <v>6238</v>
          </cell>
          <cell r="J5533">
            <v>0.1391706301369863</v>
          </cell>
        </row>
        <row r="5534">
          <cell r="I5534">
            <v>6239</v>
          </cell>
          <cell r="J5534">
            <v>0.13917243835616439</v>
          </cell>
        </row>
        <row r="5535">
          <cell r="I5535">
            <v>6240</v>
          </cell>
          <cell r="J5535">
            <v>0.13917424657534247</v>
          </cell>
        </row>
        <row r="5536">
          <cell r="I5536">
            <v>6241</v>
          </cell>
          <cell r="J5536">
            <v>0.13917605479452055</v>
          </cell>
        </row>
        <row r="5537">
          <cell r="I5537">
            <v>6242</v>
          </cell>
          <cell r="J5537">
            <v>0.13917786301369864</v>
          </cell>
        </row>
        <row r="5538">
          <cell r="I5538">
            <v>6243</v>
          </cell>
          <cell r="J5538">
            <v>0.13917967123287672</v>
          </cell>
        </row>
        <row r="5539">
          <cell r="I5539">
            <v>6244</v>
          </cell>
          <cell r="J5539">
            <v>0.13918147945205481</v>
          </cell>
        </row>
        <row r="5540">
          <cell r="I5540">
            <v>6245</v>
          </cell>
          <cell r="J5540">
            <v>0.13918328767123289</v>
          </cell>
        </row>
        <row r="5541">
          <cell r="I5541">
            <v>6246</v>
          </cell>
          <cell r="J5541">
            <v>0.13918509589041098</v>
          </cell>
        </row>
        <row r="5542">
          <cell r="I5542">
            <v>6247</v>
          </cell>
          <cell r="J5542">
            <v>0.13918690410958903</v>
          </cell>
        </row>
        <row r="5543">
          <cell r="I5543">
            <v>6248</v>
          </cell>
          <cell r="J5543">
            <v>0.13918871232876712</v>
          </cell>
        </row>
        <row r="5544">
          <cell r="I5544">
            <v>6249</v>
          </cell>
          <cell r="J5544">
            <v>0.1391905205479452</v>
          </cell>
        </row>
        <row r="5545">
          <cell r="I5545">
            <v>6250</v>
          </cell>
          <cell r="J5545">
            <v>0.13919232876712329</v>
          </cell>
        </row>
        <row r="5546">
          <cell r="I5546">
            <v>6251</v>
          </cell>
          <cell r="J5546">
            <v>0.13919413698630137</v>
          </cell>
        </row>
        <row r="5547">
          <cell r="I5547">
            <v>6252</v>
          </cell>
          <cell r="J5547">
            <v>0.13919594520547945</v>
          </cell>
        </row>
        <row r="5548">
          <cell r="I5548">
            <v>6253</v>
          </cell>
          <cell r="J5548">
            <v>0.13919775342465754</v>
          </cell>
        </row>
        <row r="5549">
          <cell r="I5549">
            <v>6254</v>
          </cell>
          <cell r="J5549">
            <v>0.13919956164383562</v>
          </cell>
        </row>
        <row r="5550">
          <cell r="I5550">
            <v>6255</v>
          </cell>
          <cell r="J5550">
            <v>0.13920136986301371</v>
          </cell>
        </row>
        <row r="5551">
          <cell r="I5551">
            <v>6256</v>
          </cell>
          <cell r="J5551">
            <v>0.13920317808219179</v>
          </cell>
        </row>
        <row r="5552">
          <cell r="I5552">
            <v>6257</v>
          </cell>
          <cell r="J5552">
            <v>0.13920498630136988</v>
          </cell>
        </row>
        <row r="5553">
          <cell r="I5553">
            <v>6258</v>
          </cell>
          <cell r="J5553">
            <v>0.13920679452054796</v>
          </cell>
        </row>
        <row r="5554">
          <cell r="I5554">
            <v>6259</v>
          </cell>
          <cell r="J5554">
            <v>0.13920860273972605</v>
          </cell>
        </row>
        <row r="5555">
          <cell r="I5555">
            <v>6260</v>
          </cell>
          <cell r="J5555">
            <v>0.1392104109589041</v>
          </cell>
        </row>
        <row r="5556">
          <cell r="I5556">
            <v>6261</v>
          </cell>
          <cell r="J5556">
            <v>0.13921221917808219</v>
          </cell>
        </row>
        <row r="5557">
          <cell r="I5557">
            <v>6262</v>
          </cell>
          <cell r="J5557">
            <v>0.13921402739726027</v>
          </cell>
        </row>
        <row r="5558">
          <cell r="I5558">
            <v>6263</v>
          </cell>
          <cell r="J5558">
            <v>0.13921583561643835</v>
          </cell>
        </row>
        <row r="5559">
          <cell r="I5559">
            <v>6264</v>
          </cell>
          <cell r="J5559">
            <v>0.13921764383561644</v>
          </cell>
        </row>
        <row r="5560">
          <cell r="I5560">
            <v>6265</v>
          </cell>
          <cell r="J5560">
            <v>0.13921945205479452</v>
          </cell>
        </row>
        <row r="5561">
          <cell r="I5561">
            <v>6266</v>
          </cell>
          <cell r="J5561">
            <v>0.13922126027397261</v>
          </cell>
        </row>
        <row r="5562">
          <cell r="I5562">
            <v>6267</v>
          </cell>
          <cell r="J5562">
            <v>0.13922306849315069</v>
          </cell>
        </row>
        <row r="5563">
          <cell r="I5563">
            <v>6268</v>
          </cell>
          <cell r="J5563">
            <v>0.13922487671232878</v>
          </cell>
        </row>
        <row r="5564">
          <cell r="I5564">
            <v>6269</v>
          </cell>
          <cell r="J5564">
            <v>0.13922668493150686</v>
          </cell>
        </row>
        <row r="5565">
          <cell r="I5565">
            <v>6270</v>
          </cell>
          <cell r="J5565">
            <v>0.13922849315068495</v>
          </cell>
        </row>
        <row r="5566">
          <cell r="I5566">
            <v>6271</v>
          </cell>
          <cell r="J5566">
            <v>0.13923030136986303</v>
          </cell>
        </row>
        <row r="5567">
          <cell r="I5567">
            <v>6272</v>
          </cell>
          <cell r="J5567">
            <v>0.13923210958904111</v>
          </cell>
        </row>
        <row r="5568">
          <cell r="I5568">
            <v>6273</v>
          </cell>
          <cell r="J5568">
            <v>0.13923391780821917</v>
          </cell>
        </row>
        <row r="5569">
          <cell r="I5569">
            <v>6274</v>
          </cell>
          <cell r="J5569">
            <v>0.13923572602739726</v>
          </cell>
        </row>
        <row r="5570">
          <cell r="I5570">
            <v>6275</v>
          </cell>
          <cell r="J5570">
            <v>0.13923753424657534</v>
          </cell>
        </row>
        <row r="5571">
          <cell r="I5571">
            <v>6276</v>
          </cell>
          <cell r="J5571">
            <v>0.13923934246575342</v>
          </cell>
        </row>
        <row r="5572">
          <cell r="I5572">
            <v>6277</v>
          </cell>
          <cell r="J5572">
            <v>0.13924115068493151</v>
          </cell>
        </row>
        <row r="5573">
          <cell r="I5573">
            <v>6278</v>
          </cell>
          <cell r="J5573">
            <v>0.13924295890410959</v>
          </cell>
        </row>
        <row r="5574">
          <cell r="I5574">
            <v>6279</v>
          </cell>
          <cell r="J5574">
            <v>0.13924476712328768</v>
          </cell>
        </row>
        <row r="5575">
          <cell r="I5575">
            <v>6280</v>
          </cell>
          <cell r="J5575">
            <v>0.13924657534246576</v>
          </cell>
        </row>
        <row r="5576">
          <cell r="I5576">
            <v>6281</v>
          </cell>
          <cell r="J5576">
            <v>0.13924838356164385</v>
          </cell>
        </row>
        <row r="5577">
          <cell r="I5577">
            <v>6282</v>
          </cell>
          <cell r="J5577">
            <v>0.13925019178082193</v>
          </cell>
        </row>
        <row r="5578">
          <cell r="I5578">
            <v>6283</v>
          </cell>
          <cell r="J5578">
            <v>0.13925200000000001</v>
          </cell>
        </row>
        <row r="5579">
          <cell r="I5579">
            <v>6284</v>
          </cell>
          <cell r="J5579">
            <v>0.1392538082191781</v>
          </cell>
        </row>
        <row r="5580">
          <cell r="I5580">
            <v>6285</v>
          </cell>
          <cell r="J5580">
            <v>0.13925561643835616</v>
          </cell>
        </row>
        <row r="5581">
          <cell r="I5581">
            <v>6286</v>
          </cell>
          <cell r="J5581">
            <v>0.13925742465753424</v>
          </cell>
        </row>
        <row r="5582">
          <cell r="I5582">
            <v>6287</v>
          </cell>
          <cell r="J5582">
            <v>0.13925923287671232</v>
          </cell>
        </row>
        <row r="5583">
          <cell r="I5583">
            <v>6288</v>
          </cell>
          <cell r="J5583">
            <v>0.13926104109589041</v>
          </cell>
        </row>
        <row r="5584">
          <cell r="I5584">
            <v>6289</v>
          </cell>
          <cell r="J5584">
            <v>0.13926284931506849</v>
          </cell>
        </row>
        <row r="5585">
          <cell r="I5585">
            <v>6290</v>
          </cell>
          <cell r="J5585">
            <v>0.13926465753424658</v>
          </cell>
        </row>
        <row r="5586">
          <cell r="I5586">
            <v>6291</v>
          </cell>
          <cell r="J5586">
            <v>0.13926646575342466</v>
          </cell>
        </row>
        <row r="5587">
          <cell r="I5587">
            <v>6292</v>
          </cell>
          <cell r="J5587">
            <v>0.13926827397260275</v>
          </cell>
        </row>
        <row r="5588">
          <cell r="I5588">
            <v>6293</v>
          </cell>
          <cell r="J5588">
            <v>0.13927008219178083</v>
          </cell>
        </row>
        <row r="5589">
          <cell r="I5589">
            <v>6294</v>
          </cell>
          <cell r="J5589">
            <v>0.13927189041095892</v>
          </cell>
        </row>
        <row r="5590">
          <cell r="I5590">
            <v>6295</v>
          </cell>
          <cell r="J5590">
            <v>0.139273698630137</v>
          </cell>
        </row>
        <row r="5591">
          <cell r="I5591">
            <v>6296</v>
          </cell>
          <cell r="J5591">
            <v>0.13927550684931508</v>
          </cell>
        </row>
        <row r="5592">
          <cell r="I5592">
            <v>6297</v>
          </cell>
          <cell r="J5592">
            <v>0.13927731506849317</v>
          </cell>
        </row>
        <row r="5593">
          <cell r="I5593">
            <v>6298</v>
          </cell>
          <cell r="J5593">
            <v>0.13927912328767122</v>
          </cell>
        </row>
        <row r="5594">
          <cell r="I5594">
            <v>6299</v>
          </cell>
          <cell r="J5594">
            <v>0.13928093150684931</v>
          </cell>
        </row>
        <row r="5595">
          <cell r="I5595">
            <v>6300</v>
          </cell>
          <cell r="J5595">
            <v>0.13928273972602739</v>
          </cell>
        </row>
        <row r="5596">
          <cell r="I5596">
            <v>6301</v>
          </cell>
          <cell r="J5596">
            <v>0.13928454794520548</v>
          </cell>
        </row>
        <row r="5597">
          <cell r="I5597">
            <v>6302</v>
          </cell>
          <cell r="J5597">
            <v>0.13928635616438356</v>
          </cell>
        </row>
        <row r="5598">
          <cell r="I5598">
            <v>6303</v>
          </cell>
          <cell r="J5598">
            <v>0.13928816438356165</v>
          </cell>
        </row>
        <row r="5599">
          <cell r="I5599">
            <v>6304</v>
          </cell>
          <cell r="J5599">
            <v>0.13928997260273973</v>
          </cell>
        </row>
        <row r="5600">
          <cell r="I5600">
            <v>6305</v>
          </cell>
          <cell r="J5600">
            <v>0.13929178082191782</v>
          </cell>
        </row>
        <row r="5601">
          <cell r="I5601">
            <v>6306</v>
          </cell>
          <cell r="J5601">
            <v>0.1392935890410959</v>
          </cell>
        </row>
        <row r="5602">
          <cell r="I5602">
            <v>6307</v>
          </cell>
          <cell r="J5602">
            <v>0.13929539726027398</v>
          </cell>
        </row>
        <row r="5603">
          <cell r="I5603">
            <v>6308</v>
          </cell>
          <cell r="J5603">
            <v>0.13929720547945207</v>
          </cell>
        </row>
        <row r="5604">
          <cell r="I5604">
            <v>6309</v>
          </cell>
          <cell r="J5604">
            <v>0.13929901369863015</v>
          </cell>
        </row>
        <row r="5605">
          <cell r="I5605">
            <v>6310</v>
          </cell>
          <cell r="J5605">
            <v>0.13930082191780824</v>
          </cell>
        </row>
        <row r="5606">
          <cell r="I5606">
            <v>6311</v>
          </cell>
          <cell r="J5606">
            <v>0.13930263013698629</v>
          </cell>
        </row>
        <row r="5607">
          <cell r="I5607">
            <v>6312</v>
          </cell>
          <cell r="J5607">
            <v>0.13930443835616438</v>
          </cell>
        </row>
        <row r="5608">
          <cell r="I5608">
            <v>6313</v>
          </cell>
          <cell r="J5608">
            <v>0.13930624657534246</v>
          </cell>
        </row>
        <row r="5609">
          <cell r="I5609">
            <v>6314</v>
          </cell>
          <cell r="J5609">
            <v>0.13930805479452055</v>
          </cell>
        </row>
        <row r="5610">
          <cell r="I5610">
            <v>6315</v>
          </cell>
          <cell r="J5610">
            <v>0.13930986301369863</v>
          </cell>
        </row>
        <row r="5611">
          <cell r="I5611">
            <v>6316</v>
          </cell>
          <cell r="J5611">
            <v>0.13931167123287672</v>
          </cell>
        </row>
        <row r="5612">
          <cell r="I5612">
            <v>6317</v>
          </cell>
          <cell r="J5612">
            <v>0.1393134794520548</v>
          </cell>
        </row>
        <row r="5613">
          <cell r="I5613">
            <v>6318</v>
          </cell>
          <cell r="J5613">
            <v>0.13931528767123288</v>
          </cell>
        </row>
        <row r="5614">
          <cell r="I5614">
            <v>6319</v>
          </cell>
          <cell r="J5614">
            <v>0.13931709589041097</v>
          </cell>
        </row>
        <row r="5615">
          <cell r="I5615">
            <v>6320</v>
          </cell>
          <cell r="J5615">
            <v>0.13931890410958905</v>
          </cell>
        </row>
        <row r="5616">
          <cell r="I5616">
            <v>6321</v>
          </cell>
          <cell r="J5616">
            <v>0.13932071232876714</v>
          </cell>
        </row>
        <row r="5617">
          <cell r="I5617">
            <v>6322</v>
          </cell>
          <cell r="J5617">
            <v>0.13932252054794522</v>
          </cell>
        </row>
        <row r="5618">
          <cell r="I5618">
            <v>6323</v>
          </cell>
          <cell r="J5618">
            <v>0.13932432876712328</v>
          </cell>
        </row>
        <row r="5619">
          <cell r="I5619">
            <v>6324</v>
          </cell>
          <cell r="J5619">
            <v>0.13932613698630136</v>
          </cell>
        </row>
        <row r="5620">
          <cell r="I5620">
            <v>6325</v>
          </cell>
          <cell r="J5620">
            <v>0.13932794520547945</v>
          </cell>
        </row>
        <row r="5621">
          <cell r="I5621">
            <v>6326</v>
          </cell>
          <cell r="J5621">
            <v>0.13932975342465753</v>
          </cell>
        </row>
        <row r="5622">
          <cell r="I5622">
            <v>6327</v>
          </cell>
          <cell r="J5622">
            <v>0.13933156164383562</v>
          </cell>
        </row>
        <row r="5623">
          <cell r="I5623">
            <v>6328</v>
          </cell>
          <cell r="J5623">
            <v>0.1393333698630137</v>
          </cell>
        </row>
        <row r="5624">
          <cell r="I5624">
            <v>6329</v>
          </cell>
          <cell r="J5624">
            <v>0.13933517808219179</v>
          </cell>
        </row>
        <row r="5625">
          <cell r="I5625">
            <v>6330</v>
          </cell>
          <cell r="J5625">
            <v>0.13933698630136987</v>
          </cell>
        </row>
        <row r="5626">
          <cell r="I5626">
            <v>6331</v>
          </cell>
          <cell r="J5626">
            <v>0.13933879452054795</v>
          </cell>
        </row>
        <row r="5627">
          <cell r="I5627">
            <v>6332</v>
          </cell>
          <cell r="J5627">
            <v>0.13934060273972604</v>
          </cell>
        </row>
        <row r="5628">
          <cell r="I5628">
            <v>6333</v>
          </cell>
          <cell r="J5628">
            <v>0.13934241095890412</v>
          </cell>
        </row>
        <row r="5629">
          <cell r="I5629">
            <v>6334</v>
          </cell>
          <cell r="J5629">
            <v>0.13934421917808221</v>
          </cell>
        </row>
        <row r="5630">
          <cell r="I5630">
            <v>6335</v>
          </cell>
          <cell r="J5630">
            <v>0.13934602739726029</v>
          </cell>
        </row>
        <row r="5631">
          <cell r="I5631">
            <v>6336</v>
          </cell>
          <cell r="J5631">
            <v>0.13934783561643835</v>
          </cell>
        </row>
        <row r="5632">
          <cell r="I5632">
            <v>6337</v>
          </cell>
          <cell r="J5632">
            <v>0.13934964383561643</v>
          </cell>
        </row>
        <row r="5633">
          <cell r="I5633">
            <v>6338</v>
          </cell>
          <cell r="J5633">
            <v>0.13935145205479452</v>
          </cell>
        </row>
        <row r="5634">
          <cell r="I5634">
            <v>6339</v>
          </cell>
          <cell r="J5634">
            <v>0.1393532602739726</v>
          </cell>
        </row>
        <row r="5635">
          <cell r="I5635">
            <v>6340</v>
          </cell>
          <cell r="J5635">
            <v>0.13935506849315069</v>
          </cell>
        </row>
        <row r="5636">
          <cell r="I5636">
            <v>6341</v>
          </cell>
          <cell r="J5636">
            <v>0.13935687671232877</v>
          </cell>
        </row>
        <row r="5637">
          <cell r="I5637">
            <v>6342</v>
          </cell>
          <cell r="J5637">
            <v>0.13935868493150685</v>
          </cell>
        </row>
        <row r="5638">
          <cell r="I5638">
            <v>6343</v>
          </cell>
          <cell r="J5638">
            <v>0.13936049315068494</v>
          </cell>
        </row>
        <row r="5639">
          <cell r="I5639">
            <v>6344</v>
          </cell>
          <cell r="J5639">
            <v>0.13936230136986302</v>
          </cell>
        </row>
        <row r="5640">
          <cell r="I5640">
            <v>6345</v>
          </cell>
          <cell r="J5640">
            <v>0.13936410958904111</v>
          </cell>
        </row>
        <row r="5641">
          <cell r="I5641">
            <v>6346</v>
          </cell>
          <cell r="J5641">
            <v>0.13936591780821919</v>
          </cell>
        </row>
        <row r="5642">
          <cell r="I5642">
            <v>6347</v>
          </cell>
          <cell r="J5642">
            <v>0.13936772602739728</v>
          </cell>
        </row>
        <row r="5643">
          <cell r="I5643">
            <v>6348</v>
          </cell>
          <cell r="J5643">
            <v>0.13936953424657536</v>
          </cell>
        </row>
        <row r="5644">
          <cell r="I5644">
            <v>6349</v>
          </cell>
          <cell r="J5644">
            <v>0.13937134246575342</v>
          </cell>
        </row>
        <row r="5645">
          <cell r="I5645">
            <v>6350</v>
          </cell>
          <cell r="J5645">
            <v>0.1393731506849315</v>
          </cell>
        </row>
        <row r="5646">
          <cell r="I5646">
            <v>6351</v>
          </cell>
          <cell r="J5646">
            <v>0.13937495890410959</v>
          </cell>
        </row>
        <row r="5647">
          <cell r="I5647">
            <v>6352</v>
          </cell>
          <cell r="J5647">
            <v>0.13937676712328767</v>
          </cell>
        </row>
        <row r="5648">
          <cell r="I5648">
            <v>6353</v>
          </cell>
          <cell r="J5648">
            <v>0.13937857534246575</v>
          </cell>
        </row>
        <row r="5649">
          <cell r="I5649">
            <v>6354</v>
          </cell>
          <cell r="J5649">
            <v>0.13938038356164384</v>
          </cell>
        </row>
        <row r="5650">
          <cell r="I5650">
            <v>6355</v>
          </cell>
          <cell r="J5650">
            <v>0.13938219178082192</v>
          </cell>
        </row>
        <row r="5651">
          <cell r="I5651">
            <v>6356</v>
          </cell>
          <cell r="J5651">
            <v>0.13938400000000001</v>
          </cell>
        </row>
        <row r="5652">
          <cell r="I5652">
            <v>6357</v>
          </cell>
          <cell r="J5652">
            <v>0.13938580821917809</v>
          </cell>
        </row>
        <row r="5653">
          <cell r="I5653">
            <v>6358</v>
          </cell>
          <cell r="J5653">
            <v>0.13938761643835618</v>
          </cell>
        </row>
        <row r="5654">
          <cell r="I5654">
            <v>6359</v>
          </cell>
          <cell r="J5654">
            <v>0.13938942465753426</v>
          </cell>
        </row>
        <row r="5655">
          <cell r="I5655">
            <v>6360</v>
          </cell>
          <cell r="J5655">
            <v>0.13939123287671235</v>
          </cell>
        </row>
        <row r="5656">
          <cell r="I5656">
            <v>6361</v>
          </cell>
          <cell r="J5656">
            <v>0.1393930410958904</v>
          </cell>
        </row>
        <row r="5657">
          <cell r="I5657">
            <v>6362</v>
          </cell>
          <cell r="J5657">
            <v>0.13939484931506849</v>
          </cell>
        </row>
        <row r="5658">
          <cell r="I5658">
            <v>6363</v>
          </cell>
          <cell r="J5658">
            <v>0.13939665753424657</v>
          </cell>
        </row>
        <row r="5659">
          <cell r="I5659">
            <v>6364</v>
          </cell>
          <cell r="J5659">
            <v>0.13939846575342466</v>
          </cell>
        </row>
        <row r="5660">
          <cell r="I5660">
            <v>6365</v>
          </cell>
          <cell r="J5660">
            <v>0.13940027397260274</v>
          </cell>
        </row>
        <row r="5661">
          <cell r="I5661">
            <v>6366</v>
          </cell>
          <cell r="J5661">
            <v>0.13940208219178082</v>
          </cell>
        </row>
        <row r="5662">
          <cell r="I5662">
            <v>6367</v>
          </cell>
          <cell r="J5662">
            <v>0.13940389041095891</v>
          </cell>
        </row>
        <row r="5663">
          <cell r="I5663">
            <v>6368</v>
          </cell>
          <cell r="J5663">
            <v>0.13940569863013699</v>
          </cell>
        </row>
        <row r="5664">
          <cell r="I5664">
            <v>6369</v>
          </cell>
          <cell r="J5664">
            <v>0.13940750684931508</v>
          </cell>
        </row>
        <row r="5665">
          <cell r="I5665">
            <v>6370</v>
          </cell>
          <cell r="J5665">
            <v>0.13940931506849316</v>
          </cell>
        </row>
        <row r="5666">
          <cell r="I5666">
            <v>6371</v>
          </cell>
          <cell r="J5666">
            <v>0.13941112328767125</v>
          </cell>
        </row>
        <row r="5667">
          <cell r="I5667">
            <v>6372</v>
          </cell>
          <cell r="J5667">
            <v>0.13941293150684933</v>
          </cell>
        </row>
        <row r="5668">
          <cell r="I5668">
            <v>6373</v>
          </cell>
          <cell r="J5668">
            <v>0.13941473972602741</v>
          </cell>
        </row>
        <row r="5669">
          <cell r="I5669">
            <v>6374</v>
          </cell>
          <cell r="J5669">
            <v>0.13941654794520547</v>
          </cell>
        </row>
        <row r="5670">
          <cell r="I5670">
            <v>6375</v>
          </cell>
          <cell r="J5670">
            <v>0.13941835616438356</v>
          </cell>
        </row>
        <row r="5671">
          <cell r="I5671">
            <v>6376</v>
          </cell>
          <cell r="J5671">
            <v>0.13942016438356164</v>
          </cell>
        </row>
        <row r="5672">
          <cell r="I5672">
            <v>6377</v>
          </cell>
          <cell r="J5672">
            <v>0.13942197260273972</v>
          </cell>
        </row>
        <row r="5673">
          <cell r="I5673">
            <v>6378</v>
          </cell>
          <cell r="J5673">
            <v>0.13942378082191781</v>
          </cell>
        </row>
        <row r="5674">
          <cell r="I5674">
            <v>6379</v>
          </cell>
          <cell r="J5674">
            <v>0.13942558904109589</v>
          </cell>
        </row>
        <row r="5675">
          <cell r="I5675">
            <v>6380</v>
          </cell>
          <cell r="J5675">
            <v>0.13942739726027398</v>
          </cell>
        </row>
        <row r="5676">
          <cell r="I5676">
            <v>6381</v>
          </cell>
          <cell r="J5676">
            <v>0.13942920547945206</v>
          </cell>
        </row>
        <row r="5677">
          <cell r="I5677">
            <v>6382</v>
          </cell>
          <cell r="J5677">
            <v>0.13943101369863015</v>
          </cell>
        </row>
        <row r="5678">
          <cell r="I5678">
            <v>6383</v>
          </cell>
          <cell r="J5678">
            <v>0.13943282191780823</v>
          </cell>
        </row>
        <row r="5679">
          <cell r="I5679">
            <v>6384</v>
          </cell>
          <cell r="J5679">
            <v>0.13943463013698632</v>
          </cell>
        </row>
        <row r="5680">
          <cell r="I5680">
            <v>6385</v>
          </cell>
          <cell r="J5680">
            <v>0.1394364383561644</v>
          </cell>
        </row>
        <row r="5681">
          <cell r="I5681">
            <v>6386</v>
          </cell>
          <cell r="J5681">
            <v>0.13943824657534248</v>
          </cell>
        </row>
        <row r="5682">
          <cell r="I5682">
            <v>6387</v>
          </cell>
          <cell r="J5682">
            <v>0.13944005479452054</v>
          </cell>
        </row>
        <row r="5683">
          <cell r="I5683">
            <v>6388</v>
          </cell>
          <cell r="J5683">
            <v>0.13944186301369862</v>
          </cell>
        </row>
        <row r="5684">
          <cell r="I5684">
            <v>6389</v>
          </cell>
          <cell r="J5684">
            <v>0.13944367123287671</v>
          </cell>
        </row>
        <row r="5685">
          <cell r="I5685">
            <v>6390</v>
          </cell>
          <cell r="J5685">
            <v>0.13944547945205479</v>
          </cell>
        </row>
        <row r="5686">
          <cell r="I5686">
            <v>6391</v>
          </cell>
          <cell r="J5686">
            <v>0.13944728767123288</v>
          </cell>
        </row>
        <row r="5687">
          <cell r="I5687">
            <v>6392</v>
          </cell>
          <cell r="J5687">
            <v>0.13944909589041096</v>
          </cell>
        </row>
        <row r="5688">
          <cell r="I5688">
            <v>6393</v>
          </cell>
          <cell r="J5688">
            <v>0.13945090410958905</v>
          </cell>
        </row>
        <row r="5689">
          <cell r="I5689">
            <v>6394</v>
          </cell>
          <cell r="J5689">
            <v>0.13945271232876713</v>
          </cell>
        </row>
        <row r="5690">
          <cell r="I5690">
            <v>6395</v>
          </cell>
          <cell r="J5690">
            <v>0.13945452054794522</v>
          </cell>
        </row>
        <row r="5691">
          <cell r="I5691">
            <v>6396</v>
          </cell>
          <cell r="J5691">
            <v>0.1394563287671233</v>
          </cell>
        </row>
        <row r="5692">
          <cell r="I5692">
            <v>6397</v>
          </cell>
          <cell r="J5692">
            <v>0.13945813698630138</v>
          </cell>
        </row>
        <row r="5693">
          <cell r="I5693">
            <v>6398</v>
          </cell>
          <cell r="J5693">
            <v>0.13945994520547947</v>
          </cell>
        </row>
        <row r="5694">
          <cell r="I5694">
            <v>6399</v>
          </cell>
          <cell r="J5694">
            <v>0.13946175342465753</v>
          </cell>
        </row>
        <row r="5695">
          <cell r="I5695">
            <v>6400</v>
          </cell>
          <cell r="J5695">
            <v>0.13946356164383561</v>
          </cell>
        </row>
        <row r="5696">
          <cell r="I5696">
            <v>6401</v>
          </cell>
          <cell r="J5696">
            <v>0.13946536986301369</v>
          </cell>
        </row>
        <row r="5697">
          <cell r="I5697">
            <v>6402</v>
          </cell>
          <cell r="J5697">
            <v>0.13946717808219178</v>
          </cell>
        </row>
        <row r="5698">
          <cell r="I5698">
            <v>6403</v>
          </cell>
          <cell r="J5698">
            <v>0.13946898630136986</v>
          </cell>
        </row>
        <row r="5699">
          <cell r="I5699">
            <v>6404</v>
          </cell>
          <cell r="J5699">
            <v>0.13947079452054795</v>
          </cell>
        </row>
        <row r="5700">
          <cell r="I5700">
            <v>6405</v>
          </cell>
          <cell r="J5700">
            <v>0.13947260273972603</v>
          </cell>
        </row>
        <row r="5701">
          <cell r="I5701">
            <v>6406</v>
          </cell>
          <cell r="J5701">
            <v>0.13947441095890412</v>
          </cell>
        </row>
        <row r="5702">
          <cell r="I5702">
            <v>6407</v>
          </cell>
          <cell r="J5702">
            <v>0.1394762191780822</v>
          </cell>
        </row>
        <row r="5703">
          <cell r="I5703">
            <v>6408</v>
          </cell>
          <cell r="J5703">
            <v>0.13947802739726028</v>
          </cell>
        </row>
        <row r="5704">
          <cell r="I5704">
            <v>6409</v>
          </cell>
          <cell r="J5704">
            <v>0.13947983561643837</v>
          </cell>
        </row>
        <row r="5705">
          <cell r="I5705">
            <v>6410</v>
          </cell>
          <cell r="J5705">
            <v>0.13948164383561645</v>
          </cell>
        </row>
        <row r="5706">
          <cell r="I5706">
            <v>6411</v>
          </cell>
          <cell r="J5706">
            <v>0.13948345205479454</v>
          </cell>
        </row>
        <row r="5707">
          <cell r="I5707">
            <v>6412</v>
          </cell>
          <cell r="J5707">
            <v>0.13948526027397259</v>
          </cell>
        </row>
        <row r="5708">
          <cell r="I5708">
            <v>6413</v>
          </cell>
          <cell r="J5708">
            <v>0.13948706849315068</v>
          </cell>
        </row>
        <row r="5709">
          <cell r="I5709">
            <v>6414</v>
          </cell>
          <cell r="J5709">
            <v>0.13948887671232876</v>
          </cell>
        </row>
        <row r="5710">
          <cell r="I5710">
            <v>6415</v>
          </cell>
          <cell r="J5710">
            <v>0.13949068493150685</v>
          </cell>
        </row>
        <row r="5711">
          <cell r="I5711">
            <v>6416</v>
          </cell>
          <cell r="J5711">
            <v>0.13949249315068493</v>
          </cell>
        </row>
        <row r="5712">
          <cell r="I5712">
            <v>6417</v>
          </cell>
          <cell r="J5712">
            <v>0.13949430136986302</v>
          </cell>
        </row>
        <row r="5713">
          <cell r="I5713">
            <v>6418</v>
          </cell>
          <cell r="J5713">
            <v>0.1394961095890411</v>
          </cell>
        </row>
        <row r="5714">
          <cell r="I5714">
            <v>6419</v>
          </cell>
          <cell r="J5714">
            <v>0.13949791780821919</v>
          </cell>
        </row>
        <row r="5715">
          <cell r="I5715">
            <v>6420</v>
          </cell>
          <cell r="J5715">
            <v>0.13949972602739727</v>
          </cell>
        </row>
        <row r="5716">
          <cell r="I5716">
            <v>6421</v>
          </cell>
          <cell r="J5716">
            <v>0.13950153424657535</v>
          </cell>
        </row>
        <row r="5717">
          <cell r="I5717">
            <v>6422</v>
          </cell>
          <cell r="J5717">
            <v>0.13950334246575344</v>
          </cell>
        </row>
        <row r="5718">
          <cell r="I5718">
            <v>6423</v>
          </cell>
          <cell r="J5718">
            <v>0.13950515068493152</v>
          </cell>
        </row>
        <row r="5719">
          <cell r="I5719">
            <v>6424</v>
          </cell>
          <cell r="J5719">
            <v>0.13950695890410961</v>
          </cell>
        </row>
        <row r="5720">
          <cell r="I5720">
            <v>6425</v>
          </cell>
          <cell r="J5720">
            <v>0.13950876712328766</v>
          </cell>
        </row>
        <row r="5721">
          <cell r="I5721">
            <v>6426</v>
          </cell>
          <cell r="J5721">
            <v>0.13951057534246575</v>
          </cell>
        </row>
        <row r="5722">
          <cell r="I5722">
            <v>6427</v>
          </cell>
          <cell r="J5722">
            <v>0.13951238356164383</v>
          </cell>
        </row>
        <row r="5723">
          <cell r="I5723">
            <v>6428</v>
          </cell>
          <cell r="J5723">
            <v>0.13951419178082192</v>
          </cell>
        </row>
        <row r="5724">
          <cell r="I5724">
            <v>6429</v>
          </cell>
          <cell r="J5724">
            <v>0.139516</v>
          </cell>
        </row>
        <row r="5725">
          <cell r="I5725">
            <v>6430</v>
          </cell>
          <cell r="J5725">
            <v>0.13951780821917809</v>
          </cell>
        </row>
        <row r="5726">
          <cell r="I5726">
            <v>6431</v>
          </cell>
          <cell r="J5726">
            <v>0.13951961643835617</v>
          </cell>
        </row>
        <row r="5727">
          <cell r="I5727">
            <v>6432</v>
          </cell>
          <cell r="J5727">
            <v>0.13952142465753425</v>
          </cell>
        </row>
        <row r="5728">
          <cell r="I5728">
            <v>6433</v>
          </cell>
          <cell r="J5728">
            <v>0.13952323287671234</v>
          </cell>
        </row>
        <row r="5729">
          <cell r="I5729">
            <v>6434</v>
          </cell>
          <cell r="J5729">
            <v>0.13952504109589042</v>
          </cell>
        </row>
        <row r="5730">
          <cell r="I5730">
            <v>6435</v>
          </cell>
          <cell r="J5730">
            <v>0.13952684931506851</v>
          </cell>
        </row>
        <row r="5731">
          <cell r="I5731">
            <v>6436</v>
          </cell>
          <cell r="J5731">
            <v>0.13952865753424659</v>
          </cell>
        </row>
        <row r="5732">
          <cell r="I5732">
            <v>6437</v>
          </cell>
          <cell r="J5732">
            <v>0.13953046575342465</v>
          </cell>
        </row>
        <row r="5733">
          <cell r="I5733">
            <v>6438</v>
          </cell>
          <cell r="J5733">
            <v>0.13953227397260273</v>
          </cell>
        </row>
        <row r="5734">
          <cell r="I5734">
            <v>6439</v>
          </cell>
          <cell r="J5734">
            <v>0.13953408219178082</v>
          </cell>
        </row>
        <row r="5735">
          <cell r="I5735">
            <v>6440</v>
          </cell>
          <cell r="J5735">
            <v>0.1395358904109589</v>
          </cell>
        </row>
        <row r="5736">
          <cell r="I5736">
            <v>6441</v>
          </cell>
          <cell r="J5736">
            <v>0.13953769863013699</v>
          </cell>
        </row>
        <row r="5737">
          <cell r="I5737">
            <v>6442</v>
          </cell>
          <cell r="J5737">
            <v>0.13953950684931507</v>
          </cell>
        </row>
        <row r="5738">
          <cell r="I5738">
            <v>6443</v>
          </cell>
          <cell r="J5738">
            <v>0.13954131506849315</v>
          </cell>
        </row>
        <row r="5739">
          <cell r="I5739">
            <v>6444</v>
          </cell>
          <cell r="J5739">
            <v>0.13954312328767124</v>
          </cell>
        </row>
        <row r="5740">
          <cell r="I5740">
            <v>6445</v>
          </cell>
          <cell r="J5740">
            <v>0.13954493150684932</v>
          </cell>
        </row>
        <row r="5741">
          <cell r="I5741">
            <v>6446</v>
          </cell>
          <cell r="J5741">
            <v>0.13954673972602741</v>
          </cell>
        </row>
        <row r="5742">
          <cell r="I5742">
            <v>6447</v>
          </cell>
          <cell r="J5742">
            <v>0.13954854794520549</v>
          </cell>
        </row>
        <row r="5743">
          <cell r="I5743">
            <v>6448</v>
          </cell>
          <cell r="J5743">
            <v>0.13955035616438358</v>
          </cell>
        </row>
        <row r="5744">
          <cell r="I5744">
            <v>6449</v>
          </cell>
          <cell r="J5744">
            <v>0.13955216438356166</v>
          </cell>
        </row>
        <row r="5745">
          <cell r="I5745">
            <v>6450</v>
          </cell>
          <cell r="J5745">
            <v>0.13955397260273972</v>
          </cell>
        </row>
        <row r="5746">
          <cell r="I5746">
            <v>6451</v>
          </cell>
          <cell r="J5746">
            <v>0.1395557808219178</v>
          </cell>
        </row>
        <row r="5747">
          <cell r="I5747">
            <v>6452</v>
          </cell>
          <cell r="J5747">
            <v>0.13955758904109589</v>
          </cell>
        </row>
        <row r="5748">
          <cell r="I5748">
            <v>6453</v>
          </cell>
          <cell r="J5748">
            <v>0.13955939726027397</v>
          </cell>
        </row>
        <row r="5749">
          <cell r="I5749">
            <v>6454</v>
          </cell>
          <cell r="J5749">
            <v>0.13956120547945206</v>
          </cell>
        </row>
        <row r="5750">
          <cell r="I5750">
            <v>6455</v>
          </cell>
          <cell r="J5750">
            <v>0.13956301369863014</v>
          </cell>
        </row>
        <row r="5751">
          <cell r="I5751">
            <v>6456</v>
          </cell>
          <cell r="J5751">
            <v>0.13956482191780822</v>
          </cell>
        </row>
        <row r="5752">
          <cell r="I5752">
            <v>6457</v>
          </cell>
          <cell r="J5752">
            <v>0.13956663013698631</v>
          </cell>
        </row>
        <row r="5753">
          <cell r="I5753">
            <v>6458</v>
          </cell>
          <cell r="J5753">
            <v>0.13956843835616439</v>
          </cell>
        </row>
        <row r="5754">
          <cell r="I5754">
            <v>6459</v>
          </cell>
          <cell r="J5754">
            <v>0.13957024657534248</v>
          </cell>
        </row>
        <row r="5755">
          <cell r="I5755">
            <v>6460</v>
          </cell>
          <cell r="J5755">
            <v>0.13957205479452056</v>
          </cell>
        </row>
        <row r="5756">
          <cell r="I5756">
            <v>6461</v>
          </cell>
          <cell r="J5756">
            <v>0.13957386301369865</v>
          </cell>
        </row>
        <row r="5757">
          <cell r="I5757">
            <v>6462</v>
          </cell>
          <cell r="J5757">
            <v>0.13957567123287673</v>
          </cell>
        </row>
        <row r="5758">
          <cell r="I5758">
            <v>6463</v>
          </cell>
          <cell r="J5758">
            <v>0.13957747945205479</v>
          </cell>
        </row>
        <row r="5759">
          <cell r="I5759">
            <v>6464</v>
          </cell>
          <cell r="J5759">
            <v>0.13957928767123287</v>
          </cell>
        </row>
        <row r="5760">
          <cell r="I5760">
            <v>6465</v>
          </cell>
          <cell r="J5760">
            <v>0.13958109589041096</v>
          </cell>
        </row>
        <row r="5761">
          <cell r="I5761">
            <v>6466</v>
          </cell>
          <cell r="J5761">
            <v>0.13958290410958904</v>
          </cell>
        </row>
        <row r="5762">
          <cell r="I5762">
            <v>6467</v>
          </cell>
          <cell r="J5762">
            <v>0.13958471232876712</v>
          </cell>
        </row>
        <row r="5763">
          <cell r="I5763">
            <v>6468</v>
          </cell>
          <cell r="J5763">
            <v>0.13958652054794521</v>
          </cell>
        </row>
        <row r="5764">
          <cell r="I5764">
            <v>6469</v>
          </cell>
          <cell r="J5764">
            <v>0.13958832876712329</v>
          </cell>
        </row>
        <row r="5765">
          <cell r="I5765">
            <v>6470</v>
          </cell>
          <cell r="J5765">
            <v>0.13959013698630138</v>
          </cell>
        </row>
        <row r="5766">
          <cell r="I5766">
            <v>6471</v>
          </cell>
          <cell r="J5766">
            <v>0.13959194520547946</v>
          </cell>
        </row>
        <row r="5767">
          <cell r="I5767">
            <v>6472</v>
          </cell>
          <cell r="J5767">
            <v>0.13959375342465755</v>
          </cell>
        </row>
        <row r="5768">
          <cell r="I5768">
            <v>6473</v>
          </cell>
          <cell r="J5768">
            <v>0.13959556164383563</v>
          </cell>
        </row>
        <row r="5769">
          <cell r="I5769">
            <v>6474</v>
          </cell>
          <cell r="J5769">
            <v>0.13959736986301371</v>
          </cell>
        </row>
        <row r="5770">
          <cell r="I5770">
            <v>6475</v>
          </cell>
          <cell r="J5770">
            <v>0.13959917808219177</v>
          </cell>
        </row>
        <row r="5771">
          <cell r="I5771">
            <v>6476</v>
          </cell>
          <cell r="J5771">
            <v>0.13960098630136986</v>
          </cell>
        </row>
        <row r="5772">
          <cell r="I5772">
            <v>6477</v>
          </cell>
          <cell r="J5772">
            <v>0.13960279452054794</v>
          </cell>
        </row>
        <row r="5773">
          <cell r="I5773">
            <v>6478</v>
          </cell>
          <cell r="J5773">
            <v>0.13960460273972602</v>
          </cell>
        </row>
        <row r="5774">
          <cell r="I5774">
            <v>6479</v>
          </cell>
          <cell r="J5774">
            <v>0.13960641095890411</v>
          </cell>
        </row>
        <row r="5775">
          <cell r="I5775">
            <v>6480</v>
          </cell>
          <cell r="J5775">
            <v>0.13960821917808219</v>
          </cell>
        </row>
        <row r="5776">
          <cell r="I5776">
            <v>6481</v>
          </cell>
          <cell r="J5776">
            <v>0.13961002739726028</v>
          </cell>
        </row>
        <row r="5777">
          <cell r="I5777">
            <v>6482</v>
          </cell>
          <cell r="J5777">
            <v>0.13961183561643836</v>
          </cell>
        </row>
        <row r="5778">
          <cell r="I5778">
            <v>6483</v>
          </cell>
          <cell r="J5778">
            <v>0.13961364383561645</v>
          </cell>
        </row>
        <row r="5779">
          <cell r="I5779">
            <v>6484</v>
          </cell>
          <cell r="J5779">
            <v>0.13961545205479453</v>
          </cell>
        </row>
        <row r="5780">
          <cell r="I5780">
            <v>6485</v>
          </cell>
          <cell r="J5780">
            <v>0.13961726027397262</v>
          </cell>
        </row>
        <row r="5781">
          <cell r="I5781">
            <v>6486</v>
          </cell>
          <cell r="J5781">
            <v>0.1396190684931507</v>
          </cell>
        </row>
        <row r="5782">
          <cell r="I5782">
            <v>6487</v>
          </cell>
          <cell r="J5782">
            <v>0.13962087671232878</v>
          </cell>
        </row>
        <row r="5783">
          <cell r="I5783">
            <v>6488</v>
          </cell>
          <cell r="J5783">
            <v>0.13962268493150684</v>
          </cell>
        </row>
        <row r="5784">
          <cell r="I5784">
            <v>6489</v>
          </cell>
          <cell r="J5784">
            <v>0.13962449315068493</v>
          </cell>
        </row>
        <row r="5785">
          <cell r="I5785">
            <v>6490</v>
          </cell>
          <cell r="J5785">
            <v>0.13962630136986301</v>
          </cell>
        </row>
        <row r="5786">
          <cell r="I5786">
            <v>6491</v>
          </cell>
          <cell r="J5786">
            <v>0.13962810958904109</v>
          </cell>
        </row>
        <row r="5787">
          <cell r="I5787">
            <v>6492</v>
          </cell>
          <cell r="J5787">
            <v>0.13962991780821918</v>
          </cell>
        </row>
        <row r="5788">
          <cell r="I5788">
            <v>6493</v>
          </cell>
          <cell r="J5788">
            <v>0.13963172602739726</v>
          </cell>
        </row>
        <row r="5789">
          <cell r="I5789">
            <v>6494</v>
          </cell>
          <cell r="J5789">
            <v>0.13963353424657535</v>
          </cell>
        </row>
        <row r="5790">
          <cell r="I5790">
            <v>6495</v>
          </cell>
          <cell r="J5790">
            <v>0.13963534246575343</v>
          </cell>
        </row>
        <row r="5791">
          <cell r="I5791">
            <v>6496</v>
          </cell>
          <cell r="J5791">
            <v>0.13963715068493152</v>
          </cell>
        </row>
        <row r="5792">
          <cell r="I5792">
            <v>6497</v>
          </cell>
          <cell r="J5792">
            <v>0.1396389589041096</v>
          </cell>
        </row>
        <row r="5793">
          <cell r="I5793">
            <v>6498</v>
          </cell>
          <cell r="J5793">
            <v>0.13964076712328768</v>
          </cell>
        </row>
        <row r="5794">
          <cell r="I5794">
            <v>6499</v>
          </cell>
          <cell r="J5794">
            <v>0.13964257534246577</v>
          </cell>
        </row>
        <row r="5795">
          <cell r="I5795">
            <v>6500</v>
          </cell>
          <cell r="J5795">
            <v>0.13964438356164385</v>
          </cell>
        </row>
        <row r="5796">
          <cell r="I5796">
            <v>6501</v>
          </cell>
          <cell r="J5796">
            <v>0.13964619178082191</v>
          </cell>
        </row>
        <row r="5797">
          <cell r="I5797">
            <v>6502</v>
          </cell>
          <cell r="J5797">
            <v>0.13964799999999999</v>
          </cell>
        </row>
        <row r="5798">
          <cell r="I5798">
            <v>6503</v>
          </cell>
          <cell r="J5798">
            <v>0.13964980821917808</v>
          </cell>
        </row>
        <row r="5799">
          <cell r="I5799">
            <v>6504</v>
          </cell>
          <cell r="J5799">
            <v>0.13965161643835616</v>
          </cell>
        </row>
        <row r="5800">
          <cell r="I5800">
            <v>6505</v>
          </cell>
          <cell r="J5800">
            <v>0.13965342465753425</v>
          </cell>
        </row>
        <row r="5801">
          <cell r="I5801">
            <v>6506</v>
          </cell>
          <cell r="J5801">
            <v>0.13965523287671233</v>
          </cell>
        </row>
        <row r="5802">
          <cell r="I5802">
            <v>6507</v>
          </cell>
          <cell r="J5802">
            <v>0.13965704109589042</v>
          </cell>
        </row>
        <row r="5803">
          <cell r="I5803">
            <v>6508</v>
          </cell>
          <cell r="J5803">
            <v>0.1396588493150685</v>
          </cell>
        </row>
        <row r="5804">
          <cell r="I5804">
            <v>6509</v>
          </cell>
          <cell r="J5804">
            <v>0.13966065753424659</v>
          </cell>
        </row>
        <row r="5805">
          <cell r="I5805">
            <v>6510</v>
          </cell>
          <cell r="J5805">
            <v>0.13966246575342467</v>
          </cell>
        </row>
        <row r="5806">
          <cell r="I5806">
            <v>6511</v>
          </cell>
          <cell r="J5806">
            <v>0.13966427397260275</v>
          </cell>
        </row>
        <row r="5807">
          <cell r="I5807">
            <v>6512</v>
          </cell>
          <cell r="J5807">
            <v>0.13966608219178084</v>
          </cell>
        </row>
        <row r="5808">
          <cell r="I5808">
            <v>6513</v>
          </cell>
          <cell r="J5808">
            <v>0.13966789041095889</v>
          </cell>
        </row>
        <row r="5809">
          <cell r="I5809">
            <v>6514</v>
          </cell>
          <cell r="J5809">
            <v>0.13966969863013698</v>
          </cell>
        </row>
        <row r="5810">
          <cell r="I5810">
            <v>6515</v>
          </cell>
          <cell r="J5810">
            <v>0.13967150684931506</v>
          </cell>
        </row>
        <row r="5811">
          <cell r="I5811">
            <v>6516</v>
          </cell>
          <cell r="J5811">
            <v>0.13967331506849315</v>
          </cell>
        </row>
        <row r="5812">
          <cell r="I5812">
            <v>6517</v>
          </cell>
          <cell r="J5812">
            <v>0.13967512328767123</v>
          </cell>
        </row>
        <row r="5813">
          <cell r="I5813">
            <v>6518</v>
          </cell>
          <cell r="J5813">
            <v>0.13967693150684932</v>
          </cell>
        </row>
        <row r="5814">
          <cell r="I5814">
            <v>6519</v>
          </cell>
          <cell r="J5814">
            <v>0.1396787397260274</v>
          </cell>
        </row>
        <row r="5815">
          <cell r="I5815">
            <v>6520</v>
          </cell>
          <cell r="J5815">
            <v>0.13968054794520549</v>
          </cell>
        </row>
        <row r="5816">
          <cell r="I5816">
            <v>6521</v>
          </cell>
          <cell r="J5816">
            <v>0.13968235616438357</v>
          </cell>
        </row>
        <row r="5817">
          <cell r="I5817">
            <v>6522</v>
          </cell>
          <cell r="J5817">
            <v>0.13968416438356165</v>
          </cell>
        </row>
        <row r="5818">
          <cell r="I5818">
            <v>6523</v>
          </cell>
          <cell r="J5818">
            <v>0.13968597260273974</v>
          </cell>
        </row>
        <row r="5819">
          <cell r="I5819">
            <v>6524</v>
          </cell>
          <cell r="J5819">
            <v>0.13968778082191782</v>
          </cell>
        </row>
        <row r="5820">
          <cell r="I5820">
            <v>6525</v>
          </cell>
          <cell r="J5820">
            <v>0.13968958904109591</v>
          </cell>
        </row>
        <row r="5821">
          <cell r="I5821">
            <v>6526</v>
          </cell>
          <cell r="J5821">
            <v>0.13969139726027396</v>
          </cell>
        </row>
        <row r="5822">
          <cell r="I5822">
            <v>6527</v>
          </cell>
          <cell r="J5822">
            <v>0.13969320547945205</v>
          </cell>
        </row>
        <row r="5823">
          <cell r="I5823">
            <v>6528</v>
          </cell>
          <cell r="J5823">
            <v>0.13969501369863013</v>
          </cell>
        </row>
        <row r="5824">
          <cell r="I5824">
            <v>6529</v>
          </cell>
          <cell r="J5824">
            <v>0.13969682191780822</v>
          </cell>
        </row>
        <row r="5825">
          <cell r="I5825">
            <v>6530</v>
          </cell>
          <cell r="J5825">
            <v>0.1396986301369863</v>
          </cell>
        </row>
        <row r="5826">
          <cell r="I5826">
            <v>6531</v>
          </cell>
          <cell r="J5826">
            <v>0.13970043835616439</v>
          </cell>
        </row>
        <row r="5827">
          <cell r="I5827">
            <v>6532</v>
          </cell>
          <cell r="J5827">
            <v>0.13970224657534247</v>
          </cell>
        </row>
        <row r="5828">
          <cell r="I5828">
            <v>6533</v>
          </cell>
          <cell r="J5828">
            <v>0.13970405479452055</v>
          </cell>
        </row>
        <row r="5829">
          <cell r="I5829">
            <v>6534</v>
          </cell>
          <cell r="J5829">
            <v>0.13970586301369864</v>
          </cell>
        </row>
        <row r="5830">
          <cell r="I5830">
            <v>6535</v>
          </cell>
          <cell r="J5830">
            <v>0.13970767123287672</v>
          </cell>
        </row>
        <row r="5831">
          <cell r="I5831">
            <v>6536</v>
          </cell>
          <cell r="J5831">
            <v>0.13970947945205481</v>
          </cell>
        </row>
        <row r="5832">
          <cell r="I5832">
            <v>6537</v>
          </cell>
          <cell r="J5832">
            <v>0.13971128767123289</v>
          </cell>
        </row>
        <row r="5833">
          <cell r="I5833">
            <v>6538</v>
          </cell>
          <cell r="J5833">
            <v>0.13971309589041098</v>
          </cell>
        </row>
        <row r="5834">
          <cell r="I5834">
            <v>6539</v>
          </cell>
          <cell r="J5834">
            <v>0.13971490410958903</v>
          </cell>
        </row>
        <row r="5835">
          <cell r="I5835">
            <v>6540</v>
          </cell>
          <cell r="J5835">
            <v>0.13971671232876712</v>
          </cell>
        </row>
        <row r="5836">
          <cell r="I5836">
            <v>6541</v>
          </cell>
          <cell r="J5836">
            <v>0.1397185205479452</v>
          </cell>
        </row>
        <row r="5837">
          <cell r="I5837">
            <v>6542</v>
          </cell>
          <cell r="J5837">
            <v>0.13972032876712329</v>
          </cell>
        </row>
        <row r="5838">
          <cell r="I5838">
            <v>6543</v>
          </cell>
          <cell r="J5838">
            <v>0.13972213698630137</v>
          </cell>
        </row>
        <row r="5839">
          <cell r="I5839">
            <v>6544</v>
          </cell>
          <cell r="J5839">
            <v>0.13972394520547946</v>
          </cell>
        </row>
        <row r="5840">
          <cell r="I5840">
            <v>6545</v>
          </cell>
          <cell r="J5840">
            <v>0.13972575342465754</v>
          </cell>
        </row>
        <row r="5841">
          <cell r="I5841">
            <v>6546</v>
          </cell>
          <cell r="J5841">
            <v>0.13972756164383562</v>
          </cell>
        </row>
        <row r="5842">
          <cell r="I5842">
            <v>6547</v>
          </cell>
          <cell r="J5842">
            <v>0.13972936986301371</v>
          </cell>
        </row>
        <row r="5843">
          <cell r="I5843">
            <v>6548</v>
          </cell>
          <cell r="J5843">
            <v>0.13973117808219179</v>
          </cell>
        </row>
        <row r="5844">
          <cell r="I5844">
            <v>6549</v>
          </cell>
          <cell r="J5844">
            <v>0.13973298630136988</v>
          </cell>
        </row>
        <row r="5845">
          <cell r="I5845">
            <v>6550</v>
          </cell>
          <cell r="J5845">
            <v>0.13973479452054796</v>
          </cell>
        </row>
        <row r="5846">
          <cell r="I5846">
            <v>6551</v>
          </cell>
          <cell r="J5846">
            <v>0.13973660273972602</v>
          </cell>
        </row>
        <row r="5847">
          <cell r="I5847">
            <v>6552</v>
          </cell>
          <cell r="J5847">
            <v>0.1397384109589041</v>
          </cell>
        </row>
        <row r="5848">
          <cell r="I5848">
            <v>6553</v>
          </cell>
          <cell r="J5848">
            <v>0.13974021917808219</v>
          </cell>
        </row>
        <row r="5849">
          <cell r="I5849">
            <v>6554</v>
          </cell>
          <cell r="J5849">
            <v>0.13974202739726027</v>
          </cell>
        </row>
        <row r="5850">
          <cell r="I5850">
            <v>6555</v>
          </cell>
          <cell r="J5850">
            <v>0.13974383561643836</v>
          </cell>
        </row>
        <row r="5851">
          <cell r="I5851">
            <v>6556</v>
          </cell>
          <cell r="J5851">
            <v>0.13974564383561644</v>
          </cell>
        </row>
        <row r="5852">
          <cell r="I5852">
            <v>6557</v>
          </cell>
          <cell r="J5852">
            <v>0.13974745205479452</v>
          </cell>
        </row>
        <row r="5853">
          <cell r="I5853">
            <v>6558</v>
          </cell>
          <cell r="J5853">
            <v>0.13974926027397261</v>
          </cell>
        </row>
        <row r="5854">
          <cell r="I5854">
            <v>6559</v>
          </cell>
          <cell r="J5854">
            <v>0.13975106849315069</v>
          </cell>
        </row>
        <row r="5855">
          <cell r="I5855">
            <v>6560</v>
          </cell>
          <cell r="J5855">
            <v>0.13975287671232878</v>
          </cell>
        </row>
        <row r="5856">
          <cell r="I5856">
            <v>6561</v>
          </cell>
          <cell r="J5856">
            <v>0.13975468493150686</v>
          </cell>
        </row>
        <row r="5857">
          <cell r="I5857">
            <v>6562</v>
          </cell>
          <cell r="J5857">
            <v>0.13975649315068495</v>
          </cell>
        </row>
        <row r="5858">
          <cell r="I5858">
            <v>6563</v>
          </cell>
          <cell r="J5858">
            <v>0.13975830136986303</v>
          </cell>
        </row>
        <row r="5859">
          <cell r="I5859">
            <v>6564</v>
          </cell>
          <cell r="J5859">
            <v>0.13976010958904109</v>
          </cell>
        </row>
        <row r="5860">
          <cell r="I5860">
            <v>6565</v>
          </cell>
          <cell r="J5860">
            <v>0.13976191780821917</v>
          </cell>
        </row>
        <row r="5861">
          <cell r="I5861">
            <v>6566</v>
          </cell>
          <cell r="J5861">
            <v>0.13976372602739726</v>
          </cell>
        </row>
        <row r="5862">
          <cell r="I5862">
            <v>6567</v>
          </cell>
          <cell r="J5862">
            <v>0.13976553424657534</v>
          </cell>
        </row>
        <row r="5863">
          <cell r="I5863">
            <v>6568</v>
          </cell>
          <cell r="J5863">
            <v>0.13976734246575342</v>
          </cell>
        </row>
        <row r="5864">
          <cell r="I5864">
            <v>6569</v>
          </cell>
          <cell r="J5864">
            <v>0.13976915068493151</v>
          </cell>
        </row>
        <row r="5865">
          <cell r="I5865">
            <v>6570</v>
          </cell>
          <cell r="J5865">
            <v>0.13977095890410959</v>
          </cell>
        </row>
        <row r="5866">
          <cell r="I5866">
            <v>6571</v>
          </cell>
          <cell r="J5866">
            <v>0.13977276712328768</v>
          </cell>
        </row>
        <row r="5867">
          <cell r="I5867">
            <v>6572</v>
          </cell>
          <cell r="J5867">
            <v>0.13977457534246576</v>
          </cell>
        </row>
        <row r="5868">
          <cell r="I5868">
            <v>6573</v>
          </cell>
          <cell r="J5868">
            <v>0.13977638356164385</v>
          </cell>
        </row>
        <row r="5869">
          <cell r="I5869">
            <v>6574</v>
          </cell>
          <cell r="J5869">
            <v>0.13977819178082193</v>
          </cell>
        </row>
        <row r="5870">
          <cell r="I5870">
            <v>6575</v>
          </cell>
          <cell r="J5870">
            <v>0.13978000000000002</v>
          </cell>
        </row>
        <row r="5871">
          <cell r="I5871">
            <v>6576</v>
          </cell>
          <cell r="J5871">
            <v>0.1397818082191781</v>
          </cell>
        </row>
        <row r="5872">
          <cell r="I5872">
            <v>6577</v>
          </cell>
          <cell r="J5872">
            <v>0.13978361643835616</v>
          </cell>
        </row>
        <row r="5873">
          <cell r="I5873">
            <v>6578</v>
          </cell>
          <cell r="J5873">
            <v>0.13978542465753424</v>
          </cell>
        </row>
        <row r="5874">
          <cell r="I5874">
            <v>6579</v>
          </cell>
          <cell r="J5874">
            <v>0.13978723287671233</v>
          </cell>
        </row>
        <row r="5875">
          <cell r="I5875">
            <v>6580</v>
          </cell>
          <cell r="J5875">
            <v>0.13978904109589041</v>
          </cell>
        </row>
        <row r="5876">
          <cell r="I5876">
            <v>6581</v>
          </cell>
          <cell r="J5876">
            <v>0.13979084931506849</v>
          </cell>
        </row>
        <row r="5877">
          <cell r="I5877">
            <v>6582</v>
          </cell>
          <cell r="J5877">
            <v>0.13979265753424658</v>
          </cell>
        </row>
        <row r="5878">
          <cell r="I5878">
            <v>6583</v>
          </cell>
          <cell r="J5878">
            <v>0.13979446575342466</v>
          </cell>
        </row>
        <row r="5879">
          <cell r="I5879">
            <v>6584</v>
          </cell>
          <cell r="J5879">
            <v>0.13979627397260275</v>
          </cell>
        </row>
        <row r="5880">
          <cell r="I5880">
            <v>6585</v>
          </cell>
          <cell r="J5880">
            <v>0.13979808219178083</v>
          </cell>
        </row>
        <row r="5881">
          <cell r="I5881">
            <v>6586</v>
          </cell>
          <cell r="J5881">
            <v>0.13979989041095892</v>
          </cell>
        </row>
        <row r="5882">
          <cell r="I5882">
            <v>6587</v>
          </cell>
          <cell r="J5882">
            <v>0.139801698630137</v>
          </cell>
        </row>
        <row r="5883">
          <cell r="I5883">
            <v>6588</v>
          </cell>
          <cell r="J5883">
            <v>0.13980350684931508</v>
          </cell>
        </row>
        <row r="5884">
          <cell r="I5884">
            <v>6589</v>
          </cell>
          <cell r="J5884">
            <v>0.13980531506849314</v>
          </cell>
        </row>
        <row r="5885">
          <cell r="I5885">
            <v>6590</v>
          </cell>
          <cell r="J5885">
            <v>0.13980712328767123</v>
          </cell>
        </row>
        <row r="5886">
          <cell r="I5886">
            <v>6591</v>
          </cell>
          <cell r="J5886">
            <v>0.13980893150684931</v>
          </cell>
        </row>
        <row r="5887">
          <cell r="I5887">
            <v>6592</v>
          </cell>
          <cell r="J5887">
            <v>0.13981073972602739</v>
          </cell>
        </row>
        <row r="5888">
          <cell r="I5888">
            <v>6593</v>
          </cell>
          <cell r="J5888">
            <v>0.13981254794520548</v>
          </cell>
        </row>
        <row r="5889">
          <cell r="I5889">
            <v>6594</v>
          </cell>
          <cell r="J5889">
            <v>0.13981435616438356</v>
          </cell>
        </row>
        <row r="5890">
          <cell r="I5890">
            <v>6595</v>
          </cell>
          <cell r="J5890">
            <v>0.13981616438356165</v>
          </cell>
        </row>
        <row r="5891">
          <cell r="I5891">
            <v>6596</v>
          </cell>
          <cell r="J5891">
            <v>0.13981797260273973</v>
          </cell>
        </row>
        <row r="5892">
          <cell r="I5892">
            <v>6597</v>
          </cell>
          <cell r="J5892">
            <v>0.13981978082191782</v>
          </cell>
        </row>
        <row r="5893">
          <cell r="I5893">
            <v>6598</v>
          </cell>
          <cell r="J5893">
            <v>0.1398215890410959</v>
          </cell>
        </row>
        <row r="5894">
          <cell r="I5894">
            <v>6599</v>
          </cell>
          <cell r="J5894">
            <v>0.13982339726027398</v>
          </cell>
        </row>
        <row r="5895">
          <cell r="I5895">
            <v>6600</v>
          </cell>
          <cell r="J5895">
            <v>0.13982520547945207</v>
          </cell>
        </row>
        <row r="5896">
          <cell r="I5896">
            <v>6601</v>
          </cell>
          <cell r="J5896">
            <v>0.13982701369863015</v>
          </cell>
        </row>
        <row r="5897">
          <cell r="I5897">
            <v>6602</v>
          </cell>
          <cell r="J5897">
            <v>0.13982882191780821</v>
          </cell>
        </row>
        <row r="5898">
          <cell r="I5898">
            <v>6603</v>
          </cell>
          <cell r="J5898">
            <v>0.13983063013698629</v>
          </cell>
        </row>
        <row r="5899">
          <cell r="I5899">
            <v>6604</v>
          </cell>
          <cell r="J5899">
            <v>0.13983243835616438</v>
          </cell>
        </row>
        <row r="5900">
          <cell r="I5900">
            <v>6605</v>
          </cell>
          <cell r="J5900">
            <v>0.13983424657534246</v>
          </cell>
        </row>
        <row r="5901">
          <cell r="I5901">
            <v>6606</v>
          </cell>
          <cell r="J5901">
            <v>0.13983605479452055</v>
          </cell>
        </row>
        <row r="5902">
          <cell r="I5902">
            <v>6607</v>
          </cell>
          <cell r="J5902">
            <v>0.13983786301369863</v>
          </cell>
        </row>
        <row r="5903">
          <cell r="I5903">
            <v>6608</v>
          </cell>
          <cell r="J5903">
            <v>0.13983967123287672</v>
          </cell>
        </row>
        <row r="5904">
          <cell r="I5904">
            <v>6609</v>
          </cell>
          <cell r="J5904">
            <v>0.1398414794520548</v>
          </cell>
        </row>
        <row r="5905">
          <cell r="I5905">
            <v>6610</v>
          </cell>
          <cell r="J5905">
            <v>0.13984328767123289</v>
          </cell>
        </row>
        <row r="5906">
          <cell r="I5906">
            <v>6611</v>
          </cell>
          <cell r="J5906">
            <v>0.13984509589041097</v>
          </cell>
        </row>
        <row r="5907">
          <cell r="I5907">
            <v>6612</v>
          </cell>
          <cell r="J5907">
            <v>0.13984690410958905</v>
          </cell>
        </row>
        <row r="5908">
          <cell r="I5908">
            <v>6613</v>
          </cell>
          <cell r="J5908">
            <v>0.13984871232876714</v>
          </cell>
        </row>
        <row r="5909">
          <cell r="I5909">
            <v>6614</v>
          </cell>
          <cell r="J5909">
            <v>0.13985052054794522</v>
          </cell>
        </row>
        <row r="5910">
          <cell r="I5910">
            <v>6615</v>
          </cell>
          <cell r="J5910">
            <v>0.13985232876712328</v>
          </cell>
        </row>
        <row r="5911">
          <cell r="I5911">
            <v>6616</v>
          </cell>
          <cell r="J5911">
            <v>0.13985413698630136</v>
          </cell>
        </row>
        <row r="5912">
          <cell r="I5912">
            <v>6617</v>
          </cell>
          <cell r="J5912">
            <v>0.13985594520547945</v>
          </cell>
        </row>
        <row r="5913">
          <cell r="I5913">
            <v>6618</v>
          </cell>
          <cell r="J5913">
            <v>0.13985775342465753</v>
          </cell>
        </row>
        <row r="5914">
          <cell r="I5914">
            <v>6619</v>
          </cell>
          <cell r="J5914">
            <v>0.13985956164383562</v>
          </cell>
        </row>
        <row r="5915">
          <cell r="I5915">
            <v>6620</v>
          </cell>
          <cell r="J5915">
            <v>0.1398613698630137</v>
          </cell>
        </row>
        <row r="5916">
          <cell r="I5916">
            <v>6621</v>
          </cell>
          <cell r="J5916">
            <v>0.13986317808219179</v>
          </cell>
        </row>
        <row r="5917">
          <cell r="I5917">
            <v>6622</v>
          </cell>
          <cell r="J5917">
            <v>0.13986498630136987</v>
          </cell>
        </row>
        <row r="5918">
          <cell r="I5918">
            <v>6623</v>
          </cell>
          <cell r="J5918">
            <v>0.13986679452054795</v>
          </cell>
        </row>
        <row r="5919">
          <cell r="I5919">
            <v>6624</v>
          </cell>
          <cell r="J5919">
            <v>0.13986860273972604</v>
          </cell>
        </row>
        <row r="5920">
          <cell r="I5920">
            <v>6625</v>
          </cell>
          <cell r="J5920">
            <v>0.13987041095890412</v>
          </cell>
        </row>
        <row r="5921">
          <cell r="I5921">
            <v>6626</v>
          </cell>
          <cell r="J5921">
            <v>0.13987221917808221</v>
          </cell>
        </row>
        <row r="5922">
          <cell r="I5922">
            <v>6627</v>
          </cell>
          <cell r="J5922">
            <v>0.13987402739726029</v>
          </cell>
        </row>
        <row r="5923">
          <cell r="I5923">
            <v>6628</v>
          </cell>
          <cell r="J5923">
            <v>0.13987583561643835</v>
          </cell>
        </row>
        <row r="5924">
          <cell r="I5924">
            <v>6629</v>
          </cell>
          <cell r="J5924">
            <v>0.13987764383561643</v>
          </cell>
        </row>
        <row r="5925">
          <cell r="I5925">
            <v>6630</v>
          </cell>
          <cell r="J5925">
            <v>0.13987945205479452</v>
          </cell>
        </row>
        <row r="5926">
          <cell r="I5926">
            <v>6631</v>
          </cell>
          <cell r="J5926">
            <v>0.1398812602739726</v>
          </cell>
        </row>
        <row r="5927">
          <cell r="I5927">
            <v>6632</v>
          </cell>
          <cell r="J5927">
            <v>0.13988306849315069</v>
          </cell>
        </row>
        <row r="5928">
          <cell r="I5928">
            <v>6633</v>
          </cell>
          <cell r="J5928">
            <v>0.13988487671232877</v>
          </cell>
        </row>
        <row r="5929">
          <cell r="I5929">
            <v>6634</v>
          </cell>
          <cell r="J5929">
            <v>0.13988668493150686</v>
          </cell>
        </row>
        <row r="5930">
          <cell r="I5930">
            <v>6635</v>
          </cell>
          <cell r="J5930">
            <v>0.13988849315068494</v>
          </cell>
        </row>
        <row r="5931">
          <cell r="I5931">
            <v>6636</v>
          </cell>
          <cell r="J5931">
            <v>0.13989030136986302</v>
          </cell>
        </row>
        <row r="5932">
          <cell r="I5932">
            <v>6637</v>
          </cell>
          <cell r="J5932">
            <v>0.13989210958904111</v>
          </cell>
        </row>
        <row r="5933">
          <cell r="I5933">
            <v>6638</v>
          </cell>
          <cell r="J5933">
            <v>0.13989391780821919</v>
          </cell>
        </row>
        <row r="5934">
          <cell r="I5934">
            <v>6639</v>
          </cell>
          <cell r="J5934">
            <v>0.13989572602739728</v>
          </cell>
        </row>
        <row r="5935">
          <cell r="I5935">
            <v>6640</v>
          </cell>
          <cell r="J5935">
            <v>0.13989753424657533</v>
          </cell>
        </row>
        <row r="5936">
          <cell r="I5936">
            <v>6641</v>
          </cell>
          <cell r="J5936">
            <v>0.13989934246575342</v>
          </cell>
        </row>
        <row r="5937">
          <cell r="I5937">
            <v>6642</v>
          </cell>
          <cell r="J5937">
            <v>0.1399011506849315</v>
          </cell>
        </row>
        <row r="5938">
          <cell r="I5938">
            <v>6643</v>
          </cell>
          <cell r="J5938">
            <v>0.13990295890410959</v>
          </cell>
        </row>
        <row r="5939">
          <cell r="I5939">
            <v>6644</v>
          </cell>
          <cell r="J5939">
            <v>0.13990476712328767</v>
          </cell>
        </row>
        <row r="5940">
          <cell r="I5940">
            <v>6645</v>
          </cell>
          <cell r="J5940">
            <v>0.13990657534246576</v>
          </cell>
        </row>
        <row r="5941">
          <cell r="I5941">
            <v>6646</v>
          </cell>
          <cell r="J5941">
            <v>0.13990838356164384</v>
          </cell>
        </row>
        <row r="5942">
          <cell r="I5942">
            <v>6647</v>
          </cell>
          <cell r="J5942">
            <v>0.13991019178082192</v>
          </cell>
        </row>
        <row r="5943">
          <cell r="I5943">
            <v>6648</v>
          </cell>
          <cell r="J5943">
            <v>0.13991200000000001</v>
          </cell>
        </row>
        <row r="5944">
          <cell r="I5944">
            <v>6649</v>
          </cell>
          <cell r="J5944">
            <v>0.13991380821917809</v>
          </cell>
        </row>
        <row r="5945">
          <cell r="I5945">
            <v>6650</v>
          </cell>
          <cell r="J5945">
            <v>0.13991561643835618</v>
          </cell>
        </row>
        <row r="5946">
          <cell r="I5946">
            <v>6651</v>
          </cell>
          <cell r="J5946">
            <v>0.13991742465753426</v>
          </cell>
        </row>
        <row r="5947">
          <cell r="I5947">
            <v>6652</v>
          </cell>
          <cell r="J5947">
            <v>0.13991923287671235</v>
          </cell>
        </row>
        <row r="5948">
          <cell r="I5948">
            <v>6653</v>
          </cell>
          <cell r="J5948">
            <v>0.1399210410958904</v>
          </cell>
        </row>
        <row r="5949">
          <cell r="I5949">
            <v>6654</v>
          </cell>
          <cell r="J5949">
            <v>0.13992284931506849</v>
          </cell>
        </row>
        <row r="5950">
          <cell r="I5950">
            <v>6655</v>
          </cell>
          <cell r="J5950">
            <v>0.13992465753424657</v>
          </cell>
        </row>
        <row r="5951">
          <cell r="I5951">
            <v>6656</v>
          </cell>
          <cell r="J5951">
            <v>0.13992646575342466</v>
          </cell>
        </row>
        <row r="5952">
          <cell r="I5952">
            <v>6657</v>
          </cell>
          <cell r="J5952">
            <v>0.13992827397260274</v>
          </cell>
        </row>
        <row r="5953">
          <cell r="I5953">
            <v>6658</v>
          </cell>
          <cell r="J5953">
            <v>0.13993008219178082</v>
          </cell>
        </row>
        <row r="5954">
          <cell r="I5954">
            <v>6659</v>
          </cell>
          <cell r="J5954">
            <v>0.13993189041095891</v>
          </cell>
        </row>
        <row r="5955">
          <cell r="I5955">
            <v>6660</v>
          </cell>
          <cell r="J5955">
            <v>0.13993369863013699</v>
          </cell>
        </row>
        <row r="5956">
          <cell r="I5956">
            <v>6661</v>
          </cell>
          <cell r="J5956">
            <v>0.13993550684931508</v>
          </cell>
        </row>
        <row r="5957">
          <cell r="I5957">
            <v>6662</v>
          </cell>
          <cell r="J5957">
            <v>0.13993731506849316</v>
          </cell>
        </row>
        <row r="5958">
          <cell r="I5958">
            <v>6663</v>
          </cell>
          <cell r="J5958">
            <v>0.13993912328767125</v>
          </cell>
        </row>
        <row r="5959">
          <cell r="I5959">
            <v>6664</v>
          </cell>
          <cell r="J5959">
            <v>0.13994093150684933</v>
          </cell>
        </row>
        <row r="5960">
          <cell r="I5960">
            <v>6665</v>
          </cell>
          <cell r="J5960">
            <v>0.13994273972602739</v>
          </cell>
        </row>
        <row r="5961">
          <cell r="I5961">
            <v>6666</v>
          </cell>
          <cell r="J5961">
            <v>0.13994454794520547</v>
          </cell>
        </row>
        <row r="5962">
          <cell r="I5962">
            <v>6667</v>
          </cell>
          <cell r="J5962">
            <v>0.13994635616438356</v>
          </cell>
        </row>
        <row r="5963">
          <cell r="I5963">
            <v>6668</v>
          </cell>
          <cell r="J5963">
            <v>0.13994816438356164</v>
          </cell>
        </row>
        <row r="5964">
          <cell r="I5964">
            <v>6669</v>
          </cell>
          <cell r="J5964">
            <v>0.13994997260273973</v>
          </cell>
        </row>
        <row r="5965">
          <cell r="I5965">
            <v>6670</v>
          </cell>
          <cell r="J5965">
            <v>0.13995178082191781</v>
          </cell>
        </row>
        <row r="5966">
          <cell r="I5966">
            <v>6671</v>
          </cell>
          <cell r="J5966">
            <v>0.13995358904109589</v>
          </cell>
        </row>
        <row r="5967">
          <cell r="I5967">
            <v>6672</v>
          </cell>
          <cell r="J5967">
            <v>0.13995539726027398</v>
          </cell>
        </row>
        <row r="5968">
          <cell r="I5968">
            <v>6673</v>
          </cell>
          <cell r="J5968">
            <v>0.13995720547945206</v>
          </cell>
        </row>
        <row r="5969">
          <cell r="I5969">
            <v>6674</v>
          </cell>
          <cell r="J5969">
            <v>0.13995901369863015</v>
          </cell>
        </row>
        <row r="5970">
          <cell r="I5970">
            <v>6675</v>
          </cell>
          <cell r="J5970">
            <v>0.13996082191780823</v>
          </cell>
        </row>
        <row r="5971">
          <cell r="I5971">
            <v>6676</v>
          </cell>
          <cell r="J5971">
            <v>0.13996263013698632</v>
          </cell>
        </row>
        <row r="5972">
          <cell r="I5972">
            <v>6677</v>
          </cell>
          <cell r="J5972">
            <v>0.1399644383561644</v>
          </cell>
        </row>
        <row r="5973">
          <cell r="I5973">
            <v>6678</v>
          </cell>
          <cell r="J5973">
            <v>0.13996624657534246</v>
          </cell>
        </row>
        <row r="5974">
          <cell r="I5974">
            <v>6679</v>
          </cell>
          <cell r="J5974">
            <v>0.13996805479452054</v>
          </cell>
        </row>
        <row r="5975">
          <cell r="I5975">
            <v>6680</v>
          </cell>
          <cell r="J5975">
            <v>0.13996986301369863</v>
          </cell>
        </row>
        <row r="5976">
          <cell r="I5976">
            <v>6681</v>
          </cell>
          <cell r="J5976">
            <v>0.13997167123287671</v>
          </cell>
        </row>
        <row r="5977">
          <cell r="I5977">
            <v>6682</v>
          </cell>
          <cell r="J5977">
            <v>0.13997347945205479</v>
          </cell>
        </row>
        <row r="5978">
          <cell r="I5978">
            <v>6683</v>
          </cell>
          <cell r="J5978">
            <v>0.13997528767123288</v>
          </cell>
        </row>
        <row r="5979">
          <cell r="I5979">
            <v>6684</v>
          </cell>
          <cell r="J5979">
            <v>0.13997709589041096</v>
          </cell>
        </row>
        <row r="5980">
          <cell r="I5980">
            <v>6685</v>
          </cell>
          <cell r="J5980">
            <v>0.13997890410958905</v>
          </cell>
        </row>
        <row r="5981">
          <cell r="I5981">
            <v>6686</v>
          </cell>
          <cell r="J5981">
            <v>0.13998071232876713</v>
          </cell>
        </row>
        <row r="5982">
          <cell r="I5982">
            <v>6687</v>
          </cell>
          <cell r="J5982">
            <v>0.13998252054794522</v>
          </cell>
        </row>
        <row r="5983">
          <cell r="I5983">
            <v>6688</v>
          </cell>
          <cell r="J5983">
            <v>0.1399843287671233</v>
          </cell>
        </row>
        <row r="5984">
          <cell r="I5984">
            <v>6689</v>
          </cell>
          <cell r="J5984">
            <v>0.13998613698630138</v>
          </cell>
        </row>
        <row r="5985">
          <cell r="I5985">
            <v>6690</v>
          </cell>
          <cell r="J5985">
            <v>0.13998794520547947</v>
          </cell>
        </row>
        <row r="5986">
          <cell r="I5986">
            <v>6691</v>
          </cell>
          <cell r="J5986">
            <v>0.13998975342465753</v>
          </cell>
        </row>
        <row r="5987">
          <cell r="I5987">
            <v>6692</v>
          </cell>
          <cell r="J5987">
            <v>0.13999156164383561</v>
          </cell>
        </row>
        <row r="5988">
          <cell r="I5988">
            <v>6693</v>
          </cell>
          <cell r="J5988">
            <v>0.13999336986301369</v>
          </cell>
        </row>
        <row r="5989">
          <cell r="I5989">
            <v>6694</v>
          </cell>
          <cell r="J5989">
            <v>0.13999517808219178</v>
          </cell>
        </row>
        <row r="5990">
          <cell r="I5990">
            <v>6695</v>
          </cell>
          <cell r="J5990">
            <v>0.13999698630136986</v>
          </cell>
        </row>
        <row r="5991">
          <cell r="I5991">
            <v>6696</v>
          </cell>
          <cell r="J5991">
            <v>0.13999879452054795</v>
          </cell>
        </row>
        <row r="5992">
          <cell r="I5992">
            <v>6697</v>
          </cell>
          <cell r="J5992">
            <v>0.14000060273972603</v>
          </cell>
        </row>
        <row r="5993">
          <cell r="I5993">
            <v>6698</v>
          </cell>
          <cell r="J5993">
            <v>0.14000241095890412</v>
          </cell>
        </row>
        <row r="5994">
          <cell r="I5994">
            <v>6699</v>
          </cell>
          <cell r="J5994">
            <v>0.1400042191780822</v>
          </cell>
        </row>
        <row r="5995">
          <cell r="I5995">
            <v>6700</v>
          </cell>
          <cell r="J5995">
            <v>0.14000602739726029</v>
          </cell>
        </row>
        <row r="5996">
          <cell r="I5996">
            <v>6701</v>
          </cell>
          <cell r="J5996">
            <v>0.14000783561643837</v>
          </cell>
        </row>
        <row r="5997">
          <cell r="I5997">
            <v>6702</v>
          </cell>
          <cell r="J5997">
            <v>0.14000964383561645</v>
          </cell>
        </row>
        <row r="5998">
          <cell r="I5998">
            <v>6703</v>
          </cell>
          <cell r="J5998">
            <v>0.14001145205479454</v>
          </cell>
        </row>
        <row r="5999">
          <cell r="I5999">
            <v>6704</v>
          </cell>
          <cell r="J5999">
            <v>0.1400132602739726</v>
          </cell>
        </row>
        <row r="6000">
          <cell r="I6000">
            <v>6705</v>
          </cell>
          <cell r="J6000">
            <v>0.14001506849315068</v>
          </cell>
        </row>
        <row r="6001">
          <cell r="I6001">
            <v>6706</v>
          </cell>
          <cell r="J6001">
            <v>0.14001687671232876</v>
          </cell>
        </row>
        <row r="6002">
          <cell r="I6002">
            <v>6707</v>
          </cell>
          <cell r="J6002">
            <v>0.14001868493150685</v>
          </cell>
        </row>
        <row r="6003">
          <cell r="I6003">
            <v>6708</v>
          </cell>
          <cell r="J6003">
            <v>0.14002049315068493</v>
          </cell>
        </row>
        <row r="6004">
          <cell r="I6004">
            <v>6709</v>
          </cell>
          <cell r="J6004">
            <v>0.14002230136986302</v>
          </cell>
        </row>
        <row r="6005">
          <cell r="I6005">
            <v>6710</v>
          </cell>
          <cell r="J6005">
            <v>0.1400241095890411</v>
          </cell>
        </row>
        <row r="6006">
          <cell r="I6006">
            <v>6711</v>
          </cell>
          <cell r="J6006">
            <v>0.14002591780821919</v>
          </cell>
        </row>
        <row r="6007">
          <cell r="I6007">
            <v>6712</v>
          </cell>
          <cell r="J6007">
            <v>0.14002772602739727</v>
          </cell>
        </row>
        <row r="6008">
          <cell r="I6008">
            <v>6713</v>
          </cell>
          <cell r="J6008">
            <v>0.14002953424657535</v>
          </cell>
        </row>
        <row r="6009">
          <cell r="I6009">
            <v>6714</v>
          </cell>
          <cell r="J6009">
            <v>0.14003134246575344</v>
          </cell>
        </row>
        <row r="6010">
          <cell r="I6010">
            <v>6715</v>
          </cell>
          <cell r="J6010">
            <v>0.14003315068493152</v>
          </cell>
        </row>
        <row r="6011">
          <cell r="I6011">
            <v>6716</v>
          </cell>
          <cell r="J6011">
            <v>0.14003495890410958</v>
          </cell>
        </row>
        <row r="6012">
          <cell r="I6012">
            <v>6717</v>
          </cell>
          <cell r="J6012">
            <v>0.14003676712328766</v>
          </cell>
        </row>
        <row r="6013">
          <cell r="I6013">
            <v>6718</v>
          </cell>
          <cell r="J6013">
            <v>0.14003857534246575</v>
          </cell>
        </row>
        <row r="6014">
          <cell r="I6014">
            <v>6719</v>
          </cell>
          <cell r="J6014">
            <v>0.14004038356164383</v>
          </cell>
        </row>
        <row r="6015">
          <cell r="I6015">
            <v>6720</v>
          </cell>
          <cell r="J6015">
            <v>0.14004219178082192</v>
          </cell>
        </row>
        <row r="6016">
          <cell r="I6016">
            <v>6721</v>
          </cell>
          <cell r="J6016">
            <v>0.140044</v>
          </cell>
        </row>
        <row r="6017">
          <cell r="I6017">
            <v>6722</v>
          </cell>
          <cell r="J6017">
            <v>0.14004580821917809</v>
          </cell>
        </row>
        <row r="6018">
          <cell r="I6018">
            <v>6723</v>
          </cell>
          <cell r="J6018">
            <v>0.14004761643835617</v>
          </cell>
        </row>
        <row r="6019">
          <cell r="I6019">
            <v>6724</v>
          </cell>
          <cell r="J6019">
            <v>0.14004942465753425</v>
          </cell>
        </row>
        <row r="6020">
          <cell r="I6020">
            <v>6725</v>
          </cell>
          <cell r="J6020">
            <v>0.14005123287671234</v>
          </cell>
        </row>
        <row r="6021">
          <cell r="I6021">
            <v>6726</v>
          </cell>
          <cell r="J6021">
            <v>0.14005304109589042</v>
          </cell>
        </row>
        <row r="6022">
          <cell r="I6022">
            <v>6727</v>
          </cell>
          <cell r="J6022">
            <v>0.14005484931506851</v>
          </cell>
        </row>
        <row r="6023">
          <cell r="I6023">
            <v>6728</v>
          </cell>
          <cell r="J6023">
            <v>0.14005665753424659</v>
          </cell>
        </row>
        <row r="6024">
          <cell r="I6024">
            <v>6729</v>
          </cell>
          <cell r="J6024">
            <v>0.14005846575342465</v>
          </cell>
        </row>
        <row r="6025">
          <cell r="I6025">
            <v>6730</v>
          </cell>
          <cell r="J6025">
            <v>0.14006027397260273</v>
          </cell>
        </row>
        <row r="6026">
          <cell r="I6026">
            <v>6731</v>
          </cell>
          <cell r="J6026">
            <v>0.14006208219178082</v>
          </cell>
        </row>
        <row r="6027">
          <cell r="I6027">
            <v>6732</v>
          </cell>
          <cell r="J6027">
            <v>0.1400638904109589</v>
          </cell>
        </row>
        <row r="6028">
          <cell r="I6028">
            <v>6733</v>
          </cell>
          <cell r="J6028">
            <v>0.14006569863013699</v>
          </cell>
        </row>
        <row r="6029">
          <cell r="I6029">
            <v>6734</v>
          </cell>
          <cell r="J6029">
            <v>0.14006750684931507</v>
          </cell>
        </row>
        <row r="6030">
          <cell r="I6030">
            <v>6735</v>
          </cell>
          <cell r="J6030">
            <v>0.14006931506849316</v>
          </cell>
        </row>
        <row r="6031">
          <cell r="I6031">
            <v>6736</v>
          </cell>
          <cell r="J6031">
            <v>0.14007112328767124</v>
          </cell>
        </row>
        <row r="6032">
          <cell r="I6032">
            <v>6737</v>
          </cell>
          <cell r="J6032">
            <v>0.14007293150684932</v>
          </cell>
        </row>
        <row r="6033">
          <cell r="I6033">
            <v>6738</v>
          </cell>
          <cell r="J6033">
            <v>0.14007473972602741</v>
          </cell>
        </row>
        <row r="6034">
          <cell r="I6034">
            <v>6739</v>
          </cell>
          <cell r="J6034">
            <v>0.14007654794520549</v>
          </cell>
        </row>
        <row r="6035">
          <cell r="I6035">
            <v>6740</v>
          </cell>
          <cell r="J6035">
            <v>0.14007835616438358</v>
          </cell>
        </row>
        <row r="6036">
          <cell r="I6036">
            <v>6741</v>
          </cell>
          <cell r="J6036">
            <v>0.14008016438356163</v>
          </cell>
        </row>
        <row r="6037">
          <cell r="I6037">
            <v>6742</v>
          </cell>
          <cell r="J6037">
            <v>0.14008197260273972</v>
          </cell>
        </row>
        <row r="6038">
          <cell r="I6038">
            <v>6743</v>
          </cell>
          <cell r="J6038">
            <v>0.1400837808219178</v>
          </cell>
        </row>
        <row r="6039">
          <cell r="I6039">
            <v>6744</v>
          </cell>
          <cell r="J6039">
            <v>0.14008558904109589</v>
          </cell>
        </row>
        <row r="6040">
          <cell r="I6040">
            <v>6745</v>
          </cell>
          <cell r="J6040">
            <v>0.14008739726027397</v>
          </cell>
        </row>
        <row r="6041">
          <cell r="I6041">
            <v>6746</v>
          </cell>
          <cell r="J6041">
            <v>0.14008920547945206</v>
          </cell>
        </row>
        <row r="6042">
          <cell r="I6042">
            <v>6747</v>
          </cell>
          <cell r="J6042">
            <v>0.14009101369863014</v>
          </cell>
        </row>
        <row r="6043">
          <cell r="I6043">
            <v>6748</v>
          </cell>
          <cell r="J6043">
            <v>0.14009282191780822</v>
          </cell>
        </row>
        <row r="6044">
          <cell r="I6044">
            <v>6749</v>
          </cell>
          <cell r="J6044">
            <v>0.14009463013698631</v>
          </cell>
        </row>
        <row r="6045">
          <cell r="I6045">
            <v>6750</v>
          </cell>
          <cell r="J6045">
            <v>0.14009643835616439</v>
          </cell>
        </row>
        <row r="6046">
          <cell r="I6046">
            <v>6751</v>
          </cell>
          <cell r="J6046">
            <v>0.14009824657534248</v>
          </cell>
        </row>
        <row r="6047">
          <cell r="I6047">
            <v>6752</v>
          </cell>
          <cell r="J6047">
            <v>0.14010005479452056</v>
          </cell>
        </row>
        <row r="6048">
          <cell r="I6048">
            <v>6753</v>
          </cell>
          <cell r="J6048">
            <v>0.14010186301369865</v>
          </cell>
        </row>
        <row r="6049">
          <cell r="I6049">
            <v>6754</v>
          </cell>
          <cell r="J6049">
            <v>0.1401036712328767</v>
          </cell>
        </row>
        <row r="6050">
          <cell r="I6050">
            <v>6755</v>
          </cell>
          <cell r="J6050">
            <v>0.14010547945205479</v>
          </cell>
        </row>
        <row r="6051">
          <cell r="I6051">
            <v>6756</v>
          </cell>
          <cell r="J6051">
            <v>0.14010728767123287</v>
          </cell>
        </row>
        <row r="6052">
          <cell r="I6052">
            <v>6757</v>
          </cell>
          <cell r="J6052">
            <v>0.14010909589041096</v>
          </cell>
        </row>
        <row r="6053">
          <cell r="I6053">
            <v>6758</v>
          </cell>
          <cell r="J6053">
            <v>0.14011090410958904</v>
          </cell>
        </row>
        <row r="6054">
          <cell r="I6054">
            <v>6759</v>
          </cell>
          <cell r="J6054">
            <v>0.14011271232876713</v>
          </cell>
        </row>
        <row r="6055">
          <cell r="I6055">
            <v>6760</v>
          </cell>
          <cell r="J6055">
            <v>0.14011452054794521</v>
          </cell>
        </row>
        <row r="6056">
          <cell r="I6056">
            <v>6761</v>
          </cell>
          <cell r="J6056">
            <v>0.14011632876712329</v>
          </cell>
        </row>
        <row r="6057">
          <cell r="I6057">
            <v>6762</v>
          </cell>
          <cell r="J6057">
            <v>0.14011813698630138</v>
          </cell>
        </row>
        <row r="6058">
          <cell r="I6058">
            <v>6763</v>
          </cell>
          <cell r="J6058">
            <v>0.14011994520547946</v>
          </cell>
        </row>
        <row r="6059">
          <cell r="I6059">
            <v>6764</v>
          </cell>
          <cell r="J6059">
            <v>0.14012175342465755</v>
          </cell>
        </row>
        <row r="6060">
          <cell r="I6060">
            <v>6765</v>
          </cell>
          <cell r="J6060">
            <v>0.14012356164383563</v>
          </cell>
        </row>
        <row r="6061">
          <cell r="I6061">
            <v>6766</v>
          </cell>
          <cell r="J6061">
            <v>0.14012536986301372</v>
          </cell>
        </row>
        <row r="6062">
          <cell r="I6062">
            <v>6767</v>
          </cell>
          <cell r="J6062">
            <v>0.14012717808219177</v>
          </cell>
        </row>
        <row r="6063">
          <cell r="I6063">
            <v>6768</v>
          </cell>
          <cell r="J6063">
            <v>0.14012898630136986</v>
          </cell>
        </row>
        <row r="6064">
          <cell r="I6064">
            <v>6769</v>
          </cell>
          <cell r="J6064">
            <v>0.14013079452054794</v>
          </cell>
        </row>
        <row r="6065">
          <cell r="I6065">
            <v>6770</v>
          </cell>
          <cell r="J6065">
            <v>0.14013260273972603</v>
          </cell>
        </row>
        <row r="6066">
          <cell r="I6066">
            <v>6771</v>
          </cell>
          <cell r="J6066">
            <v>0.14013441095890411</v>
          </cell>
        </row>
        <row r="6067">
          <cell r="I6067">
            <v>6772</v>
          </cell>
          <cell r="J6067">
            <v>0.14013621917808219</v>
          </cell>
        </row>
        <row r="6068">
          <cell r="I6068">
            <v>6773</v>
          </cell>
          <cell r="J6068">
            <v>0.14013802739726028</v>
          </cell>
        </row>
        <row r="6069">
          <cell r="I6069">
            <v>6774</v>
          </cell>
          <cell r="J6069">
            <v>0.14013983561643836</v>
          </cell>
        </row>
        <row r="6070">
          <cell r="I6070">
            <v>6775</v>
          </cell>
          <cell r="J6070">
            <v>0.14014164383561645</v>
          </cell>
        </row>
        <row r="6071">
          <cell r="I6071">
            <v>6776</v>
          </cell>
          <cell r="J6071">
            <v>0.14014345205479453</v>
          </cell>
        </row>
        <row r="6072">
          <cell r="I6072">
            <v>6777</v>
          </cell>
          <cell r="J6072">
            <v>0.14014526027397262</v>
          </cell>
        </row>
        <row r="6073">
          <cell r="I6073">
            <v>6778</v>
          </cell>
          <cell r="J6073">
            <v>0.1401470684931507</v>
          </cell>
        </row>
        <row r="6074">
          <cell r="I6074">
            <v>6779</v>
          </cell>
          <cell r="J6074">
            <v>0.14014887671232878</v>
          </cell>
        </row>
        <row r="6075">
          <cell r="I6075">
            <v>6780</v>
          </cell>
          <cell r="J6075">
            <v>0.14015068493150684</v>
          </cell>
        </row>
        <row r="6076">
          <cell r="I6076">
            <v>6781</v>
          </cell>
          <cell r="J6076">
            <v>0.14015249315068493</v>
          </cell>
        </row>
        <row r="6077">
          <cell r="I6077">
            <v>6782</v>
          </cell>
          <cell r="J6077">
            <v>0.14015430136986301</v>
          </cell>
        </row>
        <row r="6078">
          <cell r="I6078">
            <v>6783</v>
          </cell>
          <cell r="J6078">
            <v>0.14015610958904109</v>
          </cell>
        </row>
        <row r="6079">
          <cell r="I6079">
            <v>6784</v>
          </cell>
          <cell r="J6079">
            <v>0.14015791780821918</v>
          </cell>
        </row>
        <row r="6080">
          <cell r="I6080">
            <v>6785</v>
          </cell>
          <cell r="J6080">
            <v>0.14015972602739726</v>
          </cell>
        </row>
        <row r="6081">
          <cell r="I6081">
            <v>6786</v>
          </cell>
          <cell r="J6081">
            <v>0.14016153424657535</v>
          </cell>
        </row>
        <row r="6082">
          <cell r="I6082">
            <v>6787</v>
          </cell>
          <cell r="J6082">
            <v>0.14016334246575343</v>
          </cell>
        </row>
        <row r="6083">
          <cell r="I6083">
            <v>6788</v>
          </cell>
          <cell r="J6083">
            <v>0.14016515068493152</v>
          </cell>
        </row>
        <row r="6084">
          <cell r="I6084">
            <v>6789</v>
          </cell>
          <cell r="J6084">
            <v>0.1401669589041096</v>
          </cell>
        </row>
        <row r="6085">
          <cell r="I6085">
            <v>6790</v>
          </cell>
          <cell r="J6085">
            <v>0.14016876712328769</v>
          </cell>
        </row>
        <row r="6086">
          <cell r="I6086">
            <v>6791</v>
          </cell>
          <cell r="J6086">
            <v>0.14017057534246577</v>
          </cell>
        </row>
        <row r="6087">
          <cell r="I6087">
            <v>6792</v>
          </cell>
          <cell r="J6087">
            <v>0.14017238356164383</v>
          </cell>
        </row>
        <row r="6088">
          <cell r="I6088">
            <v>6793</v>
          </cell>
          <cell r="J6088">
            <v>0.14017419178082191</v>
          </cell>
        </row>
        <row r="6089">
          <cell r="I6089">
            <v>6794</v>
          </cell>
          <cell r="J6089">
            <v>0.140176</v>
          </cell>
        </row>
        <row r="6090">
          <cell r="I6090">
            <v>6795</v>
          </cell>
          <cell r="J6090">
            <v>0.14017780821917808</v>
          </cell>
        </row>
        <row r="6091">
          <cell r="I6091">
            <v>6796</v>
          </cell>
          <cell r="J6091">
            <v>0.14017961643835616</v>
          </cell>
        </row>
        <row r="6092">
          <cell r="I6092">
            <v>6797</v>
          </cell>
          <cell r="J6092">
            <v>0.14018142465753425</v>
          </cell>
        </row>
        <row r="6093">
          <cell r="I6093">
            <v>6798</v>
          </cell>
          <cell r="J6093">
            <v>0.14018323287671233</v>
          </cell>
        </row>
        <row r="6094">
          <cell r="I6094">
            <v>6799</v>
          </cell>
          <cell r="J6094">
            <v>0.14018504109589042</v>
          </cell>
        </row>
        <row r="6095">
          <cell r="I6095">
            <v>6800</v>
          </cell>
          <cell r="J6095">
            <v>0.1401868493150685</v>
          </cell>
        </row>
        <row r="6096">
          <cell r="I6096">
            <v>6801</v>
          </cell>
          <cell r="J6096">
            <v>0.14018865753424659</v>
          </cell>
        </row>
        <row r="6097">
          <cell r="I6097">
            <v>6802</v>
          </cell>
          <cell r="J6097">
            <v>0.14019046575342467</v>
          </cell>
        </row>
        <row r="6098">
          <cell r="I6098">
            <v>6803</v>
          </cell>
          <cell r="J6098">
            <v>0.14019227397260275</v>
          </cell>
        </row>
        <row r="6099">
          <cell r="I6099">
            <v>6804</v>
          </cell>
          <cell r="J6099">
            <v>0.14019408219178084</v>
          </cell>
        </row>
        <row r="6100">
          <cell r="I6100">
            <v>6805</v>
          </cell>
          <cell r="J6100">
            <v>0.1401958904109589</v>
          </cell>
        </row>
        <row r="6101">
          <cell r="I6101">
            <v>6806</v>
          </cell>
          <cell r="J6101">
            <v>0.14019769863013698</v>
          </cell>
        </row>
        <row r="6102">
          <cell r="I6102">
            <v>6807</v>
          </cell>
          <cell r="J6102">
            <v>0.14019950684931506</v>
          </cell>
        </row>
        <row r="6103">
          <cell r="I6103">
            <v>6808</v>
          </cell>
          <cell r="J6103">
            <v>0.14020131506849315</v>
          </cell>
        </row>
        <row r="6104">
          <cell r="I6104">
            <v>6809</v>
          </cell>
          <cell r="J6104">
            <v>0.14020312328767123</v>
          </cell>
        </row>
        <row r="6105">
          <cell r="I6105">
            <v>6810</v>
          </cell>
          <cell r="J6105">
            <v>0.14020493150684932</v>
          </cell>
        </row>
        <row r="6106">
          <cell r="I6106">
            <v>6811</v>
          </cell>
          <cell r="J6106">
            <v>0.1402067397260274</v>
          </cell>
        </row>
        <row r="6107">
          <cell r="I6107">
            <v>6812</v>
          </cell>
          <cell r="J6107">
            <v>0.14020854794520549</v>
          </cell>
        </row>
        <row r="6108">
          <cell r="I6108">
            <v>6813</v>
          </cell>
          <cell r="J6108">
            <v>0.14021035616438357</v>
          </cell>
        </row>
        <row r="6109">
          <cell r="I6109">
            <v>6814</v>
          </cell>
          <cell r="J6109">
            <v>0.14021216438356165</v>
          </cell>
        </row>
        <row r="6110">
          <cell r="I6110">
            <v>6815</v>
          </cell>
          <cell r="J6110">
            <v>0.14021397260273974</v>
          </cell>
        </row>
        <row r="6111">
          <cell r="I6111">
            <v>6816</v>
          </cell>
          <cell r="J6111">
            <v>0.14021578082191782</v>
          </cell>
        </row>
        <row r="6112">
          <cell r="I6112">
            <v>6817</v>
          </cell>
          <cell r="J6112">
            <v>0.14021758904109588</v>
          </cell>
        </row>
        <row r="6113">
          <cell r="I6113">
            <v>6818</v>
          </cell>
          <cell r="J6113">
            <v>0.14021939726027396</v>
          </cell>
        </row>
        <row r="6114">
          <cell r="I6114">
            <v>6819</v>
          </cell>
          <cell r="J6114">
            <v>0.14022120547945205</v>
          </cell>
        </row>
        <row r="6115">
          <cell r="I6115">
            <v>6820</v>
          </cell>
          <cell r="J6115">
            <v>0.14022301369863013</v>
          </cell>
        </row>
        <row r="6116">
          <cell r="I6116">
            <v>6821</v>
          </cell>
          <cell r="J6116">
            <v>0.14022482191780822</v>
          </cell>
        </row>
        <row r="6117">
          <cell r="I6117">
            <v>6822</v>
          </cell>
          <cell r="J6117">
            <v>0.1402266301369863</v>
          </cell>
        </row>
        <row r="6118">
          <cell r="I6118">
            <v>6823</v>
          </cell>
          <cell r="J6118">
            <v>0.14022843835616439</v>
          </cell>
        </row>
        <row r="6119">
          <cell r="I6119">
            <v>6824</v>
          </cell>
          <cell r="J6119">
            <v>0.14023024657534247</v>
          </cell>
        </row>
        <row r="6120">
          <cell r="I6120">
            <v>6825</v>
          </cell>
          <cell r="J6120">
            <v>0.14023205479452056</v>
          </cell>
        </row>
        <row r="6121">
          <cell r="I6121">
            <v>6826</v>
          </cell>
          <cell r="J6121">
            <v>0.14023386301369864</v>
          </cell>
        </row>
        <row r="6122">
          <cell r="I6122">
            <v>6827</v>
          </cell>
          <cell r="J6122">
            <v>0.14023567123287672</v>
          </cell>
        </row>
        <row r="6123">
          <cell r="I6123">
            <v>6828</v>
          </cell>
          <cell r="J6123">
            <v>0.14023747945205481</v>
          </cell>
        </row>
        <row r="6124">
          <cell r="I6124">
            <v>6829</v>
          </cell>
          <cell r="J6124">
            <v>0.14023928767123289</v>
          </cell>
        </row>
        <row r="6125">
          <cell r="I6125">
            <v>6830</v>
          </cell>
          <cell r="J6125">
            <v>0.14024109589041095</v>
          </cell>
        </row>
        <row r="6126">
          <cell r="I6126">
            <v>6831</v>
          </cell>
          <cell r="J6126">
            <v>0.14024290410958903</v>
          </cell>
        </row>
        <row r="6127">
          <cell r="I6127">
            <v>6832</v>
          </cell>
          <cell r="J6127">
            <v>0.14024471232876712</v>
          </cell>
        </row>
        <row r="6128">
          <cell r="I6128">
            <v>6833</v>
          </cell>
          <cell r="J6128">
            <v>0.1402465205479452</v>
          </cell>
        </row>
        <row r="6129">
          <cell r="I6129">
            <v>6834</v>
          </cell>
          <cell r="J6129">
            <v>0.14024832876712329</v>
          </cell>
        </row>
        <row r="6130">
          <cell r="I6130">
            <v>6835</v>
          </cell>
          <cell r="J6130">
            <v>0.14025013698630137</v>
          </cell>
        </row>
        <row r="6131">
          <cell r="I6131">
            <v>6836</v>
          </cell>
          <cell r="J6131">
            <v>0.14025194520547946</v>
          </cell>
        </row>
        <row r="6132">
          <cell r="I6132">
            <v>6837</v>
          </cell>
          <cell r="J6132">
            <v>0.14025375342465754</v>
          </cell>
        </row>
        <row r="6133">
          <cell r="I6133">
            <v>6838</v>
          </cell>
          <cell r="J6133">
            <v>0.14025556164383562</v>
          </cell>
        </row>
        <row r="6134">
          <cell r="I6134">
            <v>6839</v>
          </cell>
          <cell r="J6134">
            <v>0.14025736986301371</v>
          </cell>
        </row>
        <row r="6135">
          <cell r="I6135">
            <v>6840</v>
          </cell>
          <cell r="J6135">
            <v>0.14025917808219179</v>
          </cell>
        </row>
        <row r="6136">
          <cell r="I6136">
            <v>6841</v>
          </cell>
          <cell r="J6136">
            <v>0.14026098630136988</v>
          </cell>
        </row>
        <row r="6137">
          <cell r="I6137">
            <v>6842</v>
          </cell>
          <cell r="J6137">
            <v>0.14026279452054796</v>
          </cell>
        </row>
        <row r="6138">
          <cell r="I6138">
            <v>6843</v>
          </cell>
          <cell r="J6138">
            <v>0.14026460273972602</v>
          </cell>
        </row>
        <row r="6139">
          <cell r="I6139">
            <v>6844</v>
          </cell>
          <cell r="J6139">
            <v>0.1402664109589041</v>
          </cell>
        </row>
        <row r="6140">
          <cell r="I6140">
            <v>6845</v>
          </cell>
          <cell r="J6140">
            <v>0.14026821917808219</v>
          </cell>
        </row>
        <row r="6141">
          <cell r="I6141">
            <v>6846</v>
          </cell>
          <cell r="J6141">
            <v>0.14027002739726027</v>
          </cell>
        </row>
        <row r="6142">
          <cell r="I6142">
            <v>6847</v>
          </cell>
          <cell r="J6142">
            <v>0.14027183561643836</v>
          </cell>
        </row>
        <row r="6143">
          <cell r="I6143">
            <v>6848</v>
          </cell>
          <cell r="J6143">
            <v>0.14027364383561644</v>
          </cell>
        </row>
        <row r="6144">
          <cell r="I6144">
            <v>6849</v>
          </cell>
          <cell r="J6144">
            <v>0.14027545205479452</v>
          </cell>
        </row>
        <row r="6145">
          <cell r="I6145">
            <v>6850</v>
          </cell>
          <cell r="J6145">
            <v>0.14027726027397261</v>
          </cell>
        </row>
        <row r="6146">
          <cell r="I6146">
            <v>6851</v>
          </cell>
          <cell r="J6146">
            <v>0.14027906849315069</v>
          </cell>
        </row>
        <row r="6147">
          <cell r="I6147">
            <v>6852</v>
          </cell>
          <cell r="J6147">
            <v>0.14028087671232878</v>
          </cell>
        </row>
        <row r="6148">
          <cell r="I6148">
            <v>6853</v>
          </cell>
          <cell r="J6148">
            <v>0.14028268493150686</v>
          </cell>
        </row>
        <row r="6149">
          <cell r="I6149">
            <v>6854</v>
          </cell>
          <cell r="J6149">
            <v>0.14028449315068495</v>
          </cell>
        </row>
        <row r="6150">
          <cell r="I6150">
            <v>6855</v>
          </cell>
          <cell r="J6150">
            <v>0.14028630136986303</v>
          </cell>
        </row>
        <row r="6151">
          <cell r="I6151">
            <v>6856</v>
          </cell>
          <cell r="J6151">
            <v>0.14028810958904109</v>
          </cell>
        </row>
        <row r="6152">
          <cell r="I6152">
            <v>6857</v>
          </cell>
          <cell r="J6152">
            <v>0.14028991780821917</v>
          </cell>
        </row>
        <row r="6153">
          <cell r="I6153">
            <v>6858</v>
          </cell>
          <cell r="J6153">
            <v>0.14029172602739726</v>
          </cell>
        </row>
        <row r="6154">
          <cell r="I6154">
            <v>6859</v>
          </cell>
          <cell r="J6154">
            <v>0.14029353424657534</v>
          </cell>
        </row>
        <row r="6155">
          <cell r="I6155">
            <v>6860</v>
          </cell>
          <cell r="J6155">
            <v>0.14029534246575343</v>
          </cell>
        </row>
        <row r="6156">
          <cell r="I6156">
            <v>6861</v>
          </cell>
          <cell r="J6156">
            <v>0.14029715068493151</v>
          </cell>
        </row>
        <row r="6157">
          <cell r="I6157">
            <v>6862</v>
          </cell>
          <cell r="J6157">
            <v>0.14029895890410959</v>
          </cell>
        </row>
        <row r="6158">
          <cell r="I6158">
            <v>6863</v>
          </cell>
          <cell r="J6158">
            <v>0.14030076712328768</v>
          </cell>
        </row>
        <row r="6159">
          <cell r="I6159">
            <v>6864</v>
          </cell>
          <cell r="J6159">
            <v>0.14030257534246576</v>
          </cell>
        </row>
        <row r="6160">
          <cell r="I6160">
            <v>6865</v>
          </cell>
          <cell r="J6160">
            <v>0.14030438356164385</v>
          </cell>
        </row>
        <row r="6161">
          <cell r="I6161">
            <v>6866</v>
          </cell>
          <cell r="J6161">
            <v>0.14030619178082193</v>
          </cell>
        </row>
        <row r="6162">
          <cell r="I6162">
            <v>6867</v>
          </cell>
          <cell r="J6162">
            <v>0.14030800000000002</v>
          </cell>
        </row>
        <row r="6163">
          <cell r="I6163">
            <v>6868</v>
          </cell>
          <cell r="J6163">
            <v>0.14030980821917807</v>
          </cell>
        </row>
        <row r="6164">
          <cell r="I6164">
            <v>6869</v>
          </cell>
          <cell r="J6164">
            <v>0.14031161643835616</v>
          </cell>
        </row>
        <row r="6165">
          <cell r="I6165">
            <v>6870</v>
          </cell>
          <cell r="J6165">
            <v>0.14031342465753424</v>
          </cell>
        </row>
        <row r="6166">
          <cell r="I6166">
            <v>6871</v>
          </cell>
          <cell r="J6166">
            <v>0.14031523287671233</v>
          </cell>
        </row>
        <row r="6167">
          <cell r="I6167">
            <v>6872</v>
          </cell>
          <cell r="J6167">
            <v>0.14031704109589041</v>
          </cell>
        </row>
        <row r="6168">
          <cell r="I6168">
            <v>6873</v>
          </cell>
          <cell r="J6168">
            <v>0.14031884931506849</v>
          </cell>
        </row>
        <row r="6169">
          <cell r="I6169">
            <v>6874</v>
          </cell>
          <cell r="J6169">
            <v>0.14032065753424658</v>
          </cell>
        </row>
        <row r="6170">
          <cell r="I6170">
            <v>6875</v>
          </cell>
          <cell r="J6170">
            <v>0.14032246575342466</v>
          </cell>
        </row>
        <row r="6171">
          <cell r="I6171">
            <v>6876</v>
          </cell>
          <cell r="J6171">
            <v>0.14032427397260275</v>
          </cell>
        </row>
        <row r="6172">
          <cell r="I6172">
            <v>6877</v>
          </cell>
          <cell r="J6172">
            <v>0.14032608219178083</v>
          </cell>
        </row>
        <row r="6173">
          <cell r="I6173">
            <v>6878</v>
          </cell>
          <cell r="J6173">
            <v>0.14032789041095892</v>
          </cell>
        </row>
        <row r="6174">
          <cell r="I6174">
            <v>6879</v>
          </cell>
          <cell r="J6174">
            <v>0.140329698630137</v>
          </cell>
        </row>
        <row r="6175">
          <cell r="I6175">
            <v>6880</v>
          </cell>
          <cell r="J6175">
            <v>0.14033150684931509</v>
          </cell>
        </row>
        <row r="6176">
          <cell r="I6176">
            <v>6881</v>
          </cell>
          <cell r="J6176">
            <v>0.14033331506849314</v>
          </cell>
        </row>
        <row r="6177">
          <cell r="I6177">
            <v>6882</v>
          </cell>
          <cell r="J6177">
            <v>0.14033512328767123</v>
          </cell>
        </row>
        <row r="6178">
          <cell r="I6178">
            <v>6883</v>
          </cell>
          <cell r="J6178">
            <v>0.14033693150684931</v>
          </cell>
        </row>
        <row r="6179">
          <cell r="I6179">
            <v>6884</v>
          </cell>
          <cell r="J6179">
            <v>0.14033873972602739</v>
          </cell>
        </row>
        <row r="6180">
          <cell r="I6180">
            <v>6885</v>
          </cell>
          <cell r="J6180">
            <v>0.14034054794520548</v>
          </cell>
        </row>
        <row r="6181">
          <cell r="I6181">
            <v>6886</v>
          </cell>
          <cell r="J6181">
            <v>0.14034235616438356</v>
          </cell>
        </row>
        <row r="6182">
          <cell r="I6182">
            <v>6887</v>
          </cell>
          <cell r="J6182">
            <v>0.14034416438356165</v>
          </cell>
        </row>
        <row r="6183">
          <cell r="I6183">
            <v>6888</v>
          </cell>
          <cell r="J6183">
            <v>0.14034597260273973</v>
          </cell>
        </row>
        <row r="6184">
          <cell r="I6184">
            <v>6889</v>
          </cell>
          <cell r="J6184">
            <v>0.14034778082191782</v>
          </cell>
        </row>
        <row r="6185">
          <cell r="I6185">
            <v>6890</v>
          </cell>
          <cell r="J6185">
            <v>0.1403495890410959</v>
          </cell>
        </row>
        <row r="6186">
          <cell r="I6186">
            <v>6891</v>
          </cell>
          <cell r="J6186">
            <v>0.14035139726027399</v>
          </cell>
        </row>
        <row r="6187">
          <cell r="I6187">
            <v>6892</v>
          </cell>
          <cell r="J6187">
            <v>0.14035320547945207</v>
          </cell>
        </row>
        <row r="6188">
          <cell r="I6188">
            <v>6893</v>
          </cell>
          <cell r="J6188">
            <v>0.14035501369863015</v>
          </cell>
        </row>
        <row r="6189">
          <cell r="I6189">
            <v>6894</v>
          </cell>
          <cell r="J6189">
            <v>0.14035682191780821</v>
          </cell>
        </row>
        <row r="6190">
          <cell r="I6190">
            <v>6895</v>
          </cell>
          <cell r="J6190">
            <v>0.1403586301369863</v>
          </cell>
        </row>
        <row r="6191">
          <cell r="I6191">
            <v>6896</v>
          </cell>
          <cell r="J6191">
            <v>0.14036043835616438</v>
          </cell>
        </row>
        <row r="6192">
          <cell r="I6192">
            <v>6897</v>
          </cell>
          <cell r="J6192">
            <v>0.14036224657534246</v>
          </cell>
        </row>
        <row r="6193">
          <cell r="I6193">
            <v>6898</v>
          </cell>
          <cell r="J6193">
            <v>0.14036405479452055</v>
          </cell>
        </row>
        <row r="6194">
          <cell r="I6194">
            <v>6899</v>
          </cell>
          <cell r="J6194">
            <v>0.14036586301369863</v>
          </cell>
        </row>
        <row r="6195">
          <cell r="I6195">
            <v>6900</v>
          </cell>
          <cell r="J6195">
            <v>0.14036767123287672</v>
          </cell>
        </row>
        <row r="6196">
          <cell r="I6196">
            <v>6901</v>
          </cell>
          <cell r="J6196">
            <v>0.1403694794520548</v>
          </cell>
        </row>
        <row r="6197">
          <cell r="I6197">
            <v>6902</v>
          </cell>
          <cell r="J6197">
            <v>0.14037128767123289</v>
          </cell>
        </row>
        <row r="6198">
          <cell r="I6198">
            <v>6903</v>
          </cell>
          <cell r="J6198">
            <v>0.14037309589041097</v>
          </cell>
        </row>
        <row r="6199">
          <cell r="I6199">
            <v>6904</v>
          </cell>
          <cell r="J6199">
            <v>0.14037490410958905</v>
          </cell>
        </row>
        <row r="6200">
          <cell r="I6200">
            <v>6905</v>
          </cell>
          <cell r="J6200">
            <v>0.14037671232876714</v>
          </cell>
        </row>
        <row r="6201">
          <cell r="I6201">
            <v>6906</v>
          </cell>
          <cell r="J6201">
            <v>0.1403785205479452</v>
          </cell>
        </row>
        <row r="6202">
          <cell r="I6202">
            <v>6907</v>
          </cell>
          <cell r="J6202">
            <v>0.14038032876712328</v>
          </cell>
        </row>
        <row r="6203">
          <cell r="I6203">
            <v>6908</v>
          </cell>
          <cell r="J6203">
            <v>0.14038213698630136</v>
          </cell>
        </row>
        <row r="6204">
          <cell r="I6204">
            <v>6909</v>
          </cell>
          <cell r="J6204">
            <v>0.14038394520547945</v>
          </cell>
        </row>
        <row r="6205">
          <cell r="I6205">
            <v>6910</v>
          </cell>
          <cell r="J6205">
            <v>0.14038575342465753</v>
          </cell>
        </row>
        <row r="6206">
          <cell r="I6206">
            <v>6911</v>
          </cell>
          <cell r="J6206">
            <v>0.14038756164383562</v>
          </cell>
        </row>
        <row r="6207">
          <cell r="I6207">
            <v>6912</v>
          </cell>
          <cell r="J6207">
            <v>0.1403893698630137</v>
          </cell>
        </row>
        <row r="6208">
          <cell r="I6208">
            <v>6913</v>
          </cell>
          <cell r="J6208">
            <v>0.14039117808219179</v>
          </cell>
        </row>
        <row r="6209">
          <cell r="I6209">
            <v>6914</v>
          </cell>
          <cell r="J6209">
            <v>0.14039298630136987</v>
          </cell>
        </row>
        <row r="6210">
          <cell r="I6210">
            <v>6915</v>
          </cell>
          <cell r="J6210">
            <v>0.14039479452054796</v>
          </cell>
        </row>
        <row r="6211">
          <cell r="I6211">
            <v>6916</v>
          </cell>
          <cell r="J6211">
            <v>0.14039660273972604</v>
          </cell>
        </row>
        <row r="6212">
          <cell r="I6212">
            <v>6917</v>
          </cell>
          <cell r="J6212">
            <v>0.14039841095890412</v>
          </cell>
        </row>
        <row r="6213">
          <cell r="I6213">
            <v>6918</v>
          </cell>
          <cell r="J6213">
            <v>0.14040021917808221</v>
          </cell>
        </row>
        <row r="6214">
          <cell r="I6214">
            <v>6919</v>
          </cell>
          <cell r="J6214">
            <v>0.14040202739726027</v>
          </cell>
        </row>
        <row r="6215">
          <cell r="I6215">
            <v>6920</v>
          </cell>
          <cell r="J6215">
            <v>0.14040383561643835</v>
          </cell>
        </row>
        <row r="6216">
          <cell r="I6216">
            <v>6921</v>
          </cell>
          <cell r="J6216">
            <v>0.14040564383561643</v>
          </cell>
        </row>
        <row r="6217">
          <cell r="I6217">
            <v>6922</v>
          </cell>
          <cell r="J6217">
            <v>0.14040745205479452</v>
          </cell>
        </row>
        <row r="6218">
          <cell r="I6218">
            <v>6923</v>
          </cell>
          <cell r="J6218">
            <v>0.1404092602739726</v>
          </cell>
        </row>
        <row r="6219">
          <cell r="I6219">
            <v>6924</v>
          </cell>
          <cell r="J6219">
            <v>0.14041106849315069</v>
          </cell>
        </row>
        <row r="6220">
          <cell r="I6220">
            <v>6925</v>
          </cell>
          <cell r="J6220">
            <v>0.14041287671232877</v>
          </cell>
        </row>
        <row r="6221">
          <cell r="I6221">
            <v>6926</v>
          </cell>
          <cell r="J6221">
            <v>0.14041468493150686</v>
          </cell>
        </row>
        <row r="6222">
          <cell r="I6222">
            <v>6927</v>
          </cell>
          <cell r="J6222">
            <v>0.14041649315068494</v>
          </cell>
        </row>
        <row r="6223">
          <cell r="I6223">
            <v>6928</v>
          </cell>
          <cell r="J6223">
            <v>0.14041830136986302</v>
          </cell>
        </row>
        <row r="6224">
          <cell r="I6224">
            <v>6929</v>
          </cell>
          <cell r="J6224">
            <v>0.14042010958904111</v>
          </cell>
        </row>
        <row r="6225">
          <cell r="I6225">
            <v>6930</v>
          </cell>
          <cell r="J6225">
            <v>0.14042191780821919</v>
          </cell>
        </row>
        <row r="6226">
          <cell r="I6226">
            <v>6931</v>
          </cell>
          <cell r="J6226">
            <v>0.14042372602739728</v>
          </cell>
        </row>
        <row r="6227">
          <cell r="I6227">
            <v>6932</v>
          </cell>
          <cell r="J6227">
            <v>0.14042553424657533</v>
          </cell>
        </row>
        <row r="6228">
          <cell r="I6228">
            <v>6933</v>
          </cell>
          <cell r="J6228">
            <v>0.14042734246575342</v>
          </cell>
        </row>
        <row r="6229">
          <cell r="I6229">
            <v>6934</v>
          </cell>
          <cell r="J6229">
            <v>0.1404291506849315</v>
          </cell>
        </row>
        <row r="6230">
          <cell r="I6230">
            <v>6935</v>
          </cell>
          <cell r="J6230">
            <v>0.14043095890410959</v>
          </cell>
        </row>
        <row r="6231">
          <cell r="I6231">
            <v>6936</v>
          </cell>
          <cell r="J6231">
            <v>0.14043276712328767</v>
          </cell>
        </row>
        <row r="6232">
          <cell r="I6232">
            <v>6937</v>
          </cell>
          <cell r="J6232">
            <v>0.14043457534246576</v>
          </cell>
        </row>
        <row r="6233">
          <cell r="I6233">
            <v>6938</v>
          </cell>
          <cell r="J6233">
            <v>0.14043638356164384</v>
          </cell>
        </row>
        <row r="6234">
          <cell r="I6234">
            <v>6939</v>
          </cell>
          <cell r="J6234">
            <v>0.14043819178082192</v>
          </cell>
        </row>
        <row r="6235">
          <cell r="I6235">
            <v>6940</v>
          </cell>
          <cell r="J6235">
            <v>0.14044000000000001</v>
          </cell>
        </row>
        <row r="6236">
          <cell r="I6236">
            <v>6941</v>
          </cell>
          <cell r="J6236">
            <v>0.14044180821917809</v>
          </cell>
        </row>
        <row r="6237">
          <cell r="I6237">
            <v>6942</v>
          </cell>
          <cell r="J6237">
            <v>0.14044361643835618</v>
          </cell>
        </row>
        <row r="6238">
          <cell r="I6238">
            <v>6943</v>
          </cell>
          <cell r="J6238">
            <v>0.14044542465753426</v>
          </cell>
        </row>
        <row r="6239">
          <cell r="I6239">
            <v>6944</v>
          </cell>
          <cell r="J6239">
            <v>0.14044723287671232</v>
          </cell>
        </row>
        <row r="6240">
          <cell r="I6240">
            <v>6945</v>
          </cell>
          <cell r="J6240">
            <v>0.1404490410958904</v>
          </cell>
        </row>
        <row r="6241">
          <cell r="I6241">
            <v>6946</v>
          </cell>
          <cell r="J6241">
            <v>0.14045084931506849</v>
          </cell>
        </row>
        <row r="6242">
          <cell r="I6242">
            <v>6947</v>
          </cell>
          <cell r="J6242">
            <v>0.14045265753424657</v>
          </cell>
        </row>
        <row r="6243">
          <cell r="I6243">
            <v>6948</v>
          </cell>
          <cell r="J6243">
            <v>0.14045446575342466</v>
          </cell>
        </row>
        <row r="6244">
          <cell r="I6244">
            <v>6949</v>
          </cell>
          <cell r="J6244">
            <v>0.14045627397260274</v>
          </cell>
        </row>
        <row r="6245">
          <cell r="I6245">
            <v>6950</v>
          </cell>
          <cell r="J6245">
            <v>0.14045808219178083</v>
          </cell>
        </row>
        <row r="6246">
          <cell r="I6246">
            <v>6951</v>
          </cell>
          <cell r="J6246">
            <v>0.14045989041095891</v>
          </cell>
        </row>
        <row r="6247">
          <cell r="I6247">
            <v>6952</v>
          </cell>
          <cell r="J6247">
            <v>0.14046169863013699</v>
          </cell>
        </row>
        <row r="6248">
          <cell r="I6248">
            <v>6953</v>
          </cell>
          <cell r="J6248">
            <v>0.14046350684931508</v>
          </cell>
        </row>
        <row r="6249">
          <cell r="I6249">
            <v>6954</v>
          </cell>
          <cell r="J6249">
            <v>0.14046531506849316</v>
          </cell>
        </row>
        <row r="6250">
          <cell r="I6250">
            <v>6955</v>
          </cell>
          <cell r="J6250">
            <v>0.14046712328767125</v>
          </cell>
        </row>
        <row r="6251">
          <cell r="I6251">
            <v>6956</v>
          </cell>
          <cell r="J6251">
            <v>0.14046893150684933</v>
          </cell>
        </row>
        <row r="6252">
          <cell r="I6252">
            <v>6957</v>
          </cell>
          <cell r="J6252">
            <v>0.14047073972602739</v>
          </cell>
        </row>
        <row r="6253">
          <cell r="I6253">
            <v>6958</v>
          </cell>
          <cell r="J6253">
            <v>0.14047254794520547</v>
          </cell>
        </row>
        <row r="6254">
          <cell r="I6254">
            <v>6959</v>
          </cell>
          <cell r="J6254">
            <v>0.14047435616438356</v>
          </cell>
        </row>
        <row r="6255">
          <cell r="I6255">
            <v>6960</v>
          </cell>
          <cell r="J6255">
            <v>0.14047616438356164</v>
          </cell>
        </row>
        <row r="6256">
          <cell r="I6256">
            <v>6961</v>
          </cell>
          <cell r="J6256">
            <v>0.14047797260273973</v>
          </cell>
        </row>
        <row r="6257">
          <cell r="I6257">
            <v>6962</v>
          </cell>
          <cell r="J6257">
            <v>0.14047978082191781</v>
          </cell>
        </row>
        <row r="6258">
          <cell r="I6258">
            <v>6963</v>
          </cell>
          <cell r="J6258">
            <v>0.14048158904109589</v>
          </cell>
        </row>
        <row r="6259">
          <cell r="I6259">
            <v>6964</v>
          </cell>
          <cell r="J6259">
            <v>0.14048339726027398</v>
          </cell>
        </row>
        <row r="6260">
          <cell r="I6260">
            <v>6965</v>
          </cell>
          <cell r="J6260">
            <v>0.14048520547945206</v>
          </cell>
        </row>
        <row r="6261">
          <cell r="I6261">
            <v>6966</v>
          </cell>
          <cell r="J6261">
            <v>0.14048701369863015</v>
          </cell>
        </row>
        <row r="6262">
          <cell r="I6262">
            <v>6967</v>
          </cell>
          <cell r="J6262">
            <v>0.14048882191780823</v>
          </cell>
        </row>
        <row r="6263">
          <cell r="I6263">
            <v>6968</v>
          </cell>
          <cell r="J6263">
            <v>0.14049063013698632</v>
          </cell>
        </row>
        <row r="6264">
          <cell r="I6264">
            <v>6969</v>
          </cell>
          <cell r="J6264">
            <v>0.1404924383561644</v>
          </cell>
        </row>
        <row r="6265">
          <cell r="I6265">
            <v>6970</v>
          </cell>
          <cell r="J6265">
            <v>0.14049424657534246</v>
          </cell>
        </row>
        <row r="6266">
          <cell r="I6266">
            <v>6971</v>
          </cell>
          <cell r="J6266">
            <v>0.14049605479452054</v>
          </cell>
        </row>
        <row r="6267">
          <cell r="I6267">
            <v>6972</v>
          </cell>
          <cell r="J6267">
            <v>0.14049786301369863</v>
          </cell>
        </row>
        <row r="6268">
          <cell r="I6268">
            <v>6973</v>
          </cell>
          <cell r="J6268">
            <v>0.14049967123287671</v>
          </cell>
        </row>
        <row r="6269">
          <cell r="I6269">
            <v>6974</v>
          </cell>
          <cell r="J6269">
            <v>0.14050147945205479</v>
          </cell>
        </row>
        <row r="6270">
          <cell r="I6270">
            <v>6975</v>
          </cell>
          <cell r="J6270">
            <v>0.14050328767123288</v>
          </cell>
        </row>
        <row r="6271">
          <cell r="I6271">
            <v>6976</v>
          </cell>
          <cell r="J6271">
            <v>0.14050509589041096</v>
          </cell>
        </row>
        <row r="6272">
          <cell r="I6272">
            <v>6977</v>
          </cell>
          <cell r="J6272">
            <v>0.14050690410958905</v>
          </cell>
        </row>
        <row r="6273">
          <cell r="I6273">
            <v>6978</v>
          </cell>
          <cell r="J6273">
            <v>0.14050871232876713</v>
          </cell>
        </row>
        <row r="6274">
          <cell r="I6274">
            <v>6979</v>
          </cell>
          <cell r="J6274">
            <v>0.14051052054794522</v>
          </cell>
        </row>
        <row r="6275">
          <cell r="I6275">
            <v>6980</v>
          </cell>
          <cell r="J6275">
            <v>0.1405123287671233</v>
          </cell>
        </row>
        <row r="6276">
          <cell r="I6276">
            <v>6981</v>
          </cell>
          <cell r="J6276">
            <v>0.14051413698630139</v>
          </cell>
        </row>
        <row r="6277">
          <cell r="I6277">
            <v>6982</v>
          </cell>
          <cell r="J6277">
            <v>0.14051594520547944</v>
          </cell>
        </row>
        <row r="6278">
          <cell r="I6278">
            <v>6983</v>
          </cell>
          <cell r="J6278">
            <v>0.14051775342465753</v>
          </cell>
        </row>
        <row r="6279">
          <cell r="I6279">
            <v>6984</v>
          </cell>
          <cell r="J6279">
            <v>0.14051956164383561</v>
          </cell>
        </row>
        <row r="6280">
          <cell r="I6280">
            <v>6985</v>
          </cell>
          <cell r="J6280">
            <v>0.1405213698630137</v>
          </cell>
        </row>
        <row r="6281">
          <cell r="I6281">
            <v>6986</v>
          </cell>
          <cell r="J6281">
            <v>0.14052317808219178</v>
          </cell>
        </row>
        <row r="6282">
          <cell r="I6282">
            <v>6987</v>
          </cell>
          <cell r="J6282">
            <v>0.14052498630136986</v>
          </cell>
        </row>
        <row r="6283">
          <cell r="I6283">
            <v>6988</v>
          </cell>
          <cell r="J6283">
            <v>0.14052679452054795</v>
          </cell>
        </row>
        <row r="6284">
          <cell r="I6284">
            <v>6989</v>
          </cell>
          <cell r="J6284">
            <v>0.14052860273972603</v>
          </cell>
        </row>
        <row r="6285">
          <cell r="I6285">
            <v>6990</v>
          </cell>
          <cell r="J6285">
            <v>0.14053041095890412</v>
          </cell>
        </row>
        <row r="6286">
          <cell r="I6286">
            <v>6991</v>
          </cell>
          <cell r="J6286">
            <v>0.1405322191780822</v>
          </cell>
        </row>
        <row r="6287">
          <cell r="I6287">
            <v>6992</v>
          </cell>
          <cell r="J6287">
            <v>0.14053402739726029</v>
          </cell>
        </row>
        <row r="6288">
          <cell r="I6288">
            <v>6993</v>
          </cell>
          <cell r="J6288">
            <v>0.14053583561643837</v>
          </cell>
        </row>
        <row r="6289">
          <cell r="I6289">
            <v>6994</v>
          </cell>
          <cell r="J6289">
            <v>0.14053764383561645</v>
          </cell>
        </row>
        <row r="6290">
          <cell r="I6290">
            <v>6995</v>
          </cell>
          <cell r="J6290">
            <v>0.14053945205479451</v>
          </cell>
        </row>
        <row r="6291">
          <cell r="I6291">
            <v>6996</v>
          </cell>
          <cell r="J6291">
            <v>0.1405412602739726</v>
          </cell>
        </row>
        <row r="6292">
          <cell r="I6292">
            <v>6997</v>
          </cell>
          <cell r="J6292">
            <v>0.14054306849315068</v>
          </cell>
        </row>
        <row r="6293">
          <cell r="I6293">
            <v>6998</v>
          </cell>
          <cell r="J6293">
            <v>0.14054487671232876</v>
          </cell>
        </row>
        <row r="6294">
          <cell r="I6294">
            <v>6999</v>
          </cell>
          <cell r="J6294">
            <v>0.14054668493150685</v>
          </cell>
        </row>
        <row r="6295">
          <cell r="I6295">
            <v>7000</v>
          </cell>
          <cell r="J6295">
            <v>0.14054849315068493</v>
          </cell>
        </row>
        <row r="6296">
          <cell r="I6296">
            <v>7001</v>
          </cell>
          <cell r="J6296">
            <v>0.14055030136986302</v>
          </cell>
        </row>
        <row r="6297">
          <cell r="I6297">
            <v>7002</v>
          </cell>
          <cell r="J6297">
            <v>0.1405521095890411</v>
          </cell>
        </row>
        <row r="6298">
          <cell r="I6298">
            <v>7003</v>
          </cell>
          <cell r="J6298">
            <v>0.14055391780821919</v>
          </cell>
        </row>
        <row r="6299">
          <cell r="I6299">
            <v>7004</v>
          </cell>
          <cell r="J6299">
            <v>0.14055572602739727</v>
          </cell>
        </row>
        <row r="6300">
          <cell r="I6300">
            <v>7005</v>
          </cell>
          <cell r="J6300">
            <v>0.14055753424657536</v>
          </cell>
        </row>
        <row r="6301">
          <cell r="I6301">
            <v>7006</v>
          </cell>
          <cell r="J6301">
            <v>0.14055934246575344</v>
          </cell>
        </row>
        <row r="6302">
          <cell r="I6302">
            <v>7007</v>
          </cell>
          <cell r="J6302">
            <v>0.14056115068493152</v>
          </cell>
        </row>
        <row r="6303">
          <cell r="I6303">
            <v>7008</v>
          </cell>
          <cell r="J6303">
            <v>0.14056295890410958</v>
          </cell>
        </row>
        <row r="6304">
          <cell r="I6304">
            <v>7009</v>
          </cell>
          <cell r="J6304">
            <v>0.14056476712328766</v>
          </cell>
        </row>
        <row r="6305">
          <cell r="I6305">
            <v>7010</v>
          </cell>
          <cell r="J6305">
            <v>0.14056657534246575</v>
          </cell>
        </row>
        <row r="6306">
          <cell r="I6306">
            <v>7011</v>
          </cell>
          <cell r="J6306">
            <v>0.14056838356164383</v>
          </cell>
        </row>
        <row r="6307">
          <cell r="I6307">
            <v>7012</v>
          </cell>
          <cell r="J6307">
            <v>0.14057019178082192</v>
          </cell>
        </row>
        <row r="6308">
          <cell r="I6308">
            <v>7013</v>
          </cell>
          <cell r="J6308">
            <v>0.140572</v>
          </cell>
        </row>
        <row r="6309">
          <cell r="I6309">
            <v>7014</v>
          </cell>
          <cell r="J6309">
            <v>0.14057380821917809</v>
          </cell>
        </row>
        <row r="6310">
          <cell r="I6310">
            <v>7015</v>
          </cell>
          <cell r="J6310">
            <v>0.14057561643835617</v>
          </cell>
        </row>
        <row r="6311">
          <cell r="I6311">
            <v>7016</v>
          </cell>
          <cell r="J6311">
            <v>0.14057742465753426</v>
          </cell>
        </row>
        <row r="6312">
          <cell r="I6312">
            <v>7017</v>
          </cell>
          <cell r="J6312">
            <v>0.14057923287671234</v>
          </cell>
        </row>
        <row r="6313">
          <cell r="I6313">
            <v>7018</v>
          </cell>
          <cell r="J6313">
            <v>0.14058104109589042</v>
          </cell>
        </row>
        <row r="6314">
          <cell r="I6314">
            <v>7019</v>
          </cell>
          <cell r="J6314">
            <v>0.14058284931506851</v>
          </cell>
        </row>
        <row r="6315">
          <cell r="I6315">
            <v>7020</v>
          </cell>
          <cell r="J6315">
            <v>0.14058465753424657</v>
          </cell>
        </row>
        <row r="6316">
          <cell r="I6316">
            <v>7021</v>
          </cell>
          <cell r="J6316">
            <v>0.14058646575342465</v>
          </cell>
        </row>
        <row r="6317">
          <cell r="I6317">
            <v>7022</v>
          </cell>
          <cell r="J6317">
            <v>0.14058827397260273</v>
          </cell>
        </row>
        <row r="6318">
          <cell r="I6318">
            <v>7023</v>
          </cell>
          <cell r="J6318">
            <v>0.14059008219178082</v>
          </cell>
        </row>
        <row r="6319">
          <cell r="I6319">
            <v>7024</v>
          </cell>
          <cell r="J6319">
            <v>0.1405918904109589</v>
          </cell>
        </row>
        <row r="6320">
          <cell r="I6320">
            <v>7025</v>
          </cell>
          <cell r="J6320">
            <v>0.14059369863013699</v>
          </cell>
        </row>
        <row r="6321">
          <cell r="I6321">
            <v>7026</v>
          </cell>
          <cell r="J6321">
            <v>0.14059550684931507</v>
          </cell>
        </row>
        <row r="6322">
          <cell r="I6322">
            <v>7027</v>
          </cell>
          <cell r="J6322">
            <v>0.14059731506849316</v>
          </cell>
        </row>
        <row r="6323">
          <cell r="I6323">
            <v>7028</v>
          </cell>
          <cell r="J6323">
            <v>0.14059912328767124</v>
          </cell>
        </row>
        <row r="6324">
          <cell r="I6324">
            <v>7029</v>
          </cell>
          <cell r="J6324">
            <v>0.14060093150684932</v>
          </cell>
        </row>
        <row r="6325">
          <cell r="I6325">
            <v>7030</v>
          </cell>
          <cell r="J6325">
            <v>0.14060273972602741</v>
          </cell>
        </row>
        <row r="6326">
          <cell r="I6326">
            <v>7031</v>
          </cell>
          <cell r="J6326">
            <v>0.14060454794520549</v>
          </cell>
        </row>
        <row r="6327">
          <cell r="I6327">
            <v>7032</v>
          </cell>
          <cell r="J6327">
            <v>0.14060635616438358</v>
          </cell>
        </row>
        <row r="6328">
          <cell r="I6328">
            <v>7033</v>
          </cell>
          <cell r="J6328">
            <v>0.14060816438356163</v>
          </cell>
        </row>
        <row r="6329">
          <cell r="I6329">
            <v>7034</v>
          </cell>
          <cell r="J6329">
            <v>0.14060997260273972</v>
          </cell>
        </row>
        <row r="6330">
          <cell r="I6330">
            <v>7035</v>
          </cell>
          <cell r="J6330">
            <v>0.1406117808219178</v>
          </cell>
        </row>
        <row r="6331">
          <cell r="I6331">
            <v>7036</v>
          </cell>
          <cell r="J6331">
            <v>0.14061358904109589</v>
          </cell>
        </row>
        <row r="6332">
          <cell r="I6332">
            <v>7037</v>
          </cell>
          <cell r="J6332">
            <v>0.14061539726027397</v>
          </cell>
        </row>
        <row r="6333">
          <cell r="I6333">
            <v>7038</v>
          </cell>
          <cell r="J6333">
            <v>0.14061720547945206</v>
          </cell>
        </row>
        <row r="6334">
          <cell r="I6334">
            <v>7039</v>
          </cell>
          <cell r="J6334">
            <v>0.14061901369863014</v>
          </cell>
        </row>
        <row r="6335">
          <cell r="I6335">
            <v>7040</v>
          </cell>
          <cell r="J6335">
            <v>0.14062082191780823</v>
          </cell>
        </row>
        <row r="6336">
          <cell r="I6336">
            <v>7041</v>
          </cell>
          <cell r="J6336">
            <v>0.14062263013698631</v>
          </cell>
        </row>
        <row r="6337">
          <cell r="I6337">
            <v>7042</v>
          </cell>
          <cell r="J6337">
            <v>0.14062443835616439</v>
          </cell>
        </row>
        <row r="6338">
          <cell r="I6338">
            <v>7043</v>
          </cell>
          <cell r="J6338">
            <v>0.14062624657534248</v>
          </cell>
        </row>
        <row r="6339">
          <cell r="I6339">
            <v>7044</v>
          </cell>
          <cell r="J6339">
            <v>0.14062805479452056</v>
          </cell>
        </row>
        <row r="6340">
          <cell r="I6340">
            <v>7045</v>
          </cell>
          <cell r="J6340">
            <v>0.14062986301369865</v>
          </cell>
        </row>
        <row r="6341">
          <cell r="I6341">
            <v>7046</v>
          </cell>
          <cell r="J6341">
            <v>0.1406316712328767</v>
          </cell>
        </row>
        <row r="6342">
          <cell r="I6342">
            <v>7047</v>
          </cell>
          <cell r="J6342">
            <v>0.14063347945205479</v>
          </cell>
        </row>
        <row r="6343">
          <cell r="I6343">
            <v>7048</v>
          </cell>
          <cell r="J6343">
            <v>0.14063528767123287</v>
          </cell>
        </row>
        <row r="6344">
          <cell r="I6344">
            <v>7049</v>
          </cell>
          <cell r="J6344">
            <v>0.14063709589041096</v>
          </cell>
        </row>
        <row r="6345">
          <cell r="I6345">
            <v>7050</v>
          </cell>
          <cell r="J6345">
            <v>0.14063890410958904</v>
          </cell>
        </row>
        <row r="6346">
          <cell r="I6346">
            <v>7051</v>
          </cell>
          <cell r="J6346">
            <v>0.14064071232876713</v>
          </cell>
        </row>
        <row r="6347">
          <cell r="I6347">
            <v>7052</v>
          </cell>
          <cell r="J6347">
            <v>0.14064252054794521</v>
          </cell>
        </row>
        <row r="6348">
          <cell r="I6348">
            <v>7053</v>
          </cell>
          <cell r="J6348">
            <v>0.14064432876712329</v>
          </cell>
        </row>
        <row r="6349">
          <cell r="I6349">
            <v>7054</v>
          </cell>
          <cell r="J6349">
            <v>0.14064613698630138</v>
          </cell>
        </row>
        <row r="6350">
          <cell r="I6350">
            <v>7055</v>
          </cell>
          <cell r="J6350">
            <v>0.14064794520547946</v>
          </cell>
        </row>
        <row r="6351">
          <cell r="I6351">
            <v>7056</v>
          </cell>
          <cell r="J6351">
            <v>0.14064975342465755</v>
          </cell>
        </row>
        <row r="6352">
          <cell r="I6352">
            <v>7057</v>
          </cell>
          <cell r="J6352">
            <v>0.14065156164383563</v>
          </cell>
        </row>
        <row r="6353">
          <cell r="I6353">
            <v>7058</v>
          </cell>
          <cell r="J6353">
            <v>0.14065336986301369</v>
          </cell>
        </row>
        <row r="6354">
          <cell r="I6354">
            <v>7059</v>
          </cell>
          <cell r="J6354">
            <v>0.14065517808219177</v>
          </cell>
        </row>
        <row r="6355">
          <cell r="I6355">
            <v>7060</v>
          </cell>
          <cell r="J6355">
            <v>0.14065698630136986</v>
          </cell>
        </row>
        <row r="6356">
          <cell r="I6356">
            <v>7061</v>
          </cell>
          <cell r="J6356">
            <v>0.14065879452054794</v>
          </cell>
        </row>
        <row r="6357">
          <cell r="I6357">
            <v>7062</v>
          </cell>
          <cell r="J6357">
            <v>0.14066060273972603</v>
          </cell>
        </row>
        <row r="6358">
          <cell r="I6358">
            <v>7063</v>
          </cell>
          <cell r="J6358">
            <v>0.14066241095890411</v>
          </cell>
        </row>
        <row r="6359">
          <cell r="I6359">
            <v>7064</v>
          </cell>
          <cell r="J6359">
            <v>0.14066421917808219</v>
          </cell>
        </row>
        <row r="6360">
          <cell r="I6360">
            <v>7065</v>
          </cell>
          <cell r="J6360">
            <v>0.14066602739726028</v>
          </cell>
        </row>
        <row r="6361">
          <cell r="I6361">
            <v>7066</v>
          </cell>
          <cell r="J6361">
            <v>0.14066783561643836</v>
          </cell>
        </row>
        <row r="6362">
          <cell r="I6362">
            <v>7067</v>
          </cell>
          <cell r="J6362">
            <v>0.14066964383561645</v>
          </cell>
        </row>
        <row r="6363">
          <cell r="I6363">
            <v>7068</v>
          </cell>
          <cell r="J6363">
            <v>0.14067145205479453</v>
          </cell>
        </row>
        <row r="6364">
          <cell r="I6364">
            <v>7069</v>
          </cell>
          <cell r="J6364">
            <v>0.14067326027397262</v>
          </cell>
        </row>
        <row r="6365">
          <cell r="I6365">
            <v>7070</v>
          </cell>
          <cell r="J6365">
            <v>0.1406750684931507</v>
          </cell>
        </row>
        <row r="6366">
          <cell r="I6366">
            <v>7071</v>
          </cell>
          <cell r="J6366">
            <v>0.14067687671232876</v>
          </cell>
        </row>
        <row r="6367">
          <cell r="I6367">
            <v>7072</v>
          </cell>
          <cell r="J6367">
            <v>0.14067868493150684</v>
          </cell>
        </row>
        <row r="6368">
          <cell r="I6368">
            <v>7073</v>
          </cell>
          <cell r="J6368">
            <v>0.14068049315068493</v>
          </cell>
        </row>
        <row r="6369">
          <cell r="I6369">
            <v>7074</v>
          </cell>
          <cell r="J6369">
            <v>0.14068230136986301</v>
          </cell>
        </row>
        <row r="6370">
          <cell r="I6370">
            <v>7075</v>
          </cell>
          <cell r="J6370">
            <v>0.1406841095890411</v>
          </cell>
        </row>
        <row r="6371">
          <cell r="I6371">
            <v>7076</v>
          </cell>
          <cell r="J6371">
            <v>0.14068591780821918</v>
          </cell>
        </row>
        <row r="6372">
          <cell r="I6372">
            <v>7077</v>
          </cell>
          <cell r="J6372">
            <v>0.14068772602739726</v>
          </cell>
        </row>
        <row r="6373">
          <cell r="I6373">
            <v>7078</v>
          </cell>
          <cell r="J6373">
            <v>0.14068953424657535</v>
          </cell>
        </row>
        <row r="6374">
          <cell r="I6374">
            <v>7079</v>
          </cell>
          <cell r="J6374">
            <v>0.14069134246575343</v>
          </cell>
        </row>
        <row r="6375">
          <cell r="I6375">
            <v>7080</v>
          </cell>
          <cell r="J6375">
            <v>0.14069315068493152</v>
          </cell>
        </row>
        <row r="6376">
          <cell r="I6376">
            <v>7081</v>
          </cell>
          <cell r="J6376">
            <v>0.1406949589041096</v>
          </cell>
        </row>
        <row r="6377">
          <cell r="I6377">
            <v>7082</v>
          </cell>
          <cell r="J6377">
            <v>0.14069676712328769</v>
          </cell>
        </row>
        <row r="6378">
          <cell r="I6378">
            <v>7083</v>
          </cell>
          <cell r="J6378">
            <v>0.14069857534246577</v>
          </cell>
        </row>
        <row r="6379">
          <cell r="I6379">
            <v>7084</v>
          </cell>
          <cell r="J6379">
            <v>0.14070038356164383</v>
          </cell>
        </row>
        <row r="6380">
          <cell r="I6380">
            <v>7085</v>
          </cell>
          <cell r="J6380">
            <v>0.14070219178082191</v>
          </cell>
        </row>
        <row r="6381">
          <cell r="I6381">
            <v>7086</v>
          </cell>
          <cell r="J6381">
            <v>0.140704</v>
          </cell>
        </row>
        <row r="6382">
          <cell r="I6382">
            <v>7087</v>
          </cell>
          <cell r="J6382">
            <v>0.14070580821917808</v>
          </cell>
        </row>
        <row r="6383">
          <cell r="I6383">
            <v>7088</v>
          </cell>
          <cell r="J6383">
            <v>0.14070761643835616</v>
          </cell>
        </row>
        <row r="6384">
          <cell r="I6384">
            <v>7089</v>
          </cell>
          <cell r="J6384">
            <v>0.14070942465753425</v>
          </cell>
        </row>
        <row r="6385">
          <cell r="I6385">
            <v>7090</v>
          </cell>
          <cell r="J6385">
            <v>0.14071123287671233</v>
          </cell>
        </row>
        <row r="6386">
          <cell r="I6386">
            <v>7091</v>
          </cell>
          <cell r="J6386">
            <v>0.14071304109589042</v>
          </cell>
        </row>
        <row r="6387">
          <cell r="I6387">
            <v>7092</v>
          </cell>
          <cell r="J6387">
            <v>0.1407148493150685</v>
          </cell>
        </row>
        <row r="6388">
          <cell r="I6388">
            <v>7093</v>
          </cell>
          <cell r="J6388">
            <v>0.14071665753424659</v>
          </cell>
        </row>
        <row r="6389">
          <cell r="I6389">
            <v>7094</v>
          </cell>
          <cell r="J6389">
            <v>0.14071846575342467</v>
          </cell>
        </row>
        <row r="6390">
          <cell r="I6390">
            <v>7095</v>
          </cell>
          <cell r="J6390">
            <v>0.14072027397260276</v>
          </cell>
        </row>
        <row r="6391">
          <cell r="I6391">
            <v>7096</v>
          </cell>
          <cell r="J6391">
            <v>0.14072208219178084</v>
          </cell>
        </row>
        <row r="6392">
          <cell r="I6392">
            <v>7097</v>
          </cell>
          <cell r="J6392">
            <v>0.1407238904109589</v>
          </cell>
        </row>
        <row r="6393">
          <cell r="I6393">
            <v>7098</v>
          </cell>
          <cell r="J6393">
            <v>0.14072569863013698</v>
          </cell>
        </row>
        <row r="6394">
          <cell r="I6394">
            <v>7099</v>
          </cell>
          <cell r="J6394">
            <v>0.14072750684931506</v>
          </cell>
        </row>
        <row r="6395">
          <cell r="I6395">
            <v>7100</v>
          </cell>
          <cell r="J6395">
            <v>0.14072931506849315</v>
          </cell>
        </row>
        <row r="6396">
          <cell r="I6396">
            <v>7101</v>
          </cell>
          <cell r="J6396">
            <v>0.14073112328767123</v>
          </cell>
        </row>
        <row r="6397">
          <cell r="I6397">
            <v>7102</v>
          </cell>
          <cell r="J6397">
            <v>0.14073293150684932</v>
          </cell>
        </row>
        <row r="6398">
          <cell r="I6398">
            <v>7103</v>
          </cell>
          <cell r="J6398">
            <v>0.1407347397260274</v>
          </cell>
        </row>
        <row r="6399">
          <cell r="I6399">
            <v>7104</v>
          </cell>
          <cell r="J6399">
            <v>0.14073654794520549</v>
          </cell>
        </row>
        <row r="6400">
          <cell r="I6400">
            <v>7105</v>
          </cell>
          <cell r="J6400">
            <v>0.14073835616438357</v>
          </cell>
        </row>
        <row r="6401">
          <cell r="I6401">
            <v>7106</v>
          </cell>
          <cell r="J6401">
            <v>0.14074016438356166</v>
          </cell>
        </row>
        <row r="6402">
          <cell r="I6402">
            <v>7107</v>
          </cell>
          <cell r="J6402">
            <v>0.14074197260273974</v>
          </cell>
        </row>
        <row r="6403">
          <cell r="I6403">
            <v>7108</v>
          </cell>
          <cell r="J6403">
            <v>0.14074378082191782</v>
          </cell>
        </row>
        <row r="6404">
          <cell r="I6404">
            <v>7109</v>
          </cell>
          <cell r="J6404">
            <v>0.14074558904109588</v>
          </cell>
        </row>
        <row r="6405">
          <cell r="I6405">
            <v>7110</v>
          </cell>
          <cell r="J6405">
            <v>0.14074739726027397</v>
          </cell>
        </row>
        <row r="6406">
          <cell r="I6406">
            <v>7111</v>
          </cell>
          <cell r="J6406">
            <v>0.14074920547945205</v>
          </cell>
        </row>
        <row r="6407">
          <cell r="I6407">
            <v>7112</v>
          </cell>
          <cell r="J6407">
            <v>0.14075101369863013</v>
          </cell>
        </row>
        <row r="6408">
          <cell r="I6408">
            <v>7113</v>
          </cell>
          <cell r="J6408">
            <v>0.14075282191780822</v>
          </cell>
        </row>
        <row r="6409">
          <cell r="I6409">
            <v>7114</v>
          </cell>
          <cell r="J6409">
            <v>0.1407546301369863</v>
          </cell>
        </row>
        <row r="6410">
          <cell r="I6410">
            <v>7115</v>
          </cell>
          <cell r="J6410">
            <v>0.14075643835616439</v>
          </cell>
        </row>
        <row r="6411">
          <cell r="I6411">
            <v>7116</v>
          </cell>
          <cell r="J6411">
            <v>0.14075824657534247</v>
          </cell>
        </row>
        <row r="6412">
          <cell r="I6412">
            <v>7117</v>
          </cell>
          <cell r="J6412">
            <v>0.14076005479452056</v>
          </cell>
        </row>
        <row r="6413">
          <cell r="I6413">
            <v>7118</v>
          </cell>
          <cell r="J6413">
            <v>0.14076186301369864</v>
          </cell>
        </row>
        <row r="6414">
          <cell r="I6414">
            <v>7119</v>
          </cell>
          <cell r="J6414">
            <v>0.14076367123287672</v>
          </cell>
        </row>
        <row r="6415">
          <cell r="I6415">
            <v>7120</v>
          </cell>
          <cell r="J6415">
            <v>0.14076547945205481</v>
          </cell>
        </row>
        <row r="6416">
          <cell r="I6416">
            <v>7121</v>
          </cell>
          <cell r="J6416">
            <v>0.14076728767123289</v>
          </cell>
        </row>
        <row r="6417">
          <cell r="I6417">
            <v>7122</v>
          </cell>
          <cell r="J6417">
            <v>0.14076909589041095</v>
          </cell>
        </row>
        <row r="6418">
          <cell r="I6418">
            <v>7123</v>
          </cell>
          <cell r="J6418">
            <v>0.14077090410958903</v>
          </cell>
        </row>
        <row r="6419">
          <cell r="I6419">
            <v>7124</v>
          </cell>
          <cell r="J6419">
            <v>0.14077271232876712</v>
          </cell>
        </row>
        <row r="6420">
          <cell r="I6420">
            <v>7125</v>
          </cell>
          <cell r="J6420">
            <v>0.1407745205479452</v>
          </cell>
        </row>
        <row r="6421">
          <cell r="I6421">
            <v>7126</v>
          </cell>
          <cell r="J6421">
            <v>0.14077632876712329</v>
          </cell>
        </row>
        <row r="6422">
          <cell r="I6422">
            <v>7127</v>
          </cell>
          <cell r="J6422">
            <v>0.14077813698630137</v>
          </cell>
        </row>
        <row r="6423">
          <cell r="I6423">
            <v>7128</v>
          </cell>
          <cell r="J6423">
            <v>0.14077994520547946</v>
          </cell>
        </row>
        <row r="6424">
          <cell r="I6424">
            <v>7129</v>
          </cell>
          <cell r="J6424">
            <v>0.14078175342465754</v>
          </cell>
        </row>
        <row r="6425">
          <cell r="I6425">
            <v>7130</v>
          </cell>
          <cell r="J6425">
            <v>0.14078356164383563</v>
          </cell>
        </row>
        <row r="6426">
          <cell r="I6426">
            <v>7131</v>
          </cell>
          <cell r="J6426">
            <v>0.14078536986301371</v>
          </cell>
        </row>
        <row r="6427">
          <cell r="I6427">
            <v>7132</v>
          </cell>
          <cell r="J6427">
            <v>0.14078717808219179</v>
          </cell>
        </row>
        <row r="6428">
          <cell r="I6428">
            <v>7133</v>
          </cell>
          <cell r="J6428">
            <v>0.14078898630136988</v>
          </cell>
        </row>
        <row r="6429">
          <cell r="I6429">
            <v>7134</v>
          </cell>
          <cell r="J6429">
            <v>0.14079079452054793</v>
          </cell>
        </row>
        <row r="6430">
          <cell r="I6430">
            <v>7135</v>
          </cell>
          <cell r="J6430">
            <v>0.14079260273972602</v>
          </cell>
        </row>
        <row r="6431">
          <cell r="I6431">
            <v>7136</v>
          </cell>
          <cell r="J6431">
            <v>0.1407944109589041</v>
          </cell>
        </row>
        <row r="6432">
          <cell r="I6432">
            <v>7137</v>
          </cell>
          <cell r="J6432">
            <v>0.14079621917808219</v>
          </cell>
        </row>
        <row r="6433">
          <cell r="I6433">
            <v>7138</v>
          </cell>
          <cell r="J6433">
            <v>0.14079802739726027</v>
          </cell>
        </row>
        <row r="6434">
          <cell r="I6434">
            <v>7139</v>
          </cell>
          <cell r="J6434">
            <v>0.14079983561643836</v>
          </cell>
        </row>
        <row r="6435">
          <cell r="I6435">
            <v>7140</v>
          </cell>
          <cell r="J6435">
            <v>0.14080164383561644</v>
          </cell>
        </row>
        <row r="6436">
          <cell r="I6436">
            <v>7141</v>
          </cell>
          <cell r="J6436">
            <v>0.14080345205479453</v>
          </cell>
        </row>
        <row r="6437">
          <cell r="I6437">
            <v>7142</v>
          </cell>
          <cell r="J6437">
            <v>0.14080526027397261</v>
          </cell>
        </row>
        <row r="6438">
          <cell r="I6438">
            <v>7143</v>
          </cell>
          <cell r="J6438">
            <v>0.14080706849315069</v>
          </cell>
        </row>
        <row r="6439">
          <cell r="I6439">
            <v>7144</v>
          </cell>
          <cell r="J6439">
            <v>0.14080887671232878</v>
          </cell>
        </row>
        <row r="6440">
          <cell r="I6440">
            <v>7145</v>
          </cell>
          <cell r="J6440">
            <v>0.14081068493150686</v>
          </cell>
        </row>
        <row r="6441">
          <cell r="I6441">
            <v>7146</v>
          </cell>
          <cell r="J6441">
            <v>0.14081249315068495</v>
          </cell>
        </row>
        <row r="6442">
          <cell r="I6442">
            <v>7147</v>
          </cell>
          <cell r="J6442">
            <v>0.140814301369863</v>
          </cell>
        </row>
        <row r="6443">
          <cell r="I6443">
            <v>7148</v>
          </cell>
          <cell r="J6443">
            <v>0.14081610958904109</v>
          </cell>
        </row>
        <row r="6444">
          <cell r="I6444">
            <v>7149</v>
          </cell>
          <cell r="J6444">
            <v>0.14081791780821917</v>
          </cell>
        </row>
        <row r="6445">
          <cell r="I6445">
            <v>7150</v>
          </cell>
          <cell r="J6445">
            <v>0.14081972602739726</v>
          </cell>
        </row>
        <row r="6446">
          <cell r="I6446">
            <v>7151</v>
          </cell>
          <cell r="J6446">
            <v>0.14082153424657534</v>
          </cell>
        </row>
        <row r="6447">
          <cell r="I6447">
            <v>7152</v>
          </cell>
          <cell r="J6447">
            <v>0.14082334246575343</v>
          </cell>
        </row>
        <row r="6448">
          <cell r="I6448">
            <v>7153</v>
          </cell>
          <cell r="J6448">
            <v>0.14082515068493151</v>
          </cell>
        </row>
        <row r="6449">
          <cell r="I6449">
            <v>7154</v>
          </cell>
          <cell r="J6449">
            <v>0.14082695890410959</v>
          </cell>
        </row>
        <row r="6450">
          <cell r="I6450">
            <v>7155</v>
          </cell>
          <cell r="J6450">
            <v>0.14082876712328768</v>
          </cell>
        </row>
        <row r="6451">
          <cell r="I6451">
            <v>7156</v>
          </cell>
          <cell r="J6451">
            <v>0.14083057534246576</v>
          </cell>
        </row>
        <row r="6452">
          <cell r="I6452">
            <v>7157</v>
          </cell>
          <cell r="J6452">
            <v>0.14083238356164385</v>
          </cell>
        </row>
        <row r="6453">
          <cell r="I6453">
            <v>7158</v>
          </cell>
          <cell r="J6453">
            <v>0.14083419178082193</v>
          </cell>
        </row>
        <row r="6454">
          <cell r="I6454">
            <v>7159</v>
          </cell>
          <cell r="J6454">
            <v>0.14083600000000002</v>
          </cell>
        </row>
        <row r="6455">
          <cell r="I6455">
            <v>7160</v>
          </cell>
          <cell r="J6455">
            <v>0.14083780821917807</v>
          </cell>
        </row>
        <row r="6456">
          <cell r="I6456">
            <v>7161</v>
          </cell>
          <cell r="J6456">
            <v>0.14083961643835616</v>
          </cell>
        </row>
        <row r="6457">
          <cell r="I6457">
            <v>7162</v>
          </cell>
          <cell r="J6457">
            <v>0.14084142465753424</v>
          </cell>
        </row>
        <row r="6458">
          <cell r="I6458">
            <v>7163</v>
          </cell>
          <cell r="J6458">
            <v>0.14084323287671233</v>
          </cell>
        </row>
        <row r="6459">
          <cell r="I6459">
            <v>7164</v>
          </cell>
          <cell r="J6459">
            <v>0.14084504109589041</v>
          </cell>
        </row>
        <row r="6460">
          <cell r="I6460">
            <v>7165</v>
          </cell>
          <cell r="J6460">
            <v>0.1408468493150685</v>
          </cell>
        </row>
        <row r="6461">
          <cell r="I6461">
            <v>7166</v>
          </cell>
          <cell r="J6461">
            <v>0.14084865753424658</v>
          </cell>
        </row>
        <row r="6462">
          <cell r="I6462">
            <v>7167</v>
          </cell>
          <cell r="J6462">
            <v>0.14085046575342466</v>
          </cell>
        </row>
        <row r="6463">
          <cell r="I6463">
            <v>7168</v>
          </cell>
          <cell r="J6463">
            <v>0.14085227397260275</v>
          </cell>
        </row>
        <row r="6464">
          <cell r="I6464">
            <v>7169</v>
          </cell>
          <cell r="J6464">
            <v>0.14085408219178083</v>
          </cell>
        </row>
        <row r="6465">
          <cell r="I6465">
            <v>7170</v>
          </cell>
          <cell r="J6465">
            <v>0.14085589041095892</v>
          </cell>
        </row>
        <row r="6466">
          <cell r="I6466">
            <v>7171</v>
          </cell>
          <cell r="J6466">
            <v>0.140857698630137</v>
          </cell>
        </row>
        <row r="6467">
          <cell r="I6467">
            <v>7172</v>
          </cell>
          <cell r="J6467">
            <v>0.14085950684931509</v>
          </cell>
        </row>
        <row r="6468">
          <cell r="I6468">
            <v>7173</v>
          </cell>
          <cell r="J6468">
            <v>0.14086131506849314</v>
          </cell>
        </row>
        <row r="6469">
          <cell r="I6469">
            <v>7174</v>
          </cell>
          <cell r="J6469">
            <v>0.14086312328767123</v>
          </cell>
        </row>
        <row r="6470">
          <cell r="I6470">
            <v>7175</v>
          </cell>
          <cell r="J6470">
            <v>0.14086493150684931</v>
          </cell>
        </row>
        <row r="6471">
          <cell r="I6471">
            <v>7176</v>
          </cell>
          <cell r="J6471">
            <v>0.1408667397260274</v>
          </cell>
        </row>
        <row r="6472">
          <cell r="I6472">
            <v>7177</v>
          </cell>
          <cell r="J6472">
            <v>0.14086854794520548</v>
          </cell>
        </row>
        <row r="6473">
          <cell r="I6473">
            <v>7178</v>
          </cell>
          <cell r="J6473">
            <v>0.14087035616438356</v>
          </cell>
        </row>
        <row r="6474">
          <cell r="I6474">
            <v>7179</v>
          </cell>
          <cell r="J6474">
            <v>0.14087216438356165</v>
          </cell>
        </row>
        <row r="6475">
          <cell r="I6475">
            <v>7180</v>
          </cell>
          <cell r="J6475">
            <v>0.14087397260273973</v>
          </cell>
        </row>
        <row r="6476">
          <cell r="I6476">
            <v>7181</v>
          </cell>
          <cell r="J6476">
            <v>0.14087578082191782</v>
          </cell>
        </row>
        <row r="6477">
          <cell r="I6477">
            <v>7182</v>
          </cell>
          <cell r="J6477">
            <v>0.1408775890410959</v>
          </cell>
        </row>
        <row r="6478">
          <cell r="I6478">
            <v>7183</v>
          </cell>
          <cell r="J6478">
            <v>0.14087939726027399</v>
          </cell>
        </row>
        <row r="6479">
          <cell r="I6479">
            <v>7184</v>
          </cell>
          <cell r="J6479">
            <v>0.14088120547945207</v>
          </cell>
        </row>
        <row r="6480">
          <cell r="I6480">
            <v>7185</v>
          </cell>
          <cell r="J6480">
            <v>0.14088301369863013</v>
          </cell>
        </row>
        <row r="6481">
          <cell r="I6481">
            <v>7186</v>
          </cell>
          <cell r="J6481">
            <v>0.14088482191780821</v>
          </cell>
        </row>
        <row r="6482">
          <cell r="I6482">
            <v>7187</v>
          </cell>
          <cell r="J6482">
            <v>0.1408866301369863</v>
          </cell>
        </row>
        <row r="6483">
          <cell r="I6483">
            <v>7188</v>
          </cell>
          <cell r="J6483">
            <v>0.14088843835616438</v>
          </cell>
        </row>
        <row r="6484">
          <cell r="I6484">
            <v>7189</v>
          </cell>
          <cell r="J6484">
            <v>0.14089024657534246</v>
          </cell>
        </row>
        <row r="6485">
          <cell r="I6485">
            <v>7190</v>
          </cell>
          <cell r="J6485">
            <v>0.14089205479452055</v>
          </cell>
        </row>
        <row r="6486">
          <cell r="I6486">
            <v>7191</v>
          </cell>
          <cell r="J6486">
            <v>0.14089386301369863</v>
          </cell>
        </row>
        <row r="6487">
          <cell r="I6487">
            <v>7192</v>
          </cell>
          <cell r="J6487">
            <v>0.14089567123287672</v>
          </cell>
        </row>
        <row r="6488">
          <cell r="I6488">
            <v>7193</v>
          </cell>
          <cell r="J6488">
            <v>0.1408974794520548</v>
          </cell>
        </row>
        <row r="6489">
          <cell r="I6489">
            <v>7194</v>
          </cell>
          <cell r="J6489">
            <v>0.14089928767123289</v>
          </cell>
        </row>
        <row r="6490">
          <cell r="I6490">
            <v>7195</v>
          </cell>
          <cell r="J6490">
            <v>0.14090109589041097</v>
          </cell>
        </row>
        <row r="6491">
          <cell r="I6491">
            <v>7196</v>
          </cell>
          <cell r="J6491">
            <v>0.14090290410958906</v>
          </cell>
        </row>
        <row r="6492">
          <cell r="I6492">
            <v>7197</v>
          </cell>
          <cell r="J6492">
            <v>0.14090471232876714</v>
          </cell>
        </row>
        <row r="6493">
          <cell r="I6493">
            <v>7198</v>
          </cell>
          <cell r="J6493">
            <v>0.1409065205479452</v>
          </cell>
        </row>
        <row r="6494">
          <cell r="I6494">
            <v>7199</v>
          </cell>
          <cell r="J6494">
            <v>0.14090832876712328</v>
          </cell>
        </row>
        <row r="6495">
          <cell r="I6495">
            <v>7200</v>
          </cell>
          <cell r="J6495">
            <v>0.14091013698630137</v>
          </cell>
        </row>
        <row r="6496">
          <cell r="I6496">
            <v>7201</v>
          </cell>
          <cell r="J6496">
            <v>0.14091194520547945</v>
          </cell>
        </row>
        <row r="6497">
          <cell r="I6497">
            <v>7202</v>
          </cell>
          <cell r="J6497">
            <v>0.14091375342465753</v>
          </cell>
        </row>
        <row r="6498">
          <cell r="I6498">
            <v>7203</v>
          </cell>
          <cell r="J6498">
            <v>0.14091556164383562</v>
          </cell>
        </row>
        <row r="6499">
          <cell r="I6499">
            <v>7204</v>
          </cell>
          <cell r="J6499">
            <v>0.1409173698630137</v>
          </cell>
        </row>
        <row r="6500">
          <cell r="I6500">
            <v>7205</v>
          </cell>
          <cell r="J6500">
            <v>0.14091917808219179</v>
          </cell>
        </row>
        <row r="6501">
          <cell r="I6501">
            <v>7206</v>
          </cell>
          <cell r="J6501">
            <v>0.14092098630136987</v>
          </cell>
        </row>
        <row r="6502">
          <cell r="I6502">
            <v>7207</v>
          </cell>
          <cell r="J6502">
            <v>0.14092279452054796</v>
          </cell>
        </row>
        <row r="6503">
          <cell r="I6503">
            <v>7208</v>
          </cell>
          <cell r="J6503">
            <v>0.14092460273972604</v>
          </cell>
        </row>
        <row r="6504">
          <cell r="I6504">
            <v>7209</v>
          </cell>
          <cell r="J6504">
            <v>0.14092641095890412</v>
          </cell>
        </row>
        <row r="6505">
          <cell r="I6505">
            <v>7210</v>
          </cell>
          <cell r="J6505">
            <v>0.14092821917808218</v>
          </cell>
        </row>
        <row r="6506">
          <cell r="I6506">
            <v>7211</v>
          </cell>
          <cell r="J6506">
            <v>0.14093002739726027</v>
          </cell>
        </row>
        <row r="6507">
          <cell r="I6507">
            <v>7212</v>
          </cell>
          <cell r="J6507">
            <v>0.14093183561643835</v>
          </cell>
        </row>
        <row r="6508">
          <cell r="I6508">
            <v>7213</v>
          </cell>
          <cell r="J6508">
            <v>0.14093364383561643</v>
          </cell>
        </row>
        <row r="6509">
          <cell r="I6509">
            <v>7214</v>
          </cell>
          <cell r="J6509">
            <v>0.14093545205479452</v>
          </cell>
        </row>
        <row r="6510">
          <cell r="I6510">
            <v>7215</v>
          </cell>
          <cell r="J6510">
            <v>0.1409372602739726</v>
          </cell>
        </row>
        <row r="6511">
          <cell r="I6511">
            <v>7216</v>
          </cell>
          <cell r="J6511">
            <v>0.14093906849315069</v>
          </cell>
        </row>
        <row r="6512">
          <cell r="I6512">
            <v>7217</v>
          </cell>
          <cell r="J6512">
            <v>0.14094087671232877</v>
          </cell>
        </row>
        <row r="6513">
          <cell r="I6513">
            <v>7218</v>
          </cell>
          <cell r="J6513">
            <v>0.14094268493150686</v>
          </cell>
        </row>
        <row r="6514">
          <cell r="I6514">
            <v>7219</v>
          </cell>
          <cell r="J6514">
            <v>0.14094449315068494</v>
          </cell>
        </row>
        <row r="6515">
          <cell r="I6515">
            <v>7220</v>
          </cell>
          <cell r="J6515">
            <v>0.14094630136986303</v>
          </cell>
        </row>
        <row r="6516">
          <cell r="I6516">
            <v>7221</v>
          </cell>
          <cell r="J6516">
            <v>0.14094810958904111</v>
          </cell>
        </row>
        <row r="6517">
          <cell r="I6517">
            <v>7222</v>
          </cell>
          <cell r="J6517">
            <v>0.14094991780821919</v>
          </cell>
        </row>
        <row r="6518">
          <cell r="I6518">
            <v>7223</v>
          </cell>
          <cell r="J6518">
            <v>0.14095172602739725</v>
          </cell>
        </row>
        <row r="6519">
          <cell r="I6519">
            <v>7224</v>
          </cell>
          <cell r="J6519">
            <v>0.14095353424657533</v>
          </cell>
        </row>
        <row r="6520">
          <cell r="I6520">
            <v>7225</v>
          </cell>
          <cell r="J6520">
            <v>0.14095534246575342</v>
          </cell>
        </row>
        <row r="6521">
          <cell r="I6521">
            <v>7226</v>
          </cell>
          <cell r="J6521">
            <v>0.1409571506849315</v>
          </cell>
        </row>
        <row r="6522">
          <cell r="I6522">
            <v>7227</v>
          </cell>
          <cell r="J6522">
            <v>0.14095895890410959</v>
          </cell>
        </row>
        <row r="6523">
          <cell r="I6523">
            <v>7228</v>
          </cell>
          <cell r="J6523">
            <v>0.14096076712328767</v>
          </cell>
        </row>
        <row r="6524">
          <cell r="I6524">
            <v>7229</v>
          </cell>
          <cell r="J6524">
            <v>0.14096257534246576</v>
          </cell>
        </row>
        <row r="6525">
          <cell r="I6525">
            <v>7230</v>
          </cell>
          <cell r="J6525">
            <v>0.14096438356164384</v>
          </cell>
        </row>
        <row r="6526">
          <cell r="I6526">
            <v>7231</v>
          </cell>
          <cell r="J6526">
            <v>0.14096619178082193</v>
          </cell>
        </row>
        <row r="6527">
          <cell r="I6527">
            <v>7232</v>
          </cell>
          <cell r="J6527">
            <v>0.14096800000000001</v>
          </cell>
        </row>
        <row r="6528">
          <cell r="I6528">
            <v>7233</v>
          </cell>
          <cell r="J6528">
            <v>0.14096980821917809</v>
          </cell>
        </row>
        <row r="6529">
          <cell r="I6529">
            <v>7234</v>
          </cell>
          <cell r="J6529">
            <v>0.14097161643835618</v>
          </cell>
        </row>
        <row r="6530">
          <cell r="I6530">
            <v>7235</v>
          </cell>
          <cell r="J6530">
            <v>0.14097342465753426</v>
          </cell>
        </row>
        <row r="6531">
          <cell r="I6531">
            <v>7236</v>
          </cell>
          <cell r="J6531">
            <v>0.14097523287671232</v>
          </cell>
        </row>
        <row r="6532">
          <cell r="I6532">
            <v>7237</v>
          </cell>
          <cell r="J6532">
            <v>0.1409770410958904</v>
          </cell>
        </row>
        <row r="6533">
          <cell r="I6533">
            <v>7238</v>
          </cell>
          <cell r="J6533">
            <v>0.14097884931506849</v>
          </cell>
        </row>
        <row r="6534">
          <cell r="I6534">
            <v>7239</v>
          </cell>
          <cell r="J6534">
            <v>0.14098065753424657</v>
          </cell>
        </row>
        <row r="6535">
          <cell r="I6535">
            <v>7240</v>
          </cell>
          <cell r="J6535">
            <v>0.14098246575342466</v>
          </cell>
        </row>
        <row r="6536">
          <cell r="I6536">
            <v>7241</v>
          </cell>
          <cell r="J6536">
            <v>0.14098427397260274</v>
          </cell>
        </row>
        <row r="6537">
          <cell r="I6537">
            <v>7242</v>
          </cell>
          <cell r="J6537">
            <v>0.14098608219178083</v>
          </cell>
        </row>
        <row r="6538">
          <cell r="I6538">
            <v>7243</v>
          </cell>
          <cell r="J6538">
            <v>0.14098789041095891</v>
          </cell>
        </row>
        <row r="6539">
          <cell r="I6539">
            <v>7244</v>
          </cell>
          <cell r="J6539">
            <v>0.14098969863013699</v>
          </cell>
        </row>
        <row r="6540">
          <cell r="I6540">
            <v>7245</v>
          </cell>
          <cell r="J6540">
            <v>0.14099150684931508</v>
          </cell>
        </row>
        <row r="6541">
          <cell r="I6541">
            <v>7246</v>
          </cell>
          <cell r="J6541">
            <v>0.14099331506849316</v>
          </cell>
        </row>
        <row r="6542">
          <cell r="I6542">
            <v>7247</v>
          </cell>
          <cell r="J6542">
            <v>0.14099512328767125</v>
          </cell>
        </row>
        <row r="6543">
          <cell r="I6543">
            <v>7248</v>
          </cell>
          <cell r="J6543">
            <v>0.14099693150684933</v>
          </cell>
        </row>
        <row r="6544">
          <cell r="I6544">
            <v>7249</v>
          </cell>
          <cell r="J6544">
            <v>0.14099873972602739</v>
          </cell>
        </row>
        <row r="6545">
          <cell r="I6545">
            <v>7250</v>
          </cell>
          <cell r="J6545">
            <v>0.14100054794520547</v>
          </cell>
        </row>
        <row r="6546">
          <cell r="I6546">
            <v>7251</v>
          </cell>
          <cell r="J6546">
            <v>0.14100235616438356</v>
          </cell>
        </row>
        <row r="6547">
          <cell r="I6547">
            <v>7252</v>
          </cell>
          <cell r="J6547">
            <v>0.14100416438356164</v>
          </cell>
        </row>
        <row r="6548">
          <cell r="I6548">
            <v>7253</v>
          </cell>
          <cell r="J6548">
            <v>0.14100597260273973</v>
          </cell>
        </row>
        <row r="6549">
          <cell r="I6549">
            <v>7254</v>
          </cell>
          <cell r="J6549">
            <v>0.14100778082191781</v>
          </cell>
        </row>
        <row r="6550">
          <cell r="I6550">
            <v>7255</v>
          </cell>
          <cell r="J6550">
            <v>0.1410095890410959</v>
          </cell>
        </row>
        <row r="6551">
          <cell r="I6551">
            <v>7256</v>
          </cell>
          <cell r="J6551">
            <v>0.14101139726027398</v>
          </cell>
        </row>
        <row r="6552">
          <cell r="I6552">
            <v>7257</v>
          </cell>
          <cell r="J6552">
            <v>0.14101320547945206</v>
          </cell>
        </row>
        <row r="6553">
          <cell r="I6553">
            <v>7258</v>
          </cell>
          <cell r="J6553">
            <v>0.14101501369863015</v>
          </cell>
        </row>
        <row r="6554">
          <cell r="I6554">
            <v>7259</v>
          </cell>
          <cell r="J6554">
            <v>0.14101682191780823</v>
          </cell>
        </row>
        <row r="6555">
          <cell r="I6555">
            <v>7260</v>
          </cell>
          <cell r="J6555">
            <v>0.14101863013698632</v>
          </cell>
        </row>
        <row r="6556">
          <cell r="I6556">
            <v>7261</v>
          </cell>
          <cell r="J6556">
            <v>0.14102043835616437</v>
          </cell>
        </row>
        <row r="6557">
          <cell r="I6557">
            <v>7262</v>
          </cell>
          <cell r="J6557">
            <v>0.14102224657534246</v>
          </cell>
        </row>
        <row r="6558">
          <cell r="I6558">
            <v>7263</v>
          </cell>
          <cell r="J6558">
            <v>0.14102405479452054</v>
          </cell>
        </row>
        <row r="6559">
          <cell r="I6559">
            <v>7264</v>
          </cell>
          <cell r="J6559">
            <v>0.14102586301369863</v>
          </cell>
        </row>
        <row r="6560">
          <cell r="I6560">
            <v>7265</v>
          </cell>
          <cell r="J6560">
            <v>0.14102767123287671</v>
          </cell>
        </row>
        <row r="6561">
          <cell r="I6561">
            <v>7266</v>
          </cell>
          <cell r="J6561">
            <v>0.1410294794520548</v>
          </cell>
        </row>
        <row r="6562">
          <cell r="I6562">
            <v>7267</v>
          </cell>
          <cell r="J6562">
            <v>0.14103128767123288</v>
          </cell>
        </row>
        <row r="6563">
          <cell r="I6563">
            <v>7268</v>
          </cell>
          <cell r="J6563">
            <v>0.14103309589041096</v>
          </cell>
        </row>
        <row r="6564">
          <cell r="I6564">
            <v>7269</v>
          </cell>
          <cell r="J6564">
            <v>0.14103490410958905</v>
          </cell>
        </row>
        <row r="6565">
          <cell r="I6565">
            <v>7270</v>
          </cell>
          <cell r="J6565">
            <v>0.14103671232876713</v>
          </cell>
        </row>
        <row r="6566">
          <cell r="I6566">
            <v>7271</v>
          </cell>
          <cell r="J6566">
            <v>0.14103852054794522</v>
          </cell>
        </row>
        <row r="6567">
          <cell r="I6567">
            <v>7272</v>
          </cell>
          <cell r="J6567">
            <v>0.1410403287671233</v>
          </cell>
        </row>
        <row r="6568">
          <cell r="I6568">
            <v>7273</v>
          </cell>
          <cell r="J6568">
            <v>0.14104213698630139</v>
          </cell>
        </row>
        <row r="6569">
          <cell r="I6569">
            <v>7274</v>
          </cell>
          <cell r="J6569">
            <v>0.14104394520547944</v>
          </cell>
        </row>
        <row r="6570">
          <cell r="I6570">
            <v>7275</v>
          </cell>
          <cell r="J6570">
            <v>0.14104575342465753</v>
          </cell>
        </row>
        <row r="6571">
          <cell r="I6571">
            <v>7276</v>
          </cell>
          <cell r="J6571">
            <v>0.14104756164383561</v>
          </cell>
        </row>
        <row r="6572">
          <cell r="I6572">
            <v>7277</v>
          </cell>
          <cell r="J6572">
            <v>0.1410493698630137</v>
          </cell>
        </row>
        <row r="6573">
          <cell r="I6573">
            <v>7278</v>
          </cell>
          <cell r="J6573">
            <v>0.14105117808219178</v>
          </cell>
        </row>
        <row r="6574">
          <cell r="I6574">
            <v>7279</v>
          </cell>
          <cell r="J6574">
            <v>0.14105298630136986</v>
          </cell>
        </row>
        <row r="6575">
          <cell r="I6575">
            <v>7280</v>
          </cell>
          <cell r="J6575">
            <v>0.14105479452054795</v>
          </cell>
        </row>
        <row r="6576">
          <cell r="I6576">
            <v>7281</v>
          </cell>
          <cell r="J6576">
            <v>0.14105660273972603</v>
          </cell>
        </row>
        <row r="6577">
          <cell r="I6577">
            <v>7282</v>
          </cell>
          <cell r="J6577">
            <v>0.14105841095890412</v>
          </cell>
        </row>
        <row r="6578">
          <cell r="I6578">
            <v>7283</v>
          </cell>
          <cell r="J6578">
            <v>0.1410602191780822</v>
          </cell>
        </row>
        <row r="6579">
          <cell r="I6579">
            <v>7284</v>
          </cell>
          <cell r="J6579">
            <v>0.14106202739726029</v>
          </cell>
        </row>
        <row r="6580">
          <cell r="I6580">
            <v>7285</v>
          </cell>
          <cell r="J6580">
            <v>0.14106383561643837</v>
          </cell>
        </row>
        <row r="6581">
          <cell r="I6581">
            <v>7286</v>
          </cell>
          <cell r="J6581">
            <v>0.14106564383561643</v>
          </cell>
        </row>
        <row r="6582">
          <cell r="I6582">
            <v>7287</v>
          </cell>
          <cell r="J6582">
            <v>0.14106745205479451</v>
          </cell>
        </row>
        <row r="6583">
          <cell r="I6583">
            <v>7288</v>
          </cell>
          <cell r="J6583">
            <v>0.1410692602739726</v>
          </cell>
        </row>
        <row r="6584">
          <cell r="I6584">
            <v>7289</v>
          </cell>
          <cell r="J6584">
            <v>0.14107106849315068</v>
          </cell>
        </row>
        <row r="6585">
          <cell r="I6585">
            <v>7290</v>
          </cell>
          <cell r="J6585">
            <v>0.14107287671232877</v>
          </cell>
        </row>
        <row r="6586">
          <cell r="I6586">
            <v>7291</v>
          </cell>
          <cell r="J6586">
            <v>0.14107468493150685</v>
          </cell>
        </row>
        <row r="6587">
          <cell r="I6587">
            <v>7292</v>
          </cell>
          <cell r="J6587">
            <v>0.14107649315068493</v>
          </cell>
        </row>
        <row r="6588">
          <cell r="I6588">
            <v>7293</v>
          </cell>
          <cell r="J6588">
            <v>0.14107830136986302</v>
          </cell>
        </row>
        <row r="6589">
          <cell r="I6589">
            <v>7294</v>
          </cell>
          <cell r="J6589">
            <v>0.1410801095890411</v>
          </cell>
        </row>
        <row r="6590">
          <cell r="I6590">
            <v>7295</v>
          </cell>
          <cell r="J6590">
            <v>0.14108191780821919</v>
          </cell>
        </row>
        <row r="6591">
          <cell r="I6591">
            <v>7296</v>
          </cell>
          <cell r="J6591">
            <v>0.14108372602739727</v>
          </cell>
        </row>
        <row r="6592">
          <cell r="I6592">
            <v>7297</v>
          </cell>
          <cell r="J6592">
            <v>0.14108553424657536</v>
          </cell>
        </row>
        <row r="6593">
          <cell r="I6593">
            <v>7298</v>
          </cell>
          <cell r="J6593">
            <v>0.14108734246575344</v>
          </cell>
        </row>
        <row r="6594">
          <cell r="I6594">
            <v>7299</v>
          </cell>
          <cell r="J6594">
            <v>0.1410891506849315</v>
          </cell>
        </row>
        <row r="6595">
          <cell r="I6595">
            <v>7300</v>
          </cell>
          <cell r="J6595">
            <v>0.14109095890410958</v>
          </cell>
        </row>
        <row r="6596">
          <cell r="I6596">
            <v>7301</v>
          </cell>
          <cell r="J6596">
            <v>0.14109276712328767</v>
          </cell>
        </row>
        <row r="6597">
          <cell r="I6597">
            <v>7302</v>
          </cell>
          <cell r="J6597">
            <v>0.14109457534246575</v>
          </cell>
        </row>
        <row r="6598">
          <cell r="I6598">
            <v>7303</v>
          </cell>
          <cell r="J6598">
            <v>0.14109638356164383</v>
          </cell>
        </row>
        <row r="6599">
          <cell r="I6599">
            <v>7304</v>
          </cell>
          <cell r="J6599">
            <v>0.14109819178082192</v>
          </cell>
        </row>
        <row r="6600">
          <cell r="I6600">
            <v>7305</v>
          </cell>
          <cell r="J6600">
            <v>0.1411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 31.12.2021"/>
      <sheetName val="comparison"/>
      <sheetName val="Capital Growth Fund"/>
      <sheetName val="Equity - CIAP MA"/>
      <sheetName val="Equity Portfolio Movement"/>
      <sheetName val="Daily Trade Summary"/>
      <sheetName val="YTD Purchases"/>
      <sheetName val="YTD Sales"/>
      <sheetName val="Brokerage"/>
      <sheetName val="TDR accrual "/>
      <sheetName val="PIB Sold"/>
      <sheetName val="DPA - HBL"/>
      <sheetName val="PIB"/>
      <sheetName val="PIB Accrual And Income"/>
      <sheetName val="PIB Ammortization"/>
      <sheetName val="T-Bills"/>
      <sheetName val="T-Bills Amortization "/>
      <sheetName val="TFCs -Market Value "/>
      <sheetName val="TFCs -Accrued Income"/>
      <sheetName val="NCCPL Charges"/>
      <sheetName val="NCCPL Working"/>
      <sheetName val="Dividend"/>
      <sheetName val="Bonus"/>
      <sheetName val="PKRV"/>
      <sheetName val="Rates"/>
      <sheetName val="TDR - NBP - 22-Apr-21"/>
      <sheetName val="MONTHLY CDC CHARGES"/>
      <sheetName val="MONTHLY BANK CHARGES"/>
      <sheetName val="Soneri - 08Jan21-TFC"/>
      <sheetName val="Right Shares - Mughal"/>
      <sheetName val="Right Shares - ICL"/>
      <sheetName val="Right Shares - HASCOL"/>
    </sheetNames>
    <sheetDataSet>
      <sheetData sheetId="0">
        <row r="6">
          <cell r="B6">
            <v>44561</v>
          </cell>
        </row>
      </sheetData>
      <sheetData sheetId="1" refreshError="1"/>
      <sheetData sheetId="2" refreshError="1"/>
      <sheetData sheetId="3">
        <row r="8">
          <cell r="A8" t="str">
            <v>BAFL</v>
          </cell>
        </row>
        <row r="141">
          <cell r="C141">
            <v>289336797</v>
          </cell>
          <cell r="I141">
            <v>28817612250.964211</v>
          </cell>
          <cell r="K141">
            <v>24686805475.970001</v>
          </cell>
        </row>
      </sheetData>
      <sheetData sheetId="4">
        <row r="6">
          <cell r="A6" t="str">
            <v>BAFL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">
          <cell r="B1" t="str">
            <v>HGFA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 09.05.2016"/>
      <sheetName val="Equity Portfolio"/>
      <sheetName val="Daily Trade Summary"/>
      <sheetName val="YTD Trade Summary"/>
      <sheetName val="YTD Sales"/>
      <sheetName val="PIB"/>
      <sheetName val="PIB Sold"/>
      <sheetName val="PIB -Accrual"/>
      <sheetName val="PIB Income "/>
      <sheetName val="T-Bills"/>
      <sheetName val="T-Bills Amortization "/>
      <sheetName val="TDR accrual"/>
      <sheetName val="PKRV"/>
      <sheetName val="Dividend"/>
      <sheetName val="Bonus"/>
      <sheetName val="comparison"/>
      <sheetName val="Rates"/>
    </sheetNames>
    <sheetDataSet>
      <sheetData sheetId="0"/>
      <sheetData sheetId="1"/>
      <sheetData sheetId="2">
        <row r="1">
          <cell r="B1" t="str">
            <v>JUBILEE LIFE INSURANCE COMPANY LIMITED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Analysis"/>
      <sheetName val="NAV 10.03.2020"/>
      <sheetName val="Comparision"/>
      <sheetName val="Equity"/>
      <sheetName val="Daily Summary"/>
      <sheetName val="Equity Portfolio "/>
      <sheetName val="Summary"/>
      <sheetName val="YTD Summary - Purchases"/>
      <sheetName val="YTD Summary - Sales"/>
      <sheetName val="Brokerage"/>
      <sheetName val="PIB"/>
      <sheetName val="PIB -Accrual And Income"/>
      <sheetName val="PIB -Income "/>
      <sheetName val="PIB Ammortization"/>
      <sheetName val="TDR accrual"/>
      <sheetName val="DPA - HBL"/>
      <sheetName val="T-Bills"/>
      <sheetName val="T-Bills Amortization"/>
      <sheetName val="TFCs -Market Value "/>
      <sheetName val="TFCs -Accrued Income"/>
      <sheetName val="TFCs - Amortizations"/>
      <sheetName val="Bonus"/>
      <sheetName val="Dividend"/>
      <sheetName val="Right Shares - Mughal"/>
      <sheetName val="Right Shares"/>
      <sheetName val="Right Shares - MEBL"/>
      <sheetName val="Right Shares - HASCOL"/>
      <sheetName val="KSE rates"/>
      <sheetName val="Sheet1"/>
      <sheetName val="PK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JUBILEE LIFE INSURANCE COMPANY LIMITED</v>
          </cell>
        </row>
        <row r="3">
          <cell r="B3" t="str">
            <v>Value date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"/>
      <sheetName val="Script Names"/>
      <sheetName val="Bonus"/>
      <sheetName val="Bonus Tax Working"/>
      <sheetName val="Right Shares - ICL"/>
      <sheetName val="Right Shares - MEBL"/>
      <sheetName val="Engro Corporation"/>
      <sheetName val="Right Shares - HASCOL"/>
      <sheetName val="Right Shares - SEARL"/>
      <sheetName val="Transfer"/>
      <sheetName val="MF Dividend"/>
      <sheetName val="Sheet1"/>
      <sheetName val="Right Shares - HUBC"/>
      <sheetName val="Right Shares - HUBC - Adjusted"/>
      <sheetName val="Sheet3"/>
      <sheetName val="AGIIF"/>
    </sheetNames>
    <sheetDataSet>
      <sheetData sheetId="0"/>
      <sheetData sheetId="1">
        <row r="1">
          <cell r="A1">
            <v>786</v>
          </cell>
          <cell r="B1" t="str">
            <v>786 Investments Limited</v>
          </cell>
        </row>
        <row r="2">
          <cell r="A2" t="str">
            <v>AABS</v>
          </cell>
          <cell r="B2" t="str">
            <v>Al-Abbas Sugar Mills Limited</v>
          </cell>
        </row>
        <row r="3">
          <cell r="A3" t="str">
            <v>ABL</v>
          </cell>
          <cell r="B3" t="str">
            <v>Allied Bank Limited</v>
          </cell>
        </row>
        <row r="4">
          <cell r="A4" t="str">
            <v>ABL-APR</v>
          </cell>
          <cell r="B4" t="str">
            <v>Allied Bank Limited</v>
          </cell>
        </row>
        <row r="5">
          <cell r="A5" t="str">
            <v>ABL-FEB</v>
          </cell>
          <cell r="B5" t="str">
            <v>Allied Bank Limited</v>
          </cell>
        </row>
        <row r="6">
          <cell r="A6" t="str">
            <v>ABL-MAR</v>
          </cell>
          <cell r="B6" t="str">
            <v>Allied Bank Limited</v>
          </cell>
        </row>
        <row r="7">
          <cell r="A7" t="str">
            <v>ABOT</v>
          </cell>
          <cell r="B7" t="str">
            <v>Abbott Laboratories (Pakistan) Limited</v>
          </cell>
        </row>
        <row r="8">
          <cell r="A8" t="str">
            <v>ACPL</v>
          </cell>
          <cell r="B8" t="str">
            <v>Attock Cement Pakistan Limited</v>
          </cell>
        </row>
        <row r="9">
          <cell r="A9" t="str">
            <v>ADAMS</v>
          </cell>
          <cell r="B9" t="str">
            <v>Adam Sugar Mills Limited</v>
          </cell>
        </row>
        <row r="10">
          <cell r="A10" t="str">
            <v>ADMM</v>
          </cell>
          <cell r="B10" t="str">
            <v>Artistic Denim Mills Limited</v>
          </cell>
        </row>
        <row r="11">
          <cell r="A11" t="str">
            <v>ADOS</v>
          </cell>
          <cell r="B11" t="str">
            <v>Ados Pakistan Limited</v>
          </cell>
        </row>
        <row r="12">
          <cell r="A12" t="str">
            <v>AGHA</v>
          </cell>
          <cell r="B12" t="str">
            <v>Agha Steel Ind.Ltd</v>
          </cell>
        </row>
        <row r="13">
          <cell r="A13" t="str">
            <v>AGHA-APR</v>
          </cell>
          <cell r="B13" t="str">
            <v>AGHA-APR</v>
          </cell>
        </row>
        <row r="14">
          <cell r="A14" t="str">
            <v>AGHA-FEB</v>
          </cell>
          <cell r="B14" t="str">
            <v>AGHA-FEB</v>
          </cell>
        </row>
        <row r="15">
          <cell r="A15" t="str">
            <v>AGHA-MAR</v>
          </cell>
          <cell r="B15" t="str">
            <v>AGHA-MAR</v>
          </cell>
        </row>
        <row r="16">
          <cell r="A16" t="str">
            <v>AGIL</v>
          </cell>
          <cell r="B16" t="str">
            <v>Agriauto Industries Limited</v>
          </cell>
        </row>
        <row r="17">
          <cell r="A17" t="str">
            <v>AGL</v>
          </cell>
          <cell r="B17" t="str">
            <v>Agritech Limited</v>
          </cell>
        </row>
        <row r="18">
          <cell r="A18" t="str">
            <v>AGL-APR</v>
          </cell>
          <cell r="B18" t="str">
            <v>AGL-APR</v>
          </cell>
        </row>
        <row r="19">
          <cell r="A19" t="str">
            <v>AGL-FEB</v>
          </cell>
          <cell r="B19" t="str">
            <v>AGL-FEB</v>
          </cell>
        </row>
        <row r="20">
          <cell r="A20" t="str">
            <v>AGL-MAR</v>
          </cell>
          <cell r="B20" t="str">
            <v>AGL-MAR</v>
          </cell>
        </row>
        <row r="21">
          <cell r="A21" t="str">
            <v>AGP</v>
          </cell>
          <cell r="B21" t="str">
            <v>AGP Limited</v>
          </cell>
        </row>
        <row r="22">
          <cell r="A22" t="str">
            <v>AGP-APR</v>
          </cell>
          <cell r="B22" t="str">
            <v>AGP-APR</v>
          </cell>
        </row>
        <row r="23">
          <cell r="A23" t="str">
            <v>AGP-FEB</v>
          </cell>
          <cell r="B23" t="str">
            <v>AGP-FEB</v>
          </cell>
        </row>
        <row r="24">
          <cell r="A24" t="str">
            <v>AGP-MAR</v>
          </cell>
          <cell r="B24" t="str">
            <v>AGP-MAR</v>
          </cell>
        </row>
        <row r="25">
          <cell r="A25" t="str">
            <v>AGSML</v>
          </cell>
          <cell r="B25" t="str">
            <v>Abdullah Shah Ghazi Sugar Mills Limited</v>
          </cell>
        </row>
        <row r="26">
          <cell r="A26" t="str">
            <v>AGTL</v>
          </cell>
          <cell r="B26" t="str">
            <v>Al-Ghazi Tractors Limited</v>
          </cell>
        </row>
        <row r="27">
          <cell r="A27" t="str">
            <v>AHCL</v>
          </cell>
          <cell r="B27" t="str">
            <v>Arif Habib Corporation Limited</v>
          </cell>
        </row>
        <row r="28">
          <cell r="A28" t="str">
            <v>AHL</v>
          </cell>
          <cell r="B28" t="str">
            <v>Arif Habib Limited</v>
          </cell>
        </row>
        <row r="29">
          <cell r="A29" t="str">
            <v>AICL</v>
          </cell>
          <cell r="B29" t="str">
            <v>Adamjee Insurance Company Limited</v>
          </cell>
        </row>
        <row r="30">
          <cell r="A30" t="str">
            <v>AIRLINK</v>
          </cell>
          <cell r="B30" t="str">
            <v>Air Link Communication Limited</v>
          </cell>
        </row>
        <row r="31">
          <cell r="A31" t="str">
            <v>AKBL</v>
          </cell>
          <cell r="B31" t="str">
            <v>Askari Bank Limited</v>
          </cell>
        </row>
        <row r="32">
          <cell r="A32" t="str">
            <v>AKDHL</v>
          </cell>
          <cell r="B32" t="str">
            <v>AKD Hospitality Limited</v>
          </cell>
        </row>
        <row r="33">
          <cell r="A33" t="str">
            <v>ALAC</v>
          </cell>
          <cell r="B33" t="str">
            <v>Askari Life Assurance Company Limited</v>
          </cell>
        </row>
        <row r="34">
          <cell r="A34" t="str">
            <v>ALTN</v>
          </cell>
          <cell r="B34" t="str">
            <v>Altern Energy Limited</v>
          </cell>
        </row>
        <row r="35">
          <cell r="A35" t="str">
            <v>AMBL</v>
          </cell>
          <cell r="B35" t="str">
            <v>Apna Microfinance Bank Limited</v>
          </cell>
        </row>
        <row r="36">
          <cell r="A36" t="str">
            <v>ANL</v>
          </cell>
          <cell r="B36" t="str">
            <v>Azgard Nine Limited</v>
          </cell>
        </row>
        <row r="37">
          <cell r="A37" t="str">
            <v>ANL-APR</v>
          </cell>
          <cell r="B37" t="str">
            <v>Azgard Nine Ltd.</v>
          </cell>
        </row>
        <row r="38">
          <cell r="A38" t="str">
            <v>ANL-FEB</v>
          </cell>
          <cell r="B38" t="str">
            <v>Azgard Nine Ltd.</v>
          </cell>
        </row>
        <row r="39">
          <cell r="A39" t="str">
            <v>ANL-MAR</v>
          </cell>
          <cell r="B39" t="str">
            <v>Azgard Nine Ltd.</v>
          </cell>
        </row>
        <row r="40">
          <cell r="A40" t="str">
            <v>APL</v>
          </cell>
          <cell r="B40" t="str">
            <v>Attock Petroleum Limited</v>
          </cell>
        </row>
        <row r="41">
          <cell r="A41" t="str">
            <v>ARM</v>
          </cell>
          <cell r="B41" t="str">
            <v>Allied Rental Modaraba</v>
          </cell>
        </row>
        <row r="42">
          <cell r="A42" t="str">
            <v>ARPL</v>
          </cell>
          <cell r="B42" t="str">
            <v>Archroma Pakistan Limited</v>
          </cell>
        </row>
        <row r="43">
          <cell r="A43" t="str">
            <v>ARUJ</v>
          </cell>
          <cell r="B43" t="str">
            <v>Aruj Industries Limited</v>
          </cell>
        </row>
        <row r="44">
          <cell r="A44" t="str">
            <v>ASC</v>
          </cell>
          <cell r="B44" t="str">
            <v>Al Shaheer Corporation Limited</v>
          </cell>
        </row>
        <row r="45">
          <cell r="A45" t="str">
            <v>ASC-APR</v>
          </cell>
          <cell r="B45" t="str">
            <v>Al Shaheer Corporation Limited</v>
          </cell>
        </row>
        <row r="46">
          <cell r="A46" t="str">
            <v>ASC-FEB</v>
          </cell>
          <cell r="B46" t="str">
            <v>ASC-FEB</v>
          </cell>
        </row>
        <row r="47">
          <cell r="A47" t="str">
            <v>ASC-MAR</v>
          </cell>
          <cell r="B47" t="str">
            <v>ASC-MAR</v>
          </cell>
        </row>
        <row r="48">
          <cell r="A48" t="str">
            <v>ASL</v>
          </cell>
          <cell r="B48" t="str">
            <v>Aisha Steel Mills Limited</v>
          </cell>
        </row>
        <row r="49">
          <cell r="A49" t="str">
            <v>ASL-APR</v>
          </cell>
          <cell r="B49" t="str">
            <v>Aisha Steel Mills Limited</v>
          </cell>
        </row>
        <row r="50">
          <cell r="A50" t="str">
            <v>ASL-FEB</v>
          </cell>
          <cell r="B50" t="str">
            <v>Aisha Steel Mills Limited</v>
          </cell>
        </row>
        <row r="51">
          <cell r="A51" t="str">
            <v>ASL-MAR</v>
          </cell>
          <cell r="B51" t="str">
            <v>Aisha Steel Mills Limited</v>
          </cell>
        </row>
        <row r="52">
          <cell r="A52" t="str">
            <v>ASTL</v>
          </cell>
          <cell r="B52" t="str">
            <v>Amreli Steels Limited</v>
          </cell>
        </row>
        <row r="53">
          <cell r="A53" t="str">
            <v>ASTL-APR</v>
          </cell>
          <cell r="B53" t="str">
            <v>Amreli Steels Limited</v>
          </cell>
        </row>
        <row r="54">
          <cell r="A54" t="str">
            <v>ASTL-FEB</v>
          </cell>
          <cell r="B54" t="str">
            <v>Amreli Steels Limited</v>
          </cell>
        </row>
        <row r="55">
          <cell r="A55" t="str">
            <v>ASTL-MAR</v>
          </cell>
          <cell r="B55" t="str">
            <v>Amreli Steels Limited</v>
          </cell>
        </row>
        <row r="56">
          <cell r="A56" t="str">
            <v>ASTM</v>
          </cell>
          <cell r="B56" t="str">
            <v>Asim Textile Mills Limited</v>
          </cell>
        </row>
        <row r="57">
          <cell r="A57" t="str">
            <v>ATBA</v>
          </cell>
          <cell r="B57" t="str">
            <v>Atlas Battery Limited</v>
          </cell>
        </row>
        <row r="58">
          <cell r="A58" t="str">
            <v>ATIL</v>
          </cell>
          <cell r="B58" t="str">
            <v>Atlas Insurance Limited</v>
          </cell>
        </row>
        <row r="59">
          <cell r="A59" t="str">
            <v>ATLH</v>
          </cell>
          <cell r="B59" t="str">
            <v>Atlas Honda Limited</v>
          </cell>
        </row>
        <row r="60">
          <cell r="A60" t="str">
            <v>ATRL</v>
          </cell>
          <cell r="B60" t="str">
            <v>Attock Refinery Limited</v>
          </cell>
        </row>
        <row r="61">
          <cell r="A61" t="str">
            <v>ATRL-APR</v>
          </cell>
          <cell r="B61" t="str">
            <v>Attock Refinery Ltd.</v>
          </cell>
        </row>
        <row r="62">
          <cell r="A62" t="str">
            <v>ATRL-FEB</v>
          </cell>
          <cell r="B62" t="str">
            <v>Attock Refinery Ltd.</v>
          </cell>
        </row>
        <row r="63">
          <cell r="A63" t="str">
            <v>ATRL-MAR</v>
          </cell>
          <cell r="B63" t="str">
            <v>Attock Refinery Ltd.</v>
          </cell>
        </row>
        <row r="64">
          <cell r="A64" t="str">
            <v>AVN</v>
          </cell>
          <cell r="B64" t="str">
            <v>Avanceon Limited</v>
          </cell>
        </row>
        <row r="65">
          <cell r="A65" t="str">
            <v>AVN-APR</v>
          </cell>
          <cell r="B65" t="str">
            <v>Avanceon Limited</v>
          </cell>
        </row>
        <row r="66">
          <cell r="A66" t="str">
            <v>AVN-FEB</v>
          </cell>
          <cell r="B66" t="str">
            <v>Avanceon Limited</v>
          </cell>
        </row>
        <row r="67">
          <cell r="A67" t="str">
            <v>AVN-MAR</v>
          </cell>
          <cell r="B67" t="str">
            <v>Avanceon Limited</v>
          </cell>
        </row>
        <row r="68">
          <cell r="A68" t="str">
            <v>BAFL</v>
          </cell>
          <cell r="B68" t="str">
            <v>Bank Alfalah Limited</v>
          </cell>
        </row>
        <row r="69">
          <cell r="A69" t="str">
            <v>BAFL-APR</v>
          </cell>
          <cell r="B69" t="str">
            <v>Bank Alfalah Ltd</v>
          </cell>
        </row>
        <row r="70">
          <cell r="A70" t="str">
            <v>BAFL-FEB</v>
          </cell>
          <cell r="B70" t="str">
            <v>Bank Al-Falah Limited</v>
          </cell>
        </row>
        <row r="71">
          <cell r="A71" t="str">
            <v>BAFL-MAR</v>
          </cell>
          <cell r="B71" t="str">
            <v>Bank Alfalah Ltd</v>
          </cell>
        </row>
        <row r="72">
          <cell r="A72" t="str">
            <v>BAHL</v>
          </cell>
          <cell r="B72" t="str">
            <v>Bank AL Habib Limited</v>
          </cell>
        </row>
        <row r="73">
          <cell r="A73" t="str">
            <v>BAHL-APR</v>
          </cell>
          <cell r="B73" t="str">
            <v>Bank AL-Habib Limited</v>
          </cell>
        </row>
        <row r="74">
          <cell r="A74" t="str">
            <v>BAHL-FEB</v>
          </cell>
          <cell r="B74" t="str">
            <v>Bank AL-Habib Limited</v>
          </cell>
        </row>
        <row r="75">
          <cell r="A75" t="str">
            <v>BAHL-MAR</v>
          </cell>
          <cell r="B75" t="str">
            <v>Bank AL-Habib Limited</v>
          </cell>
        </row>
        <row r="76">
          <cell r="A76" t="str">
            <v>BAPL</v>
          </cell>
          <cell r="B76" t="str">
            <v>Bawany Air Products Limited</v>
          </cell>
        </row>
        <row r="77">
          <cell r="A77" t="str">
            <v>BATA</v>
          </cell>
          <cell r="B77" t="str">
            <v>Bata Pakistan Limited</v>
          </cell>
        </row>
        <row r="78">
          <cell r="A78" t="str">
            <v>BCML</v>
          </cell>
          <cell r="B78" t="str">
            <v>Babri Cotton Mills Limited</v>
          </cell>
        </row>
        <row r="79">
          <cell r="A79" t="str">
            <v>BECO</v>
          </cell>
          <cell r="B79" t="str">
            <v>Beco Steel Limited</v>
          </cell>
        </row>
        <row r="80">
          <cell r="A80" t="str">
            <v>BERG</v>
          </cell>
          <cell r="B80" t="str">
            <v>Berger Paints Pakistan Limited</v>
          </cell>
        </row>
        <row r="81">
          <cell r="A81" t="str">
            <v>BFMOD</v>
          </cell>
          <cell r="B81" t="str">
            <v>B.F. Modaraba</v>
          </cell>
        </row>
        <row r="82">
          <cell r="A82" t="str">
            <v>BGL</v>
          </cell>
          <cell r="B82" t="str">
            <v>Balochistan Glass Limited</v>
          </cell>
        </row>
        <row r="83">
          <cell r="A83" t="str">
            <v>BGL-APR</v>
          </cell>
          <cell r="B83" t="str">
            <v>BGL-APR</v>
          </cell>
        </row>
        <row r="84">
          <cell r="A84" t="str">
            <v>BGL-FEB</v>
          </cell>
          <cell r="B84" t="str">
            <v>BGL-FEB</v>
          </cell>
        </row>
        <row r="85">
          <cell r="A85" t="str">
            <v>BGL-MAR</v>
          </cell>
          <cell r="B85" t="str">
            <v>BGL-MAR</v>
          </cell>
        </row>
        <row r="86">
          <cell r="A86" t="str">
            <v>BIFO</v>
          </cell>
          <cell r="B86" t="str">
            <v>Biafo Industries Limited</v>
          </cell>
        </row>
        <row r="87">
          <cell r="A87" t="str">
            <v>BILF</v>
          </cell>
          <cell r="B87" t="str">
            <v>Bilal Fibres Limited</v>
          </cell>
        </row>
        <row r="88">
          <cell r="A88" t="str">
            <v>BIPL</v>
          </cell>
          <cell r="B88" t="str">
            <v>BankIslami Pakistan Limited</v>
          </cell>
        </row>
        <row r="89">
          <cell r="A89" t="str">
            <v>BIPL-APR</v>
          </cell>
          <cell r="B89" t="str">
            <v>BankIslami Pakistan Limited</v>
          </cell>
        </row>
        <row r="90">
          <cell r="A90" t="str">
            <v>BIPL-FEB</v>
          </cell>
          <cell r="B90" t="str">
            <v>BIPL-FEB</v>
          </cell>
        </row>
        <row r="91">
          <cell r="A91" t="str">
            <v>BIPL-MAR</v>
          </cell>
          <cell r="B91" t="str">
            <v>BankIslami Pakistan Limited</v>
          </cell>
        </row>
        <row r="92">
          <cell r="A92" t="str">
            <v>BIPLS</v>
          </cell>
          <cell r="B92" t="str">
            <v>BIPL Securities Limited</v>
          </cell>
        </row>
        <row r="93">
          <cell r="A93" t="str">
            <v>BIPLSC</v>
          </cell>
          <cell r="B93" t="str">
            <v>Bank IslamiSC</v>
          </cell>
        </row>
        <row r="94">
          <cell r="A94" t="str">
            <v>BNL</v>
          </cell>
          <cell r="B94" t="str">
            <v>Bunnys Limited</v>
          </cell>
        </row>
        <row r="95">
          <cell r="A95" t="str">
            <v>BNWM</v>
          </cell>
          <cell r="B95" t="str">
            <v>Bannu Woollen Mills Limited</v>
          </cell>
        </row>
        <row r="96">
          <cell r="A96" t="str">
            <v>BOP</v>
          </cell>
          <cell r="B96" t="str">
            <v>The Bank of Punjab</v>
          </cell>
        </row>
        <row r="97">
          <cell r="A97" t="str">
            <v>BOP-APR</v>
          </cell>
          <cell r="B97" t="str">
            <v>The Bank Of Punjab</v>
          </cell>
        </row>
        <row r="98">
          <cell r="A98" t="str">
            <v>BOP-FEB</v>
          </cell>
          <cell r="B98" t="str">
            <v>Bank Of Punjab Limited.</v>
          </cell>
        </row>
        <row r="99">
          <cell r="A99" t="str">
            <v>BOP-MAR</v>
          </cell>
          <cell r="B99" t="str">
            <v>The Bank Of Punjab</v>
          </cell>
        </row>
        <row r="100">
          <cell r="A100" t="str">
            <v>BPL</v>
          </cell>
          <cell r="B100" t="str">
            <v>Burshane LPG (Pakistan) Limited</v>
          </cell>
        </row>
        <row r="101">
          <cell r="A101" t="str">
            <v>BUXL</v>
          </cell>
          <cell r="B101" t="str">
            <v>Buxly Paints Limited</v>
          </cell>
        </row>
        <row r="102">
          <cell r="A102" t="str">
            <v>BWCL</v>
          </cell>
          <cell r="B102" t="str">
            <v>Bestway Cement Limited</v>
          </cell>
        </row>
        <row r="103">
          <cell r="A103" t="str">
            <v>BWHL</v>
          </cell>
          <cell r="B103" t="str">
            <v>Baluchistan Wheels Limited</v>
          </cell>
        </row>
        <row r="104">
          <cell r="A104" t="str">
            <v>CCM</v>
          </cell>
          <cell r="B104" t="str">
            <v>Crescent Cotton Mills Limited</v>
          </cell>
        </row>
        <row r="105">
          <cell r="A105" t="str">
            <v>CENI</v>
          </cell>
          <cell r="B105" t="str">
            <v>Century Insurance Company Limited</v>
          </cell>
        </row>
        <row r="106">
          <cell r="A106" t="str">
            <v>CEPB</v>
          </cell>
          <cell r="B106" t="str">
            <v>Century Paper &amp; Board Mills Limited</v>
          </cell>
        </row>
        <row r="107">
          <cell r="A107" t="str">
            <v>CHCC</v>
          </cell>
          <cell r="B107" t="str">
            <v>Cherat Cement Company Limited</v>
          </cell>
        </row>
        <row r="108">
          <cell r="A108" t="str">
            <v>CHCC-APR</v>
          </cell>
          <cell r="B108" t="str">
            <v>Cherat Cement Company Limited</v>
          </cell>
        </row>
        <row r="109">
          <cell r="A109" t="str">
            <v>CHCC-FEB</v>
          </cell>
          <cell r="B109" t="str">
            <v>Cherat Cement Company Limited</v>
          </cell>
        </row>
        <row r="110">
          <cell r="A110" t="str">
            <v>CHCC-MAR</v>
          </cell>
          <cell r="B110" t="str">
            <v>Cherat Cement Company Limited</v>
          </cell>
        </row>
        <row r="111">
          <cell r="A111" t="str">
            <v>CLOV</v>
          </cell>
          <cell r="B111" t="str">
            <v>Clover Pakistan Limited</v>
          </cell>
        </row>
        <row r="112">
          <cell r="A112" t="str">
            <v>CLVL</v>
          </cell>
          <cell r="B112" t="str">
            <v>Cordoba Logistics &amp; Ventures Limited</v>
          </cell>
        </row>
        <row r="113">
          <cell r="A113" t="str">
            <v>CNERGY</v>
          </cell>
          <cell r="B113" t="str">
            <v>Cnergyico PK  Limited</v>
          </cell>
        </row>
        <row r="114">
          <cell r="A114" t="str">
            <v>CNERGY-APR</v>
          </cell>
          <cell r="B114" t="str">
            <v>CNERGY-APR</v>
          </cell>
        </row>
        <row r="115">
          <cell r="A115" t="str">
            <v>CNERGY-FEB</v>
          </cell>
          <cell r="B115" t="str">
            <v>Cnergyico PK Limited</v>
          </cell>
        </row>
        <row r="116">
          <cell r="A116" t="str">
            <v>CNERGY-MAR</v>
          </cell>
          <cell r="B116" t="str">
            <v>CNERGY-MAR</v>
          </cell>
        </row>
        <row r="117">
          <cell r="A117" t="str">
            <v>COLG</v>
          </cell>
          <cell r="B117" t="str">
            <v>Colgate-Palmolive (Pakistan) Limited</v>
          </cell>
        </row>
        <row r="118">
          <cell r="A118" t="str">
            <v>CPHL</v>
          </cell>
          <cell r="B118" t="str">
            <v>Citi Pharma Ltd.</v>
          </cell>
        </row>
        <row r="119">
          <cell r="A119" t="str">
            <v>CPPL</v>
          </cell>
          <cell r="B119" t="str">
            <v>Cherat Packaging Limited</v>
          </cell>
        </row>
        <row r="120">
          <cell r="A120" t="str">
            <v>CRTM</v>
          </cell>
          <cell r="B120" t="str">
            <v>The Crescent Textile Mills Limited</v>
          </cell>
        </row>
        <row r="121">
          <cell r="A121" t="str">
            <v>CSAP</v>
          </cell>
          <cell r="B121" t="str">
            <v>Crescent Steel &amp; Allied Products Limited</v>
          </cell>
        </row>
        <row r="122">
          <cell r="A122" t="str">
            <v>CSIL</v>
          </cell>
          <cell r="B122" t="str">
            <v>Crescent Star Insurance Limited</v>
          </cell>
        </row>
        <row r="123">
          <cell r="A123" t="str">
            <v>CTM</v>
          </cell>
          <cell r="B123" t="str">
            <v>Colony Textile Mills Limited</v>
          </cell>
        </row>
        <row r="124">
          <cell r="A124" t="str">
            <v>CWSM</v>
          </cell>
          <cell r="B124" t="str">
            <v>Chakwal Spinning Mills Limited</v>
          </cell>
        </row>
        <row r="125">
          <cell r="A125" t="str">
            <v>CYAN</v>
          </cell>
          <cell r="B125" t="str">
            <v>Cyan Limited</v>
          </cell>
        </row>
        <row r="126">
          <cell r="A126" t="str">
            <v>DAAG</v>
          </cell>
          <cell r="B126" t="str">
            <v>Data Agro Limited</v>
          </cell>
        </row>
        <row r="127">
          <cell r="A127" t="str">
            <v>DADX</v>
          </cell>
          <cell r="B127" t="str">
            <v>Dadex Eternit Limited</v>
          </cell>
        </row>
        <row r="128">
          <cell r="A128" t="str">
            <v>DAWH</v>
          </cell>
          <cell r="B128" t="str">
            <v>Dawood Hercules Corporation Limited</v>
          </cell>
        </row>
        <row r="129">
          <cell r="A129" t="str">
            <v>DCL</v>
          </cell>
          <cell r="B129" t="str">
            <v>Dewan Cement Limited</v>
          </cell>
        </row>
        <row r="130">
          <cell r="A130" t="str">
            <v>DCL-APR</v>
          </cell>
          <cell r="B130" t="str">
            <v>Dewan Cement Limited</v>
          </cell>
        </row>
        <row r="131">
          <cell r="A131" t="str">
            <v>DCL-FEB</v>
          </cell>
          <cell r="B131" t="str">
            <v>DCL-FEB</v>
          </cell>
        </row>
        <row r="132">
          <cell r="A132" t="str">
            <v>DCL-MAR</v>
          </cell>
          <cell r="B132" t="str">
            <v>Dewan Cement Limited</v>
          </cell>
        </row>
        <row r="133">
          <cell r="A133" t="str">
            <v>DCR</v>
          </cell>
          <cell r="B133" t="str">
            <v>Dolmen City REIT</v>
          </cell>
        </row>
        <row r="134">
          <cell r="A134" t="str">
            <v>DCR-APR</v>
          </cell>
          <cell r="B134" t="str">
            <v>Dolmen City REIT</v>
          </cell>
        </row>
        <row r="135">
          <cell r="A135" t="str">
            <v>DCR-FEBB</v>
          </cell>
          <cell r="B135" t="str">
            <v>DCR-FEBB</v>
          </cell>
        </row>
        <row r="136">
          <cell r="A136" t="str">
            <v>DCR-MARB</v>
          </cell>
          <cell r="B136" t="str">
            <v>DCR-MARB</v>
          </cell>
        </row>
        <row r="137">
          <cell r="A137" t="str">
            <v>DEL</v>
          </cell>
          <cell r="B137" t="str">
            <v>Dawood Equities Limited</v>
          </cell>
        </row>
        <row r="138">
          <cell r="A138" t="str">
            <v>DFML</v>
          </cell>
          <cell r="B138" t="str">
            <v>Dewan Farooque Motors Limited</v>
          </cell>
        </row>
        <row r="139">
          <cell r="A139" t="str">
            <v>DFSM</v>
          </cell>
          <cell r="B139" t="str">
            <v>Dewan Farooque Spinning Mills Limited</v>
          </cell>
        </row>
        <row r="140">
          <cell r="A140" t="str">
            <v>DGKC</v>
          </cell>
          <cell r="B140" t="str">
            <v>D.G. Khan Cement Company Limited</v>
          </cell>
        </row>
        <row r="141">
          <cell r="A141" t="str">
            <v>DGKC-APR</v>
          </cell>
          <cell r="B141" t="str">
            <v>D. G. Khan Cement</v>
          </cell>
        </row>
        <row r="142">
          <cell r="A142" t="str">
            <v>DGKC-FEB</v>
          </cell>
          <cell r="B142" t="str">
            <v>D. G. Khan Cement</v>
          </cell>
        </row>
        <row r="143">
          <cell r="A143" t="str">
            <v>DGKC-MAR</v>
          </cell>
          <cell r="B143" t="str">
            <v>D. G. Khan Cement</v>
          </cell>
        </row>
        <row r="144">
          <cell r="A144" t="str">
            <v>DOL</v>
          </cell>
          <cell r="B144" t="str">
            <v>Descon Oxychem Limited</v>
          </cell>
        </row>
        <row r="145">
          <cell r="A145" t="str">
            <v>DSIL</v>
          </cell>
          <cell r="B145" t="str">
            <v>D.S. Industries Limited</v>
          </cell>
        </row>
        <row r="146">
          <cell r="A146" t="str">
            <v>DSL</v>
          </cell>
          <cell r="B146" t="str">
            <v>Dost Steels Limited</v>
          </cell>
        </row>
        <row r="147">
          <cell r="A147" t="str">
            <v>DSML</v>
          </cell>
          <cell r="B147" t="str">
            <v>Dar-es-Salaam Textile Mills Limited</v>
          </cell>
        </row>
        <row r="148">
          <cell r="A148" t="str">
            <v>DWSM</v>
          </cell>
          <cell r="B148" t="str">
            <v>Dewan Sugar Mills Limited</v>
          </cell>
        </row>
        <row r="149">
          <cell r="A149" t="str">
            <v>DWTM</v>
          </cell>
          <cell r="B149" t="str">
            <v>Dewan Textile Mills Limited</v>
          </cell>
        </row>
        <row r="150">
          <cell r="A150" t="str">
            <v>DYNO</v>
          </cell>
          <cell r="B150" t="str">
            <v>Dynea Pakistan Limited</v>
          </cell>
        </row>
        <row r="151">
          <cell r="A151" t="str">
            <v>ECOP</v>
          </cell>
          <cell r="B151" t="str">
            <v>Ecopack Limited</v>
          </cell>
        </row>
        <row r="152">
          <cell r="A152" t="str">
            <v>EFERT</v>
          </cell>
          <cell r="B152" t="str">
            <v>Engro Fertilizers Limited</v>
          </cell>
        </row>
        <row r="153">
          <cell r="A153" t="str">
            <v>EFERT-APR</v>
          </cell>
          <cell r="B153" t="str">
            <v>Engro Fertilizer Limited</v>
          </cell>
        </row>
        <row r="154">
          <cell r="A154" t="str">
            <v>EFERT-FEB</v>
          </cell>
          <cell r="B154" t="str">
            <v>Engro Fertilizer Limited</v>
          </cell>
        </row>
        <row r="155">
          <cell r="A155" t="str">
            <v>EFERT-MAR</v>
          </cell>
          <cell r="B155" t="str">
            <v>Engro Fertilizer Limited</v>
          </cell>
        </row>
        <row r="156">
          <cell r="A156" t="str">
            <v>EFGH</v>
          </cell>
          <cell r="B156" t="str">
            <v>EFG Hermes Pakistan Limited</v>
          </cell>
        </row>
        <row r="157">
          <cell r="A157" t="str">
            <v>EFUG</v>
          </cell>
          <cell r="B157" t="str">
            <v>EFU General Insurance Limited</v>
          </cell>
        </row>
        <row r="158">
          <cell r="A158" t="str">
            <v>EFUL</v>
          </cell>
          <cell r="B158" t="str">
            <v>EFU Life Assurance Limited</v>
          </cell>
        </row>
        <row r="159">
          <cell r="A159" t="str">
            <v>EMCO</v>
          </cell>
          <cell r="B159" t="str">
            <v>Emco Industries Limited</v>
          </cell>
        </row>
        <row r="160">
          <cell r="A160" t="str">
            <v>ENGRO</v>
          </cell>
          <cell r="B160" t="str">
            <v>Engro Corporation Limited</v>
          </cell>
        </row>
        <row r="161">
          <cell r="A161" t="str">
            <v>ENGRO-APR</v>
          </cell>
          <cell r="B161" t="str">
            <v>Engro Corporation Limited</v>
          </cell>
        </row>
        <row r="162">
          <cell r="A162" t="str">
            <v>ENGRO-FEB</v>
          </cell>
          <cell r="B162" t="str">
            <v>Engro Corporation Limited</v>
          </cell>
        </row>
        <row r="163">
          <cell r="A163" t="str">
            <v>ENGRO-MAR</v>
          </cell>
          <cell r="B163" t="str">
            <v>Engro Corporation Limited</v>
          </cell>
        </row>
        <row r="164">
          <cell r="A164" t="str">
            <v>EPCL</v>
          </cell>
          <cell r="B164" t="str">
            <v>Engro Polymer &amp; Chemicals Limited</v>
          </cell>
        </row>
        <row r="165">
          <cell r="A165" t="str">
            <v>EPCL-APR</v>
          </cell>
          <cell r="B165" t="str">
            <v>Engro Polymer &amp; Chemicals Limited</v>
          </cell>
        </row>
        <row r="166">
          <cell r="A166" t="str">
            <v>EPCL-FEB</v>
          </cell>
          <cell r="B166" t="str">
            <v>Engro Polymer &amp; Chemicals Limited</v>
          </cell>
        </row>
        <row r="167">
          <cell r="A167" t="str">
            <v>EPCL-MAR</v>
          </cell>
          <cell r="B167" t="str">
            <v>Engro Polymer &amp; Chemicals Limited</v>
          </cell>
        </row>
        <row r="168">
          <cell r="A168" t="str">
            <v>EPQL</v>
          </cell>
          <cell r="B168" t="str">
            <v>Engro Powergen Qadirpur Limited</v>
          </cell>
        </row>
        <row r="169">
          <cell r="A169" t="str">
            <v>ESBL</v>
          </cell>
          <cell r="B169" t="str">
            <v>Escorts Investment Bank Limited</v>
          </cell>
        </row>
        <row r="170">
          <cell r="A170" t="str">
            <v>EXIDE</v>
          </cell>
          <cell r="B170" t="str">
            <v>Exide Pakistan Limited</v>
          </cell>
        </row>
        <row r="171">
          <cell r="A171" t="str">
            <v>FABL</v>
          </cell>
          <cell r="B171" t="str">
            <v>Faysal Bank Limited</v>
          </cell>
        </row>
        <row r="172">
          <cell r="A172" t="str">
            <v>FABL-APR</v>
          </cell>
          <cell r="B172" t="str">
            <v>Faysal Bank Limited</v>
          </cell>
        </row>
        <row r="173">
          <cell r="A173" t="str">
            <v>FABL-FEB</v>
          </cell>
          <cell r="B173" t="str">
            <v>Faysal Bank Limited</v>
          </cell>
        </row>
        <row r="174">
          <cell r="A174" t="str">
            <v>FABL-MAR</v>
          </cell>
          <cell r="B174" t="str">
            <v>Faysal Bank Limited</v>
          </cell>
        </row>
        <row r="175">
          <cell r="A175" t="str">
            <v>FASM</v>
          </cell>
          <cell r="B175" t="str">
            <v>Faisal Spinning Mills Limited</v>
          </cell>
        </row>
        <row r="176">
          <cell r="A176" t="str">
            <v>FATIMA</v>
          </cell>
          <cell r="B176" t="str">
            <v>Fatima Fertilizer Company Limited</v>
          </cell>
        </row>
        <row r="177">
          <cell r="A177" t="str">
            <v>FATIMA-APR</v>
          </cell>
          <cell r="B177" t="str">
            <v>Fatima Fert.Co.</v>
          </cell>
        </row>
        <row r="178">
          <cell r="A178" t="str">
            <v>FATIMA-FEB</v>
          </cell>
          <cell r="B178" t="str">
            <v>Fatima Fert.Co</v>
          </cell>
        </row>
        <row r="179">
          <cell r="A179" t="str">
            <v>FATIMA-MAR</v>
          </cell>
          <cell r="B179" t="str">
            <v>Fatima Fert.Co.</v>
          </cell>
        </row>
        <row r="180">
          <cell r="A180" t="str">
            <v>FCCL</v>
          </cell>
          <cell r="B180" t="str">
            <v>Fauji Cement Company Limited</v>
          </cell>
        </row>
        <row r="181">
          <cell r="A181" t="str">
            <v>FCCL-APR</v>
          </cell>
          <cell r="B181" t="str">
            <v>Fauji Cement Company Ltd.</v>
          </cell>
        </row>
        <row r="182">
          <cell r="A182" t="str">
            <v>FCCL-FEB</v>
          </cell>
          <cell r="B182" t="str">
            <v>Fauji Cement Company Ltd.</v>
          </cell>
        </row>
        <row r="183">
          <cell r="A183" t="str">
            <v>FCCL-MAR</v>
          </cell>
          <cell r="B183" t="str">
            <v>Fauji Cement Company Ltd.</v>
          </cell>
        </row>
        <row r="184">
          <cell r="A184" t="str">
            <v>FCEPL</v>
          </cell>
          <cell r="B184" t="str">
            <v>Frieslandcampina Engro Pakistan Limited</v>
          </cell>
        </row>
        <row r="185">
          <cell r="A185" t="str">
            <v>FCEPL-APR</v>
          </cell>
          <cell r="B185" t="str">
            <v>Frieslandcampins Engro Foods Limited</v>
          </cell>
        </row>
        <row r="186">
          <cell r="A186" t="str">
            <v>FCEPL-FEB</v>
          </cell>
          <cell r="B186" t="str">
            <v>Frieslandcampins Engro Foods Limited</v>
          </cell>
        </row>
        <row r="187">
          <cell r="A187" t="str">
            <v>FCEPL-MAR</v>
          </cell>
          <cell r="B187" t="str">
            <v>Frieslandcampins Engro Foods Limited</v>
          </cell>
        </row>
        <row r="188">
          <cell r="A188" t="str">
            <v>FCSC</v>
          </cell>
          <cell r="B188" t="str">
            <v>First Capital Securities Corporation</v>
          </cell>
        </row>
        <row r="189">
          <cell r="A189" t="str">
            <v>FDIBL</v>
          </cell>
          <cell r="B189" t="str">
            <v>First Dawood Investment Bank Limited</v>
          </cell>
        </row>
        <row r="190">
          <cell r="A190" t="str">
            <v>FECM</v>
          </cell>
          <cell r="B190" t="str">
            <v>First Elite Capital Modaraba</v>
          </cell>
        </row>
        <row r="191">
          <cell r="A191" t="str">
            <v>FECTC</v>
          </cell>
          <cell r="B191" t="str">
            <v>Fecto Cement Limited</v>
          </cell>
        </row>
        <row r="192">
          <cell r="A192" t="str">
            <v>FEROZ</v>
          </cell>
          <cell r="B192" t="str">
            <v>Ferozsons Laboratories Limited</v>
          </cell>
        </row>
        <row r="193">
          <cell r="A193" t="str">
            <v>FEROZ-APR</v>
          </cell>
          <cell r="B193" t="str">
            <v>FEROZ-APR</v>
          </cell>
        </row>
        <row r="194">
          <cell r="A194" t="str">
            <v>FEROZ-FEB</v>
          </cell>
          <cell r="B194" t="str">
            <v>Ferozsons Laboratories Limited</v>
          </cell>
        </row>
        <row r="195">
          <cell r="A195" t="str">
            <v>FEROZ-MAR</v>
          </cell>
          <cell r="B195" t="str">
            <v>FEROZ-MAR</v>
          </cell>
        </row>
        <row r="196">
          <cell r="A196" t="str">
            <v>FFBL</v>
          </cell>
          <cell r="B196" t="str">
            <v>Fauji Fertilizer Bin Qasim Limited</v>
          </cell>
        </row>
        <row r="197">
          <cell r="A197" t="str">
            <v>FFBL-APR</v>
          </cell>
          <cell r="B197" t="str">
            <v>Fauji Fert Bin Qasim Ltd.</v>
          </cell>
        </row>
        <row r="198">
          <cell r="A198" t="str">
            <v>FFBL-FEB</v>
          </cell>
          <cell r="B198" t="str">
            <v>Fauji Fertilizer Bin Qasim</v>
          </cell>
        </row>
        <row r="199">
          <cell r="A199" t="str">
            <v>FFBL-MAR</v>
          </cell>
          <cell r="B199" t="str">
            <v>Fauji Fert Bin Qasim Ltd.</v>
          </cell>
        </row>
        <row r="200">
          <cell r="A200" t="str">
            <v>FFC</v>
          </cell>
          <cell r="B200" t="str">
            <v>Fauji Fertilizer Company Limited</v>
          </cell>
        </row>
        <row r="201">
          <cell r="A201" t="str">
            <v>FFC-APR</v>
          </cell>
          <cell r="B201" t="str">
            <v>Fauji Fertilizer Company</v>
          </cell>
        </row>
        <row r="202">
          <cell r="A202" t="str">
            <v>FFC-FEB</v>
          </cell>
          <cell r="B202" t="str">
            <v>Fauji Fertilizer Company</v>
          </cell>
        </row>
        <row r="203">
          <cell r="A203" t="str">
            <v>FFC-MAR</v>
          </cell>
          <cell r="B203" t="str">
            <v>Fauji Fertilizer Company</v>
          </cell>
        </row>
        <row r="204">
          <cell r="A204" t="str">
            <v>FFL</v>
          </cell>
          <cell r="B204" t="str">
            <v>Fauji Foods Limited</v>
          </cell>
        </row>
        <row r="205">
          <cell r="A205" t="str">
            <v>FFL-APR</v>
          </cell>
          <cell r="B205" t="str">
            <v>Fauji Foods Limited</v>
          </cell>
        </row>
        <row r="206">
          <cell r="A206" t="str">
            <v>FFL-FEB</v>
          </cell>
          <cell r="B206" t="str">
            <v>Fauji Foods Limited</v>
          </cell>
        </row>
        <row r="207">
          <cell r="A207" t="str">
            <v>FFL-MAR</v>
          </cell>
          <cell r="B207" t="str">
            <v>Fauji Foods Limited</v>
          </cell>
        </row>
        <row r="208">
          <cell r="A208" t="str">
            <v>FFLM</v>
          </cell>
          <cell r="B208" t="str">
            <v>First Fidelity Leasing Modaraba</v>
          </cell>
        </row>
        <row r="209">
          <cell r="A209" t="str">
            <v>FHAM</v>
          </cell>
          <cell r="B209" t="str">
            <v>First Habib Modaraba</v>
          </cell>
        </row>
        <row r="210">
          <cell r="A210" t="str">
            <v>FIMM</v>
          </cell>
          <cell r="B210" t="str">
            <v>First Imrooz Modaraba</v>
          </cell>
        </row>
        <row r="211">
          <cell r="A211" t="str">
            <v>FLYNG</v>
          </cell>
          <cell r="B211" t="str">
            <v>Flying Cement Company Limited</v>
          </cell>
        </row>
        <row r="212">
          <cell r="A212" t="str">
            <v>FLYNG-APR</v>
          </cell>
          <cell r="B212" t="str">
            <v>FLYNG-APR</v>
          </cell>
        </row>
        <row r="213">
          <cell r="A213" t="str">
            <v>FLYNG-FEBB</v>
          </cell>
          <cell r="B213" t="str">
            <v>FLYNG-FEBB</v>
          </cell>
        </row>
        <row r="214">
          <cell r="A214" t="str">
            <v>FLYNG-MARB</v>
          </cell>
          <cell r="B214" t="str">
            <v>FLYNG-MARB</v>
          </cell>
        </row>
        <row r="215">
          <cell r="A215" t="str">
            <v>FML</v>
          </cell>
          <cell r="B215" t="str">
            <v>Feroze1888 Mills Limited</v>
          </cell>
        </row>
        <row r="216">
          <cell r="A216" t="str">
            <v>FNEL</v>
          </cell>
          <cell r="B216" t="str">
            <v>First National Equities Limited</v>
          </cell>
        </row>
        <row r="217">
          <cell r="A217" t="str">
            <v>FPJM</v>
          </cell>
          <cell r="B217" t="str">
            <v>First Punjab Modaraba</v>
          </cell>
        </row>
        <row r="218">
          <cell r="A218" t="str">
            <v>FRSM</v>
          </cell>
          <cell r="B218" t="str">
            <v>Faran Sugar Mills Limited</v>
          </cell>
        </row>
        <row r="219">
          <cell r="A219" t="str">
            <v>FTMM</v>
          </cell>
          <cell r="B219" t="str">
            <v>First Treet Manufacturing Modaraba</v>
          </cell>
        </row>
        <row r="220">
          <cell r="A220" t="str">
            <v>FUDLM</v>
          </cell>
          <cell r="B220" t="str">
            <v>First UDL Modaraba</v>
          </cell>
        </row>
        <row r="221">
          <cell r="A221" t="str">
            <v>GADT</v>
          </cell>
          <cell r="B221" t="str">
            <v>Gadoon Textile Mills Limited</v>
          </cell>
        </row>
        <row r="222">
          <cell r="A222" t="str">
            <v>GAMON</v>
          </cell>
          <cell r="B222" t="str">
            <v>Gammon Pakistan Limited</v>
          </cell>
        </row>
        <row r="223">
          <cell r="A223" t="str">
            <v>GATM</v>
          </cell>
          <cell r="B223" t="str">
            <v>Gul Ahmed Textile Mills Limited</v>
          </cell>
        </row>
        <row r="224">
          <cell r="A224" t="str">
            <v>GATM-APR</v>
          </cell>
          <cell r="B224" t="str">
            <v>Gul Ahmed Textile Mills Ltd.</v>
          </cell>
        </row>
        <row r="225">
          <cell r="A225" t="str">
            <v>GATM-FEB</v>
          </cell>
          <cell r="B225" t="str">
            <v>Gul Ahmed Textile Mills Ltd.</v>
          </cell>
        </row>
        <row r="226">
          <cell r="A226" t="str">
            <v>GATM-MAR</v>
          </cell>
          <cell r="B226" t="str">
            <v>Gul Ahmed Textile Mills Ltd.</v>
          </cell>
        </row>
        <row r="227">
          <cell r="A227" t="str">
            <v>GEMPAPL</v>
          </cell>
          <cell r="B227" t="str">
            <v>Pak Agro Packaging Limited(GEM)</v>
          </cell>
        </row>
        <row r="228">
          <cell r="A228" t="str">
            <v>GEMUNSL</v>
          </cell>
          <cell r="B228" t="str">
            <v>Universal Network Systems Limited(GEM)</v>
          </cell>
        </row>
        <row r="229">
          <cell r="A229" t="str">
            <v>GFIL</v>
          </cell>
          <cell r="B229" t="str">
            <v>Ghazi Fabrics International Limited</v>
          </cell>
        </row>
        <row r="230">
          <cell r="A230" t="str">
            <v>GGGL</v>
          </cell>
          <cell r="B230" t="str">
            <v>Ghani Global Glass Limited</v>
          </cell>
        </row>
        <row r="231">
          <cell r="A231" t="str">
            <v>GGGL-APR</v>
          </cell>
          <cell r="B231" t="str">
            <v>GGGL-APR</v>
          </cell>
        </row>
        <row r="232">
          <cell r="A232" t="str">
            <v>GGGL-FEB</v>
          </cell>
          <cell r="B232" t="str">
            <v>GGGL-FEB</v>
          </cell>
        </row>
        <row r="233">
          <cell r="A233" t="str">
            <v>GGGL-MAR</v>
          </cell>
          <cell r="B233" t="str">
            <v>GGGL-MAR</v>
          </cell>
        </row>
        <row r="234">
          <cell r="A234" t="str">
            <v>GGL</v>
          </cell>
          <cell r="B234" t="str">
            <v>Ghani Global Holdings Limited</v>
          </cell>
        </row>
        <row r="235">
          <cell r="A235" t="str">
            <v>GGL-APR</v>
          </cell>
          <cell r="B235" t="str">
            <v>Ghani Global Holdings Limited</v>
          </cell>
        </row>
        <row r="236">
          <cell r="A236" t="str">
            <v>GGL-FEB</v>
          </cell>
          <cell r="B236" t="str">
            <v>GGL-FEB</v>
          </cell>
        </row>
        <row r="237">
          <cell r="A237" t="str">
            <v>GGL-MAR</v>
          </cell>
          <cell r="B237" t="str">
            <v>Ghani Global Holdings Limited</v>
          </cell>
        </row>
        <row r="238">
          <cell r="A238" t="str">
            <v>GHGL</v>
          </cell>
          <cell r="B238" t="str">
            <v>Ghani Glass Limited</v>
          </cell>
        </row>
        <row r="239">
          <cell r="A239" t="str">
            <v>GHGL-APR</v>
          </cell>
          <cell r="B239" t="str">
            <v>GHGL-APR</v>
          </cell>
        </row>
        <row r="240">
          <cell r="A240" t="str">
            <v>GHGL-FEB</v>
          </cell>
          <cell r="B240" t="str">
            <v>GHGL-FEB</v>
          </cell>
        </row>
        <row r="241">
          <cell r="A241" t="str">
            <v>GHGL-MAR</v>
          </cell>
          <cell r="B241" t="str">
            <v>GHGL-MAR</v>
          </cell>
        </row>
        <row r="242">
          <cell r="A242" t="str">
            <v>GHNI</v>
          </cell>
          <cell r="B242" t="str">
            <v>Ghandhara Industries Limited</v>
          </cell>
        </row>
        <row r="243">
          <cell r="A243" t="str">
            <v>GHNI-APR</v>
          </cell>
          <cell r="B243" t="str">
            <v>Ghandhara Industries Limited</v>
          </cell>
        </row>
        <row r="244">
          <cell r="A244" t="str">
            <v>GHNI-FEB</v>
          </cell>
          <cell r="B244" t="str">
            <v>Ghandhara Industries Limited</v>
          </cell>
        </row>
        <row r="245">
          <cell r="A245" t="str">
            <v>GHNI-MAR</v>
          </cell>
          <cell r="B245" t="str">
            <v>Ghandhara Industries Limited</v>
          </cell>
        </row>
        <row r="246">
          <cell r="A246" t="str">
            <v>GHNL</v>
          </cell>
          <cell r="B246" t="str">
            <v>Ghandhara Nissan Limited</v>
          </cell>
        </row>
        <row r="247">
          <cell r="A247" t="str">
            <v>GHNL-APR</v>
          </cell>
          <cell r="B247" t="str">
            <v>Ghandhara Nissan Limited</v>
          </cell>
        </row>
        <row r="248">
          <cell r="A248" t="str">
            <v>GHNL-FEB</v>
          </cell>
          <cell r="B248" t="str">
            <v>Ghandhara Nissan Limited</v>
          </cell>
        </row>
        <row r="249">
          <cell r="A249" t="str">
            <v>GHNL-MAR</v>
          </cell>
          <cell r="B249" t="str">
            <v>Ghandhara Nissan Limited</v>
          </cell>
        </row>
        <row r="250">
          <cell r="A250" t="str">
            <v>GLAXO</v>
          </cell>
          <cell r="B250" t="str">
            <v>GlaxoSmithKline Pakistan Limited</v>
          </cell>
        </row>
        <row r="251">
          <cell r="A251" t="str">
            <v>GLPL</v>
          </cell>
          <cell r="B251" t="str">
            <v>Gillette Pakistan Limited</v>
          </cell>
        </row>
        <row r="252">
          <cell r="A252" t="str">
            <v>GSKCH</v>
          </cell>
          <cell r="B252" t="str">
            <v>GlaxoSmithKline Consumer Healthcare</v>
          </cell>
        </row>
        <row r="253">
          <cell r="A253" t="str">
            <v>GTECH</v>
          </cell>
          <cell r="B253" t="str">
            <v>G3 Technologies Limited</v>
          </cell>
        </row>
        <row r="254">
          <cell r="A254" t="str">
            <v>GTYR</v>
          </cell>
          <cell r="B254" t="str">
            <v>Ghandhara Tyre &amp; Rubber Company Limited</v>
          </cell>
        </row>
        <row r="255">
          <cell r="A255" t="str">
            <v>GVGL</v>
          </cell>
          <cell r="B255" t="str">
            <v>Ghani Value Glass Limited</v>
          </cell>
        </row>
        <row r="256">
          <cell r="A256" t="str">
            <v>GWLC</v>
          </cell>
          <cell r="B256" t="str">
            <v>Gharibwal Cement Limited</v>
          </cell>
        </row>
        <row r="257">
          <cell r="A257" t="str">
            <v>HABSM</v>
          </cell>
          <cell r="B257" t="str">
            <v>Habib Sugar Mills Limited</v>
          </cell>
        </row>
        <row r="258">
          <cell r="A258" t="str">
            <v>HAEL</v>
          </cell>
          <cell r="B258" t="str">
            <v>Hala Enterprises Limited</v>
          </cell>
        </row>
        <row r="259">
          <cell r="A259" t="str">
            <v>HASCOL</v>
          </cell>
          <cell r="B259" t="str">
            <v>Hascol Petroleum Limited</v>
          </cell>
        </row>
        <row r="260">
          <cell r="A260" t="str">
            <v>HBL</v>
          </cell>
          <cell r="B260" t="str">
            <v>Habib Bank Limited</v>
          </cell>
        </row>
        <row r="261">
          <cell r="A261" t="str">
            <v>HBL-APR</v>
          </cell>
          <cell r="B261" t="str">
            <v>Habib Bank Ltd</v>
          </cell>
        </row>
        <row r="262">
          <cell r="A262" t="str">
            <v>HBL-FEB</v>
          </cell>
          <cell r="B262" t="str">
            <v>Habib Bank Ltd</v>
          </cell>
        </row>
        <row r="263">
          <cell r="A263" t="str">
            <v>HBL-MAR</v>
          </cell>
          <cell r="B263" t="str">
            <v>Habib Bank Ltd</v>
          </cell>
        </row>
        <row r="264">
          <cell r="A264" t="str">
            <v>HCAR</v>
          </cell>
          <cell r="B264" t="str">
            <v>Honda Atlas Cars (Pakistan) Limited</v>
          </cell>
        </row>
        <row r="265">
          <cell r="A265" t="str">
            <v>HGFA</v>
          </cell>
          <cell r="B265" t="str">
            <v>HBL Growth Fund</v>
          </cell>
        </row>
        <row r="266">
          <cell r="A266" t="str">
            <v>HICL</v>
          </cell>
          <cell r="B266" t="str">
            <v>Habib Insurance Company Limited</v>
          </cell>
        </row>
        <row r="267">
          <cell r="A267" t="str">
            <v>HIFA</v>
          </cell>
          <cell r="B267" t="str">
            <v>HBL Investment Fund</v>
          </cell>
        </row>
        <row r="268">
          <cell r="A268" t="str">
            <v>HINO</v>
          </cell>
          <cell r="B268" t="str">
            <v>Hinopak Motors Limited</v>
          </cell>
        </row>
        <row r="269">
          <cell r="A269" t="str">
            <v>HINOON</v>
          </cell>
          <cell r="B269" t="str">
            <v>Highnoon Laboratories Limited</v>
          </cell>
        </row>
        <row r="270">
          <cell r="A270" t="str">
            <v>HIRAT</v>
          </cell>
          <cell r="B270" t="str">
            <v>Hira Textile Mills Limited</v>
          </cell>
        </row>
        <row r="271">
          <cell r="A271" t="str">
            <v>HMB</v>
          </cell>
          <cell r="B271" t="str">
            <v>Habib Metropolitan Bank Limited</v>
          </cell>
        </row>
        <row r="272">
          <cell r="A272" t="str">
            <v>HMB-APR</v>
          </cell>
          <cell r="B272" t="str">
            <v>Habib Metropolitan Bank Limited</v>
          </cell>
        </row>
        <row r="273">
          <cell r="A273" t="str">
            <v>HMB-FEB</v>
          </cell>
          <cell r="B273" t="str">
            <v>Habib Metropolitan Bank Limited</v>
          </cell>
        </row>
        <row r="274">
          <cell r="A274" t="str">
            <v>HMB-MAR</v>
          </cell>
          <cell r="B274" t="str">
            <v>Habib Metropolitan Bank Limited</v>
          </cell>
        </row>
        <row r="275">
          <cell r="A275" t="str">
            <v>HSM</v>
          </cell>
          <cell r="B275" t="str">
            <v>Husein Sugar Mills Limited</v>
          </cell>
        </row>
        <row r="276">
          <cell r="A276" t="str">
            <v>HSPI</v>
          </cell>
          <cell r="B276" t="str">
            <v>Huffaz Seamless Pipe Industries Limited</v>
          </cell>
        </row>
        <row r="277">
          <cell r="A277" t="str">
            <v>HTL</v>
          </cell>
          <cell r="B277" t="str">
            <v>Hi-Tech Lubricants Limited</v>
          </cell>
        </row>
        <row r="278">
          <cell r="A278" t="str">
            <v>HUBC</v>
          </cell>
          <cell r="B278" t="str">
            <v>The Hub Power Company Limited</v>
          </cell>
        </row>
        <row r="279">
          <cell r="A279" t="str">
            <v>HUBC-APR</v>
          </cell>
          <cell r="B279" t="str">
            <v>Hub Power Company Limited</v>
          </cell>
        </row>
        <row r="280">
          <cell r="A280" t="str">
            <v>HUBC-FEBB</v>
          </cell>
          <cell r="B280" t="str">
            <v>HUBC-FEBB</v>
          </cell>
        </row>
        <row r="281">
          <cell r="A281" t="str">
            <v>HUBC-MARB</v>
          </cell>
          <cell r="B281" t="str">
            <v>Hub Power Company Limited</v>
          </cell>
        </row>
        <row r="282">
          <cell r="A282" t="str">
            <v>HUMNL</v>
          </cell>
          <cell r="B282" t="str">
            <v>Hum Network Limited</v>
          </cell>
        </row>
        <row r="283">
          <cell r="A283" t="str">
            <v>HUMNL-APR</v>
          </cell>
          <cell r="B283" t="str">
            <v>Hum Network Limited</v>
          </cell>
        </row>
        <row r="284">
          <cell r="A284" t="str">
            <v>HUMNL-FEBB</v>
          </cell>
          <cell r="B284" t="str">
            <v>HUMNL-FEBB</v>
          </cell>
        </row>
        <row r="285">
          <cell r="A285" t="str">
            <v>HUMNL-MARB</v>
          </cell>
          <cell r="B285" t="str">
            <v>HUMNL-MARB</v>
          </cell>
        </row>
        <row r="286">
          <cell r="A286" t="str">
            <v>IBLHL</v>
          </cell>
          <cell r="B286" t="str">
            <v>IBL HealthCare Limited</v>
          </cell>
        </row>
        <row r="287">
          <cell r="A287" t="str">
            <v>ICI</v>
          </cell>
          <cell r="B287" t="str">
            <v>ICI Pakistan Limited</v>
          </cell>
        </row>
        <row r="288">
          <cell r="A288" t="str">
            <v>ICIBL</v>
          </cell>
          <cell r="B288" t="str">
            <v>Invest Capital Investment Bank Limited</v>
          </cell>
        </row>
        <row r="289">
          <cell r="A289" t="str">
            <v>ICL</v>
          </cell>
          <cell r="B289" t="str">
            <v>Ittehad Chemicals Limted</v>
          </cell>
        </row>
        <row r="290">
          <cell r="A290" t="str">
            <v>IDSM</v>
          </cell>
          <cell r="B290" t="str">
            <v>Ideal Spinning Mills Limited</v>
          </cell>
        </row>
        <row r="291">
          <cell r="A291" t="str">
            <v>IDYM</v>
          </cell>
          <cell r="B291" t="str">
            <v>Indus Dyeing &amp; Manufacturing Co. Limited</v>
          </cell>
        </row>
        <row r="292">
          <cell r="A292" t="str">
            <v>IGIHL</v>
          </cell>
          <cell r="B292" t="str">
            <v>IGI Holdings Limited</v>
          </cell>
        </row>
        <row r="293">
          <cell r="A293" t="str">
            <v>IGIL</v>
          </cell>
          <cell r="B293" t="str">
            <v>IGI Life Insurance Limited</v>
          </cell>
        </row>
        <row r="294">
          <cell r="A294" t="str">
            <v>ILP</v>
          </cell>
          <cell r="B294" t="str">
            <v>Interloop Limited</v>
          </cell>
        </row>
        <row r="295">
          <cell r="A295" t="str">
            <v>IMAGE</v>
          </cell>
          <cell r="B295" t="str">
            <v>Image Pakistan Limited</v>
          </cell>
        </row>
        <row r="296">
          <cell r="A296" t="str">
            <v>IMAGE-APR</v>
          </cell>
          <cell r="B296" t="str">
            <v>IMAGE-APR</v>
          </cell>
        </row>
        <row r="297">
          <cell r="A297" t="str">
            <v>IMAGE-FEB</v>
          </cell>
          <cell r="B297" t="str">
            <v>IMAGE-FEB</v>
          </cell>
        </row>
        <row r="298">
          <cell r="A298" t="str">
            <v>IMAGE-MAR</v>
          </cell>
          <cell r="B298" t="str">
            <v>IMAGE-MAR</v>
          </cell>
        </row>
        <row r="299">
          <cell r="A299" t="str">
            <v>IML</v>
          </cell>
          <cell r="B299" t="str">
            <v>Imperial  Limited</v>
          </cell>
        </row>
        <row r="300">
          <cell r="A300" t="str">
            <v>INDU</v>
          </cell>
          <cell r="B300" t="str">
            <v>Indus Motor Company Limited</v>
          </cell>
        </row>
        <row r="301">
          <cell r="A301" t="str">
            <v>INIL</v>
          </cell>
          <cell r="B301" t="str">
            <v>International Industries Limited</v>
          </cell>
        </row>
        <row r="302">
          <cell r="A302" t="str">
            <v>INIL-APR</v>
          </cell>
          <cell r="B302" t="str">
            <v>International Industries Limited</v>
          </cell>
        </row>
        <row r="303">
          <cell r="A303" t="str">
            <v>INIL-APRB</v>
          </cell>
          <cell r="B303" t="str">
            <v>INIL-APRB</v>
          </cell>
        </row>
        <row r="304">
          <cell r="A304" t="str">
            <v>INIL-FEB</v>
          </cell>
          <cell r="B304" t="str">
            <v>International Industries Limited</v>
          </cell>
        </row>
        <row r="305">
          <cell r="A305" t="str">
            <v>INIL-FEBB</v>
          </cell>
          <cell r="B305" t="str">
            <v>INIL-FEBB</v>
          </cell>
        </row>
        <row r="306">
          <cell r="A306" t="str">
            <v>INIL-MAR</v>
          </cell>
          <cell r="B306" t="str">
            <v>International Industries Limited</v>
          </cell>
        </row>
        <row r="307">
          <cell r="A307" t="str">
            <v>INIL-MARB</v>
          </cell>
          <cell r="B307" t="str">
            <v>INIL-MARB</v>
          </cell>
        </row>
        <row r="308">
          <cell r="A308" t="str">
            <v>ISIL</v>
          </cell>
          <cell r="B308" t="str">
            <v>Ismail Industries Limited</v>
          </cell>
        </row>
        <row r="309">
          <cell r="A309" t="str">
            <v>ISL</v>
          </cell>
          <cell r="B309" t="str">
            <v>International Steels Limited</v>
          </cell>
        </row>
        <row r="310">
          <cell r="A310" t="str">
            <v>ISL-APR</v>
          </cell>
          <cell r="B310" t="str">
            <v>International Steels Limited</v>
          </cell>
        </row>
        <row r="311">
          <cell r="A311" t="str">
            <v>ISL-APRB</v>
          </cell>
          <cell r="B311" t="str">
            <v>ISL-APRB</v>
          </cell>
        </row>
        <row r="312">
          <cell r="A312" t="str">
            <v>ISL-FEB</v>
          </cell>
          <cell r="B312" t="str">
            <v>International Steels Limited</v>
          </cell>
        </row>
        <row r="313">
          <cell r="A313" t="str">
            <v>ISL-FEBB</v>
          </cell>
          <cell r="B313" t="str">
            <v>ISL-FEBB</v>
          </cell>
        </row>
        <row r="314">
          <cell r="A314" t="str">
            <v>ISL-MAR</v>
          </cell>
          <cell r="B314" t="str">
            <v>Inter.Steel Ltd.</v>
          </cell>
        </row>
        <row r="315">
          <cell r="A315" t="str">
            <v>ISL-MARB</v>
          </cell>
          <cell r="B315" t="str">
            <v>ISL-MARB</v>
          </cell>
        </row>
        <row r="316">
          <cell r="A316" t="str">
            <v>ITTEFAQ</v>
          </cell>
          <cell r="B316" t="str">
            <v>Ittefaq Iron Industries Limited</v>
          </cell>
        </row>
        <row r="317">
          <cell r="A317" t="str">
            <v>JDMT</v>
          </cell>
          <cell r="B317" t="str">
            <v>Janana De Malucho Textile Mills Limited</v>
          </cell>
        </row>
        <row r="318">
          <cell r="A318" t="str">
            <v>JLICL</v>
          </cell>
          <cell r="B318" t="str">
            <v>Jubilee Life Insurance Company Limited</v>
          </cell>
        </row>
        <row r="319">
          <cell r="A319" t="str">
            <v>JSBL</v>
          </cell>
          <cell r="B319" t="str">
            <v>JS Bank Limited</v>
          </cell>
        </row>
        <row r="320">
          <cell r="A320" t="str">
            <v>JSBL-APR</v>
          </cell>
          <cell r="B320" t="str">
            <v>JS Bank Ltd.</v>
          </cell>
        </row>
        <row r="321">
          <cell r="A321" t="str">
            <v>JSBL-FEB</v>
          </cell>
          <cell r="B321" t="str">
            <v>JS Bank Ltd.</v>
          </cell>
        </row>
        <row r="322">
          <cell r="A322" t="str">
            <v>JSBL-MAR</v>
          </cell>
          <cell r="B322" t="str">
            <v>JS Bank Ltd.</v>
          </cell>
        </row>
        <row r="323">
          <cell r="A323" t="str">
            <v>JSCL</v>
          </cell>
          <cell r="B323" t="str">
            <v>Jahangir Siddiqui &amp; Co. Ltd.</v>
          </cell>
        </row>
        <row r="324">
          <cell r="A324" t="str">
            <v>JSCLPSA</v>
          </cell>
          <cell r="B324" t="str">
            <v>Jahangir Sidd(Pref)</v>
          </cell>
        </row>
        <row r="325">
          <cell r="A325" t="str">
            <v>JSGCL</v>
          </cell>
          <cell r="B325" t="str">
            <v>JS Global Capital Limited</v>
          </cell>
        </row>
        <row r="326">
          <cell r="A326" t="str">
            <v>JSIL</v>
          </cell>
          <cell r="B326" t="str">
            <v>JS Investments Limited</v>
          </cell>
        </row>
        <row r="327">
          <cell r="A327" t="str">
            <v>JSMFETF</v>
          </cell>
          <cell r="B327" t="str">
            <v>JS Momentum Factor Exchange Traded Fund</v>
          </cell>
        </row>
        <row r="328">
          <cell r="A328" t="str">
            <v>JSML</v>
          </cell>
          <cell r="B328" t="str">
            <v>Jauharabad Sugar Mills Limited</v>
          </cell>
        </row>
        <row r="329">
          <cell r="A329" t="str">
            <v>JUBS</v>
          </cell>
          <cell r="B329" t="str">
            <v>Jubilee Spinning &amp; Weaving Mills Ltd.</v>
          </cell>
        </row>
        <row r="330">
          <cell r="A330" t="str">
            <v>JVDC</v>
          </cell>
          <cell r="B330" t="str">
            <v>Javedan Corporation Limited</v>
          </cell>
        </row>
        <row r="331">
          <cell r="A331" t="str">
            <v>JVDC-APR</v>
          </cell>
          <cell r="B331" t="str">
            <v>JVDC-APR</v>
          </cell>
        </row>
        <row r="332">
          <cell r="A332" t="str">
            <v>JVDC-FEB</v>
          </cell>
          <cell r="B332" t="str">
            <v>JVDC-FEB</v>
          </cell>
        </row>
        <row r="333">
          <cell r="A333" t="str">
            <v>JVDC-MAR</v>
          </cell>
          <cell r="B333" t="str">
            <v>JVDC-MAR</v>
          </cell>
        </row>
        <row r="334">
          <cell r="A334" t="str">
            <v>KAPCO</v>
          </cell>
          <cell r="B334" t="str">
            <v>Kot Addu Power Company Limited</v>
          </cell>
        </row>
        <row r="335">
          <cell r="A335" t="str">
            <v>KAPCO-APR</v>
          </cell>
          <cell r="B335" t="str">
            <v>Kot Addu Power</v>
          </cell>
        </row>
        <row r="336">
          <cell r="A336" t="str">
            <v>KAPCO-FEBB</v>
          </cell>
          <cell r="B336" t="str">
            <v>Kot Addu Power</v>
          </cell>
        </row>
        <row r="337">
          <cell r="A337" t="str">
            <v>KAPCO-MARB</v>
          </cell>
          <cell r="B337" t="str">
            <v>Kot Addu Power</v>
          </cell>
        </row>
        <row r="338">
          <cell r="A338" t="str">
            <v>KASBM</v>
          </cell>
          <cell r="B338" t="str">
            <v>KASB Modaraba</v>
          </cell>
        </row>
        <row r="339">
          <cell r="A339" t="str">
            <v>KEL</v>
          </cell>
          <cell r="B339" t="str">
            <v>K-Electric Limited</v>
          </cell>
        </row>
        <row r="340">
          <cell r="A340" t="str">
            <v>KEL-APR</v>
          </cell>
          <cell r="B340" t="str">
            <v>K-Electric Limited</v>
          </cell>
        </row>
        <row r="341">
          <cell r="A341" t="str">
            <v>KEL-FEB</v>
          </cell>
          <cell r="B341" t="str">
            <v>K-Electric Limited</v>
          </cell>
        </row>
        <row r="342">
          <cell r="A342" t="str">
            <v>KEL-MAR</v>
          </cell>
          <cell r="B342" t="str">
            <v>K-Electric Limited</v>
          </cell>
        </row>
        <row r="343">
          <cell r="A343" t="str">
            <v>KHSM</v>
          </cell>
          <cell r="B343" t="str">
            <v>Khurshid Spinning Mills Limited</v>
          </cell>
        </row>
        <row r="344">
          <cell r="A344" t="str">
            <v>KHTC</v>
          </cell>
          <cell r="B344" t="str">
            <v>Khyber Tobacco Company Limited</v>
          </cell>
        </row>
        <row r="345">
          <cell r="A345" t="str">
            <v>KOHC</v>
          </cell>
          <cell r="B345" t="str">
            <v>Kohat Cement Company Limited</v>
          </cell>
        </row>
        <row r="346">
          <cell r="A346" t="str">
            <v>KOHC-APR</v>
          </cell>
          <cell r="B346" t="str">
            <v>Kohat Cement Company Limited</v>
          </cell>
        </row>
        <row r="347">
          <cell r="A347" t="str">
            <v>KOHC-FEB</v>
          </cell>
          <cell r="B347" t="str">
            <v>Kohat Cement Company Limited</v>
          </cell>
        </row>
        <row r="348">
          <cell r="A348" t="str">
            <v>KOHC-MAR</v>
          </cell>
          <cell r="B348" t="str">
            <v>Kohat Cement Company Limited</v>
          </cell>
        </row>
        <row r="349">
          <cell r="A349" t="str">
            <v>KOHE</v>
          </cell>
          <cell r="B349" t="str">
            <v>Kohinoor Energy Limited</v>
          </cell>
        </row>
        <row r="350">
          <cell r="A350" t="str">
            <v>KOHTM</v>
          </cell>
          <cell r="B350" t="str">
            <v>Kohat Textile Mills Limited</v>
          </cell>
        </row>
        <row r="351">
          <cell r="A351" t="str">
            <v>KOIL</v>
          </cell>
          <cell r="B351" t="str">
            <v>Kohinoor Industries Limited</v>
          </cell>
        </row>
        <row r="352">
          <cell r="A352" t="str">
            <v>KOSM</v>
          </cell>
          <cell r="B352" t="str">
            <v>Kohinoor Spinning Mills Limited</v>
          </cell>
        </row>
        <row r="353">
          <cell r="A353" t="str">
            <v>KOSM-APR</v>
          </cell>
          <cell r="B353" t="str">
            <v>KOSM-APR</v>
          </cell>
        </row>
        <row r="354">
          <cell r="A354" t="str">
            <v>KOSM-FEB</v>
          </cell>
          <cell r="B354" t="str">
            <v>KOSM-FEB</v>
          </cell>
        </row>
        <row r="355">
          <cell r="A355" t="str">
            <v>KOSM-MAR</v>
          </cell>
          <cell r="B355" t="str">
            <v>KOSM-MAR</v>
          </cell>
        </row>
        <row r="356">
          <cell r="A356" t="str">
            <v>KPUS</v>
          </cell>
          <cell r="B356" t="str">
            <v>Khairpur Sugar Mills Limited</v>
          </cell>
        </row>
        <row r="357">
          <cell r="A357" t="str">
            <v>KSBP</v>
          </cell>
          <cell r="B357" t="str">
            <v>KSB Pumps Company Limited</v>
          </cell>
        </row>
        <row r="358">
          <cell r="A358" t="str">
            <v>KTML</v>
          </cell>
          <cell r="B358" t="str">
            <v>Kohinoor Textile Mills Limited</v>
          </cell>
        </row>
        <row r="359">
          <cell r="A359" t="str">
            <v>LEUL</v>
          </cell>
          <cell r="B359" t="str">
            <v>Leather Up Limited</v>
          </cell>
        </row>
        <row r="360">
          <cell r="A360" t="str">
            <v>LOADS</v>
          </cell>
          <cell r="B360" t="str">
            <v>Loads Limited</v>
          </cell>
        </row>
        <row r="361">
          <cell r="A361" t="str">
            <v>LOADS-APR</v>
          </cell>
          <cell r="B361" t="str">
            <v>Loads Limited</v>
          </cell>
        </row>
        <row r="362">
          <cell r="A362" t="str">
            <v>LOADS-FEB</v>
          </cell>
          <cell r="B362" t="str">
            <v>LOADS-FEB</v>
          </cell>
        </row>
        <row r="363">
          <cell r="A363" t="str">
            <v>LOADS-MAR</v>
          </cell>
          <cell r="B363" t="str">
            <v>Loads Limited</v>
          </cell>
        </row>
        <row r="364">
          <cell r="A364" t="str">
            <v>LOTCHEM</v>
          </cell>
          <cell r="B364" t="str">
            <v>Lotte Chemical Pakistan Limited</v>
          </cell>
        </row>
        <row r="365">
          <cell r="A365" t="str">
            <v>LOTCHEM-APR</v>
          </cell>
          <cell r="B365" t="str">
            <v>Lotte Chemical Pakistan Ltd.</v>
          </cell>
        </row>
        <row r="366">
          <cell r="A366" t="str">
            <v>LOTCHEM-FEB</v>
          </cell>
          <cell r="B366" t="str">
            <v>Lotte Chemical Pakistan Limited</v>
          </cell>
        </row>
        <row r="367">
          <cell r="A367" t="str">
            <v>LOTCHEM-MAR</v>
          </cell>
          <cell r="B367" t="str">
            <v>Lotte Chemical Pakistan Limited</v>
          </cell>
        </row>
        <row r="368">
          <cell r="A368" t="str">
            <v>LPGL</v>
          </cell>
          <cell r="B368" t="str">
            <v>Leiner Pak Gelatine Limited</v>
          </cell>
        </row>
        <row r="369">
          <cell r="A369" t="str">
            <v>LPL</v>
          </cell>
          <cell r="B369" t="str">
            <v>Lalpir Power Limited</v>
          </cell>
        </row>
        <row r="370">
          <cell r="A370" t="str">
            <v>LUCK</v>
          </cell>
          <cell r="B370" t="str">
            <v>Lucky Cement Limited</v>
          </cell>
        </row>
        <row r="371">
          <cell r="A371" t="str">
            <v>LUCK-APR</v>
          </cell>
          <cell r="B371" t="str">
            <v>Lucky Cement Limited</v>
          </cell>
        </row>
        <row r="372">
          <cell r="A372" t="str">
            <v>LUCK-FEB</v>
          </cell>
          <cell r="B372" t="str">
            <v>Lucky Cement Limited</v>
          </cell>
        </row>
        <row r="373">
          <cell r="A373" t="str">
            <v>LUCK-MAR</v>
          </cell>
          <cell r="B373" t="str">
            <v>Lucky Cement Limited</v>
          </cell>
        </row>
        <row r="374">
          <cell r="A374" t="str">
            <v>MACFL</v>
          </cell>
          <cell r="B374" t="str">
            <v>MACPAC Films Limited</v>
          </cell>
        </row>
        <row r="375">
          <cell r="A375" t="str">
            <v>MACTER</v>
          </cell>
          <cell r="B375" t="str">
            <v>Macter International Limited</v>
          </cell>
        </row>
        <row r="376">
          <cell r="A376" t="str">
            <v>MARI</v>
          </cell>
          <cell r="B376" t="str">
            <v>Mari Petroleum Company Limited</v>
          </cell>
        </row>
        <row r="377">
          <cell r="A377" t="str">
            <v>MCB</v>
          </cell>
          <cell r="B377" t="str">
            <v>MCB Bank Limited</v>
          </cell>
        </row>
        <row r="378">
          <cell r="A378" t="str">
            <v>MCB-APR</v>
          </cell>
          <cell r="B378" t="str">
            <v>MCB Bank Limited</v>
          </cell>
        </row>
        <row r="379">
          <cell r="A379" t="str">
            <v>MCB-FEB</v>
          </cell>
          <cell r="B379" t="str">
            <v>MCB Bank Limited</v>
          </cell>
        </row>
        <row r="380">
          <cell r="A380" t="str">
            <v>MCB-MAR</v>
          </cell>
          <cell r="B380" t="str">
            <v>MCB Bank Limited</v>
          </cell>
        </row>
        <row r="381">
          <cell r="A381" t="str">
            <v>MDTL</v>
          </cell>
          <cell r="B381" t="str">
            <v>Media Times Limited</v>
          </cell>
        </row>
        <row r="382">
          <cell r="A382" t="str">
            <v>MDTL-APR</v>
          </cell>
          <cell r="B382" t="str">
            <v>MDTL-APR</v>
          </cell>
        </row>
        <row r="383">
          <cell r="A383" t="str">
            <v>MDTL-FEB</v>
          </cell>
          <cell r="B383" t="str">
            <v>MDTL-FEB</v>
          </cell>
        </row>
        <row r="384">
          <cell r="A384" t="str">
            <v>MDTL-MAR</v>
          </cell>
          <cell r="B384" t="str">
            <v>MDTL-MAR</v>
          </cell>
        </row>
        <row r="385">
          <cell r="A385" t="str">
            <v>MEBL</v>
          </cell>
          <cell r="B385" t="str">
            <v>Meezan Bank Limited</v>
          </cell>
        </row>
        <row r="386">
          <cell r="A386" t="str">
            <v>MEBL-APR</v>
          </cell>
          <cell r="B386" t="str">
            <v>Meezan Bank Limited</v>
          </cell>
        </row>
        <row r="387">
          <cell r="A387" t="str">
            <v>MEBL-FEB</v>
          </cell>
          <cell r="B387" t="str">
            <v>Meezan Bank Limited</v>
          </cell>
        </row>
        <row r="388">
          <cell r="A388" t="str">
            <v>MEBL-MAR</v>
          </cell>
          <cell r="B388" t="str">
            <v>Meezan Bank Limited</v>
          </cell>
        </row>
        <row r="389">
          <cell r="A389" t="str">
            <v>MERIT</v>
          </cell>
          <cell r="B389" t="str">
            <v>Merit Packaging Limited</v>
          </cell>
        </row>
        <row r="390">
          <cell r="A390" t="str">
            <v>MFFL</v>
          </cell>
          <cell r="B390" t="str">
            <v>Mitchells Fruit Farms Limited</v>
          </cell>
        </row>
        <row r="391">
          <cell r="A391" t="str">
            <v>MFL</v>
          </cell>
          <cell r="B391" t="str">
            <v>Matco Foods Limited</v>
          </cell>
        </row>
        <row r="392">
          <cell r="A392" t="str">
            <v>MIRKS</v>
          </cell>
          <cell r="B392" t="str">
            <v>Mirpurkhas Sugar Mills Limited</v>
          </cell>
        </row>
        <row r="393">
          <cell r="A393" t="str">
            <v>MLCF</v>
          </cell>
          <cell r="B393" t="str">
            <v>Maple Leaf Cement Factory Limited</v>
          </cell>
        </row>
        <row r="394">
          <cell r="A394" t="str">
            <v>MLCF-APR</v>
          </cell>
          <cell r="B394" t="str">
            <v>Maple Leaf Cement Factory Limited</v>
          </cell>
        </row>
        <row r="395">
          <cell r="A395" t="str">
            <v>MLCF-FEB</v>
          </cell>
          <cell r="B395" t="str">
            <v>Maple Leaf Cement Factory Limited</v>
          </cell>
        </row>
        <row r="396">
          <cell r="A396" t="str">
            <v>MLCF-MAR</v>
          </cell>
          <cell r="B396" t="str">
            <v>Maple Leaf Cement Factory Limited</v>
          </cell>
        </row>
        <row r="397">
          <cell r="A397" t="str">
            <v>MODAM</v>
          </cell>
          <cell r="B397" t="str">
            <v>Modaraba Al-Mali</v>
          </cell>
        </row>
        <row r="398">
          <cell r="A398" t="str">
            <v>MRNS</v>
          </cell>
          <cell r="B398" t="str">
            <v>Mehran Sugar Mills Limited</v>
          </cell>
        </row>
        <row r="399">
          <cell r="A399" t="str">
            <v>MSCL</v>
          </cell>
          <cell r="B399" t="str">
            <v>Metropolitan Steel Corporation Limited</v>
          </cell>
        </row>
        <row r="400">
          <cell r="A400" t="str">
            <v>MSOT</v>
          </cell>
          <cell r="B400" t="str">
            <v>Masood Textile Mills Limited</v>
          </cell>
        </row>
        <row r="401">
          <cell r="A401" t="str">
            <v>MTL</v>
          </cell>
          <cell r="B401" t="str">
            <v>Millat Tractors Limited</v>
          </cell>
        </row>
        <row r="402">
          <cell r="A402" t="str">
            <v>MTL-APR</v>
          </cell>
          <cell r="B402" t="str">
            <v>MTL-APR</v>
          </cell>
        </row>
        <row r="403">
          <cell r="A403" t="str">
            <v>MTL-FEB</v>
          </cell>
          <cell r="B403" t="str">
            <v>MTL-FEB</v>
          </cell>
        </row>
        <row r="404">
          <cell r="A404" t="str">
            <v>MTL-MAR</v>
          </cell>
          <cell r="B404" t="str">
            <v>MTL-MAR</v>
          </cell>
        </row>
        <row r="405">
          <cell r="A405" t="str">
            <v>MUGHAL</v>
          </cell>
          <cell r="B405" t="str">
            <v>Mughal Iron &amp; Steel Industries Limited</v>
          </cell>
        </row>
        <row r="406">
          <cell r="A406" t="str">
            <v>MUGHAL-APR</v>
          </cell>
          <cell r="B406" t="str">
            <v>Mughal Iron &amp; Steel Industries Limited</v>
          </cell>
        </row>
        <row r="407">
          <cell r="A407" t="str">
            <v>MUGHAL-FEB</v>
          </cell>
          <cell r="B407" t="str">
            <v>Mughal Iron &amp; Steel Industries Limited</v>
          </cell>
        </row>
        <row r="408">
          <cell r="A408" t="str">
            <v>MUGHAL-MAR</v>
          </cell>
          <cell r="B408" t="str">
            <v>Mughal Iron &amp; Steel Industries Limited</v>
          </cell>
        </row>
        <row r="409">
          <cell r="A409" t="str">
            <v>MUREB</v>
          </cell>
          <cell r="B409" t="str">
            <v>Murree Brewery Company Limited</v>
          </cell>
        </row>
        <row r="410">
          <cell r="A410" t="str">
            <v>MZNPETF</v>
          </cell>
          <cell r="B410" t="str">
            <v>Meezan Pakistan ETF</v>
          </cell>
        </row>
        <row r="411">
          <cell r="A411" t="str">
            <v>MZNPETF-APR</v>
          </cell>
          <cell r="B411" t="str">
            <v>MZNPETF-APR</v>
          </cell>
        </row>
        <row r="412">
          <cell r="A412" t="str">
            <v>MZNPETF-FEB</v>
          </cell>
          <cell r="B412" t="str">
            <v>MZNPETF-FEB</v>
          </cell>
        </row>
        <row r="413">
          <cell r="A413" t="str">
            <v>MZNPETF-MAR</v>
          </cell>
          <cell r="B413" t="str">
            <v>MZNPETF-MAR</v>
          </cell>
        </row>
        <row r="414">
          <cell r="A414" t="str">
            <v>NAGC</v>
          </cell>
          <cell r="B414" t="str">
            <v>Nagina Cotton Mills Limited</v>
          </cell>
        </row>
        <row r="415">
          <cell r="A415" t="str">
            <v>NATF</v>
          </cell>
          <cell r="B415" t="str">
            <v>National Foods Limited</v>
          </cell>
        </row>
        <row r="416">
          <cell r="A416" t="str">
            <v>NBP</v>
          </cell>
          <cell r="B416" t="str">
            <v>National Bank of Pakistan</v>
          </cell>
        </row>
        <row r="417">
          <cell r="A417" t="str">
            <v>NBP-APR</v>
          </cell>
          <cell r="B417" t="str">
            <v>National Bank Of Pakistan</v>
          </cell>
        </row>
        <row r="418">
          <cell r="A418" t="str">
            <v>NBP-FEB</v>
          </cell>
          <cell r="B418" t="str">
            <v>National Bank Of Pakistan</v>
          </cell>
        </row>
        <row r="419">
          <cell r="A419" t="str">
            <v>NBP-MAR</v>
          </cell>
          <cell r="B419" t="str">
            <v>National Bank Of Pakistan</v>
          </cell>
        </row>
        <row r="420">
          <cell r="A420" t="str">
            <v>NBPGETF-APR</v>
          </cell>
          <cell r="B420" t="str">
            <v>NBPGETF-APR</v>
          </cell>
        </row>
        <row r="421">
          <cell r="A421" t="str">
            <v>NBPGETF-FEB</v>
          </cell>
          <cell r="B421" t="str">
            <v>NBPGETF-FEB</v>
          </cell>
        </row>
        <row r="422">
          <cell r="A422" t="str">
            <v>NBPGETF-MAR</v>
          </cell>
          <cell r="B422" t="str">
            <v>NBPGETF-MAR</v>
          </cell>
        </row>
        <row r="423">
          <cell r="A423" t="str">
            <v>NCL</v>
          </cell>
          <cell r="B423" t="str">
            <v>Nishat Chunian Limited</v>
          </cell>
        </row>
        <row r="424">
          <cell r="A424" t="str">
            <v>NCL-APR</v>
          </cell>
          <cell r="B424" t="str">
            <v>Nishat (Chunian) Limited.</v>
          </cell>
        </row>
        <row r="425">
          <cell r="A425" t="str">
            <v>NCL-FEB</v>
          </cell>
          <cell r="B425" t="str">
            <v>Nishat (Chunian) Limited.</v>
          </cell>
        </row>
        <row r="426">
          <cell r="A426" t="str">
            <v>NCL-MAR</v>
          </cell>
          <cell r="B426" t="str">
            <v>Nishat (Chunian) Limited.</v>
          </cell>
        </row>
        <row r="427">
          <cell r="A427" t="str">
            <v>NCML</v>
          </cell>
          <cell r="B427" t="str">
            <v>Nazir Cotton Mills Limited</v>
          </cell>
        </row>
        <row r="428">
          <cell r="A428" t="str">
            <v>NCPL</v>
          </cell>
          <cell r="B428" t="str">
            <v>Nishat Chunian Power Limited</v>
          </cell>
        </row>
        <row r="429">
          <cell r="A429" t="str">
            <v>NETSOL</v>
          </cell>
          <cell r="B429" t="str">
            <v>NetSol Technologies Limited</v>
          </cell>
        </row>
        <row r="430">
          <cell r="A430" t="str">
            <v>NETSOL-APR</v>
          </cell>
          <cell r="B430" t="str">
            <v>Netsol Technologie</v>
          </cell>
        </row>
        <row r="431">
          <cell r="A431" t="str">
            <v>NETSOL-FEB</v>
          </cell>
          <cell r="B431" t="str">
            <v>Netsol Technologie</v>
          </cell>
        </row>
        <row r="432">
          <cell r="A432" t="str">
            <v>NETSOL-MAR</v>
          </cell>
          <cell r="B432" t="str">
            <v>Netsol Technologie</v>
          </cell>
        </row>
        <row r="433">
          <cell r="A433" t="str">
            <v>NICL</v>
          </cell>
          <cell r="B433" t="str">
            <v>Nimir Industrial Chemicals Limited</v>
          </cell>
        </row>
        <row r="434">
          <cell r="A434" t="str">
            <v>NITGETF-APR</v>
          </cell>
          <cell r="B434" t="str">
            <v>NITGETF-APR</v>
          </cell>
        </row>
        <row r="435">
          <cell r="A435" t="str">
            <v>NITGETF-FEB</v>
          </cell>
          <cell r="B435" t="str">
            <v>NITGETF-FEB</v>
          </cell>
        </row>
        <row r="436">
          <cell r="A436" t="str">
            <v>NITGETF-MAR</v>
          </cell>
          <cell r="B436" t="str">
            <v>NITGETF-MAR</v>
          </cell>
        </row>
        <row r="437">
          <cell r="A437" t="str">
            <v>NML</v>
          </cell>
          <cell r="B437" t="str">
            <v>Nishat Mills Limited</v>
          </cell>
        </row>
        <row r="438">
          <cell r="A438" t="str">
            <v>NML-APR</v>
          </cell>
          <cell r="B438" t="str">
            <v>Nishat Mills Ltd.</v>
          </cell>
        </row>
        <row r="439">
          <cell r="A439" t="str">
            <v>NML-FEB</v>
          </cell>
          <cell r="B439" t="str">
            <v>Nishat Mills Ltd.</v>
          </cell>
        </row>
        <row r="440">
          <cell r="A440" t="str">
            <v>NML-MAR</v>
          </cell>
          <cell r="B440" t="str">
            <v>Nishat Mills Ltd.</v>
          </cell>
        </row>
        <row r="441">
          <cell r="A441" t="str">
            <v>NPL</v>
          </cell>
          <cell r="B441" t="str">
            <v>Nishat Power Limited</v>
          </cell>
        </row>
        <row r="442">
          <cell r="A442" t="str">
            <v>NRL</v>
          </cell>
          <cell r="B442" t="str">
            <v>National Refinery Limited</v>
          </cell>
        </row>
        <row r="443">
          <cell r="A443" t="str">
            <v>NRL-APR</v>
          </cell>
          <cell r="B443" t="str">
            <v>National Refinery Ltd.</v>
          </cell>
        </row>
        <row r="444">
          <cell r="A444" t="str">
            <v>NRL-FEB</v>
          </cell>
          <cell r="B444" t="str">
            <v>National Refinery Ltd.</v>
          </cell>
        </row>
        <row r="445">
          <cell r="A445" t="str">
            <v>NRL-MAR</v>
          </cell>
          <cell r="B445" t="str">
            <v>National Refinery Ltd.</v>
          </cell>
        </row>
        <row r="446">
          <cell r="A446" t="str">
            <v>NRSL</v>
          </cell>
          <cell r="B446" t="str">
            <v>Nimir Resins Limited</v>
          </cell>
        </row>
        <row r="447">
          <cell r="A447" t="str">
            <v>NRSL-APR</v>
          </cell>
          <cell r="B447" t="str">
            <v>Nimir Resins Limited</v>
          </cell>
        </row>
        <row r="448">
          <cell r="A448" t="str">
            <v>NRSL-FEB</v>
          </cell>
          <cell r="B448" t="str">
            <v>NRSL-FEB</v>
          </cell>
        </row>
        <row r="449">
          <cell r="A449" t="str">
            <v>NRSL-MAR</v>
          </cell>
          <cell r="B449" t="str">
            <v>Nimir Resins Limited</v>
          </cell>
        </row>
        <row r="450">
          <cell r="A450" t="str">
            <v>NSRM</v>
          </cell>
          <cell r="B450" t="str">
            <v>The National Silk &amp; Rayon Mills Limited</v>
          </cell>
        </row>
        <row r="451">
          <cell r="A451" t="str">
            <v>OBOY</v>
          </cell>
          <cell r="B451" t="str">
            <v>Oilboy Engergy Limited</v>
          </cell>
        </row>
        <row r="452">
          <cell r="A452" t="str">
            <v>OCTOPUS</v>
          </cell>
          <cell r="B452" t="str">
            <v>Octopus Digital Limited</v>
          </cell>
        </row>
        <row r="453">
          <cell r="A453" t="str">
            <v>OGDC</v>
          </cell>
          <cell r="B453" t="str">
            <v>Oil &amp; Gas Development Company Limited</v>
          </cell>
        </row>
        <row r="454">
          <cell r="A454" t="str">
            <v>OGDC-APR</v>
          </cell>
          <cell r="B454" t="str">
            <v>Oil &amp; Gas Dev.Co</v>
          </cell>
        </row>
        <row r="455">
          <cell r="A455" t="str">
            <v>OGDC-FEB</v>
          </cell>
          <cell r="B455" t="str">
            <v>Oil &amp; Gas Dev.Co</v>
          </cell>
        </row>
        <row r="456">
          <cell r="A456" t="str">
            <v>OGDC-MAR</v>
          </cell>
          <cell r="B456" t="str">
            <v>Oil &amp; Gas Dev.Co</v>
          </cell>
        </row>
        <row r="457">
          <cell r="A457" t="str">
            <v>OLPL</v>
          </cell>
          <cell r="B457" t="str">
            <v>OLP Financial Services Pakistan Limited</v>
          </cell>
        </row>
        <row r="458">
          <cell r="A458" t="str">
            <v>ORIXM</v>
          </cell>
          <cell r="B458" t="str">
            <v>Orix Modaraba</v>
          </cell>
        </row>
        <row r="459">
          <cell r="A459" t="str">
            <v>ORM</v>
          </cell>
          <cell r="B459" t="str">
            <v>Orient Rental Mod</v>
          </cell>
        </row>
        <row r="460">
          <cell r="A460" t="str">
            <v>OTSU</v>
          </cell>
          <cell r="B460" t="str">
            <v>Otsuka Pakistan Limited</v>
          </cell>
        </row>
        <row r="461">
          <cell r="A461" t="str">
            <v>PABC</v>
          </cell>
          <cell r="B461" t="str">
            <v>Pakistan Aluminium Beverage Cans Limited</v>
          </cell>
        </row>
        <row r="462">
          <cell r="A462" t="str">
            <v>PACE</v>
          </cell>
          <cell r="B462" t="str">
            <v>Pace (Pakistan) Limited</v>
          </cell>
        </row>
        <row r="463">
          <cell r="A463" t="str">
            <v>PACE-APR</v>
          </cell>
          <cell r="B463" t="str">
            <v>Pace (Pak) Ltd.</v>
          </cell>
        </row>
        <row r="464">
          <cell r="A464" t="str">
            <v>PACE-FEB</v>
          </cell>
          <cell r="B464" t="str">
            <v>Pace (Pak) Ltd.</v>
          </cell>
        </row>
        <row r="465">
          <cell r="A465" t="str">
            <v>PACE-MAR</v>
          </cell>
          <cell r="B465" t="str">
            <v>Pace (Pak) Ltd.</v>
          </cell>
        </row>
        <row r="466">
          <cell r="A466" t="str">
            <v>PAEL</v>
          </cell>
          <cell r="B466" t="str">
            <v>Pak Elektron Limited</v>
          </cell>
        </row>
        <row r="467">
          <cell r="A467" t="str">
            <v>PAEL-APR</v>
          </cell>
          <cell r="B467" t="str">
            <v>Pak Elektron Limited</v>
          </cell>
        </row>
        <row r="468">
          <cell r="A468" t="str">
            <v>PAEL-FEB</v>
          </cell>
          <cell r="B468" t="str">
            <v>Pak Elektron Ltd.</v>
          </cell>
        </row>
        <row r="469">
          <cell r="A469" t="str">
            <v>PAEL-MAR</v>
          </cell>
          <cell r="B469" t="str">
            <v>Pak Elektron Ltd.</v>
          </cell>
        </row>
        <row r="470">
          <cell r="A470" t="str">
            <v>PAKD</v>
          </cell>
          <cell r="B470" t="str">
            <v>Pak Datacom Limited</v>
          </cell>
        </row>
        <row r="471">
          <cell r="A471" t="str">
            <v>PAKMI</v>
          </cell>
          <cell r="B471" t="str">
            <v>First Pak Modaraba</v>
          </cell>
        </row>
        <row r="472">
          <cell r="A472" t="str">
            <v>PAKOXY</v>
          </cell>
          <cell r="B472" t="str">
            <v>Pakistan Oxygen Limited</v>
          </cell>
        </row>
        <row r="473">
          <cell r="A473" t="str">
            <v>PAKRI</v>
          </cell>
          <cell r="B473" t="str">
            <v>Pakistan Reinsurance Company Limited</v>
          </cell>
        </row>
        <row r="474">
          <cell r="A474" t="str">
            <v>PAKT</v>
          </cell>
          <cell r="B474" t="str">
            <v>Pakistan Tobacco Company Limited</v>
          </cell>
        </row>
        <row r="475">
          <cell r="A475" t="str">
            <v>PASL</v>
          </cell>
          <cell r="B475" t="str">
            <v>Pervez Ahmed Consultancy Services Ltd.</v>
          </cell>
        </row>
        <row r="476">
          <cell r="A476" t="str">
            <v>PCAL</v>
          </cell>
          <cell r="B476" t="str">
            <v>Pakistan Cables Limited</v>
          </cell>
        </row>
        <row r="477">
          <cell r="A477" t="str">
            <v>PGLC</v>
          </cell>
          <cell r="B477" t="str">
            <v>Pak-Gulf Leasing Company Limited</v>
          </cell>
        </row>
        <row r="478">
          <cell r="A478" t="str">
            <v>PIAA</v>
          </cell>
          <cell r="B478" t="str">
            <v>Pakistan International Airlines Corp</v>
          </cell>
        </row>
        <row r="479">
          <cell r="A479" t="str">
            <v>PIAA-APR</v>
          </cell>
          <cell r="B479" t="str">
            <v>Pakistan International Airlines Corp.</v>
          </cell>
        </row>
        <row r="480">
          <cell r="A480" t="str">
            <v>PIAA-FEB</v>
          </cell>
          <cell r="B480" t="str">
            <v>Pakistan International Airlines Corp.</v>
          </cell>
        </row>
        <row r="481">
          <cell r="A481" t="str">
            <v>PIAA-MAR</v>
          </cell>
          <cell r="B481" t="str">
            <v>Pakistan International Airlines Corp.</v>
          </cell>
        </row>
        <row r="482">
          <cell r="A482" t="str">
            <v>PIBTL</v>
          </cell>
          <cell r="B482" t="str">
            <v>Pakistan International Bulk Terminal</v>
          </cell>
        </row>
        <row r="483">
          <cell r="A483" t="str">
            <v>PIBTL-APR</v>
          </cell>
          <cell r="B483" t="str">
            <v>Pakistan International Bulk Terminal Limited</v>
          </cell>
        </row>
        <row r="484">
          <cell r="A484" t="str">
            <v>PIBTL-FEB</v>
          </cell>
          <cell r="B484" t="str">
            <v>Pakistan International Bulk Terminal Limited</v>
          </cell>
        </row>
        <row r="485">
          <cell r="A485" t="str">
            <v>PIBTL-MAR</v>
          </cell>
          <cell r="B485" t="str">
            <v>Pakistan International Bulk Terminal Limited</v>
          </cell>
        </row>
        <row r="486">
          <cell r="A486" t="str">
            <v>PICT</v>
          </cell>
          <cell r="B486" t="str">
            <v>Pakistan International Container</v>
          </cell>
        </row>
        <row r="487">
          <cell r="A487" t="str">
            <v>PIL</v>
          </cell>
          <cell r="B487" t="str">
            <v>PICIC Insurance Limited</v>
          </cell>
        </row>
        <row r="488">
          <cell r="A488" t="str">
            <v>PIM</v>
          </cell>
          <cell r="B488" t="str">
            <v>Popular Islamic Modaraba</v>
          </cell>
        </row>
        <row r="489">
          <cell r="A489" t="str">
            <v>PIOC</v>
          </cell>
          <cell r="B489" t="str">
            <v>Pioneer Cement Limited</v>
          </cell>
        </row>
        <row r="490">
          <cell r="A490" t="str">
            <v>PIOC-APR</v>
          </cell>
          <cell r="B490" t="str">
            <v>Pioneer Cement Limited</v>
          </cell>
        </row>
        <row r="491">
          <cell r="A491" t="str">
            <v>PIOC-FEB</v>
          </cell>
          <cell r="B491" t="str">
            <v>Pioneer Cement Limited</v>
          </cell>
        </row>
        <row r="492">
          <cell r="A492" t="str">
            <v>PIOC-MAR</v>
          </cell>
          <cell r="B492" t="str">
            <v>Pioneer Cement Limited</v>
          </cell>
        </row>
        <row r="493">
          <cell r="A493" t="str">
            <v>PKGI</v>
          </cell>
          <cell r="B493" t="str">
            <v>The Pakistan General Insurance Co. Ltd.</v>
          </cell>
        </row>
        <row r="494">
          <cell r="A494" t="str">
            <v>PKGP</v>
          </cell>
          <cell r="B494" t="str">
            <v>Pakgen Power Limited</v>
          </cell>
        </row>
        <row r="495">
          <cell r="A495" t="str">
            <v>PKGS</v>
          </cell>
          <cell r="B495" t="str">
            <v>Packages Limited</v>
          </cell>
        </row>
        <row r="496">
          <cell r="A496" t="str">
            <v>PMI</v>
          </cell>
          <cell r="B496" t="str">
            <v>First Prudential Modaraba</v>
          </cell>
        </row>
        <row r="497">
          <cell r="A497" t="str">
            <v>PMPK</v>
          </cell>
          <cell r="B497" t="str">
            <v>Philip Morris (Pakistan) Limited</v>
          </cell>
        </row>
        <row r="498">
          <cell r="A498" t="str">
            <v>PMRS</v>
          </cell>
          <cell r="B498" t="str">
            <v>The Premier Sugar Mills</v>
          </cell>
        </row>
        <row r="499">
          <cell r="A499" t="str">
            <v>PNSC</v>
          </cell>
          <cell r="B499" t="str">
            <v>Pakistan National Shipping Corporation</v>
          </cell>
        </row>
        <row r="500">
          <cell r="A500" t="str">
            <v>POL</v>
          </cell>
          <cell r="B500" t="str">
            <v>Pakistan Oilfields Limited</v>
          </cell>
        </row>
        <row r="501">
          <cell r="A501" t="str">
            <v>POL-APR</v>
          </cell>
          <cell r="B501" t="str">
            <v>Pakistan Oilfields Ltd.</v>
          </cell>
        </row>
        <row r="502">
          <cell r="A502" t="str">
            <v>POL-APRB</v>
          </cell>
          <cell r="B502" t="str">
            <v>POL-APRB</v>
          </cell>
        </row>
        <row r="503">
          <cell r="A503" t="str">
            <v>POL-FEB</v>
          </cell>
          <cell r="B503" t="str">
            <v>Pakistan Oilfields Ltd.</v>
          </cell>
        </row>
        <row r="504">
          <cell r="A504" t="str">
            <v>POL-FEBB</v>
          </cell>
          <cell r="B504" t="str">
            <v>Pakistan Oilfields Ltd.</v>
          </cell>
        </row>
        <row r="505">
          <cell r="A505" t="str">
            <v>POL-MAR</v>
          </cell>
          <cell r="B505" t="str">
            <v>Pakistan Oilfields Ltd.</v>
          </cell>
        </row>
        <row r="506">
          <cell r="A506" t="str">
            <v>POL-MARB</v>
          </cell>
          <cell r="B506" t="str">
            <v>POL-MARB</v>
          </cell>
        </row>
        <row r="507">
          <cell r="A507" t="str">
            <v>POWER</v>
          </cell>
          <cell r="B507" t="str">
            <v>Power Cement Limited</v>
          </cell>
        </row>
        <row r="508">
          <cell r="A508" t="str">
            <v>POWER-APR</v>
          </cell>
          <cell r="B508" t="str">
            <v>Power Cement Limited</v>
          </cell>
        </row>
        <row r="509">
          <cell r="A509" t="str">
            <v>POWER-FEB</v>
          </cell>
          <cell r="B509" t="str">
            <v>Power Cement Limited</v>
          </cell>
        </row>
        <row r="510">
          <cell r="A510" t="str">
            <v>POWER-MAR</v>
          </cell>
          <cell r="B510" t="str">
            <v>Power Cement Limited</v>
          </cell>
        </row>
        <row r="511">
          <cell r="A511" t="str">
            <v>PPL</v>
          </cell>
          <cell r="B511" t="str">
            <v>Pakistan Petroleum Limited</v>
          </cell>
        </row>
        <row r="512">
          <cell r="A512" t="str">
            <v>PPL-APR</v>
          </cell>
          <cell r="B512" t="str">
            <v>Pakistan Petroleum Ltd.</v>
          </cell>
        </row>
        <row r="513">
          <cell r="A513" t="str">
            <v>PPL-FEB</v>
          </cell>
          <cell r="B513" t="str">
            <v>Pak Petroleum Ltd.</v>
          </cell>
        </row>
        <row r="514">
          <cell r="A514" t="str">
            <v>PPL-MAR</v>
          </cell>
          <cell r="B514" t="str">
            <v>Pakistan Petroleum Ltd.</v>
          </cell>
        </row>
        <row r="515">
          <cell r="A515" t="str">
            <v>PPP</v>
          </cell>
          <cell r="B515" t="str">
            <v>Pakistan Paper Products Limited</v>
          </cell>
        </row>
        <row r="516">
          <cell r="A516" t="str">
            <v>PREMA</v>
          </cell>
          <cell r="B516" t="str">
            <v>At-Tahur Limited</v>
          </cell>
        </row>
        <row r="517">
          <cell r="A517" t="str">
            <v>PRL</v>
          </cell>
          <cell r="B517" t="str">
            <v>Pakistan Refinery Limited</v>
          </cell>
        </row>
        <row r="518">
          <cell r="A518" t="str">
            <v>PRL-APR</v>
          </cell>
          <cell r="B518" t="str">
            <v>Pakistan Refinery Limited</v>
          </cell>
        </row>
        <row r="519">
          <cell r="A519" t="str">
            <v>PRL-FEB</v>
          </cell>
          <cell r="B519" t="str">
            <v>Pakistan Refinery Limited</v>
          </cell>
        </row>
        <row r="520">
          <cell r="A520" t="str">
            <v>PRL-MAR</v>
          </cell>
          <cell r="B520" t="str">
            <v>Pakistan Refinery Limited</v>
          </cell>
        </row>
        <row r="521">
          <cell r="A521" t="str">
            <v>PRWM</v>
          </cell>
          <cell r="B521" t="str">
            <v>Prosperity Weaving Mills Limited</v>
          </cell>
        </row>
        <row r="522">
          <cell r="A522" t="str">
            <v>PSMC</v>
          </cell>
          <cell r="B522" t="str">
            <v>Pak Suzuki Motor Company Limited</v>
          </cell>
        </row>
        <row r="523">
          <cell r="A523" t="str">
            <v>PSMC-APR</v>
          </cell>
          <cell r="B523" t="str">
            <v>Pak Suzuki Motor Company Limited</v>
          </cell>
        </row>
        <row r="524">
          <cell r="A524" t="str">
            <v>PSMC-FEB</v>
          </cell>
          <cell r="B524" t="str">
            <v>Pak Suzuki Motor Company Limited</v>
          </cell>
        </row>
        <row r="525">
          <cell r="A525" t="str">
            <v>PSMC-MAR</v>
          </cell>
          <cell r="B525" t="str">
            <v>Pak Suzuki Motor Company Limited</v>
          </cell>
        </row>
        <row r="526">
          <cell r="A526" t="str">
            <v>PSO</v>
          </cell>
          <cell r="B526" t="str">
            <v>Pakistan State Oil Company Limited</v>
          </cell>
        </row>
        <row r="527">
          <cell r="A527" t="str">
            <v>PSO-APR</v>
          </cell>
          <cell r="B527" t="str">
            <v>Pakistan State Oil Co.</v>
          </cell>
        </row>
        <row r="528">
          <cell r="A528" t="str">
            <v>PSO-FEB</v>
          </cell>
          <cell r="B528" t="str">
            <v>Pakistan State Oil Co. Ltd.</v>
          </cell>
        </row>
        <row r="529">
          <cell r="A529" t="str">
            <v>PSO-MAR</v>
          </cell>
          <cell r="B529" t="str">
            <v>Pakistan State Oil Co.</v>
          </cell>
        </row>
        <row r="530">
          <cell r="A530" t="str">
            <v>PSX</v>
          </cell>
          <cell r="B530" t="str">
            <v>Pakistan Stock Exchange Limited</v>
          </cell>
        </row>
        <row r="531">
          <cell r="A531" t="str">
            <v>PTC</v>
          </cell>
          <cell r="B531" t="str">
            <v>Pakistan Telecommunication Company Ltd</v>
          </cell>
        </row>
        <row r="532">
          <cell r="A532" t="str">
            <v>PTC-APR</v>
          </cell>
          <cell r="B532" t="str">
            <v>Pakistan Telecommunication</v>
          </cell>
        </row>
        <row r="533">
          <cell r="A533" t="str">
            <v>PTC-FEB</v>
          </cell>
          <cell r="B533" t="str">
            <v>Pakistan Telecommunication</v>
          </cell>
        </row>
        <row r="534">
          <cell r="A534" t="str">
            <v>PTC-MAR</v>
          </cell>
          <cell r="B534" t="str">
            <v>Pakistan Telecommunication</v>
          </cell>
        </row>
        <row r="535">
          <cell r="A535" t="str">
            <v>PTL</v>
          </cell>
          <cell r="B535" t="str">
            <v>Panther Tyres Ltd.</v>
          </cell>
        </row>
        <row r="536">
          <cell r="A536" t="str">
            <v>QUICE</v>
          </cell>
          <cell r="B536" t="str">
            <v>Quice Food Industries Limited</v>
          </cell>
        </row>
        <row r="537">
          <cell r="A537" t="str">
            <v>QUICE-APR</v>
          </cell>
          <cell r="B537" t="str">
            <v>Quice Food Industries Limited</v>
          </cell>
        </row>
        <row r="538">
          <cell r="A538" t="str">
            <v>QUICE-FEB</v>
          </cell>
          <cell r="B538" t="str">
            <v>QUICE-FEB</v>
          </cell>
        </row>
        <row r="539">
          <cell r="A539" t="str">
            <v>QUICE-MAR</v>
          </cell>
          <cell r="B539" t="str">
            <v>Quice Food Industries Limited</v>
          </cell>
        </row>
        <row r="540">
          <cell r="A540" t="str">
            <v>RCML</v>
          </cell>
          <cell r="B540" t="str">
            <v>Reliance Cotton Spinning Mills Limited</v>
          </cell>
        </row>
        <row r="541">
          <cell r="A541" t="str">
            <v>REDCO</v>
          </cell>
          <cell r="B541" t="str">
            <v>Redco Textiles Limited</v>
          </cell>
        </row>
        <row r="542">
          <cell r="A542" t="str">
            <v>REWM</v>
          </cell>
          <cell r="B542" t="str">
            <v>Reliance Weaving Mills Limited</v>
          </cell>
        </row>
        <row r="543">
          <cell r="A543" t="str">
            <v>RICL</v>
          </cell>
          <cell r="B543" t="str">
            <v>Reliance Insurance Company Limited</v>
          </cell>
        </row>
        <row r="544">
          <cell r="A544" t="str">
            <v>RPL</v>
          </cell>
          <cell r="B544" t="str">
            <v>Roshan Packages Limited</v>
          </cell>
        </row>
        <row r="545">
          <cell r="A545" t="str">
            <v>RUPL</v>
          </cell>
          <cell r="B545" t="str">
            <v>Rupali Polyester Limited</v>
          </cell>
        </row>
        <row r="546">
          <cell r="A546" t="str">
            <v>SAIF</v>
          </cell>
          <cell r="B546" t="str">
            <v>Saif Textile Mills Limited</v>
          </cell>
        </row>
        <row r="547">
          <cell r="A547" t="str">
            <v>SAPL</v>
          </cell>
          <cell r="B547" t="str">
            <v>Sanofi-Aventis Pakistan Limited</v>
          </cell>
        </row>
        <row r="548">
          <cell r="A548" t="str">
            <v>SAPT</v>
          </cell>
          <cell r="B548" t="str">
            <v>Sapphire Textile Mills Limited</v>
          </cell>
        </row>
        <row r="549">
          <cell r="A549" t="str">
            <v>SARC</v>
          </cell>
          <cell r="B549" t="str">
            <v>Sardar Chemical Industries Limited</v>
          </cell>
        </row>
        <row r="550">
          <cell r="A550" t="str">
            <v>SAZEW</v>
          </cell>
          <cell r="B550" t="str">
            <v>Sazgar Engineering Works Limited</v>
          </cell>
        </row>
        <row r="551">
          <cell r="A551" t="str">
            <v>SBL</v>
          </cell>
          <cell r="B551" t="str">
            <v>Samba Bank Limited</v>
          </cell>
        </row>
        <row r="552">
          <cell r="A552" t="str">
            <v>SCBPL</v>
          </cell>
          <cell r="B552" t="str">
            <v>Standard Chartered Bank (Pak) Ltd</v>
          </cell>
        </row>
        <row r="553">
          <cell r="A553" t="str">
            <v>SCL</v>
          </cell>
          <cell r="B553" t="str">
            <v>Shield Corporation Limited</v>
          </cell>
        </row>
        <row r="554">
          <cell r="A554" t="str">
            <v>SEARL</v>
          </cell>
          <cell r="B554" t="str">
            <v>The Searle Company Limited</v>
          </cell>
        </row>
        <row r="555">
          <cell r="A555" t="str">
            <v>SEARL-APR</v>
          </cell>
          <cell r="B555" t="str">
            <v>The Searle Company Limited</v>
          </cell>
        </row>
        <row r="556">
          <cell r="A556" t="str">
            <v>SEARL-FEB</v>
          </cell>
          <cell r="B556" t="str">
            <v>The Searle Company Limited</v>
          </cell>
        </row>
        <row r="557">
          <cell r="A557" t="str">
            <v>SEARL-MAR</v>
          </cell>
          <cell r="B557" t="str">
            <v>The Searle Company Limited.</v>
          </cell>
        </row>
        <row r="558">
          <cell r="A558" t="str">
            <v>SEPL</v>
          </cell>
          <cell r="B558" t="str">
            <v>Security Papers Limited</v>
          </cell>
        </row>
        <row r="559">
          <cell r="A559" t="str">
            <v>SERT</v>
          </cell>
          <cell r="B559" t="str">
            <v>Service Industries Textiles Limited</v>
          </cell>
        </row>
        <row r="560">
          <cell r="A560" t="str">
            <v>SGF</v>
          </cell>
          <cell r="B560" t="str">
            <v>Service GlobalFootwear Limited</v>
          </cell>
        </row>
        <row r="561">
          <cell r="A561" t="str">
            <v>SGPL</v>
          </cell>
          <cell r="B561" t="str">
            <v>S.G. Power Limited</v>
          </cell>
        </row>
        <row r="562">
          <cell r="A562" t="str">
            <v>SHEL</v>
          </cell>
          <cell r="B562" t="str">
            <v>Shell Pakistan Limited</v>
          </cell>
        </row>
        <row r="563">
          <cell r="A563" t="str">
            <v>SHEL-APR</v>
          </cell>
          <cell r="B563" t="str">
            <v>SHEL-APR</v>
          </cell>
        </row>
        <row r="564">
          <cell r="A564" t="str">
            <v>SHEL-FEB</v>
          </cell>
          <cell r="B564" t="str">
            <v>SHEL-FEB</v>
          </cell>
        </row>
        <row r="565">
          <cell r="A565" t="str">
            <v>SHEL-MAR</v>
          </cell>
          <cell r="B565" t="str">
            <v>SHEL-MAR</v>
          </cell>
        </row>
        <row r="566">
          <cell r="A566" t="str">
            <v>SHEZ</v>
          </cell>
          <cell r="B566" t="str">
            <v>Shezan International Limited</v>
          </cell>
        </row>
        <row r="567">
          <cell r="A567" t="str">
            <v>SHFA</v>
          </cell>
          <cell r="B567" t="str">
            <v>Shifa International Hospitals Limited</v>
          </cell>
        </row>
        <row r="568">
          <cell r="A568" t="str">
            <v>SHJS</v>
          </cell>
          <cell r="B568" t="str">
            <v>Shahtaj Sugar Mills Limited</v>
          </cell>
        </row>
        <row r="569">
          <cell r="A569" t="str">
            <v>SHNI</v>
          </cell>
          <cell r="B569" t="str">
            <v>Shaheen Insurance Company Limited</v>
          </cell>
        </row>
        <row r="570">
          <cell r="A570" t="str">
            <v>SHSML</v>
          </cell>
          <cell r="B570" t="str">
            <v>Shahmurad Sugar Mills Limited</v>
          </cell>
        </row>
        <row r="571">
          <cell r="A571" t="str">
            <v>SIBL</v>
          </cell>
          <cell r="B571" t="str">
            <v>Security Investment Bank Limited</v>
          </cell>
        </row>
        <row r="572">
          <cell r="A572" t="str">
            <v>SIEM</v>
          </cell>
          <cell r="B572" t="str">
            <v>Siemens (Pakistan) Engineering</v>
          </cell>
        </row>
        <row r="573">
          <cell r="A573" t="str">
            <v>SILK</v>
          </cell>
          <cell r="B573" t="str">
            <v>Silkbank Limited</v>
          </cell>
        </row>
        <row r="574">
          <cell r="A574" t="str">
            <v>SILK-APR</v>
          </cell>
          <cell r="B574" t="str">
            <v>SILK-APR</v>
          </cell>
        </row>
        <row r="575">
          <cell r="A575" t="str">
            <v>SILK-FEB</v>
          </cell>
          <cell r="B575" t="str">
            <v>SILK-FEB</v>
          </cell>
        </row>
        <row r="576">
          <cell r="A576" t="str">
            <v>SILK-MAR</v>
          </cell>
          <cell r="B576" t="str">
            <v>SILK-MAR</v>
          </cell>
        </row>
        <row r="577">
          <cell r="A577" t="str">
            <v>SINDM</v>
          </cell>
          <cell r="B577" t="str">
            <v>Sindh Modaraba</v>
          </cell>
        </row>
        <row r="578">
          <cell r="A578" t="str">
            <v>SITC</v>
          </cell>
          <cell r="B578" t="str">
            <v>Sitara Chemical Industries Limited</v>
          </cell>
        </row>
        <row r="579">
          <cell r="A579" t="str">
            <v>SKRS</v>
          </cell>
          <cell r="B579" t="str">
            <v>Sakrand Sugar Mills Limited</v>
          </cell>
        </row>
        <row r="580">
          <cell r="A580" t="str">
            <v>SLYT</v>
          </cell>
          <cell r="B580" t="str">
            <v>Sally Textile Mills Limited</v>
          </cell>
        </row>
        <row r="581">
          <cell r="A581" t="str">
            <v>SMBL</v>
          </cell>
          <cell r="B581" t="str">
            <v>Summit Bank Limited</v>
          </cell>
        </row>
        <row r="582">
          <cell r="A582" t="str">
            <v>SMBL-APR</v>
          </cell>
          <cell r="B582" t="str">
            <v>SMBL-APR</v>
          </cell>
        </row>
        <row r="583">
          <cell r="A583" t="str">
            <v>SMBL-FEB</v>
          </cell>
          <cell r="B583" t="str">
            <v>SMBL-FEB</v>
          </cell>
        </row>
        <row r="584">
          <cell r="A584" t="str">
            <v>SMBL-MAR</v>
          </cell>
          <cell r="B584" t="str">
            <v>SMBL-MAR</v>
          </cell>
        </row>
        <row r="585">
          <cell r="A585" t="str">
            <v>SMCPL</v>
          </cell>
          <cell r="B585" t="str">
            <v>Safe Mix Concrete Limited</v>
          </cell>
        </row>
        <row r="586">
          <cell r="A586" t="str">
            <v>SML</v>
          </cell>
          <cell r="B586" t="str">
            <v>Shakarganj Limited</v>
          </cell>
        </row>
        <row r="587">
          <cell r="A587" t="str">
            <v>SMTM</v>
          </cell>
          <cell r="B587" t="str">
            <v>Samin Textiles Limited</v>
          </cell>
        </row>
        <row r="588">
          <cell r="A588" t="str">
            <v>SNAI</v>
          </cell>
          <cell r="B588" t="str">
            <v>Sana Industries Limited</v>
          </cell>
        </row>
        <row r="589">
          <cell r="A589" t="str">
            <v>SNBL</v>
          </cell>
          <cell r="B589" t="str">
            <v>Soneri Bank Limited</v>
          </cell>
        </row>
        <row r="590">
          <cell r="A590" t="str">
            <v>SNBL-APR</v>
          </cell>
          <cell r="B590" t="str">
            <v>Sonari Bank Limited</v>
          </cell>
        </row>
        <row r="591">
          <cell r="A591" t="str">
            <v>SNBL-FEB</v>
          </cell>
          <cell r="B591" t="str">
            <v>Sonari Bank Limited</v>
          </cell>
        </row>
        <row r="592">
          <cell r="A592" t="str">
            <v>SNBL-MAR</v>
          </cell>
          <cell r="B592" t="str">
            <v>Sonari Bank Limited</v>
          </cell>
        </row>
        <row r="593">
          <cell r="A593" t="str">
            <v>SNBLTFC2</v>
          </cell>
          <cell r="B593" t="str">
            <v>Soneri Bank Limited (SNBLTFC2)</v>
          </cell>
        </row>
        <row r="594">
          <cell r="A594" t="str">
            <v>SNBLTFC3</v>
          </cell>
          <cell r="B594" t="str">
            <v>Soneri Bank(TFC3)</v>
          </cell>
        </row>
        <row r="595">
          <cell r="A595" t="str">
            <v>SNGP</v>
          </cell>
          <cell r="B595" t="str">
            <v>Sui Northern Gas Pipelines Limited</v>
          </cell>
        </row>
        <row r="596">
          <cell r="A596" t="str">
            <v>SNGP-APR</v>
          </cell>
          <cell r="B596" t="str">
            <v>Sui Northern Gas Pipelines Ltd.</v>
          </cell>
        </row>
        <row r="597">
          <cell r="A597" t="str">
            <v>SNGP-FEB</v>
          </cell>
          <cell r="B597" t="str">
            <v>Sui Northern Gas</v>
          </cell>
        </row>
        <row r="598">
          <cell r="A598" t="str">
            <v>SNGP-MAR</v>
          </cell>
          <cell r="B598" t="str">
            <v>Sui Northern Gas Pipelines Ltd.</v>
          </cell>
        </row>
        <row r="599">
          <cell r="A599" t="str">
            <v>SPEL</v>
          </cell>
          <cell r="B599" t="str">
            <v>Synthetic Products Enterprises Limited</v>
          </cell>
        </row>
        <row r="600">
          <cell r="A600" t="str">
            <v>SPL</v>
          </cell>
          <cell r="B600" t="str">
            <v>Sitara Peroxide Limited</v>
          </cell>
        </row>
        <row r="601">
          <cell r="A601" t="str">
            <v>SPLC</v>
          </cell>
          <cell r="B601" t="str">
            <v>Saudi Pak Leasing Company Limited</v>
          </cell>
        </row>
        <row r="602">
          <cell r="A602" t="str">
            <v>SPWL</v>
          </cell>
          <cell r="B602" t="str">
            <v>Saif Power Limited</v>
          </cell>
        </row>
        <row r="603">
          <cell r="A603" t="str">
            <v>SRVI</v>
          </cell>
          <cell r="B603" t="str">
            <v>Service Industries Limited</v>
          </cell>
        </row>
        <row r="604">
          <cell r="A604" t="str">
            <v>SSGC</v>
          </cell>
          <cell r="B604" t="str">
            <v>Sui Southern Gas Company Limited</v>
          </cell>
        </row>
        <row r="605">
          <cell r="A605" t="str">
            <v>SSGC-APR</v>
          </cell>
          <cell r="B605" t="str">
            <v>Sui Southern Gas Co. Ltd.</v>
          </cell>
        </row>
        <row r="606">
          <cell r="A606" t="str">
            <v>SSGC-FEB</v>
          </cell>
          <cell r="B606" t="str">
            <v>Sui Southern Gas Co. Ltd.</v>
          </cell>
        </row>
        <row r="607">
          <cell r="A607" t="str">
            <v>SSGC-MAR</v>
          </cell>
          <cell r="B607" t="str">
            <v>Sui Southern Gas Co. Ltd.</v>
          </cell>
        </row>
        <row r="608">
          <cell r="A608" t="str">
            <v>SSML</v>
          </cell>
          <cell r="B608" t="str">
            <v>Saritow Spinning Mills Limited</v>
          </cell>
        </row>
        <row r="609">
          <cell r="A609" t="str">
            <v>SSOM</v>
          </cell>
          <cell r="B609" t="str">
            <v>S.S.Oil Mills Limited</v>
          </cell>
        </row>
        <row r="610">
          <cell r="A610" t="str">
            <v>STCL</v>
          </cell>
          <cell r="B610" t="str">
            <v>Shabbir Tiles &amp; Ceramics Limited</v>
          </cell>
        </row>
        <row r="611">
          <cell r="A611" t="str">
            <v>STJT</v>
          </cell>
          <cell r="B611" t="str">
            <v>Shahtaj Textile Limited</v>
          </cell>
        </row>
        <row r="612">
          <cell r="A612" t="str">
            <v>STML</v>
          </cell>
          <cell r="B612" t="str">
            <v>Shams Textile Mills Limited</v>
          </cell>
        </row>
        <row r="613">
          <cell r="A613" t="str">
            <v>STPL</v>
          </cell>
          <cell r="B613" t="str">
            <v>Siddiqsons Tin Plate Limited</v>
          </cell>
        </row>
        <row r="614">
          <cell r="A614" t="str">
            <v>STPL-APR</v>
          </cell>
          <cell r="B614" t="str">
            <v>Siddiqsons Tin Plate Limited</v>
          </cell>
        </row>
        <row r="615">
          <cell r="A615" t="str">
            <v>STPL-FEB</v>
          </cell>
          <cell r="B615" t="str">
            <v>Siddiqsons Tin Plate Limited</v>
          </cell>
        </row>
        <row r="616">
          <cell r="A616" t="str">
            <v>STPL-MAR</v>
          </cell>
          <cell r="B616" t="str">
            <v>Siddiqsons Tin Plate Limited</v>
          </cell>
        </row>
        <row r="617">
          <cell r="A617" t="str">
            <v>SUHJ</v>
          </cell>
          <cell r="B617" t="str">
            <v>Suhail Jute Mills Limited</v>
          </cell>
        </row>
        <row r="618">
          <cell r="A618" t="str">
            <v>SURC</v>
          </cell>
          <cell r="B618" t="str">
            <v>Suraj Cotton Mills Limited</v>
          </cell>
        </row>
        <row r="619">
          <cell r="A619" t="str">
            <v>SUTM</v>
          </cell>
          <cell r="B619" t="str">
            <v>Sunrays Textile Mills Limited</v>
          </cell>
        </row>
        <row r="620">
          <cell r="A620" t="str">
            <v>SYS</v>
          </cell>
          <cell r="B620" t="str">
            <v>Systems Limited</v>
          </cell>
        </row>
        <row r="621">
          <cell r="A621" t="str">
            <v>SYS-APR</v>
          </cell>
          <cell r="B621" t="str">
            <v>SYS-APR</v>
          </cell>
        </row>
        <row r="622">
          <cell r="A622" t="str">
            <v>SYS-FEB</v>
          </cell>
          <cell r="B622" t="str">
            <v>SYS-FEB</v>
          </cell>
        </row>
        <row r="623">
          <cell r="A623" t="str">
            <v>SYS-MAR</v>
          </cell>
          <cell r="B623" t="str">
            <v>Systems Limited</v>
          </cell>
        </row>
        <row r="624">
          <cell r="A624" t="str">
            <v>TATM</v>
          </cell>
          <cell r="B624" t="str">
            <v>Tata Textile Mills Limited</v>
          </cell>
        </row>
        <row r="625">
          <cell r="A625" t="str">
            <v>TELE</v>
          </cell>
          <cell r="B625" t="str">
            <v>Telecard Limited</v>
          </cell>
        </row>
        <row r="626">
          <cell r="A626" t="str">
            <v>TELE-APR</v>
          </cell>
          <cell r="B626" t="str">
            <v>Telecard Limited</v>
          </cell>
        </row>
        <row r="627">
          <cell r="A627" t="str">
            <v>TELE-FEB</v>
          </cell>
          <cell r="B627" t="str">
            <v>Telecard Limited</v>
          </cell>
        </row>
        <row r="628">
          <cell r="A628" t="str">
            <v>TELE-MAR</v>
          </cell>
          <cell r="B628" t="str">
            <v>Telecard Limited</v>
          </cell>
        </row>
        <row r="629">
          <cell r="A629" t="str">
            <v>TGL</v>
          </cell>
          <cell r="B629" t="str">
            <v>Tariq Glass Industries Limited</v>
          </cell>
        </row>
        <row r="630">
          <cell r="A630" t="str">
            <v>TGL-APR</v>
          </cell>
          <cell r="B630" t="str">
            <v>Tariq Glass Industries Limited</v>
          </cell>
        </row>
        <row r="631">
          <cell r="A631" t="str">
            <v>TGL-FEB</v>
          </cell>
          <cell r="B631" t="str">
            <v>Tariq Glass Industries Limited</v>
          </cell>
        </row>
        <row r="632">
          <cell r="A632" t="str">
            <v>TGL-MAR</v>
          </cell>
          <cell r="B632" t="str">
            <v>Tariq Glass Industries Limited</v>
          </cell>
        </row>
        <row r="633">
          <cell r="A633" t="str">
            <v>THALL</v>
          </cell>
          <cell r="B633" t="str">
            <v>Thal Limited</v>
          </cell>
        </row>
        <row r="634">
          <cell r="A634" t="str">
            <v>THALL-APR</v>
          </cell>
          <cell r="B634" t="str">
            <v>THALL-APR</v>
          </cell>
        </row>
        <row r="635">
          <cell r="A635" t="str">
            <v>THALL-FEB</v>
          </cell>
          <cell r="B635" t="str">
            <v>THALL-FEB</v>
          </cell>
        </row>
        <row r="636">
          <cell r="A636" t="str">
            <v>THALL-MAR</v>
          </cell>
          <cell r="B636" t="str">
            <v>THALL-MAR</v>
          </cell>
        </row>
        <row r="637">
          <cell r="A637" t="str">
            <v>THCCL</v>
          </cell>
          <cell r="B637" t="str">
            <v>Thatta Cement Company Limited</v>
          </cell>
        </row>
        <row r="638">
          <cell r="A638" t="str">
            <v>TOMCL</v>
          </cell>
          <cell r="B638" t="str">
            <v>The Organic Meat Company Limited</v>
          </cell>
        </row>
        <row r="639">
          <cell r="A639" t="str">
            <v>TOMCL-APR</v>
          </cell>
          <cell r="B639" t="str">
            <v>TOMCL-APR</v>
          </cell>
        </row>
        <row r="640">
          <cell r="A640" t="str">
            <v>TOMCL-FEB</v>
          </cell>
          <cell r="B640" t="str">
            <v>TOMCL-FEB</v>
          </cell>
        </row>
        <row r="641">
          <cell r="A641" t="str">
            <v>TOMCL-MAR</v>
          </cell>
          <cell r="B641" t="str">
            <v>TOMCL-MAR</v>
          </cell>
        </row>
        <row r="642">
          <cell r="A642" t="str">
            <v>TPL</v>
          </cell>
          <cell r="B642" t="str">
            <v>TPL Corp Limited</v>
          </cell>
        </row>
        <row r="643">
          <cell r="A643" t="str">
            <v>TPL-APR</v>
          </cell>
          <cell r="B643" t="str">
            <v>TPL Trakker Limited</v>
          </cell>
        </row>
        <row r="644">
          <cell r="A644" t="str">
            <v>TPL-FEB</v>
          </cell>
          <cell r="B644" t="str">
            <v>TPL-FEB</v>
          </cell>
        </row>
        <row r="645">
          <cell r="A645" t="str">
            <v>TPL-MAR</v>
          </cell>
          <cell r="B645" t="str">
            <v>TPL Trakker Limited</v>
          </cell>
        </row>
        <row r="646">
          <cell r="A646" t="str">
            <v>TPLI</v>
          </cell>
          <cell r="B646" t="str">
            <v>TPL Insurance Limited</v>
          </cell>
        </row>
        <row r="647">
          <cell r="A647" t="str">
            <v>TPLP</v>
          </cell>
          <cell r="B647" t="str">
            <v>TPL Properties Limited</v>
          </cell>
        </row>
        <row r="648">
          <cell r="A648" t="str">
            <v>TPLP-APR</v>
          </cell>
          <cell r="B648" t="str">
            <v>TPLP-APR</v>
          </cell>
        </row>
        <row r="649">
          <cell r="A649" t="str">
            <v>TPLP-FEB</v>
          </cell>
          <cell r="B649" t="str">
            <v>TPLP-FEB</v>
          </cell>
        </row>
        <row r="650">
          <cell r="A650" t="str">
            <v>TPLP-MAR</v>
          </cell>
          <cell r="B650" t="str">
            <v>TPLP-MAR</v>
          </cell>
        </row>
        <row r="651">
          <cell r="A651" t="str">
            <v>TPLT</v>
          </cell>
          <cell r="B651" t="str">
            <v>TPL Trakker Limited</v>
          </cell>
        </row>
        <row r="652">
          <cell r="A652" t="str">
            <v>TREET</v>
          </cell>
          <cell r="B652" t="str">
            <v>Treet Corporation Limited</v>
          </cell>
        </row>
        <row r="653">
          <cell r="A653" t="str">
            <v>TREET-APR</v>
          </cell>
          <cell r="B653" t="str">
            <v>Treet Corporation Limited</v>
          </cell>
        </row>
        <row r="654">
          <cell r="A654" t="str">
            <v>TREET-FEB</v>
          </cell>
          <cell r="B654" t="str">
            <v>Treet Corporation Limited</v>
          </cell>
        </row>
        <row r="655">
          <cell r="A655" t="str">
            <v>TREET-MAR</v>
          </cell>
          <cell r="B655" t="str">
            <v>Treet Corporation Limited</v>
          </cell>
        </row>
        <row r="656">
          <cell r="A656" t="str">
            <v>TRG</v>
          </cell>
          <cell r="B656" t="str">
            <v>TRG Pakistan Limited</v>
          </cell>
        </row>
        <row r="657">
          <cell r="A657" t="str">
            <v>TRG-APR</v>
          </cell>
          <cell r="B657" t="str">
            <v>TRG Pakistan</v>
          </cell>
        </row>
        <row r="658">
          <cell r="A658" t="str">
            <v>TRG-FEB</v>
          </cell>
          <cell r="B658" t="str">
            <v>TRG Pakistan Limited</v>
          </cell>
        </row>
        <row r="659">
          <cell r="A659" t="str">
            <v>TRG-MAR</v>
          </cell>
          <cell r="B659" t="str">
            <v>TRG Pakistan</v>
          </cell>
        </row>
        <row r="660">
          <cell r="A660" t="str">
            <v>TRIPF</v>
          </cell>
          <cell r="B660" t="str">
            <v>Tri-Pack Films Limited</v>
          </cell>
        </row>
        <row r="661">
          <cell r="A661" t="str">
            <v>TSPL</v>
          </cell>
          <cell r="B661" t="str">
            <v>Tri-Star Power Limited</v>
          </cell>
        </row>
        <row r="662">
          <cell r="A662" t="str">
            <v>UBDL</v>
          </cell>
          <cell r="B662" t="str">
            <v>United Brands Limited</v>
          </cell>
        </row>
        <row r="663">
          <cell r="A663" t="str">
            <v>UBL</v>
          </cell>
          <cell r="B663" t="str">
            <v>United Bank Limited</v>
          </cell>
        </row>
        <row r="664">
          <cell r="A664" t="str">
            <v>UBL-APR</v>
          </cell>
          <cell r="B664" t="str">
            <v>United Bank Ltd.</v>
          </cell>
        </row>
        <row r="665">
          <cell r="A665" t="str">
            <v>UBL-FEB</v>
          </cell>
          <cell r="B665" t="str">
            <v>United Bank Ltd.</v>
          </cell>
        </row>
        <row r="666">
          <cell r="A666" t="str">
            <v>UBL-MAR</v>
          </cell>
          <cell r="B666" t="str">
            <v>United Bank Ltd.</v>
          </cell>
        </row>
        <row r="667">
          <cell r="A667" t="str">
            <v>UBLPETF</v>
          </cell>
          <cell r="B667" t="str">
            <v>UBLPakistan Enterprise ETF</v>
          </cell>
        </row>
        <row r="668">
          <cell r="A668" t="str">
            <v>UBLPETF-APR</v>
          </cell>
          <cell r="B668" t="str">
            <v>UBLPETF-APR</v>
          </cell>
        </row>
        <row r="669">
          <cell r="A669" t="str">
            <v>UBLPETF-FEB</v>
          </cell>
          <cell r="B669" t="str">
            <v>UBLPETF-FEB</v>
          </cell>
        </row>
        <row r="670">
          <cell r="A670" t="str">
            <v>UBLPETF-MAR</v>
          </cell>
          <cell r="B670" t="str">
            <v>UBLPETF-MAR</v>
          </cell>
        </row>
        <row r="671">
          <cell r="A671" t="str">
            <v>UCAPM</v>
          </cell>
          <cell r="B671" t="str">
            <v>Unicap Modaraba</v>
          </cell>
        </row>
        <row r="672">
          <cell r="A672" t="str">
            <v>UNITY</v>
          </cell>
          <cell r="B672" t="str">
            <v>Unity Foods Limited</v>
          </cell>
        </row>
        <row r="673">
          <cell r="A673" t="str">
            <v>UNITY-APR</v>
          </cell>
          <cell r="B673" t="str">
            <v>Unity Foods Limited</v>
          </cell>
        </row>
        <row r="674">
          <cell r="A674" t="str">
            <v>UNITY-FEB</v>
          </cell>
          <cell r="B674" t="str">
            <v>Unity Foods Limited</v>
          </cell>
        </row>
        <row r="675">
          <cell r="A675" t="str">
            <v>UNITY-MAR</v>
          </cell>
          <cell r="B675" t="str">
            <v>Unity Foods Limited</v>
          </cell>
        </row>
        <row r="676">
          <cell r="A676" t="str">
            <v>UPFL</v>
          </cell>
          <cell r="B676" t="str">
            <v>Unilever Pakistan Foods Limited</v>
          </cell>
        </row>
        <row r="677">
          <cell r="A677" t="str">
            <v>UVIC</v>
          </cell>
          <cell r="B677" t="str">
            <v>The Universal Insurance Company Limited</v>
          </cell>
        </row>
        <row r="678">
          <cell r="A678" t="str">
            <v>WAHN</v>
          </cell>
          <cell r="B678" t="str">
            <v>Wah Noble Chemicals Limited</v>
          </cell>
        </row>
        <row r="679">
          <cell r="A679" t="str">
            <v>WAVES</v>
          </cell>
          <cell r="B679" t="str">
            <v>Waves Singer Pakistan Limited</v>
          </cell>
        </row>
        <row r="680">
          <cell r="A680" t="str">
            <v>WAVES-APR</v>
          </cell>
          <cell r="B680" t="str">
            <v>Waves Singer Pakistan Limited</v>
          </cell>
        </row>
        <row r="681">
          <cell r="A681" t="str">
            <v>WAVES-FEB</v>
          </cell>
          <cell r="B681" t="str">
            <v>WAVES-FEB</v>
          </cell>
        </row>
        <row r="682">
          <cell r="A682" t="str">
            <v>WAVES-MAR</v>
          </cell>
          <cell r="B682" t="str">
            <v>WAVES-MAR</v>
          </cell>
        </row>
        <row r="683">
          <cell r="A683" t="str">
            <v>WTL</v>
          </cell>
          <cell r="B683" t="str">
            <v>Worldcall Telecom Limited</v>
          </cell>
        </row>
        <row r="684">
          <cell r="A684" t="str">
            <v>WTL-APR</v>
          </cell>
          <cell r="B684" t="str">
            <v>WorldCall Telecom</v>
          </cell>
        </row>
        <row r="685">
          <cell r="A685" t="str">
            <v>WTL-FEB</v>
          </cell>
          <cell r="B685" t="str">
            <v>WorldCall Telecom</v>
          </cell>
        </row>
        <row r="686">
          <cell r="A686" t="str">
            <v>WTL-MAR</v>
          </cell>
          <cell r="B686" t="str">
            <v>WorldCall Comm. Ltd</v>
          </cell>
        </row>
        <row r="687">
          <cell r="A687" t="str">
            <v>WYETH</v>
          </cell>
          <cell r="B687" t="str">
            <v>Wyeth Pakistan Limited</v>
          </cell>
        </row>
        <row r="688">
          <cell r="A688" t="str">
            <v>YOUW</v>
          </cell>
          <cell r="B688" t="str">
            <v>Yousaf Weaving Mills Limited</v>
          </cell>
        </row>
        <row r="689">
          <cell r="A689" t="str">
            <v>YOUW-APR</v>
          </cell>
          <cell r="B689" t="str">
            <v>YOUW-APR</v>
          </cell>
        </row>
        <row r="690">
          <cell r="A690" t="str">
            <v>YOUW-FEB</v>
          </cell>
          <cell r="B690" t="str">
            <v>YOUW-FEB</v>
          </cell>
        </row>
        <row r="691">
          <cell r="A691" t="str">
            <v>YOUW-MAR</v>
          </cell>
          <cell r="B691" t="str">
            <v>YOUW-MAR</v>
          </cell>
        </row>
        <row r="692">
          <cell r="A692" t="str">
            <v>ZTL</v>
          </cell>
          <cell r="B692" t="str">
            <v>Zephyr Textiles Limited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"/>
      <sheetName val="Script Names"/>
      <sheetName val="Bonus"/>
      <sheetName val="Bonus Tax Working"/>
      <sheetName val="Right Shares - ICL"/>
      <sheetName val="Right Shares - MEBL"/>
      <sheetName val="Engro Corporation"/>
      <sheetName val="Right Shares - HASCOL"/>
      <sheetName val="Right Shares - SEARL"/>
      <sheetName val="Transfer"/>
      <sheetName val="Charity Transfer"/>
      <sheetName val="AGCF"/>
      <sheetName val="MF Dividend"/>
      <sheetName val="Sheet1"/>
      <sheetName val="Right Shares - HUBC"/>
      <sheetName val="Right Shares - HUBC - Adjusted"/>
      <sheetName val="Sheet3"/>
      <sheetName val="AGIIF"/>
      <sheetName val="HBL IIF"/>
    </sheetNames>
    <sheetDataSet>
      <sheetData sheetId="0"/>
      <sheetData sheetId="1">
        <row r="1">
          <cell r="A1">
            <v>786</v>
          </cell>
          <cell r="B1" t="str">
            <v>786 Investments Limited</v>
          </cell>
        </row>
        <row r="2">
          <cell r="A2" t="str">
            <v>AABS</v>
          </cell>
          <cell r="B2" t="str">
            <v>Al-Abbas Sugar Mills Limited</v>
          </cell>
        </row>
        <row r="3">
          <cell r="A3" t="str">
            <v>ABL</v>
          </cell>
          <cell r="B3" t="str">
            <v>Allied Bank Limited</v>
          </cell>
        </row>
        <row r="4">
          <cell r="A4" t="str">
            <v>ABL-APR</v>
          </cell>
          <cell r="B4" t="str">
            <v>Allied Bank Limited</v>
          </cell>
        </row>
        <row r="5">
          <cell r="A5" t="str">
            <v>ABL-FEB</v>
          </cell>
          <cell r="B5" t="str">
            <v>Allied Bank Limited</v>
          </cell>
        </row>
        <row r="6">
          <cell r="A6" t="str">
            <v>ABL-MAR</v>
          </cell>
          <cell r="B6" t="str">
            <v>Allied Bank Limited</v>
          </cell>
        </row>
        <row r="7">
          <cell r="A7" t="str">
            <v>ABOT</v>
          </cell>
          <cell r="B7" t="str">
            <v>Abbott Laboratories (Pakistan) Limited</v>
          </cell>
        </row>
        <row r="8">
          <cell r="A8" t="str">
            <v>ACPL</v>
          </cell>
          <cell r="B8" t="str">
            <v>Attock Cement Pakistan Limited</v>
          </cell>
        </row>
        <row r="9">
          <cell r="A9" t="str">
            <v>ADAMS</v>
          </cell>
          <cell r="B9" t="str">
            <v>Adam Sugar Mills Limited</v>
          </cell>
        </row>
        <row r="10">
          <cell r="A10" t="str">
            <v>ADMM</v>
          </cell>
          <cell r="B10" t="str">
            <v>Artistic Denim Mills Limited</v>
          </cell>
        </row>
        <row r="11">
          <cell r="A11" t="str">
            <v>ADOS</v>
          </cell>
          <cell r="B11" t="str">
            <v>Ados Pakistan Limited</v>
          </cell>
        </row>
        <row r="12">
          <cell r="A12" t="str">
            <v>AGHA</v>
          </cell>
          <cell r="B12" t="str">
            <v>Agha Steel Ind.Ltd</v>
          </cell>
        </row>
        <row r="13">
          <cell r="A13" t="str">
            <v>AGHA-APR</v>
          </cell>
          <cell r="B13" t="str">
            <v>AGHA-APR</v>
          </cell>
        </row>
        <row r="14">
          <cell r="A14" t="str">
            <v>AGHA-FEB</v>
          </cell>
          <cell r="B14" t="str">
            <v>AGHA-FEB</v>
          </cell>
        </row>
        <row r="15">
          <cell r="A15" t="str">
            <v>AGHA-MAR</v>
          </cell>
          <cell r="B15" t="str">
            <v>AGHA-MAR</v>
          </cell>
        </row>
        <row r="16">
          <cell r="A16" t="str">
            <v>AGIL</v>
          </cell>
          <cell r="B16" t="str">
            <v>Agriauto Industries Limited</v>
          </cell>
        </row>
        <row r="17">
          <cell r="A17" t="str">
            <v>AGL</v>
          </cell>
          <cell r="B17" t="str">
            <v>Agritech Limited</v>
          </cell>
        </row>
        <row r="18">
          <cell r="A18" t="str">
            <v>AGL-APR</v>
          </cell>
          <cell r="B18" t="str">
            <v>AGL-APR</v>
          </cell>
        </row>
        <row r="19">
          <cell r="A19" t="str">
            <v>AGL-FEB</v>
          </cell>
          <cell r="B19" t="str">
            <v>AGL-FEB</v>
          </cell>
        </row>
        <row r="20">
          <cell r="A20" t="str">
            <v>AGL-MAR</v>
          </cell>
          <cell r="B20" t="str">
            <v>AGL-MAR</v>
          </cell>
        </row>
        <row r="21">
          <cell r="A21" t="str">
            <v>AGP</v>
          </cell>
          <cell r="B21" t="str">
            <v>AGP Limited</v>
          </cell>
        </row>
        <row r="22">
          <cell r="A22" t="str">
            <v>AGP-APR</v>
          </cell>
          <cell r="B22" t="str">
            <v>AGP-APR</v>
          </cell>
        </row>
        <row r="23">
          <cell r="A23" t="str">
            <v>AGP-FEB</v>
          </cell>
          <cell r="B23" t="str">
            <v>AGP-FEB</v>
          </cell>
        </row>
        <row r="24">
          <cell r="A24" t="str">
            <v>AGP-MAR</v>
          </cell>
          <cell r="B24" t="str">
            <v>AGP-MAR</v>
          </cell>
        </row>
        <row r="25">
          <cell r="A25" t="str">
            <v>AGSML</v>
          </cell>
          <cell r="B25" t="str">
            <v>Abdullah Shah Ghazi Sugar Mills Limited</v>
          </cell>
        </row>
        <row r="26">
          <cell r="A26" t="str">
            <v>AGTL</v>
          </cell>
          <cell r="B26" t="str">
            <v>Al-Ghazi Tractors Limited</v>
          </cell>
        </row>
        <row r="27">
          <cell r="A27" t="str">
            <v>AHCL</v>
          </cell>
          <cell r="B27" t="str">
            <v>Arif Habib Corporation Limited</v>
          </cell>
        </row>
        <row r="28">
          <cell r="A28" t="str">
            <v>AHL</v>
          </cell>
          <cell r="B28" t="str">
            <v>Arif Habib Limited</v>
          </cell>
        </row>
        <row r="29">
          <cell r="A29" t="str">
            <v>AICL</v>
          </cell>
          <cell r="B29" t="str">
            <v>Adamjee Insurance Company Limited</v>
          </cell>
        </row>
        <row r="30">
          <cell r="A30" t="str">
            <v>AIRLINK</v>
          </cell>
          <cell r="B30" t="str">
            <v>Air Link Communication Limited</v>
          </cell>
        </row>
        <row r="31">
          <cell r="A31" t="str">
            <v>AKBL</v>
          </cell>
          <cell r="B31" t="str">
            <v>Askari Bank Limited</v>
          </cell>
        </row>
        <row r="32">
          <cell r="A32" t="str">
            <v>AKDHL</v>
          </cell>
          <cell r="B32" t="str">
            <v>AKD Hospitality Limited</v>
          </cell>
        </row>
        <row r="33">
          <cell r="A33" t="str">
            <v>ALAC</v>
          </cell>
          <cell r="B33" t="str">
            <v>Askari Life Assurance Company Limited</v>
          </cell>
        </row>
        <row r="34">
          <cell r="A34" t="str">
            <v>ALTN</v>
          </cell>
          <cell r="B34" t="str">
            <v>Altern Energy Limited</v>
          </cell>
        </row>
        <row r="35">
          <cell r="A35" t="str">
            <v>AMBL</v>
          </cell>
          <cell r="B35" t="str">
            <v>Apna Microfinance Bank Limited</v>
          </cell>
        </row>
        <row r="36">
          <cell r="A36" t="str">
            <v>ANL</v>
          </cell>
          <cell r="B36" t="str">
            <v>Azgard Nine Limited</v>
          </cell>
        </row>
        <row r="37">
          <cell r="A37" t="str">
            <v>ANL-APR</v>
          </cell>
          <cell r="B37" t="str">
            <v>Azgard Nine Ltd.</v>
          </cell>
        </row>
        <row r="38">
          <cell r="A38" t="str">
            <v>ANL-FEB</v>
          </cell>
          <cell r="B38" t="str">
            <v>Azgard Nine Ltd.</v>
          </cell>
        </row>
        <row r="39">
          <cell r="A39" t="str">
            <v>ANL-MAR</v>
          </cell>
          <cell r="B39" t="str">
            <v>Azgard Nine Ltd.</v>
          </cell>
        </row>
        <row r="40">
          <cell r="A40" t="str">
            <v>APL</v>
          </cell>
          <cell r="B40" t="str">
            <v>Attock Petroleum Limited</v>
          </cell>
        </row>
        <row r="41">
          <cell r="A41" t="str">
            <v>ARM</v>
          </cell>
          <cell r="B41" t="str">
            <v>Allied Rental Modaraba</v>
          </cell>
        </row>
        <row r="42">
          <cell r="A42" t="str">
            <v>ARPL</v>
          </cell>
          <cell r="B42" t="str">
            <v>Archroma Pakistan Limited</v>
          </cell>
        </row>
        <row r="43">
          <cell r="A43" t="str">
            <v>ARUJ</v>
          </cell>
          <cell r="B43" t="str">
            <v>Aruj Industries Limited</v>
          </cell>
        </row>
        <row r="44">
          <cell r="A44" t="str">
            <v>ASC</v>
          </cell>
          <cell r="B44" t="str">
            <v>Al Shaheer Corporation Limited</v>
          </cell>
        </row>
        <row r="45">
          <cell r="A45" t="str">
            <v>ASC-APR</v>
          </cell>
          <cell r="B45" t="str">
            <v>Al Shaheer Corporation Limited</v>
          </cell>
        </row>
        <row r="46">
          <cell r="A46" t="str">
            <v>ASC-FEB</v>
          </cell>
          <cell r="B46" t="str">
            <v>ASC-FEB</v>
          </cell>
        </row>
        <row r="47">
          <cell r="A47" t="str">
            <v>ASC-MAR</v>
          </cell>
          <cell r="B47" t="str">
            <v>ASC-MAR</v>
          </cell>
        </row>
        <row r="48">
          <cell r="A48" t="str">
            <v>ASL</v>
          </cell>
          <cell r="B48" t="str">
            <v>Aisha Steel Mills Limited</v>
          </cell>
        </row>
        <row r="49">
          <cell r="A49" t="str">
            <v>ASL-APR</v>
          </cell>
          <cell r="B49" t="str">
            <v>Aisha Steel Mills Limited</v>
          </cell>
        </row>
        <row r="50">
          <cell r="A50" t="str">
            <v>ASL-FEB</v>
          </cell>
          <cell r="B50" t="str">
            <v>Aisha Steel Mills Limited</v>
          </cell>
        </row>
        <row r="51">
          <cell r="A51" t="str">
            <v>ASL-MAR</v>
          </cell>
          <cell r="B51" t="str">
            <v>Aisha Steel Mills Limited</v>
          </cell>
        </row>
        <row r="52">
          <cell r="A52" t="str">
            <v>ASTL</v>
          </cell>
          <cell r="B52" t="str">
            <v>Amreli Steels Limited</v>
          </cell>
        </row>
        <row r="53">
          <cell r="A53" t="str">
            <v>ASTL-APR</v>
          </cell>
          <cell r="B53" t="str">
            <v>Amreli Steels Limited</v>
          </cell>
        </row>
        <row r="54">
          <cell r="A54" t="str">
            <v>ASTL-FEB</v>
          </cell>
          <cell r="B54" t="str">
            <v>Amreli Steels Limited</v>
          </cell>
        </row>
        <row r="55">
          <cell r="A55" t="str">
            <v>ASTL-MAR</v>
          </cell>
          <cell r="B55" t="str">
            <v>Amreli Steels Limited</v>
          </cell>
        </row>
        <row r="56">
          <cell r="A56" t="str">
            <v>ASTM</v>
          </cell>
          <cell r="B56" t="str">
            <v>Asim Textile Mills Limited</v>
          </cell>
        </row>
        <row r="57">
          <cell r="A57" t="str">
            <v>ATBA</v>
          </cell>
          <cell r="B57" t="str">
            <v>Atlas Battery Limited</v>
          </cell>
        </row>
        <row r="58">
          <cell r="A58" t="str">
            <v>ATIL</v>
          </cell>
          <cell r="B58" t="str">
            <v>Atlas Insurance Limited</v>
          </cell>
        </row>
        <row r="59">
          <cell r="A59" t="str">
            <v>ATLH</v>
          </cell>
          <cell r="B59" t="str">
            <v>Atlas Honda Limited</v>
          </cell>
        </row>
        <row r="60">
          <cell r="A60" t="str">
            <v>ATRL</v>
          </cell>
          <cell r="B60" t="str">
            <v>Attock Refinery Limited</v>
          </cell>
        </row>
        <row r="61">
          <cell r="A61" t="str">
            <v>ATRL-APR</v>
          </cell>
          <cell r="B61" t="str">
            <v>Attock Refinery Ltd.</v>
          </cell>
        </row>
        <row r="62">
          <cell r="A62" t="str">
            <v>ATRL-FEB</v>
          </cell>
          <cell r="B62" t="str">
            <v>Attock Refinery Ltd.</v>
          </cell>
        </row>
        <row r="63">
          <cell r="A63" t="str">
            <v>ATRL-MAR</v>
          </cell>
          <cell r="B63" t="str">
            <v>Attock Refinery Ltd.</v>
          </cell>
        </row>
        <row r="64">
          <cell r="A64" t="str">
            <v>AVN</v>
          </cell>
          <cell r="B64" t="str">
            <v>Avanceon Limited</v>
          </cell>
        </row>
        <row r="65">
          <cell r="A65" t="str">
            <v>AVN-APR</v>
          </cell>
          <cell r="B65" t="str">
            <v>Avanceon Limited</v>
          </cell>
        </row>
        <row r="66">
          <cell r="A66" t="str">
            <v>AVN-FEB</v>
          </cell>
          <cell r="B66" t="str">
            <v>Avanceon Limited</v>
          </cell>
        </row>
        <row r="67">
          <cell r="A67" t="str">
            <v>AVN-MAR</v>
          </cell>
          <cell r="B67" t="str">
            <v>Avanceon Limited</v>
          </cell>
        </row>
        <row r="68">
          <cell r="A68" t="str">
            <v>BAFL</v>
          </cell>
          <cell r="B68" t="str">
            <v>Bank Alfalah Limited</v>
          </cell>
        </row>
        <row r="69">
          <cell r="A69" t="str">
            <v>BAFL-APR</v>
          </cell>
          <cell r="B69" t="str">
            <v>Bank Alfalah Ltd</v>
          </cell>
        </row>
        <row r="70">
          <cell r="A70" t="str">
            <v>BAFL-FEB</v>
          </cell>
          <cell r="B70" t="str">
            <v>Bank Al-Falah Limited</v>
          </cell>
        </row>
        <row r="71">
          <cell r="A71" t="str">
            <v>BAFL-MAR</v>
          </cell>
          <cell r="B71" t="str">
            <v>Bank Alfalah Ltd</v>
          </cell>
        </row>
        <row r="72">
          <cell r="A72" t="str">
            <v>BAHL</v>
          </cell>
          <cell r="B72" t="str">
            <v>Bank AL Habib Limited</v>
          </cell>
        </row>
        <row r="73">
          <cell r="A73" t="str">
            <v>BAHL-APR</v>
          </cell>
          <cell r="B73" t="str">
            <v>Bank AL-Habib Limited</v>
          </cell>
        </row>
        <row r="74">
          <cell r="A74" t="str">
            <v>BAHL-FEB</v>
          </cell>
          <cell r="B74" t="str">
            <v>Bank AL-Habib Limited</v>
          </cell>
        </row>
        <row r="75">
          <cell r="A75" t="str">
            <v>BAHL-MAR</v>
          </cell>
          <cell r="B75" t="str">
            <v>Bank AL-Habib Limited</v>
          </cell>
        </row>
        <row r="76">
          <cell r="A76" t="str">
            <v>BAPL</v>
          </cell>
          <cell r="B76" t="str">
            <v>Bawany Air Products Limited</v>
          </cell>
        </row>
        <row r="77">
          <cell r="A77" t="str">
            <v>BATA</v>
          </cell>
          <cell r="B77" t="str">
            <v>Bata Pakistan Limited</v>
          </cell>
        </row>
        <row r="78">
          <cell r="A78" t="str">
            <v>BCML</v>
          </cell>
          <cell r="B78" t="str">
            <v>Babri Cotton Mills Limited</v>
          </cell>
        </row>
        <row r="79">
          <cell r="A79" t="str">
            <v>BECO</v>
          </cell>
          <cell r="B79" t="str">
            <v>Beco Steel Limited</v>
          </cell>
        </row>
        <row r="80">
          <cell r="A80" t="str">
            <v>BERG</v>
          </cell>
          <cell r="B80" t="str">
            <v>Berger Paints Pakistan Limited</v>
          </cell>
        </row>
        <row r="81">
          <cell r="A81" t="str">
            <v>BFMOD</v>
          </cell>
          <cell r="B81" t="str">
            <v>B.F. Modaraba</v>
          </cell>
        </row>
        <row r="82">
          <cell r="A82" t="str">
            <v>BGL</v>
          </cell>
          <cell r="B82" t="str">
            <v>Balochistan Glass Limited</v>
          </cell>
        </row>
        <row r="83">
          <cell r="A83" t="str">
            <v>BGL-APR</v>
          </cell>
          <cell r="B83" t="str">
            <v>BGL-APR</v>
          </cell>
        </row>
        <row r="84">
          <cell r="A84" t="str">
            <v>BGL-FEB</v>
          </cell>
          <cell r="B84" t="str">
            <v>BGL-FEB</v>
          </cell>
        </row>
        <row r="85">
          <cell r="A85" t="str">
            <v>BGL-MAR</v>
          </cell>
          <cell r="B85" t="str">
            <v>BGL-MAR</v>
          </cell>
        </row>
        <row r="86">
          <cell r="A86" t="str">
            <v>BIFO</v>
          </cell>
          <cell r="B86" t="str">
            <v>Biafo Industries Limited</v>
          </cell>
        </row>
        <row r="87">
          <cell r="A87" t="str">
            <v>BILF</v>
          </cell>
          <cell r="B87" t="str">
            <v>Bilal Fibres Limited</v>
          </cell>
        </row>
        <row r="88">
          <cell r="A88" t="str">
            <v>BIPL</v>
          </cell>
          <cell r="B88" t="str">
            <v>BankIslami Pakistan Limited</v>
          </cell>
        </row>
        <row r="89">
          <cell r="A89" t="str">
            <v>BIPL-APR</v>
          </cell>
          <cell r="B89" t="str">
            <v>BankIslami Pakistan Limited</v>
          </cell>
        </row>
        <row r="90">
          <cell r="A90" t="str">
            <v>BIPL-FEB</v>
          </cell>
          <cell r="B90" t="str">
            <v>BIPL-FEB</v>
          </cell>
        </row>
        <row r="91">
          <cell r="A91" t="str">
            <v>BIPL-MAR</v>
          </cell>
          <cell r="B91" t="str">
            <v>BankIslami Pakistan Limited</v>
          </cell>
        </row>
        <row r="92">
          <cell r="A92" t="str">
            <v>BIPLS</v>
          </cell>
          <cell r="B92" t="str">
            <v>BIPL Securities Limited</v>
          </cell>
        </row>
        <row r="93">
          <cell r="A93" t="str">
            <v>BIPLSC</v>
          </cell>
          <cell r="B93" t="str">
            <v>Bank IslamiSC</v>
          </cell>
        </row>
        <row r="94">
          <cell r="A94" t="str">
            <v>BNL</v>
          </cell>
          <cell r="B94" t="str">
            <v>Bunnys Limited</v>
          </cell>
        </row>
        <row r="95">
          <cell r="A95" t="str">
            <v>BNWM</v>
          </cell>
          <cell r="B95" t="str">
            <v>Bannu Woollen Mills Limited</v>
          </cell>
        </row>
        <row r="96">
          <cell r="A96" t="str">
            <v>BOP</v>
          </cell>
          <cell r="B96" t="str">
            <v>The Bank of Punjab</v>
          </cell>
        </row>
        <row r="97">
          <cell r="A97" t="str">
            <v>BOP-APR</v>
          </cell>
          <cell r="B97" t="str">
            <v>The Bank Of Punjab</v>
          </cell>
        </row>
        <row r="98">
          <cell r="A98" t="str">
            <v>BOP-FEB</v>
          </cell>
          <cell r="B98" t="str">
            <v>Bank Of Punjab Limited.</v>
          </cell>
        </row>
        <row r="99">
          <cell r="A99" t="str">
            <v>BOP-MAR</v>
          </cell>
          <cell r="B99" t="str">
            <v>The Bank Of Punjab</v>
          </cell>
        </row>
        <row r="100">
          <cell r="A100" t="str">
            <v>BPL</v>
          </cell>
          <cell r="B100" t="str">
            <v>Burshane LPG (Pakistan) Limited</v>
          </cell>
        </row>
        <row r="101">
          <cell r="A101" t="str">
            <v>BUXL</v>
          </cell>
          <cell r="B101" t="str">
            <v>Buxly Paints Limited</v>
          </cell>
        </row>
        <row r="102">
          <cell r="A102" t="str">
            <v>BWCL</v>
          </cell>
          <cell r="B102" t="str">
            <v>Bestway Cement Limited</v>
          </cell>
        </row>
        <row r="103">
          <cell r="A103" t="str">
            <v>BWHL</v>
          </cell>
          <cell r="B103" t="str">
            <v>Baluchistan Wheels Limited</v>
          </cell>
        </row>
        <row r="104">
          <cell r="A104" t="str">
            <v>CCM</v>
          </cell>
          <cell r="B104" t="str">
            <v>Crescent Cotton Mills Limited</v>
          </cell>
        </row>
        <row r="105">
          <cell r="A105" t="str">
            <v>CENI</v>
          </cell>
          <cell r="B105" t="str">
            <v>Century Insurance Company Limited</v>
          </cell>
        </row>
        <row r="106">
          <cell r="A106" t="str">
            <v>CEPB</v>
          </cell>
          <cell r="B106" t="str">
            <v>Century Paper &amp; Board Mills Limited</v>
          </cell>
        </row>
        <row r="107">
          <cell r="A107" t="str">
            <v>CHCC</v>
          </cell>
          <cell r="B107" t="str">
            <v>Cherat Cement Company Limited</v>
          </cell>
        </row>
        <row r="108">
          <cell r="A108" t="str">
            <v>CHCC-APR</v>
          </cell>
          <cell r="B108" t="str">
            <v>Cherat Cement Company Limited</v>
          </cell>
        </row>
        <row r="109">
          <cell r="A109" t="str">
            <v>CHCC-FEB</v>
          </cell>
          <cell r="B109" t="str">
            <v>Cherat Cement Company Limited</v>
          </cell>
        </row>
        <row r="110">
          <cell r="A110" t="str">
            <v>CHCC-MAR</v>
          </cell>
          <cell r="B110" t="str">
            <v>Cherat Cement Company Limited</v>
          </cell>
        </row>
        <row r="111">
          <cell r="A111" t="str">
            <v>CLOV</v>
          </cell>
          <cell r="B111" t="str">
            <v>Clover Pakistan Limited</v>
          </cell>
        </row>
        <row r="112">
          <cell r="A112" t="str">
            <v>CLVL</v>
          </cell>
          <cell r="B112" t="str">
            <v>Cordoba Logistics &amp; Ventures Limited</v>
          </cell>
        </row>
        <row r="113">
          <cell r="A113" t="str">
            <v>CNERGY</v>
          </cell>
          <cell r="B113" t="str">
            <v>Cnergyico PK  Limited</v>
          </cell>
        </row>
        <row r="114">
          <cell r="A114" t="str">
            <v>CNERGY-APR</v>
          </cell>
          <cell r="B114" t="str">
            <v>CNERGY-APR</v>
          </cell>
        </row>
        <row r="115">
          <cell r="A115" t="str">
            <v>CNERGY-FEB</v>
          </cell>
          <cell r="B115" t="str">
            <v>Cnergyico PK Limited</v>
          </cell>
        </row>
        <row r="116">
          <cell r="A116" t="str">
            <v>CNERGY-MAR</v>
          </cell>
          <cell r="B116" t="str">
            <v>CNERGY-MAR</v>
          </cell>
        </row>
        <row r="117">
          <cell r="A117" t="str">
            <v>COLG</v>
          </cell>
          <cell r="B117" t="str">
            <v>Colgate-Palmolive (Pakistan) Limited</v>
          </cell>
        </row>
        <row r="118">
          <cell r="A118" t="str">
            <v>CPHL</v>
          </cell>
          <cell r="B118" t="str">
            <v>Citi Pharma Ltd.</v>
          </cell>
        </row>
        <row r="119">
          <cell r="A119" t="str">
            <v>CPPL</v>
          </cell>
          <cell r="B119" t="str">
            <v>Cherat Packaging Limited</v>
          </cell>
        </row>
        <row r="120">
          <cell r="A120" t="str">
            <v>CRTM</v>
          </cell>
          <cell r="B120" t="str">
            <v>The Crescent Textile Mills Limited</v>
          </cell>
        </row>
        <row r="121">
          <cell r="A121" t="str">
            <v>CSAP</v>
          </cell>
          <cell r="B121" t="str">
            <v>Crescent Steel &amp; Allied Products Limited</v>
          </cell>
        </row>
        <row r="122">
          <cell r="A122" t="str">
            <v>CSIL</v>
          </cell>
          <cell r="B122" t="str">
            <v>Crescent Star Insurance Limited</v>
          </cell>
        </row>
        <row r="123">
          <cell r="A123" t="str">
            <v>CTM</v>
          </cell>
          <cell r="B123" t="str">
            <v>Colony Textile Mills Limited</v>
          </cell>
        </row>
        <row r="124">
          <cell r="A124" t="str">
            <v>CWSM</v>
          </cell>
          <cell r="B124" t="str">
            <v>Chakwal Spinning Mills Limited</v>
          </cell>
        </row>
        <row r="125">
          <cell r="A125" t="str">
            <v>CYAN</v>
          </cell>
          <cell r="B125" t="str">
            <v>Cyan Limited</v>
          </cell>
        </row>
        <row r="126">
          <cell r="A126" t="str">
            <v>DAAG</v>
          </cell>
          <cell r="B126" t="str">
            <v>Data Agro Limited</v>
          </cell>
        </row>
        <row r="127">
          <cell r="A127" t="str">
            <v>DADX</v>
          </cell>
          <cell r="B127" t="str">
            <v>Dadex Eternit Limited</v>
          </cell>
        </row>
        <row r="128">
          <cell r="A128" t="str">
            <v>DAWH</v>
          </cell>
          <cell r="B128" t="str">
            <v>Dawood Hercules Corporation Limited</v>
          </cell>
        </row>
        <row r="129">
          <cell r="A129" t="str">
            <v>DCL</v>
          </cell>
          <cell r="B129" t="str">
            <v>Dewan Cement Limited</v>
          </cell>
        </row>
        <row r="130">
          <cell r="A130" t="str">
            <v>DCL-APR</v>
          </cell>
          <cell r="B130" t="str">
            <v>Dewan Cement Limited</v>
          </cell>
        </row>
        <row r="131">
          <cell r="A131" t="str">
            <v>DCL-FEB</v>
          </cell>
          <cell r="B131" t="str">
            <v>DCL-FEB</v>
          </cell>
        </row>
        <row r="132">
          <cell r="A132" t="str">
            <v>DCL-MAR</v>
          </cell>
          <cell r="B132" t="str">
            <v>Dewan Cement Limited</v>
          </cell>
        </row>
        <row r="133">
          <cell r="A133" t="str">
            <v>DCR</v>
          </cell>
          <cell r="B133" t="str">
            <v>Dolmen City REIT</v>
          </cell>
        </row>
        <row r="134">
          <cell r="A134" t="str">
            <v>DCR-APR</v>
          </cell>
          <cell r="B134" t="str">
            <v>Dolmen City REIT</v>
          </cell>
        </row>
        <row r="135">
          <cell r="A135" t="str">
            <v>DCR-FEBB</v>
          </cell>
          <cell r="B135" t="str">
            <v>DCR-FEBB</v>
          </cell>
        </row>
        <row r="136">
          <cell r="A136" t="str">
            <v>DCR-MARB</v>
          </cell>
          <cell r="B136" t="str">
            <v>DCR-MARB</v>
          </cell>
        </row>
        <row r="137">
          <cell r="A137" t="str">
            <v>DEL</v>
          </cell>
          <cell r="B137" t="str">
            <v>Dawood Equities Limited</v>
          </cell>
        </row>
        <row r="138">
          <cell r="A138" t="str">
            <v>DFML</v>
          </cell>
          <cell r="B138" t="str">
            <v>Dewan Farooque Motors Limited</v>
          </cell>
        </row>
        <row r="139">
          <cell r="A139" t="str">
            <v>DFSM</v>
          </cell>
          <cell r="B139" t="str">
            <v>Dewan Farooque Spinning Mills Limited</v>
          </cell>
        </row>
        <row r="140">
          <cell r="A140" t="str">
            <v>DGKC</v>
          </cell>
          <cell r="B140" t="str">
            <v>D.G. Khan Cement Company Limited</v>
          </cell>
        </row>
        <row r="141">
          <cell r="A141" t="str">
            <v>DGKC-APR</v>
          </cell>
          <cell r="B141" t="str">
            <v>D. G. Khan Cement</v>
          </cell>
        </row>
        <row r="142">
          <cell r="A142" t="str">
            <v>DGKC-FEB</v>
          </cell>
          <cell r="B142" t="str">
            <v>D. G. Khan Cement</v>
          </cell>
        </row>
        <row r="143">
          <cell r="A143" t="str">
            <v>DGKC-MAR</v>
          </cell>
          <cell r="B143" t="str">
            <v>D. G. Khan Cement</v>
          </cell>
        </row>
        <row r="144">
          <cell r="A144" t="str">
            <v>DOL</v>
          </cell>
          <cell r="B144" t="str">
            <v>Descon Oxychem Limited</v>
          </cell>
        </row>
        <row r="145">
          <cell r="A145" t="str">
            <v>DSIL</v>
          </cell>
          <cell r="B145" t="str">
            <v>D.S. Industries Limited</v>
          </cell>
        </row>
        <row r="146">
          <cell r="A146" t="str">
            <v>DSL</v>
          </cell>
          <cell r="B146" t="str">
            <v>Dost Steels Limited</v>
          </cell>
        </row>
        <row r="147">
          <cell r="A147" t="str">
            <v>DSML</v>
          </cell>
          <cell r="B147" t="str">
            <v>Dar-es-Salaam Textile Mills Limited</v>
          </cell>
        </row>
        <row r="148">
          <cell r="A148" t="str">
            <v>DWSM</v>
          </cell>
          <cell r="B148" t="str">
            <v>Dewan Sugar Mills Limited</v>
          </cell>
        </row>
        <row r="149">
          <cell r="A149" t="str">
            <v>DWTM</v>
          </cell>
          <cell r="B149" t="str">
            <v>Dewan Textile Mills Limited</v>
          </cell>
        </row>
        <row r="150">
          <cell r="A150" t="str">
            <v>DYNO</v>
          </cell>
          <cell r="B150" t="str">
            <v>Dynea Pakistan Limited</v>
          </cell>
        </row>
        <row r="151">
          <cell r="A151" t="str">
            <v>ECOP</v>
          </cell>
          <cell r="B151" t="str">
            <v>Ecopack Limited</v>
          </cell>
        </row>
        <row r="152">
          <cell r="A152" t="str">
            <v>EFERT</v>
          </cell>
          <cell r="B152" t="str">
            <v>Engro Fertilizers Limited</v>
          </cell>
        </row>
        <row r="153">
          <cell r="A153" t="str">
            <v>EFERT-APR</v>
          </cell>
          <cell r="B153" t="str">
            <v>Engro Fertilizer Limited</v>
          </cell>
        </row>
        <row r="154">
          <cell r="A154" t="str">
            <v>EFERT-FEB</v>
          </cell>
          <cell r="B154" t="str">
            <v>Engro Fertilizer Limited</v>
          </cell>
        </row>
        <row r="155">
          <cell r="A155" t="str">
            <v>EFERT-MAR</v>
          </cell>
          <cell r="B155" t="str">
            <v>Engro Fertilizer Limited</v>
          </cell>
        </row>
        <row r="156">
          <cell r="A156" t="str">
            <v>EFGH</v>
          </cell>
          <cell r="B156" t="str">
            <v>EFG Hermes Pakistan Limited</v>
          </cell>
        </row>
        <row r="157">
          <cell r="A157" t="str">
            <v>EFUG</v>
          </cell>
          <cell r="B157" t="str">
            <v>EFU General Insurance Limited</v>
          </cell>
        </row>
        <row r="158">
          <cell r="A158" t="str">
            <v>EFUL</v>
          </cell>
          <cell r="B158" t="str">
            <v>EFU Life Assurance Limited</v>
          </cell>
        </row>
        <row r="159">
          <cell r="A159" t="str">
            <v>EMCO</v>
          </cell>
          <cell r="B159" t="str">
            <v>Emco Industries Limited</v>
          </cell>
        </row>
        <row r="160">
          <cell r="A160" t="str">
            <v>ENGRO</v>
          </cell>
          <cell r="B160" t="str">
            <v>Engro Corporation Limited</v>
          </cell>
        </row>
        <row r="161">
          <cell r="A161" t="str">
            <v>ENGRO-APR</v>
          </cell>
          <cell r="B161" t="str">
            <v>Engro Corporation Limited</v>
          </cell>
        </row>
        <row r="162">
          <cell r="A162" t="str">
            <v>ENGRO-FEB</v>
          </cell>
          <cell r="B162" t="str">
            <v>Engro Corporation Limited</v>
          </cell>
        </row>
        <row r="163">
          <cell r="A163" t="str">
            <v>ENGRO-MAR</v>
          </cell>
          <cell r="B163" t="str">
            <v>Engro Corporation Limited</v>
          </cell>
        </row>
        <row r="164">
          <cell r="A164" t="str">
            <v>EPCL</v>
          </cell>
          <cell r="B164" t="str">
            <v>Engro Polymer &amp; Chemicals Limited</v>
          </cell>
        </row>
        <row r="165">
          <cell r="A165" t="str">
            <v>EPCL-APR</v>
          </cell>
          <cell r="B165" t="str">
            <v>Engro Polymer &amp; Chemicals Limited</v>
          </cell>
        </row>
        <row r="166">
          <cell r="A166" t="str">
            <v>EPCL-FEB</v>
          </cell>
          <cell r="B166" t="str">
            <v>Engro Polymer &amp; Chemicals Limited</v>
          </cell>
        </row>
        <row r="167">
          <cell r="A167" t="str">
            <v>EPCL-MAR</v>
          </cell>
          <cell r="B167" t="str">
            <v>Engro Polymer &amp; Chemicals Limited</v>
          </cell>
        </row>
        <row r="168">
          <cell r="A168" t="str">
            <v>EPQL</v>
          </cell>
          <cell r="B168" t="str">
            <v>Engro Powergen Qadirpur Limited</v>
          </cell>
        </row>
        <row r="169">
          <cell r="A169" t="str">
            <v>ESBL</v>
          </cell>
          <cell r="B169" t="str">
            <v>Escorts Investment Bank Limited</v>
          </cell>
        </row>
        <row r="170">
          <cell r="A170" t="str">
            <v>EXIDE</v>
          </cell>
          <cell r="B170" t="str">
            <v>Exide Pakistan Limited</v>
          </cell>
        </row>
        <row r="171">
          <cell r="A171" t="str">
            <v>FABL</v>
          </cell>
          <cell r="B171" t="str">
            <v>Faysal Bank Limited</v>
          </cell>
        </row>
        <row r="172">
          <cell r="A172" t="str">
            <v>FABL-APR</v>
          </cell>
          <cell r="B172" t="str">
            <v>Faysal Bank Limited</v>
          </cell>
        </row>
        <row r="173">
          <cell r="A173" t="str">
            <v>FABL-FEB</v>
          </cell>
          <cell r="B173" t="str">
            <v>Faysal Bank Limited</v>
          </cell>
        </row>
        <row r="174">
          <cell r="A174" t="str">
            <v>FABL-MAR</v>
          </cell>
          <cell r="B174" t="str">
            <v>Faysal Bank Limited</v>
          </cell>
        </row>
        <row r="175">
          <cell r="A175" t="str">
            <v>FASM</v>
          </cell>
          <cell r="B175" t="str">
            <v>Faisal Spinning Mills Limited</v>
          </cell>
        </row>
        <row r="176">
          <cell r="A176" t="str">
            <v>FATIMA</v>
          </cell>
          <cell r="B176" t="str">
            <v>Fatima Fertilizer Company Limited</v>
          </cell>
        </row>
        <row r="177">
          <cell r="A177" t="str">
            <v>FATIMA-APR</v>
          </cell>
          <cell r="B177" t="str">
            <v>Fatima Fert.Co.</v>
          </cell>
        </row>
        <row r="178">
          <cell r="A178" t="str">
            <v>FATIMA-FEB</v>
          </cell>
          <cell r="B178" t="str">
            <v>Fatima Fert.Co</v>
          </cell>
        </row>
        <row r="179">
          <cell r="A179" t="str">
            <v>FATIMA-MAR</v>
          </cell>
          <cell r="B179" t="str">
            <v>Fatima Fert.Co.</v>
          </cell>
        </row>
        <row r="180">
          <cell r="A180" t="str">
            <v>FCCL</v>
          </cell>
          <cell r="B180" t="str">
            <v>Fauji Cement Company Limited</v>
          </cell>
        </row>
        <row r="181">
          <cell r="A181" t="str">
            <v>FCCL-APR</v>
          </cell>
          <cell r="B181" t="str">
            <v>Fauji Cement Company Ltd.</v>
          </cell>
        </row>
        <row r="182">
          <cell r="A182" t="str">
            <v>FCCL-FEB</v>
          </cell>
          <cell r="B182" t="str">
            <v>Fauji Cement Company Ltd.</v>
          </cell>
        </row>
        <row r="183">
          <cell r="A183" t="str">
            <v>FCCL-MAR</v>
          </cell>
          <cell r="B183" t="str">
            <v>Fauji Cement Company Ltd.</v>
          </cell>
        </row>
        <row r="184">
          <cell r="A184" t="str">
            <v>FCEPL</v>
          </cell>
          <cell r="B184" t="str">
            <v>Frieslandcampina Engro Pakistan Limited</v>
          </cell>
        </row>
        <row r="185">
          <cell r="A185" t="str">
            <v>FCEPL-APR</v>
          </cell>
          <cell r="B185" t="str">
            <v>Frieslandcampins Engro Foods Limited</v>
          </cell>
        </row>
        <row r="186">
          <cell r="A186" t="str">
            <v>FCEPL-FEB</v>
          </cell>
          <cell r="B186" t="str">
            <v>Frieslandcampins Engro Foods Limited</v>
          </cell>
        </row>
        <row r="187">
          <cell r="A187" t="str">
            <v>FCEPL-MAR</v>
          </cell>
          <cell r="B187" t="str">
            <v>Frieslandcampins Engro Foods Limited</v>
          </cell>
        </row>
        <row r="188">
          <cell r="A188" t="str">
            <v>FCSC</v>
          </cell>
          <cell r="B188" t="str">
            <v>First Capital Securities Corporation</v>
          </cell>
        </row>
        <row r="189">
          <cell r="A189" t="str">
            <v>FDIBL</v>
          </cell>
          <cell r="B189" t="str">
            <v>First Dawood Investment Bank Limited</v>
          </cell>
        </row>
        <row r="190">
          <cell r="A190" t="str">
            <v>FECM</v>
          </cell>
          <cell r="B190" t="str">
            <v>First Elite Capital Modaraba</v>
          </cell>
        </row>
        <row r="191">
          <cell r="A191" t="str">
            <v>FECTC</v>
          </cell>
          <cell r="B191" t="str">
            <v>Fecto Cement Limited</v>
          </cell>
        </row>
        <row r="192">
          <cell r="A192" t="str">
            <v>FEROZ</v>
          </cell>
          <cell r="B192" t="str">
            <v>Ferozsons Laboratories Limited</v>
          </cell>
        </row>
        <row r="193">
          <cell r="A193" t="str">
            <v>FEROZ-APR</v>
          </cell>
          <cell r="B193" t="str">
            <v>FEROZ-APR</v>
          </cell>
        </row>
        <row r="194">
          <cell r="A194" t="str">
            <v>FEROZ-FEB</v>
          </cell>
          <cell r="B194" t="str">
            <v>Ferozsons Laboratories Limited</v>
          </cell>
        </row>
        <row r="195">
          <cell r="A195" t="str">
            <v>FEROZ-MAR</v>
          </cell>
          <cell r="B195" t="str">
            <v>FEROZ-MAR</v>
          </cell>
        </row>
        <row r="196">
          <cell r="A196" t="str">
            <v>FFBL</v>
          </cell>
          <cell r="B196" t="str">
            <v>Fauji Fertilizer Bin Qasim Limited</v>
          </cell>
        </row>
        <row r="197">
          <cell r="A197" t="str">
            <v>FFBL-APR</v>
          </cell>
          <cell r="B197" t="str">
            <v>Fauji Fert Bin Qasim Ltd.</v>
          </cell>
        </row>
        <row r="198">
          <cell r="A198" t="str">
            <v>FFBL-FEB</v>
          </cell>
          <cell r="B198" t="str">
            <v>Fauji Fertilizer Bin Qasim</v>
          </cell>
        </row>
        <row r="199">
          <cell r="A199" t="str">
            <v>FFBL-MAR</v>
          </cell>
          <cell r="B199" t="str">
            <v>Fauji Fert Bin Qasim Ltd.</v>
          </cell>
        </row>
        <row r="200">
          <cell r="A200" t="str">
            <v>FFC</v>
          </cell>
          <cell r="B200" t="str">
            <v>Fauji Fertilizer Company Limited</v>
          </cell>
        </row>
        <row r="201">
          <cell r="A201" t="str">
            <v>FFC-APR</v>
          </cell>
          <cell r="B201" t="str">
            <v>Fauji Fertilizer Company</v>
          </cell>
        </row>
        <row r="202">
          <cell r="A202" t="str">
            <v>FFC-FEB</v>
          </cell>
          <cell r="B202" t="str">
            <v>Fauji Fertilizer Company</v>
          </cell>
        </row>
        <row r="203">
          <cell r="A203" t="str">
            <v>FFC-MAR</v>
          </cell>
          <cell r="B203" t="str">
            <v>Fauji Fertilizer Company</v>
          </cell>
        </row>
        <row r="204">
          <cell r="A204" t="str">
            <v>FFL</v>
          </cell>
          <cell r="B204" t="str">
            <v>Fauji Foods Limited</v>
          </cell>
        </row>
        <row r="205">
          <cell r="A205" t="str">
            <v>FFL-APR</v>
          </cell>
          <cell r="B205" t="str">
            <v>Fauji Foods Limited</v>
          </cell>
        </row>
        <row r="206">
          <cell r="A206" t="str">
            <v>FFL-FEB</v>
          </cell>
          <cell r="B206" t="str">
            <v>Fauji Foods Limited</v>
          </cell>
        </row>
        <row r="207">
          <cell r="A207" t="str">
            <v>FFL-MAR</v>
          </cell>
          <cell r="B207" t="str">
            <v>Fauji Foods Limited</v>
          </cell>
        </row>
        <row r="208">
          <cell r="A208" t="str">
            <v>FFLM</v>
          </cell>
          <cell r="B208" t="str">
            <v>First Fidelity Leasing Modaraba</v>
          </cell>
        </row>
        <row r="209">
          <cell r="A209" t="str">
            <v>FHAM</v>
          </cell>
          <cell r="B209" t="str">
            <v>First Habib Modaraba</v>
          </cell>
        </row>
        <row r="210">
          <cell r="A210" t="str">
            <v>FIMM</v>
          </cell>
          <cell r="B210" t="str">
            <v>First Imrooz Modaraba</v>
          </cell>
        </row>
        <row r="211">
          <cell r="A211" t="str">
            <v>FLYNG</v>
          </cell>
          <cell r="B211" t="str">
            <v>Flying Cement Company Limited</v>
          </cell>
        </row>
        <row r="212">
          <cell r="A212" t="str">
            <v>FLYNG-APR</v>
          </cell>
          <cell r="B212" t="str">
            <v>FLYNG-APR</v>
          </cell>
        </row>
        <row r="213">
          <cell r="A213" t="str">
            <v>FLYNG-FEBB</v>
          </cell>
          <cell r="B213" t="str">
            <v>FLYNG-FEBB</v>
          </cell>
        </row>
        <row r="214">
          <cell r="A214" t="str">
            <v>FLYNG-MARB</v>
          </cell>
          <cell r="B214" t="str">
            <v>FLYNG-MARB</v>
          </cell>
        </row>
        <row r="215">
          <cell r="A215" t="str">
            <v>FML</v>
          </cell>
          <cell r="B215" t="str">
            <v>Feroze1888 Mills Limited</v>
          </cell>
        </row>
        <row r="216">
          <cell r="A216" t="str">
            <v>FNEL</v>
          </cell>
          <cell r="B216" t="str">
            <v>First National Equities Limited</v>
          </cell>
        </row>
        <row r="217">
          <cell r="A217" t="str">
            <v>FPJM</v>
          </cell>
          <cell r="B217" t="str">
            <v>First Punjab Modaraba</v>
          </cell>
        </row>
        <row r="218">
          <cell r="A218" t="str">
            <v>FRSM</v>
          </cell>
          <cell r="B218" t="str">
            <v>Faran Sugar Mills Limited</v>
          </cell>
        </row>
        <row r="219">
          <cell r="A219" t="str">
            <v>FTMM</v>
          </cell>
          <cell r="B219" t="str">
            <v>First Treet Manufacturing Modaraba</v>
          </cell>
        </row>
        <row r="220">
          <cell r="A220" t="str">
            <v>FUDLM</v>
          </cell>
          <cell r="B220" t="str">
            <v>First UDL Modaraba</v>
          </cell>
        </row>
        <row r="221">
          <cell r="A221" t="str">
            <v>GADT</v>
          </cell>
          <cell r="B221" t="str">
            <v>Gadoon Textile Mills Limited</v>
          </cell>
        </row>
        <row r="222">
          <cell r="A222" t="str">
            <v>GAMON</v>
          </cell>
          <cell r="B222" t="str">
            <v>Gammon Pakistan Limited</v>
          </cell>
        </row>
        <row r="223">
          <cell r="A223" t="str">
            <v>GATM</v>
          </cell>
          <cell r="B223" t="str">
            <v>Gul Ahmed Textile Mills Limited</v>
          </cell>
        </row>
        <row r="224">
          <cell r="A224" t="str">
            <v>GATM-APR</v>
          </cell>
          <cell r="B224" t="str">
            <v>Gul Ahmed Textile Mills Ltd.</v>
          </cell>
        </row>
        <row r="225">
          <cell r="A225" t="str">
            <v>GATM-FEB</v>
          </cell>
          <cell r="B225" t="str">
            <v>Gul Ahmed Textile Mills Ltd.</v>
          </cell>
        </row>
        <row r="226">
          <cell r="A226" t="str">
            <v>GATM-MAR</v>
          </cell>
          <cell r="B226" t="str">
            <v>Gul Ahmed Textile Mills Ltd.</v>
          </cell>
        </row>
        <row r="227">
          <cell r="A227" t="str">
            <v>GEMPAPL</v>
          </cell>
          <cell r="B227" t="str">
            <v>Pak Agro Packaging Limited(GEM)</v>
          </cell>
        </row>
        <row r="228">
          <cell r="A228" t="str">
            <v>GEMUNSL</v>
          </cell>
          <cell r="B228" t="str">
            <v>Universal Network Systems Limited(GEM)</v>
          </cell>
        </row>
        <row r="229">
          <cell r="A229" t="str">
            <v>GFIL</v>
          </cell>
          <cell r="B229" t="str">
            <v>Ghazi Fabrics International Limited</v>
          </cell>
        </row>
        <row r="230">
          <cell r="A230" t="str">
            <v>GGGL</v>
          </cell>
          <cell r="B230" t="str">
            <v>Ghani Global Glass Limited</v>
          </cell>
        </row>
        <row r="231">
          <cell r="A231" t="str">
            <v>GGGL-APR</v>
          </cell>
          <cell r="B231" t="str">
            <v>GGGL-APR</v>
          </cell>
        </row>
        <row r="232">
          <cell r="A232" t="str">
            <v>GGGL-FEB</v>
          </cell>
          <cell r="B232" t="str">
            <v>GGGL-FEB</v>
          </cell>
        </row>
        <row r="233">
          <cell r="A233" t="str">
            <v>GGGL-MAR</v>
          </cell>
          <cell r="B233" t="str">
            <v>GGGL-MAR</v>
          </cell>
        </row>
        <row r="234">
          <cell r="A234" t="str">
            <v>GGL</v>
          </cell>
          <cell r="B234" t="str">
            <v>Ghani Global Holdings Limited</v>
          </cell>
        </row>
        <row r="235">
          <cell r="A235" t="str">
            <v>GGL-APR</v>
          </cell>
          <cell r="B235" t="str">
            <v>Ghani Global Holdings Limited</v>
          </cell>
        </row>
        <row r="236">
          <cell r="A236" t="str">
            <v>GGL-FEB</v>
          </cell>
          <cell r="B236" t="str">
            <v>GGL-FEB</v>
          </cell>
        </row>
        <row r="237">
          <cell r="A237" t="str">
            <v>GGL-MAR</v>
          </cell>
          <cell r="B237" t="str">
            <v>Ghani Global Holdings Limited</v>
          </cell>
        </row>
        <row r="238">
          <cell r="A238" t="str">
            <v>GHGL</v>
          </cell>
          <cell r="B238" t="str">
            <v>Ghani Glass Limited</v>
          </cell>
        </row>
        <row r="239">
          <cell r="A239" t="str">
            <v>GHGL-APR</v>
          </cell>
          <cell r="B239" t="str">
            <v>GHGL-APR</v>
          </cell>
        </row>
        <row r="240">
          <cell r="A240" t="str">
            <v>GHGL-FEB</v>
          </cell>
          <cell r="B240" t="str">
            <v>GHGL-FEB</v>
          </cell>
        </row>
        <row r="241">
          <cell r="A241" t="str">
            <v>GHGL-MAR</v>
          </cell>
          <cell r="B241" t="str">
            <v>GHGL-MAR</v>
          </cell>
        </row>
        <row r="242">
          <cell r="A242" t="str">
            <v>GHNI</v>
          </cell>
          <cell r="B242" t="str">
            <v>Ghandhara Industries Limited</v>
          </cell>
        </row>
        <row r="243">
          <cell r="A243" t="str">
            <v>GHNI-APR</v>
          </cell>
          <cell r="B243" t="str">
            <v>Ghandhara Industries Limited</v>
          </cell>
        </row>
        <row r="244">
          <cell r="A244" t="str">
            <v>GHNI-FEB</v>
          </cell>
          <cell r="B244" t="str">
            <v>Ghandhara Industries Limited</v>
          </cell>
        </row>
        <row r="245">
          <cell r="A245" t="str">
            <v>GHNI-MAR</v>
          </cell>
          <cell r="B245" t="str">
            <v>Ghandhara Industries Limited</v>
          </cell>
        </row>
        <row r="246">
          <cell r="A246" t="str">
            <v>GHNL</v>
          </cell>
          <cell r="B246" t="str">
            <v>Ghandhara Nissan Limited</v>
          </cell>
        </row>
        <row r="247">
          <cell r="A247" t="str">
            <v>GHNL-APR</v>
          </cell>
          <cell r="B247" t="str">
            <v>Ghandhara Nissan Limited</v>
          </cell>
        </row>
        <row r="248">
          <cell r="A248" t="str">
            <v>GHNL-FEB</v>
          </cell>
          <cell r="B248" t="str">
            <v>Ghandhara Nissan Limited</v>
          </cell>
        </row>
        <row r="249">
          <cell r="A249" t="str">
            <v>GHNL-MAR</v>
          </cell>
          <cell r="B249" t="str">
            <v>Ghandhara Nissan Limited</v>
          </cell>
        </row>
        <row r="250">
          <cell r="A250" t="str">
            <v>GLAXO</v>
          </cell>
          <cell r="B250" t="str">
            <v>GlaxoSmithKline Pakistan Limited</v>
          </cell>
        </row>
        <row r="251">
          <cell r="A251" t="str">
            <v>GLPL</v>
          </cell>
          <cell r="B251" t="str">
            <v>Gillette Pakistan Limited</v>
          </cell>
        </row>
        <row r="252">
          <cell r="A252" t="str">
            <v>GSKCH</v>
          </cell>
          <cell r="B252" t="str">
            <v>GlaxoSmithKline Consumer Healthcare</v>
          </cell>
        </row>
        <row r="253">
          <cell r="A253" t="str">
            <v>GTECH</v>
          </cell>
          <cell r="B253" t="str">
            <v>G3 Technologies Limited</v>
          </cell>
        </row>
        <row r="254">
          <cell r="A254" t="str">
            <v>GTYR</v>
          </cell>
          <cell r="B254" t="str">
            <v>Ghandhara Tyre &amp; Rubber Company Limited</v>
          </cell>
        </row>
        <row r="255">
          <cell r="A255" t="str">
            <v>GVGL</v>
          </cell>
          <cell r="B255" t="str">
            <v>Ghani Value Glass Limited</v>
          </cell>
        </row>
        <row r="256">
          <cell r="A256" t="str">
            <v>GWLC</v>
          </cell>
          <cell r="B256" t="str">
            <v>Gharibwal Cement Limited</v>
          </cell>
        </row>
        <row r="257">
          <cell r="A257" t="str">
            <v>HABSM</v>
          </cell>
          <cell r="B257" t="str">
            <v>Habib Sugar Mills Limited</v>
          </cell>
        </row>
        <row r="258">
          <cell r="A258" t="str">
            <v>HAEL</v>
          </cell>
          <cell r="B258" t="str">
            <v>Hala Enterprises Limited</v>
          </cell>
        </row>
        <row r="259">
          <cell r="A259" t="str">
            <v>HASCOL</v>
          </cell>
          <cell r="B259" t="str">
            <v>Hascol Petroleum Limited</v>
          </cell>
        </row>
        <row r="260">
          <cell r="A260" t="str">
            <v>HBL</v>
          </cell>
          <cell r="B260" t="str">
            <v>Habib Bank Limited</v>
          </cell>
        </row>
        <row r="261">
          <cell r="A261" t="str">
            <v>HBL-APR</v>
          </cell>
          <cell r="B261" t="str">
            <v>Habib Bank Ltd</v>
          </cell>
        </row>
        <row r="262">
          <cell r="A262" t="str">
            <v>HBL-FEB</v>
          </cell>
          <cell r="B262" t="str">
            <v>Habib Bank Ltd</v>
          </cell>
        </row>
        <row r="263">
          <cell r="A263" t="str">
            <v>HBL-MAR</v>
          </cell>
          <cell r="B263" t="str">
            <v>Habib Bank Ltd</v>
          </cell>
        </row>
        <row r="264">
          <cell r="A264" t="str">
            <v>HCAR</v>
          </cell>
          <cell r="B264" t="str">
            <v>Honda Atlas Cars (Pakistan) Limited</v>
          </cell>
        </row>
        <row r="265">
          <cell r="A265" t="str">
            <v>HGFA</v>
          </cell>
          <cell r="B265" t="str">
            <v>HBL Growth Fund</v>
          </cell>
        </row>
        <row r="266">
          <cell r="A266" t="str">
            <v>HICL</v>
          </cell>
          <cell r="B266" t="str">
            <v>Habib Insurance Company Limited</v>
          </cell>
        </row>
        <row r="267">
          <cell r="A267" t="str">
            <v>HIFA</v>
          </cell>
          <cell r="B267" t="str">
            <v>HBL Investment Fund</v>
          </cell>
        </row>
        <row r="268">
          <cell r="A268" t="str">
            <v>HINO</v>
          </cell>
          <cell r="B268" t="str">
            <v>Hinopak Motors Limited</v>
          </cell>
        </row>
        <row r="269">
          <cell r="A269" t="str">
            <v>HINOON</v>
          </cell>
          <cell r="B269" t="str">
            <v>Highnoon Laboratories Limited</v>
          </cell>
        </row>
        <row r="270">
          <cell r="A270" t="str">
            <v>HIRAT</v>
          </cell>
          <cell r="B270" t="str">
            <v>Hira Textile Mills Limited</v>
          </cell>
        </row>
        <row r="271">
          <cell r="A271" t="str">
            <v>HMB</v>
          </cell>
          <cell r="B271" t="str">
            <v>Habib Metropolitan Bank Limited</v>
          </cell>
        </row>
        <row r="272">
          <cell r="A272" t="str">
            <v>HMB-APR</v>
          </cell>
          <cell r="B272" t="str">
            <v>Habib Metropolitan Bank Limited</v>
          </cell>
        </row>
        <row r="273">
          <cell r="A273" t="str">
            <v>HMB-FEB</v>
          </cell>
          <cell r="B273" t="str">
            <v>Habib Metropolitan Bank Limited</v>
          </cell>
        </row>
        <row r="274">
          <cell r="A274" t="str">
            <v>HMB-MAR</v>
          </cell>
          <cell r="B274" t="str">
            <v>Habib Metropolitan Bank Limited</v>
          </cell>
        </row>
        <row r="275">
          <cell r="A275" t="str">
            <v>HSM</v>
          </cell>
          <cell r="B275" t="str">
            <v>Husein Sugar Mills Limited</v>
          </cell>
        </row>
        <row r="276">
          <cell r="A276" t="str">
            <v>HSPI</v>
          </cell>
          <cell r="B276" t="str">
            <v>Huffaz Seamless Pipe Industries Limited</v>
          </cell>
        </row>
        <row r="277">
          <cell r="A277" t="str">
            <v>HTL</v>
          </cell>
          <cell r="B277" t="str">
            <v>Hi-Tech Lubricants Limited</v>
          </cell>
        </row>
        <row r="278">
          <cell r="A278" t="str">
            <v>HUBC</v>
          </cell>
          <cell r="B278" t="str">
            <v>The Hub Power Company Limited</v>
          </cell>
        </row>
        <row r="279">
          <cell r="A279" t="str">
            <v>HUBC-APR</v>
          </cell>
          <cell r="B279" t="str">
            <v>Hub Power Company Limited</v>
          </cell>
        </row>
        <row r="280">
          <cell r="A280" t="str">
            <v>HUBC-FEBB</v>
          </cell>
          <cell r="B280" t="str">
            <v>HUBC-FEBB</v>
          </cell>
        </row>
        <row r="281">
          <cell r="A281" t="str">
            <v>HUBC-MARB</v>
          </cell>
          <cell r="B281" t="str">
            <v>Hub Power Company Limited</v>
          </cell>
        </row>
        <row r="282">
          <cell r="A282" t="str">
            <v>HUMNL</v>
          </cell>
          <cell r="B282" t="str">
            <v>Hum Network Limited</v>
          </cell>
        </row>
        <row r="283">
          <cell r="A283" t="str">
            <v>HUMNL-APR</v>
          </cell>
          <cell r="B283" t="str">
            <v>Hum Network Limited</v>
          </cell>
        </row>
        <row r="284">
          <cell r="A284" t="str">
            <v>HUMNL-FEBB</v>
          </cell>
          <cell r="B284" t="str">
            <v>HUMNL-FEBB</v>
          </cell>
        </row>
        <row r="285">
          <cell r="A285" t="str">
            <v>HUMNL-MARB</v>
          </cell>
          <cell r="B285" t="str">
            <v>HUMNL-MARB</v>
          </cell>
        </row>
        <row r="286">
          <cell r="A286" t="str">
            <v>IBLHL</v>
          </cell>
          <cell r="B286" t="str">
            <v>IBL HealthCare Limited</v>
          </cell>
        </row>
        <row r="287">
          <cell r="A287" t="str">
            <v>ICI</v>
          </cell>
          <cell r="B287" t="str">
            <v>ICI Pakistan Limited</v>
          </cell>
        </row>
        <row r="288">
          <cell r="A288" t="str">
            <v>ICIBL</v>
          </cell>
          <cell r="B288" t="str">
            <v>Invest Capital Investment Bank Limited</v>
          </cell>
        </row>
        <row r="289">
          <cell r="A289" t="str">
            <v>ICL</v>
          </cell>
          <cell r="B289" t="str">
            <v>Ittehad Chemicals Limted</v>
          </cell>
        </row>
        <row r="290">
          <cell r="A290" t="str">
            <v>IDSM</v>
          </cell>
          <cell r="B290" t="str">
            <v>Ideal Spinning Mills Limited</v>
          </cell>
        </row>
        <row r="291">
          <cell r="A291" t="str">
            <v>IDYM</v>
          </cell>
          <cell r="B291" t="str">
            <v>Indus Dyeing &amp; Manufacturing Co. Limited</v>
          </cell>
        </row>
        <row r="292">
          <cell r="A292" t="str">
            <v>IGIHL</v>
          </cell>
          <cell r="B292" t="str">
            <v>IGI Holdings Limited</v>
          </cell>
        </row>
        <row r="293">
          <cell r="A293" t="str">
            <v>IGIL</v>
          </cell>
          <cell r="B293" t="str">
            <v>IGI Life Insurance Limited</v>
          </cell>
        </row>
        <row r="294">
          <cell r="A294" t="str">
            <v>ILP</v>
          </cell>
          <cell r="B294" t="str">
            <v>Interloop Limited</v>
          </cell>
        </row>
        <row r="295">
          <cell r="A295" t="str">
            <v>IMAGE</v>
          </cell>
          <cell r="B295" t="str">
            <v>Image Pakistan Limited</v>
          </cell>
        </row>
        <row r="296">
          <cell r="A296" t="str">
            <v>IMAGE-APR</v>
          </cell>
          <cell r="B296" t="str">
            <v>IMAGE-APR</v>
          </cell>
        </row>
        <row r="297">
          <cell r="A297" t="str">
            <v>IMAGE-FEB</v>
          </cell>
          <cell r="B297" t="str">
            <v>IMAGE-FEB</v>
          </cell>
        </row>
        <row r="298">
          <cell r="A298" t="str">
            <v>IMAGE-MAR</v>
          </cell>
          <cell r="B298" t="str">
            <v>IMAGE-MAR</v>
          </cell>
        </row>
        <row r="299">
          <cell r="A299" t="str">
            <v>IML</v>
          </cell>
          <cell r="B299" t="str">
            <v>Imperial  Limited</v>
          </cell>
        </row>
        <row r="300">
          <cell r="A300" t="str">
            <v>INDU</v>
          </cell>
          <cell r="B300" t="str">
            <v>Indus Motor Company Limited</v>
          </cell>
        </row>
        <row r="301">
          <cell r="A301" t="str">
            <v>INIL</v>
          </cell>
          <cell r="B301" t="str">
            <v>International Industries Limited</v>
          </cell>
        </row>
        <row r="302">
          <cell r="A302" t="str">
            <v>INIL-APR</v>
          </cell>
          <cell r="B302" t="str">
            <v>International Industries Limited</v>
          </cell>
        </row>
        <row r="303">
          <cell r="A303" t="str">
            <v>INIL-APRB</v>
          </cell>
          <cell r="B303" t="str">
            <v>INIL-APRB</v>
          </cell>
        </row>
        <row r="304">
          <cell r="A304" t="str">
            <v>INIL-FEB</v>
          </cell>
          <cell r="B304" t="str">
            <v>International Industries Limited</v>
          </cell>
        </row>
        <row r="305">
          <cell r="A305" t="str">
            <v>INIL-FEBB</v>
          </cell>
          <cell r="B305" t="str">
            <v>INIL-FEBB</v>
          </cell>
        </row>
        <row r="306">
          <cell r="A306" t="str">
            <v>INIL-MAR</v>
          </cell>
          <cell r="B306" t="str">
            <v>International Industries Limited</v>
          </cell>
        </row>
        <row r="307">
          <cell r="A307" t="str">
            <v>INIL-MARB</v>
          </cell>
          <cell r="B307" t="str">
            <v>INIL-MARB</v>
          </cell>
        </row>
        <row r="308">
          <cell r="A308" t="str">
            <v>ISIL</v>
          </cell>
          <cell r="B308" t="str">
            <v>Ismail Industries Limited</v>
          </cell>
        </row>
        <row r="309">
          <cell r="A309" t="str">
            <v>ISL</v>
          </cell>
          <cell r="B309" t="str">
            <v>International Steels Limited</v>
          </cell>
        </row>
        <row r="310">
          <cell r="A310" t="str">
            <v>ISL-APR</v>
          </cell>
          <cell r="B310" t="str">
            <v>International Steels Limited</v>
          </cell>
        </row>
        <row r="311">
          <cell r="A311" t="str">
            <v>ISL-APRB</v>
          </cell>
          <cell r="B311" t="str">
            <v>ISL-APRB</v>
          </cell>
        </row>
        <row r="312">
          <cell r="A312" t="str">
            <v>ISL-FEB</v>
          </cell>
          <cell r="B312" t="str">
            <v>International Steels Limited</v>
          </cell>
        </row>
        <row r="313">
          <cell r="A313" t="str">
            <v>ISL-FEBB</v>
          </cell>
          <cell r="B313" t="str">
            <v>ISL-FEBB</v>
          </cell>
        </row>
        <row r="314">
          <cell r="A314" t="str">
            <v>ISL-MAR</v>
          </cell>
          <cell r="B314" t="str">
            <v>Inter.Steel Ltd.</v>
          </cell>
        </row>
        <row r="315">
          <cell r="A315" t="str">
            <v>ISL-MARB</v>
          </cell>
          <cell r="B315" t="str">
            <v>ISL-MARB</v>
          </cell>
        </row>
        <row r="316">
          <cell r="A316" t="str">
            <v>ITTEFAQ</v>
          </cell>
          <cell r="B316" t="str">
            <v>Ittefaq Iron Industries Limited</v>
          </cell>
        </row>
        <row r="317">
          <cell r="A317" t="str">
            <v>JDMT</v>
          </cell>
          <cell r="B317" t="str">
            <v>Janana De Malucho Textile Mills Limited</v>
          </cell>
        </row>
        <row r="318">
          <cell r="A318" t="str">
            <v>JLICL</v>
          </cell>
          <cell r="B318" t="str">
            <v>Jubilee Life Insurance Company Limited</v>
          </cell>
        </row>
        <row r="319">
          <cell r="A319" t="str">
            <v>JSBL</v>
          </cell>
          <cell r="B319" t="str">
            <v>JS Bank Limited</v>
          </cell>
        </row>
        <row r="320">
          <cell r="A320" t="str">
            <v>JSBL-APR</v>
          </cell>
          <cell r="B320" t="str">
            <v>JS Bank Ltd.</v>
          </cell>
        </row>
        <row r="321">
          <cell r="A321" t="str">
            <v>JSBL-FEB</v>
          </cell>
          <cell r="B321" t="str">
            <v>JS Bank Ltd.</v>
          </cell>
        </row>
        <row r="322">
          <cell r="A322" t="str">
            <v>JSBL-MAR</v>
          </cell>
          <cell r="B322" t="str">
            <v>JS Bank Ltd.</v>
          </cell>
        </row>
        <row r="323">
          <cell r="A323" t="str">
            <v>JSCL</v>
          </cell>
          <cell r="B323" t="str">
            <v>Jahangir Siddiqui &amp; Co. Ltd.</v>
          </cell>
        </row>
        <row r="324">
          <cell r="A324" t="str">
            <v>JSCLPSA</v>
          </cell>
          <cell r="B324" t="str">
            <v>Jahangir Sidd(Pref)</v>
          </cell>
        </row>
        <row r="325">
          <cell r="A325" t="str">
            <v>JSGCL</v>
          </cell>
          <cell r="B325" t="str">
            <v>JS Global Capital Limited</v>
          </cell>
        </row>
        <row r="326">
          <cell r="A326" t="str">
            <v>JSIL</v>
          </cell>
          <cell r="B326" t="str">
            <v>JS Investments Limited</v>
          </cell>
        </row>
        <row r="327">
          <cell r="A327" t="str">
            <v>JSMFETF</v>
          </cell>
          <cell r="B327" t="str">
            <v>JS Momentum Factor Exchange Traded Fund</v>
          </cell>
        </row>
        <row r="328">
          <cell r="A328" t="str">
            <v>JSML</v>
          </cell>
          <cell r="B328" t="str">
            <v>Jauharabad Sugar Mills Limited</v>
          </cell>
        </row>
        <row r="329">
          <cell r="A329" t="str">
            <v>JUBS</v>
          </cell>
          <cell r="B329" t="str">
            <v>Jubilee Spinning &amp; Weaving Mills Ltd.</v>
          </cell>
        </row>
        <row r="330">
          <cell r="A330" t="str">
            <v>JVDC</v>
          </cell>
          <cell r="B330" t="str">
            <v>Javedan Corporation Limited</v>
          </cell>
        </row>
        <row r="331">
          <cell r="A331" t="str">
            <v>JVDC-APR</v>
          </cell>
          <cell r="B331" t="str">
            <v>JVDC-APR</v>
          </cell>
        </row>
        <row r="332">
          <cell r="A332" t="str">
            <v>JVDC-FEB</v>
          </cell>
          <cell r="B332" t="str">
            <v>JVDC-FEB</v>
          </cell>
        </row>
        <row r="333">
          <cell r="A333" t="str">
            <v>JVDC-MAR</v>
          </cell>
          <cell r="B333" t="str">
            <v>JVDC-MAR</v>
          </cell>
        </row>
        <row r="334">
          <cell r="A334" t="str">
            <v>KAPCO</v>
          </cell>
          <cell r="B334" t="str">
            <v>Kot Addu Power Company Limited</v>
          </cell>
        </row>
        <row r="335">
          <cell r="A335" t="str">
            <v>KAPCO-APR</v>
          </cell>
          <cell r="B335" t="str">
            <v>Kot Addu Power</v>
          </cell>
        </row>
        <row r="336">
          <cell r="A336" t="str">
            <v>KAPCO-FEBB</v>
          </cell>
          <cell r="B336" t="str">
            <v>Kot Addu Power</v>
          </cell>
        </row>
        <row r="337">
          <cell r="A337" t="str">
            <v>KAPCO-MARB</v>
          </cell>
          <cell r="B337" t="str">
            <v>Kot Addu Power</v>
          </cell>
        </row>
        <row r="338">
          <cell r="A338" t="str">
            <v>KASBM</v>
          </cell>
          <cell r="B338" t="str">
            <v>KASB Modaraba</v>
          </cell>
        </row>
        <row r="339">
          <cell r="A339" t="str">
            <v>KEL</v>
          </cell>
          <cell r="B339" t="str">
            <v>K-Electric Limited</v>
          </cell>
        </row>
        <row r="340">
          <cell r="A340" t="str">
            <v>KEL-APR</v>
          </cell>
          <cell r="B340" t="str">
            <v>K-Electric Limited</v>
          </cell>
        </row>
        <row r="341">
          <cell r="A341" t="str">
            <v>KEL-FEB</v>
          </cell>
          <cell r="B341" t="str">
            <v>K-Electric Limited</v>
          </cell>
        </row>
        <row r="342">
          <cell r="A342" t="str">
            <v>KEL-MAR</v>
          </cell>
          <cell r="B342" t="str">
            <v>K-Electric Limited</v>
          </cell>
        </row>
        <row r="343">
          <cell r="A343" t="str">
            <v>KHSM</v>
          </cell>
          <cell r="B343" t="str">
            <v>Khurshid Spinning Mills Limited</v>
          </cell>
        </row>
        <row r="344">
          <cell r="A344" t="str">
            <v>KHTC</v>
          </cell>
          <cell r="B344" t="str">
            <v>Khyber Tobacco Company Limited</v>
          </cell>
        </row>
        <row r="345">
          <cell r="A345" t="str">
            <v>KOHC</v>
          </cell>
          <cell r="B345" t="str">
            <v>Kohat Cement Company Limited</v>
          </cell>
        </row>
        <row r="346">
          <cell r="A346" t="str">
            <v>KOHC-APR</v>
          </cell>
          <cell r="B346" t="str">
            <v>Kohat Cement Company Limited</v>
          </cell>
        </row>
        <row r="347">
          <cell r="A347" t="str">
            <v>KOHC-FEB</v>
          </cell>
          <cell r="B347" t="str">
            <v>Kohat Cement Company Limited</v>
          </cell>
        </row>
        <row r="348">
          <cell r="A348" t="str">
            <v>KOHC-MAR</v>
          </cell>
          <cell r="B348" t="str">
            <v>Kohat Cement Company Limited</v>
          </cell>
        </row>
        <row r="349">
          <cell r="A349" t="str">
            <v>KOHE</v>
          </cell>
          <cell r="B349" t="str">
            <v>Kohinoor Energy Limited</v>
          </cell>
        </row>
        <row r="350">
          <cell r="A350" t="str">
            <v>KOHTM</v>
          </cell>
          <cell r="B350" t="str">
            <v>Kohat Textile Mills Limited</v>
          </cell>
        </row>
        <row r="351">
          <cell r="A351" t="str">
            <v>KOIL</v>
          </cell>
          <cell r="B351" t="str">
            <v>Kohinoor Industries Limited</v>
          </cell>
        </row>
        <row r="352">
          <cell r="A352" t="str">
            <v>KOSM</v>
          </cell>
          <cell r="B352" t="str">
            <v>Kohinoor Spinning Mills Limited</v>
          </cell>
        </row>
        <row r="353">
          <cell r="A353" t="str">
            <v>KOSM-APR</v>
          </cell>
          <cell r="B353" t="str">
            <v>KOSM-APR</v>
          </cell>
        </row>
        <row r="354">
          <cell r="A354" t="str">
            <v>KOSM-FEB</v>
          </cell>
          <cell r="B354" t="str">
            <v>KOSM-FEB</v>
          </cell>
        </row>
        <row r="355">
          <cell r="A355" t="str">
            <v>KOSM-MAR</v>
          </cell>
          <cell r="B355" t="str">
            <v>KOSM-MAR</v>
          </cell>
        </row>
        <row r="356">
          <cell r="A356" t="str">
            <v>KPUS</v>
          </cell>
          <cell r="B356" t="str">
            <v>Khairpur Sugar Mills Limited</v>
          </cell>
        </row>
        <row r="357">
          <cell r="A357" t="str">
            <v>KSBP</v>
          </cell>
          <cell r="B357" t="str">
            <v>KSB Pumps Company Limited</v>
          </cell>
        </row>
        <row r="358">
          <cell r="A358" t="str">
            <v>KTML</v>
          </cell>
          <cell r="B358" t="str">
            <v>Kohinoor Textile Mills Limited</v>
          </cell>
        </row>
        <row r="359">
          <cell r="A359" t="str">
            <v>LEUL</v>
          </cell>
          <cell r="B359" t="str">
            <v>Leather Up Limited</v>
          </cell>
        </row>
        <row r="360">
          <cell r="A360" t="str">
            <v>LOADS</v>
          </cell>
          <cell r="B360" t="str">
            <v>Loads Limited</v>
          </cell>
        </row>
        <row r="361">
          <cell r="A361" t="str">
            <v>LOADS-APR</v>
          </cell>
          <cell r="B361" t="str">
            <v>Loads Limited</v>
          </cell>
        </row>
        <row r="362">
          <cell r="A362" t="str">
            <v>LOADS-FEB</v>
          </cell>
          <cell r="B362" t="str">
            <v>LOADS-FEB</v>
          </cell>
        </row>
        <row r="363">
          <cell r="A363" t="str">
            <v>LOADS-MAR</v>
          </cell>
          <cell r="B363" t="str">
            <v>Loads Limited</v>
          </cell>
        </row>
        <row r="364">
          <cell r="A364" t="str">
            <v>LOTCHEM</v>
          </cell>
          <cell r="B364" t="str">
            <v>Lotte Chemical Pakistan Limited</v>
          </cell>
        </row>
        <row r="365">
          <cell r="A365" t="str">
            <v>LOTCHEM-APR</v>
          </cell>
          <cell r="B365" t="str">
            <v>Lotte Chemical Pakistan Ltd.</v>
          </cell>
        </row>
        <row r="366">
          <cell r="A366" t="str">
            <v>LOTCHEM-FEB</v>
          </cell>
          <cell r="B366" t="str">
            <v>Lotte Chemical Pakistan Limited</v>
          </cell>
        </row>
        <row r="367">
          <cell r="A367" t="str">
            <v>LOTCHEM-MAR</v>
          </cell>
          <cell r="B367" t="str">
            <v>Lotte Chemical Pakistan Limited</v>
          </cell>
        </row>
        <row r="368">
          <cell r="A368" t="str">
            <v>LPGL</v>
          </cell>
          <cell r="B368" t="str">
            <v>Leiner Pak Gelatine Limited</v>
          </cell>
        </row>
        <row r="369">
          <cell r="A369" t="str">
            <v>LPL</v>
          </cell>
          <cell r="B369" t="str">
            <v>Lalpir Power Limited</v>
          </cell>
        </row>
        <row r="370">
          <cell r="A370" t="str">
            <v>LUCK</v>
          </cell>
          <cell r="B370" t="str">
            <v>Lucky Cement Limited</v>
          </cell>
        </row>
        <row r="371">
          <cell r="A371" t="str">
            <v>LUCK-APR</v>
          </cell>
          <cell r="B371" t="str">
            <v>Lucky Cement Limited</v>
          </cell>
        </row>
        <row r="372">
          <cell r="A372" t="str">
            <v>LUCK-FEB</v>
          </cell>
          <cell r="B372" t="str">
            <v>Lucky Cement Limited</v>
          </cell>
        </row>
        <row r="373">
          <cell r="A373" t="str">
            <v>LUCK-MAR</v>
          </cell>
          <cell r="B373" t="str">
            <v>Lucky Cement Limited</v>
          </cell>
        </row>
        <row r="374">
          <cell r="A374" t="str">
            <v>MACFL</v>
          </cell>
          <cell r="B374" t="str">
            <v>MACPAC Films Limited</v>
          </cell>
        </row>
        <row r="375">
          <cell r="A375" t="str">
            <v>MACTER</v>
          </cell>
          <cell r="B375" t="str">
            <v>Macter International Limited</v>
          </cell>
        </row>
        <row r="376">
          <cell r="A376" t="str">
            <v>MARI</v>
          </cell>
          <cell r="B376" t="str">
            <v>Mari Petroleum Company Limited</v>
          </cell>
        </row>
        <row r="377">
          <cell r="A377" t="str">
            <v>MCB</v>
          </cell>
          <cell r="B377" t="str">
            <v>MCB Bank Limited</v>
          </cell>
        </row>
        <row r="378">
          <cell r="A378" t="str">
            <v>MCB-APR</v>
          </cell>
          <cell r="B378" t="str">
            <v>MCB Bank Limited</v>
          </cell>
        </row>
        <row r="379">
          <cell r="A379" t="str">
            <v>MCB-FEB</v>
          </cell>
          <cell r="B379" t="str">
            <v>MCB Bank Limited</v>
          </cell>
        </row>
        <row r="380">
          <cell r="A380" t="str">
            <v>MCB-MAR</v>
          </cell>
          <cell r="B380" t="str">
            <v>MCB Bank Limited</v>
          </cell>
        </row>
        <row r="381">
          <cell r="A381" t="str">
            <v>MDTL</v>
          </cell>
          <cell r="B381" t="str">
            <v>Media Times Limited</v>
          </cell>
        </row>
        <row r="382">
          <cell r="A382" t="str">
            <v>MDTL-APR</v>
          </cell>
          <cell r="B382" t="str">
            <v>MDTL-APR</v>
          </cell>
        </row>
        <row r="383">
          <cell r="A383" t="str">
            <v>MDTL-FEB</v>
          </cell>
          <cell r="B383" t="str">
            <v>MDTL-FEB</v>
          </cell>
        </row>
        <row r="384">
          <cell r="A384" t="str">
            <v>MDTL-MAR</v>
          </cell>
          <cell r="B384" t="str">
            <v>MDTL-MAR</v>
          </cell>
        </row>
        <row r="385">
          <cell r="A385" t="str">
            <v>MEBL</v>
          </cell>
          <cell r="B385" t="str">
            <v>Meezan Bank Limited</v>
          </cell>
        </row>
        <row r="386">
          <cell r="A386" t="str">
            <v>MEBL-APR</v>
          </cell>
          <cell r="B386" t="str">
            <v>Meezan Bank Limited</v>
          </cell>
        </row>
        <row r="387">
          <cell r="A387" t="str">
            <v>MEBL-FEB</v>
          </cell>
          <cell r="B387" t="str">
            <v>Meezan Bank Limited</v>
          </cell>
        </row>
        <row r="388">
          <cell r="A388" t="str">
            <v>MEBL-MAR</v>
          </cell>
          <cell r="B388" t="str">
            <v>Meezan Bank Limited</v>
          </cell>
        </row>
        <row r="389">
          <cell r="A389" t="str">
            <v>MERIT</v>
          </cell>
          <cell r="B389" t="str">
            <v>Merit Packaging Limited</v>
          </cell>
        </row>
        <row r="390">
          <cell r="A390" t="str">
            <v>MFFL</v>
          </cell>
          <cell r="B390" t="str">
            <v>Mitchells Fruit Farms Limited</v>
          </cell>
        </row>
        <row r="391">
          <cell r="A391" t="str">
            <v>MFL</v>
          </cell>
          <cell r="B391" t="str">
            <v>Matco Foods Limited</v>
          </cell>
        </row>
        <row r="392">
          <cell r="A392" t="str">
            <v>MIRKS</v>
          </cell>
          <cell r="B392" t="str">
            <v>Mirpurkhas Sugar Mills Limited</v>
          </cell>
        </row>
        <row r="393">
          <cell r="A393" t="str">
            <v>MLCF</v>
          </cell>
          <cell r="B393" t="str">
            <v>Maple Leaf Cement Factory Limited</v>
          </cell>
        </row>
        <row r="394">
          <cell r="A394" t="str">
            <v>MLCF-APR</v>
          </cell>
          <cell r="B394" t="str">
            <v>Maple Leaf Cement Factory Limited</v>
          </cell>
        </row>
        <row r="395">
          <cell r="A395" t="str">
            <v>MLCF-FEB</v>
          </cell>
          <cell r="B395" t="str">
            <v>Maple Leaf Cement Factory Limited</v>
          </cell>
        </row>
        <row r="396">
          <cell r="A396" t="str">
            <v>MLCF-MAR</v>
          </cell>
          <cell r="B396" t="str">
            <v>Maple Leaf Cement Factory Limited</v>
          </cell>
        </row>
        <row r="397">
          <cell r="A397" t="str">
            <v>MODAM</v>
          </cell>
          <cell r="B397" t="str">
            <v>Modaraba Al-Mali</v>
          </cell>
        </row>
        <row r="398">
          <cell r="A398" t="str">
            <v>MRNS</v>
          </cell>
          <cell r="B398" t="str">
            <v>Mehran Sugar Mills Limited</v>
          </cell>
        </row>
        <row r="399">
          <cell r="A399" t="str">
            <v>MSCL</v>
          </cell>
          <cell r="B399" t="str">
            <v>Metropolitan Steel Corporation Limited</v>
          </cell>
        </row>
        <row r="400">
          <cell r="A400" t="str">
            <v>MSOT</v>
          </cell>
          <cell r="B400" t="str">
            <v>Masood Textile Mills Limited</v>
          </cell>
        </row>
        <row r="401">
          <cell r="A401" t="str">
            <v>MTL</v>
          </cell>
          <cell r="B401" t="str">
            <v>Millat Tractors Limited</v>
          </cell>
        </row>
        <row r="402">
          <cell r="A402" t="str">
            <v>MTL-APR</v>
          </cell>
          <cell r="B402" t="str">
            <v>MTL-APR</v>
          </cell>
        </row>
        <row r="403">
          <cell r="A403" t="str">
            <v>MTL-FEB</v>
          </cell>
          <cell r="B403" t="str">
            <v>MTL-FEB</v>
          </cell>
        </row>
        <row r="404">
          <cell r="A404" t="str">
            <v>MTL-MAR</v>
          </cell>
          <cell r="B404" t="str">
            <v>MTL-MAR</v>
          </cell>
        </row>
        <row r="405">
          <cell r="A405" t="str">
            <v>MUGHAL</v>
          </cell>
          <cell r="B405" t="str">
            <v>Mughal Iron &amp; Steel Industries Limited</v>
          </cell>
        </row>
        <row r="406">
          <cell r="A406" t="str">
            <v>MUGHAL-APR</v>
          </cell>
          <cell r="B406" t="str">
            <v>Mughal Iron &amp; Steel Industries Limited</v>
          </cell>
        </row>
        <row r="407">
          <cell r="A407" t="str">
            <v>MUGHAL-FEB</v>
          </cell>
          <cell r="B407" t="str">
            <v>Mughal Iron &amp; Steel Industries Limited</v>
          </cell>
        </row>
        <row r="408">
          <cell r="A408" t="str">
            <v>MUGHAL-MAR</v>
          </cell>
          <cell r="B408" t="str">
            <v>Mughal Iron &amp; Steel Industries Limited</v>
          </cell>
        </row>
        <row r="409">
          <cell r="A409" t="str">
            <v>MUREB</v>
          </cell>
          <cell r="B409" t="str">
            <v>Murree Brewery Company Limited</v>
          </cell>
        </row>
        <row r="410">
          <cell r="A410" t="str">
            <v>MZNPETF</v>
          </cell>
          <cell r="B410" t="str">
            <v>Meezan Pakistan ETF</v>
          </cell>
        </row>
        <row r="411">
          <cell r="A411" t="str">
            <v>MZNPETF-APR</v>
          </cell>
          <cell r="B411" t="str">
            <v>MZNPETF-APR</v>
          </cell>
        </row>
        <row r="412">
          <cell r="A412" t="str">
            <v>MZNPETF-FEB</v>
          </cell>
          <cell r="B412" t="str">
            <v>MZNPETF-FEB</v>
          </cell>
        </row>
        <row r="413">
          <cell r="A413" t="str">
            <v>MZNPETF-MAR</v>
          </cell>
          <cell r="B413" t="str">
            <v>MZNPETF-MAR</v>
          </cell>
        </row>
        <row r="414">
          <cell r="A414" t="str">
            <v>NAGC</v>
          </cell>
          <cell r="B414" t="str">
            <v>Nagina Cotton Mills Limited</v>
          </cell>
        </row>
        <row r="415">
          <cell r="A415" t="str">
            <v>NATF</v>
          </cell>
          <cell r="B415" t="str">
            <v>National Foods Limited</v>
          </cell>
        </row>
        <row r="416">
          <cell r="A416" t="str">
            <v>NBP</v>
          </cell>
          <cell r="B416" t="str">
            <v>National Bank of Pakistan</v>
          </cell>
        </row>
        <row r="417">
          <cell r="A417" t="str">
            <v>NBP-APR</v>
          </cell>
          <cell r="B417" t="str">
            <v>National Bank Of Pakistan</v>
          </cell>
        </row>
        <row r="418">
          <cell r="A418" t="str">
            <v>NBP-FEB</v>
          </cell>
          <cell r="B418" t="str">
            <v>National Bank Of Pakistan</v>
          </cell>
        </row>
        <row r="419">
          <cell r="A419" t="str">
            <v>NBP-MAR</v>
          </cell>
          <cell r="B419" t="str">
            <v>National Bank Of Pakistan</v>
          </cell>
        </row>
        <row r="420">
          <cell r="A420" t="str">
            <v>NBPGETF-APR</v>
          </cell>
          <cell r="B420" t="str">
            <v>NBPGETF-APR</v>
          </cell>
        </row>
        <row r="421">
          <cell r="A421" t="str">
            <v>NBPGETF-FEB</v>
          </cell>
          <cell r="B421" t="str">
            <v>NBPGETF-FEB</v>
          </cell>
        </row>
        <row r="422">
          <cell r="A422" t="str">
            <v>NBPGETF-MAR</v>
          </cell>
          <cell r="B422" t="str">
            <v>NBPGETF-MAR</v>
          </cell>
        </row>
        <row r="423">
          <cell r="A423" t="str">
            <v>NCL</v>
          </cell>
          <cell r="B423" t="str">
            <v>Nishat Chunian Limited</v>
          </cell>
        </row>
        <row r="424">
          <cell r="A424" t="str">
            <v>NCL-APR</v>
          </cell>
          <cell r="B424" t="str">
            <v>Nishat (Chunian) Limited.</v>
          </cell>
        </row>
        <row r="425">
          <cell r="A425" t="str">
            <v>NCL-FEB</v>
          </cell>
          <cell r="B425" t="str">
            <v>Nishat (Chunian) Limited.</v>
          </cell>
        </row>
        <row r="426">
          <cell r="A426" t="str">
            <v>NCL-MAR</v>
          </cell>
          <cell r="B426" t="str">
            <v>Nishat (Chunian) Limited.</v>
          </cell>
        </row>
        <row r="427">
          <cell r="A427" t="str">
            <v>NCML</v>
          </cell>
          <cell r="B427" t="str">
            <v>Nazir Cotton Mills Limited</v>
          </cell>
        </row>
        <row r="428">
          <cell r="A428" t="str">
            <v>NCPL</v>
          </cell>
          <cell r="B428" t="str">
            <v>Nishat Chunian Power Limited</v>
          </cell>
        </row>
        <row r="429">
          <cell r="A429" t="str">
            <v>NETSOL</v>
          </cell>
          <cell r="B429" t="str">
            <v>NetSol Technologies Limited</v>
          </cell>
        </row>
        <row r="430">
          <cell r="A430" t="str">
            <v>NETSOL-APR</v>
          </cell>
          <cell r="B430" t="str">
            <v>Netsol Technologie</v>
          </cell>
        </row>
        <row r="431">
          <cell r="A431" t="str">
            <v>NETSOL-FEB</v>
          </cell>
          <cell r="B431" t="str">
            <v>Netsol Technologie</v>
          </cell>
        </row>
        <row r="432">
          <cell r="A432" t="str">
            <v>NETSOL-MAR</v>
          </cell>
          <cell r="B432" t="str">
            <v>Netsol Technologie</v>
          </cell>
        </row>
        <row r="433">
          <cell r="A433" t="str">
            <v>NICL</v>
          </cell>
          <cell r="B433" t="str">
            <v>Nimir Industrial Chemicals Limited</v>
          </cell>
        </row>
        <row r="434">
          <cell r="A434" t="str">
            <v>NITGETF-APR</v>
          </cell>
          <cell r="B434" t="str">
            <v>NITGETF-APR</v>
          </cell>
        </row>
        <row r="435">
          <cell r="A435" t="str">
            <v>NITGETF-FEB</v>
          </cell>
          <cell r="B435" t="str">
            <v>NITGETF-FEB</v>
          </cell>
        </row>
        <row r="436">
          <cell r="A436" t="str">
            <v>NITGETF-MAR</v>
          </cell>
          <cell r="B436" t="str">
            <v>NITGETF-MAR</v>
          </cell>
        </row>
        <row r="437">
          <cell r="A437" t="str">
            <v>NML</v>
          </cell>
          <cell r="B437" t="str">
            <v>Nishat Mills Limited</v>
          </cell>
        </row>
        <row r="438">
          <cell r="A438" t="str">
            <v>NML-APR</v>
          </cell>
          <cell r="B438" t="str">
            <v>Nishat Mills Ltd.</v>
          </cell>
        </row>
        <row r="439">
          <cell r="A439" t="str">
            <v>NML-FEB</v>
          </cell>
          <cell r="B439" t="str">
            <v>Nishat Mills Ltd.</v>
          </cell>
        </row>
        <row r="440">
          <cell r="A440" t="str">
            <v>NML-MAR</v>
          </cell>
          <cell r="B440" t="str">
            <v>Nishat Mills Ltd.</v>
          </cell>
        </row>
        <row r="441">
          <cell r="A441" t="str">
            <v>NPL</v>
          </cell>
          <cell r="B441" t="str">
            <v>Nishat Power Limited</v>
          </cell>
        </row>
        <row r="442">
          <cell r="A442" t="str">
            <v>NRL</v>
          </cell>
          <cell r="B442" t="str">
            <v>National Refinery Limited</v>
          </cell>
        </row>
        <row r="443">
          <cell r="A443" t="str">
            <v>NRL-APR</v>
          </cell>
          <cell r="B443" t="str">
            <v>National Refinery Ltd.</v>
          </cell>
        </row>
        <row r="444">
          <cell r="A444" t="str">
            <v>NRL-FEB</v>
          </cell>
          <cell r="B444" t="str">
            <v>National Refinery Ltd.</v>
          </cell>
        </row>
        <row r="445">
          <cell r="A445" t="str">
            <v>NRL-MAR</v>
          </cell>
          <cell r="B445" t="str">
            <v>National Refinery Ltd.</v>
          </cell>
        </row>
        <row r="446">
          <cell r="A446" t="str">
            <v>NRSL</v>
          </cell>
          <cell r="B446" t="str">
            <v>Nimir Resins Limited</v>
          </cell>
        </row>
        <row r="447">
          <cell r="A447" t="str">
            <v>NRSL-APR</v>
          </cell>
          <cell r="B447" t="str">
            <v>Nimir Resins Limited</v>
          </cell>
        </row>
        <row r="448">
          <cell r="A448" t="str">
            <v>NRSL-FEB</v>
          </cell>
          <cell r="B448" t="str">
            <v>NRSL-FEB</v>
          </cell>
        </row>
        <row r="449">
          <cell r="A449" t="str">
            <v>NRSL-MAR</v>
          </cell>
          <cell r="B449" t="str">
            <v>Nimir Resins Limited</v>
          </cell>
        </row>
        <row r="450">
          <cell r="A450" t="str">
            <v>NSRM</v>
          </cell>
          <cell r="B450" t="str">
            <v>The National Silk &amp; Rayon Mills Limited</v>
          </cell>
        </row>
        <row r="451">
          <cell r="A451" t="str">
            <v>OBOY</v>
          </cell>
          <cell r="B451" t="str">
            <v>Oilboy Engergy Limited</v>
          </cell>
        </row>
        <row r="452">
          <cell r="A452" t="str">
            <v>OCTOPUS</v>
          </cell>
          <cell r="B452" t="str">
            <v>Octopus Digital Limited</v>
          </cell>
        </row>
        <row r="453">
          <cell r="A453" t="str">
            <v>OGDC</v>
          </cell>
          <cell r="B453" t="str">
            <v>Oil &amp; Gas Development Company Limited</v>
          </cell>
        </row>
        <row r="454">
          <cell r="A454" t="str">
            <v>OGDC-APR</v>
          </cell>
          <cell r="B454" t="str">
            <v>Oil &amp; Gas Dev.Co</v>
          </cell>
        </row>
        <row r="455">
          <cell r="A455" t="str">
            <v>OGDC-FEB</v>
          </cell>
          <cell r="B455" t="str">
            <v>Oil &amp; Gas Dev.Co</v>
          </cell>
        </row>
        <row r="456">
          <cell r="A456" t="str">
            <v>OGDC-MAR</v>
          </cell>
          <cell r="B456" t="str">
            <v>Oil &amp; Gas Dev.Co</v>
          </cell>
        </row>
        <row r="457">
          <cell r="A457" t="str">
            <v>OLPL</v>
          </cell>
          <cell r="B457" t="str">
            <v>OLP Financial Services Pakistan Limited</v>
          </cell>
        </row>
        <row r="458">
          <cell r="A458" t="str">
            <v>ORIXM</v>
          </cell>
          <cell r="B458" t="str">
            <v>Orix Modaraba</v>
          </cell>
        </row>
        <row r="459">
          <cell r="A459" t="str">
            <v>ORM</v>
          </cell>
          <cell r="B459" t="str">
            <v>Orient Rental Mod</v>
          </cell>
        </row>
        <row r="460">
          <cell r="A460" t="str">
            <v>OTSU</v>
          </cell>
          <cell r="B460" t="str">
            <v>Otsuka Pakistan Limited</v>
          </cell>
        </row>
        <row r="461">
          <cell r="A461" t="str">
            <v>PABC</v>
          </cell>
          <cell r="B461" t="str">
            <v>Pakistan Aluminium Beverage Cans Limited</v>
          </cell>
        </row>
        <row r="462">
          <cell r="A462" t="str">
            <v>PACE</v>
          </cell>
          <cell r="B462" t="str">
            <v>Pace (Pakistan) Limited</v>
          </cell>
        </row>
        <row r="463">
          <cell r="A463" t="str">
            <v>PACE-APR</v>
          </cell>
          <cell r="B463" t="str">
            <v>Pace (Pak) Ltd.</v>
          </cell>
        </row>
        <row r="464">
          <cell r="A464" t="str">
            <v>PACE-FEB</v>
          </cell>
          <cell r="B464" t="str">
            <v>Pace (Pak) Ltd.</v>
          </cell>
        </row>
        <row r="465">
          <cell r="A465" t="str">
            <v>PACE-MAR</v>
          </cell>
          <cell r="B465" t="str">
            <v>Pace (Pak) Ltd.</v>
          </cell>
        </row>
        <row r="466">
          <cell r="A466" t="str">
            <v>PAEL</v>
          </cell>
          <cell r="B466" t="str">
            <v>Pak Elektron Limited</v>
          </cell>
        </row>
        <row r="467">
          <cell r="A467" t="str">
            <v>PAEL-APR</v>
          </cell>
          <cell r="B467" t="str">
            <v>Pak Elektron Limited</v>
          </cell>
        </row>
        <row r="468">
          <cell r="A468" t="str">
            <v>PAEL-FEB</v>
          </cell>
          <cell r="B468" t="str">
            <v>Pak Elektron Ltd.</v>
          </cell>
        </row>
        <row r="469">
          <cell r="A469" t="str">
            <v>PAEL-MAR</v>
          </cell>
          <cell r="B469" t="str">
            <v>Pak Elektron Ltd.</v>
          </cell>
        </row>
        <row r="470">
          <cell r="A470" t="str">
            <v>PAKD</v>
          </cell>
          <cell r="B470" t="str">
            <v>Pak Datacom Limited</v>
          </cell>
        </row>
        <row r="471">
          <cell r="A471" t="str">
            <v>PAKMI</v>
          </cell>
          <cell r="B471" t="str">
            <v>First Pak Modaraba</v>
          </cell>
        </row>
        <row r="472">
          <cell r="A472" t="str">
            <v>PAKOXY</v>
          </cell>
          <cell r="B472" t="str">
            <v>Pakistan Oxygen Limited</v>
          </cell>
        </row>
        <row r="473">
          <cell r="A473" t="str">
            <v>PAKRI</v>
          </cell>
          <cell r="B473" t="str">
            <v>Pakistan Reinsurance Company Limited</v>
          </cell>
        </row>
        <row r="474">
          <cell r="A474" t="str">
            <v>PAKT</v>
          </cell>
          <cell r="B474" t="str">
            <v>Pakistan Tobacco Company Limited</v>
          </cell>
        </row>
        <row r="475">
          <cell r="A475" t="str">
            <v>PASL</v>
          </cell>
          <cell r="B475" t="str">
            <v>Pervez Ahmed Consultancy Services Ltd.</v>
          </cell>
        </row>
        <row r="476">
          <cell r="A476" t="str">
            <v>PCAL</v>
          </cell>
          <cell r="B476" t="str">
            <v>Pakistan Cables Limited</v>
          </cell>
        </row>
        <row r="477">
          <cell r="A477" t="str">
            <v>PGLC</v>
          </cell>
          <cell r="B477" t="str">
            <v>Pak-Gulf Leasing Company Limited</v>
          </cell>
        </row>
        <row r="478">
          <cell r="A478" t="str">
            <v>PIAA</v>
          </cell>
          <cell r="B478" t="str">
            <v>Pakistan International Airlines Corp</v>
          </cell>
        </row>
        <row r="479">
          <cell r="A479" t="str">
            <v>PIAA-APR</v>
          </cell>
          <cell r="B479" t="str">
            <v>Pakistan International Airlines Corp.</v>
          </cell>
        </row>
        <row r="480">
          <cell r="A480" t="str">
            <v>PIAA-FEB</v>
          </cell>
          <cell r="B480" t="str">
            <v>Pakistan International Airlines Corp.</v>
          </cell>
        </row>
        <row r="481">
          <cell r="A481" t="str">
            <v>PIAA-MAR</v>
          </cell>
          <cell r="B481" t="str">
            <v>Pakistan International Airlines Corp.</v>
          </cell>
        </row>
        <row r="482">
          <cell r="A482" t="str">
            <v>PIBTL</v>
          </cell>
          <cell r="B482" t="str">
            <v>Pakistan International Bulk Terminal</v>
          </cell>
        </row>
        <row r="483">
          <cell r="A483" t="str">
            <v>PIBTL-APR</v>
          </cell>
          <cell r="B483" t="str">
            <v>Pakistan International Bulk Terminal Limited</v>
          </cell>
        </row>
        <row r="484">
          <cell r="A484" t="str">
            <v>PIBTL-FEB</v>
          </cell>
          <cell r="B484" t="str">
            <v>Pakistan International Bulk Terminal Limited</v>
          </cell>
        </row>
        <row r="485">
          <cell r="A485" t="str">
            <v>PIBTL-MAR</v>
          </cell>
          <cell r="B485" t="str">
            <v>Pakistan International Bulk Terminal Limited</v>
          </cell>
        </row>
        <row r="486">
          <cell r="A486" t="str">
            <v>PICT</v>
          </cell>
          <cell r="B486" t="str">
            <v>Pakistan International Container</v>
          </cell>
        </row>
        <row r="487">
          <cell r="A487" t="str">
            <v>PIL</v>
          </cell>
          <cell r="B487" t="str">
            <v>PICIC Insurance Limited</v>
          </cell>
        </row>
        <row r="488">
          <cell r="A488" t="str">
            <v>PIM</v>
          </cell>
          <cell r="B488" t="str">
            <v>Popular Islamic Modaraba</v>
          </cell>
        </row>
        <row r="489">
          <cell r="A489" t="str">
            <v>PIOC</v>
          </cell>
          <cell r="B489" t="str">
            <v>Pioneer Cement Limited</v>
          </cell>
        </row>
        <row r="490">
          <cell r="A490" t="str">
            <v>PIOC-APR</v>
          </cell>
          <cell r="B490" t="str">
            <v>Pioneer Cement Limited</v>
          </cell>
        </row>
        <row r="491">
          <cell r="A491" t="str">
            <v>PIOC-FEB</v>
          </cell>
          <cell r="B491" t="str">
            <v>Pioneer Cement Limited</v>
          </cell>
        </row>
        <row r="492">
          <cell r="A492" t="str">
            <v>PIOC-MAR</v>
          </cell>
          <cell r="B492" t="str">
            <v>Pioneer Cement Limited</v>
          </cell>
        </row>
        <row r="493">
          <cell r="A493" t="str">
            <v>PKGI</v>
          </cell>
          <cell r="B493" t="str">
            <v>The Pakistan General Insurance Co. Ltd.</v>
          </cell>
        </row>
        <row r="494">
          <cell r="A494" t="str">
            <v>PKGP</v>
          </cell>
          <cell r="B494" t="str">
            <v>Pakgen Power Limited</v>
          </cell>
        </row>
        <row r="495">
          <cell r="A495" t="str">
            <v>PKGS</v>
          </cell>
          <cell r="B495" t="str">
            <v>Packages Limited</v>
          </cell>
        </row>
        <row r="496">
          <cell r="A496" t="str">
            <v>PMI</v>
          </cell>
          <cell r="B496" t="str">
            <v>First Prudential Modaraba</v>
          </cell>
        </row>
        <row r="497">
          <cell r="A497" t="str">
            <v>PMPK</v>
          </cell>
          <cell r="B497" t="str">
            <v>Philip Morris (Pakistan) Limited</v>
          </cell>
        </row>
        <row r="498">
          <cell r="A498" t="str">
            <v>PMRS</v>
          </cell>
          <cell r="B498" t="str">
            <v>The Premier Sugar Mills</v>
          </cell>
        </row>
        <row r="499">
          <cell r="A499" t="str">
            <v>PNSC</v>
          </cell>
          <cell r="B499" t="str">
            <v>Pakistan National Shipping Corporation</v>
          </cell>
        </row>
        <row r="500">
          <cell r="A500" t="str">
            <v>POL</v>
          </cell>
          <cell r="B500" t="str">
            <v>Pakistan Oilfields Limited</v>
          </cell>
        </row>
        <row r="501">
          <cell r="A501" t="str">
            <v>POL-APR</v>
          </cell>
          <cell r="B501" t="str">
            <v>Pakistan Oilfields Ltd.</v>
          </cell>
        </row>
        <row r="502">
          <cell r="A502" t="str">
            <v>POL-APRB</v>
          </cell>
          <cell r="B502" t="str">
            <v>POL-APRB</v>
          </cell>
        </row>
        <row r="503">
          <cell r="A503" t="str">
            <v>POL-FEB</v>
          </cell>
          <cell r="B503" t="str">
            <v>Pakistan Oilfields Ltd.</v>
          </cell>
        </row>
        <row r="504">
          <cell r="A504" t="str">
            <v>POL-FEBB</v>
          </cell>
          <cell r="B504" t="str">
            <v>Pakistan Oilfields Ltd.</v>
          </cell>
        </row>
        <row r="505">
          <cell r="A505" t="str">
            <v>POL-MAR</v>
          </cell>
          <cell r="B505" t="str">
            <v>Pakistan Oilfields Ltd.</v>
          </cell>
        </row>
        <row r="506">
          <cell r="A506" t="str">
            <v>POL-MARB</v>
          </cell>
          <cell r="B506" t="str">
            <v>POL-MARB</v>
          </cell>
        </row>
        <row r="507">
          <cell r="A507" t="str">
            <v>POWER</v>
          </cell>
          <cell r="B507" t="str">
            <v>Power Cement Limited</v>
          </cell>
        </row>
        <row r="508">
          <cell r="A508" t="str">
            <v>POWER-APR</v>
          </cell>
          <cell r="B508" t="str">
            <v>Power Cement Limited</v>
          </cell>
        </row>
        <row r="509">
          <cell r="A509" t="str">
            <v>POWER-FEB</v>
          </cell>
          <cell r="B509" t="str">
            <v>Power Cement Limited</v>
          </cell>
        </row>
        <row r="510">
          <cell r="A510" t="str">
            <v>POWER-MAR</v>
          </cell>
          <cell r="B510" t="str">
            <v>Power Cement Limited</v>
          </cell>
        </row>
        <row r="511">
          <cell r="A511" t="str">
            <v>PPL</v>
          </cell>
          <cell r="B511" t="str">
            <v>Pakistan Petroleum Limited</v>
          </cell>
        </row>
        <row r="512">
          <cell r="A512" t="str">
            <v>PPL-APR</v>
          </cell>
          <cell r="B512" t="str">
            <v>Pakistan Petroleum Ltd.</v>
          </cell>
        </row>
        <row r="513">
          <cell r="A513" t="str">
            <v>PPL-FEB</v>
          </cell>
          <cell r="B513" t="str">
            <v>Pak Petroleum Ltd.</v>
          </cell>
        </row>
        <row r="514">
          <cell r="A514" t="str">
            <v>PPL-MAR</v>
          </cell>
          <cell r="B514" t="str">
            <v>Pakistan Petroleum Ltd.</v>
          </cell>
        </row>
        <row r="515">
          <cell r="A515" t="str">
            <v>PPP</v>
          </cell>
          <cell r="B515" t="str">
            <v>Pakistan Paper Products Limited</v>
          </cell>
        </row>
        <row r="516">
          <cell r="A516" t="str">
            <v>PREMA</v>
          </cell>
          <cell r="B516" t="str">
            <v>At-Tahur Limited</v>
          </cell>
        </row>
        <row r="517">
          <cell r="A517" t="str">
            <v>PRL</v>
          </cell>
          <cell r="B517" t="str">
            <v>Pakistan Refinery Limited</v>
          </cell>
        </row>
        <row r="518">
          <cell r="A518" t="str">
            <v>PRL-APR</v>
          </cell>
          <cell r="B518" t="str">
            <v>Pakistan Refinery Limited</v>
          </cell>
        </row>
        <row r="519">
          <cell r="A519" t="str">
            <v>PRL-FEB</v>
          </cell>
          <cell r="B519" t="str">
            <v>Pakistan Refinery Limited</v>
          </cell>
        </row>
        <row r="520">
          <cell r="A520" t="str">
            <v>PRL-MAR</v>
          </cell>
          <cell r="B520" t="str">
            <v>Pakistan Refinery Limited</v>
          </cell>
        </row>
        <row r="521">
          <cell r="A521" t="str">
            <v>PRWM</v>
          </cell>
          <cell r="B521" t="str">
            <v>Prosperity Weaving Mills Limited</v>
          </cell>
        </row>
        <row r="522">
          <cell r="A522" t="str">
            <v>PSMC</v>
          </cell>
          <cell r="B522" t="str">
            <v>Pak Suzuki Motor Company Limited</v>
          </cell>
        </row>
        <row r="523">
          <cell r="A523" t="str">
            <v>PSMC-APR</v>
          </cell>
          <cell r="B523" t="str">
            <v>Pak Suzuki Motor Company Limited</v>
          </cell>
        </row>
        <row r="524">
          <cell r="A524" t="str">
            <v>PSMC-FEB</v>
          </cell>
          <cell r="B524" t="str">
            <v>Pak Suzuki Motor Company Limited</v>
          </cell>
        </row>
        <row r="525">
          <cell r="A525" t="str">
            <v>PSMC-MAR</v>
          </cell>
          <cell r="B525" t="str">
            <v>Pak Suzuki Motor Company Limited</v>
          </cell>
        </row>
        <row r="526">
          <cell r="A526" t="str">
            <v>PSO</v>
          </cell>
          <cell r="B526" t="str">
            <v>Pakistan State Oil Company Limited</v>
          </cell>
        </row>
        <row r="527">
          <cell r="A527" t="str">
            <v>PSO-APR</v>
          </cell>
          <cell r="B527" t="str">
            <v>Pakistan State Oil Co.</v>
          </cell>
        </row>
        <row r="528">
          <cell r="A528" t="str">
            <v>PSO-FEB</v>
          </cell>
          <cell r="B528" t="str">
            <v>Pakistan State Oil Co. Ltd.</v>
          </cell>
        </row>
        <row r="529">
          <cell r="A529" t="str">
            <v>PSO-MAR</v>
          </cell>
          <cell r="B529" t="str">
            <v>Pakistan State Oil Co.</v>
          </cell>
        </row>
        <row r="530">
          <cell r="A530" t="str">
            <v>PSX</v>
          </cell>
          <cell r="B530" t="str">
            <v>Pakistan Stock Exchange Limited</v>
          </cell>
        </row>
        <row r="531">
          <cell r="A531" t="str">
            <v>PTC</v>
          </cell>
          <cell r="B531" t="str">
            <v>Pakistan Telecommunication Company Ltd</v>
          </cell>
        </row>
        <row r="532">
          <cell r="A532" t="str">
            <v>PTC-APR</v>
          </cell>
          <cell r="B532" t="str">
            <v>Pakistan Telecommunication</v>
          </cell>
        </row>
        <row r="533">
          <cell r="A533" t="str">
            <v>PTC-FEB</v>
          </cell>
          <cell r="B533" t="str">
            <v>Pakistan Telecommunication</v>
          </cell>
        </row>
        <row r="534">
          <cell r="A534" t="str">
            <v>PTC-MAR</v>
          </cell>
          <cell r="B534" t="str">
            <v>Pakistan Telecommunication</v>
          </cell>
        </row>
        <row r="535">
          <cell r="A535" t="str">
            <v>PTL</v>
          </cell>
          <cell r="B535" t="str">
            <v>Panther Tyres Ltd.</v>
          </cell>
        </row>
        <row r="536">
          <cell r="A536" t="str">
            <v>QUICE</v>
          </cell>
          <cell r="B536" t="str">
            <v>Quice Food Industries Limited</v>
          </cell>
        </row>
        <row r="537">
          <cell r="A537" t="str">
            <v>QUICE-APR</v>
          </cell>
          <cell r="B537" t="str">
            <v>Quice Food Industries Limited</v>
          </cell>
        </row>
        <row r="538">
          <cell r="A538" t="str">
            <v>QUICE-FEB</v>
          </cell>
          <cell r="B538" t="str">
            <v>QUICE-FEB</v>
          </cell>
        </row>
        <row r="539">
          <cell r="A539" t="str">
            <v>QUICE-MAR</v>
          </cell>
          <cell r="B539" t="str">
            <v>Quice Food Industries Limited</v>
          </cell>
        </row>
        <row r="540">
          <cell r="A540" t="str">
            <v>RCML</v>
          </cell>
          <cell r="B540" t="str">
            <v>Reliance Cotton Spinning Mills Limited</v>
          </cell>
        </row>
        <row r="541">
          <cell r="A541" t="str">
            <v>REDCO</v>
          </cell>
          <cell r="B541" t="str">
            <v>Redco Textiles Limited</v>
          </cell>
        </row>
        <row r="542">
          <cell r="A542" t="str">
            <v>REWM</v>
          </cell>
          <cell r="B542" t="str">
            <v>Reliance Weaving Mills Limited</v>
          </cell>
        </row>
        <row r="543">
          <cell r="A543" t="str">
            <v>RICL</v>
          </cell>
          <cell r="B543" t="str">
            <v>Reliance Insurance Company Limited</v>
          </cell>
        </row>
        <row r="544">
          <cell r="A544" t="str">
            <v>RPL</v>
          </cell>
          <cell r="B544" t="str">
            <v>Roshan Packages Limited</v>
          </cell>
        </row>
        <row r="545">
          <cell r="A545" t="str">
            <v>RUPL</v>
          </cell>
          <cell r="B545" t="str">
            <v>Rupali Polyester Limited</v>
          </cell>
        </row>
        <row r="546">
          <cell r="A546" t="str">
            <v>SAIF</v>
          </cell>
          <cell r="B546" t="str">
            <v>Saif Textile Mills Limited</v>
          </cell>
        </row>
        <row r="547">
          <cell r="A547" t="str">
            <v>SAPL</v>
          </cell>
          <cell r="B547" t="str">
            <v>Sanofi-Aventis Pakistan Limited</v>
          </cell>
        </row>
        <row r="548">
          <cell r="A548" t="str">
            <v>SAPT</v>
          </cell>
          <cell r="B548" t="str">
            <v>Sapphire Textile Mills Limited</v>
          </cell>
        </row>
        <row r="549">
          <cell r="A549" t="str">
            <v>SARC</v>
          </cell>
          <cell r="B549" t="str">
            <v>Sardar Chemical Industries Limited</v>
          </cell>
        </row>
        <row r="550">
          <cell r="A550" t="str">
            <v>SAZEW</v>
          </cell>
          <cell r="B550" t="str">
            <v>Sazgar Engineering Works Limited</v>
          </cell>
        </row>
        <row r="551">
          <cell r="A551" t="str">
            <v>SBL</v>
          </cell>
          <cell r="B551" t="str">
            <v>Samba Bank Limited</v>
          </cell>
        </row>
        <row r="552">
          <cell r="A552" t="str">
            <v>SCBPL</v>
          </cell>
          <cell r="B552" t="str">
            <v>Standard Chartered Bank (Pak) Ltd</v>
          </cell>
        </row>
        <row r="553">
          <cell r="A553" t="str">
            <v>SCL</v>
          </cell>
          <cell r="B553" t="str">
            <v>Shield Corporation Limited</v>
          </cell>
        </row>
        <row r="554">
          <cell r="A554" t="str">
            <v>SEARL</v>
          </cell>
          <cell r="B554" t="str">
            <v>The Searle Company Limited</v>
          </cell>
        </row>
        <row r="555">
          <cell r="A555" t="str">
            <v>SEARL-APR</v>
          </cell>
          <cell r="B555" t="str">
            <v>The Searle Company Limited</v>
          </cell>
        </row>
        <row r="556">
          <cell r="A556" t="str">
            <v>SEARL-FEB</v>
          </cell>
          <cell r="B556" t="str">
            <v>The Searle Company Limited</v>
          </cell>
        </row>
        <row r="557">
          <cell r="A557" t="str">
            <v>SEARL-MAR</v>
          </cell>
          <cell r="B557" t="str">
            <v>The Searle Company Limited.</v>
          </cell>
        </row>
        <row r="558">
          <cell r="A558" t="str">
            <v>SEPL</v>
          </cell>
          <cell r="B558" t="str">
            <v>Security Papers Limited</v>
          </cell>
        </row>
        <row r="559">
          <cell r="A559" t="str">
            <v>SERT</v>
          </cell>
          <cell r="B559" t="str">
            <v>Service Industries Textiles Limited</v>
          </cell>
        </row>
        <row r="560">
          <cell r="A560" t="str">
            <v>SGF</v>
          </cell>
          <cell r="B560" t="str">
            <v>Service GlobalFootwear Limited</v>
          </cell>
        </row>
        <row r="561">
          <cell r="A561" t="str">
            <v>SGPL</v>
          </cell>
          <cell r="B561" t="str">
            <v>S.G. Power Limited</v>
          </cell>
        </row>
        <row r="562">
          <cell r="A562" t="str">
            <v>SHEL</v>
          </cell>
          <cell r="B562" t="str">
            <v>Shell Pakistan Limited</v>
          </cell>
        </row>
        <row r="563">
          <cell r="A563" t="str">
            <v>SHEL-APR</v>
          </cell>
          <cell r="B563" t="str">
            <v>SHEL-APR</v>
          </cell>
        </row>
        <row r="564">
          <cell r="A564" t="str">
            <v>SHEL-FEB</v>
          </cell>
          <cell r="B564" t="str">
            <v>SHEL-FEB</v>
          </cell>
        </row>
        <row r="565">
          <cell r="A565" t="str">
            <v>SHEL-MAR</v>
          </cell>
          <cell r="B565" t="str">
            <v>SHEL-MAR</v>
          </cell>
        </row>
        <row r="566">
          <cell r="A566" t="str">
            <v>SHEZ</v>
          </cell>
          <cell r="B566" t="str">
            <v>Shezan International Limited</v>
          </cell>
        </row>
        <row r="567">
          <cell r="A567" t="str">
            <v>SHFA</v>
          </cell>
          <cell r="B567" t="str">
            <v>Shifa International Hospitals Limited</v>
          </cell>
        </row>
        <row r="568">
          <cell r="A568" t="str">
            <v>SHJS</v>
          </cell>
          <cell r="B568" t="str">
            <v>Shahtaj Sugar Mills Limited</v>
          </cell>
        </row>
        <row r="569">
          <cell r="A569" t="str">
            <v>SHNI</v>
          </cell>
          <cell r="B569" t="str">
            <v>Shaheen Insurance Company Limited</v>
          </cell>
        </row>
        <row r="570">
          <cell r="A570" t="str">
            <v>SHSML</v>
          </cell>
          <cell r="B570" t="str">
            <v>Shahmurad Sugar Mills Limited</v>
          </cell>
        </row>
        <row r="571">
          <cell r="A571" t="str">
            <v>SIBL</v>
          </cell>
          <cell r="B571" t="str">
            <v>Security Investment Bank Limited</v>
          </cell>
        </row>
        <row r="572">
          <cell r="A572" t="str">
            <v>SIEM</v>
          </cell>
          <cell r="B572" t="str">
            <v>Siemens (Pakistan) Engineering</v>
          </cell>
        </row>
        <row r="573">
          <cell r="A573" t="str">
            <v>SILK</v>
          </cell>
          <cell r="B573" t="str">
            <v>Silkbank Limited</v>
          </cell>
        </row>
        <row r="574">
          <cell r="A574" t="str">
            <v>SILK-APR</v>
          </cell>
          <cell r="B574" t="str">
            <v>SILK-APR</v>
          </cell>
        </row>
        <row r="575">
          <cell r="A575" t="str">
            <v>SILK-FEB</v>
          </cell>
          <cell r="B575" t="str">
            <v>SILK-FEB</v>
          </cell>
        </row>
        <row r="576">
          <cell r="A576" t="str">
            <v>SILK-MAR</v>
          </cell>
          <cell r="B576" t="str">
            <v>SILK-MAR</v>
          </cell>
        </row>
        <row r="577">
          <cell r="A577" t="str">
            <v>SINDM</v>
          </cell>
          <cell r="B577" t="str">
            <v>Sindh Modaraba</v>
          </cell>
        </row>
        <row r="578">
          <cell r="A578" t="str">
            <v>SITC</v>
          </cell>
          <cell r="B578" t="str">
            <v>Sitara Chemical Industries Limited</v>
          </cell>
        </row>
        <row r="579">
          <cell r="A579" t="str">
            <v>SKRS</v>
          </cell>
          <cell r="B579" t="str">
            <v>Sakrand Sugar Mills Limited</v>
          </cell>
        </row>
        <row r="580">
          <cell r="A580" t="str">
            <v>SLYT</v>
          </cell>
          <cell r="B580" t="str">
            <v>Sally Textile Mills Limited</v>
          </cell>
        </row>
        <row r="581">
          <cell r="A581" t="str">
            <v>SMBL</v>
          </cell>
          <cell r="B581" t="str">
            <v>Summit Bank Limited</v>
          </cell>
        </row>
        <row r="582">
          <cell r="A582" t="str">
            <v>SMBL-APR</v>
          </cell>
          <cell r="B582" t="str">
            <v>SMBL-APR</v>
          </cell>
        </row>
        <row r="583">
          <cell r="A583" t="str">
            <v>SMBL-FEB</v>
          </cell>
          <cell r="B583" t="str">
            <v>SMBL-FEB</v>
          </cell>
        </row>
        <row r="584">
          <cell r="A584" t="str">
            <v>SMBL-MAR</v>
          </cell>
          <cell r="B584" t="str">
            <v>SMBL-MAR</v>
          </cell>
        </row>
        <row r="585">
          <cell r="A585" t="str">
            <v>SMCPL</v>
          </cell>
          <cell r="B585" t="str">
            <v>Safe Mix Concrete Limited</v>
          </cell>
        </row>
        <row r="586">
          <cell r="A586" t="str">
            <v>SML</v>
          </cell>
          <cell r="B586" t="str">
            <v>Shakarganj Limited</v>
          </cell>
        </row>
        <row r="587">
          <cell r="A587" t="str">
            <v>SMTM</v>
          </cell>
          <cell r="B587" t="str">
            <v>Samin Textiles Limited</v>
          </cell>
        </row>
        <row r="588">
          <cell r="A588" t="str">
            <v>SNAI</v>
          </cell>
          <cell r="B588" t="str">
            <v>Sana Industries Limited</v>
          </cell>
        </row>
        <row r="589">
          <cell r="A589" t="str">
            <v>SNBL</v>
          </cell>
          <cell r="B589" t="str">
            <v>Soneri Bank Limited</v>
          </cell>
        </row>
        <row r="590">
          <cell r="A590" t="str">
            <v>SNBL-APR</v>
          </cell>
          <cell r="B590" t="str">
            <v>Sonari Bank Limited</v>
          </cell>
        </row>
        <row r="591">
          <cell r="A591" t="str">
            <v>SNBL-FEB</v>
          </cell>
          <cell r="B591" t="str">
            <v>Sonari Bank Limited</v>
          </cell>
        </row>
        <row r="592">
          <cell r="A592" t="str">
            <v>SNBL-MAR</v>
          </cell>
          <cell r="B592" t="str">
            <v>Sonari Bank Limited</v>
          </cell>
        </row>
        <row r="593">
          <cell r="A593" t="str">
            <v>SNBLTFC2</v>
          </cell>
          <cell r="B593" t="str">
            <v>Soneri Bank Limited (SNBLTFC2)</v>
          </cell>
        </row>
        <row r="594">
          <cell r="A594" t="str">
            <v>SNBLTFC3</v>
          </cell>
          <cell r="B594" t="str">
            <v>Soneri Bank(TFC3)</v>
          </cell>
        </row>
        <row r="595">
          <cell r="A595" t="str">
            <v>SNGP</v>
          </cell>
          <cell r="B595" t="str">
            <v>Sui Northern Gas Pipelines Limited</v>
          </cell>
        </row>
        <row r="596">
          <cell r="A596" t="str">
            <v>SNGP-APR</v>
          </cell>
          <cell r="B596" t="str">
            <v>Sui Northern Gas Pipelines Ltd.</v>
          </cell>
        </row>
        <row r="597">
          <cell r="A597" t="str">
            <v>SNGP-FEB</v>
          </cell>
          <cell r="B597" t="str">
            <v>Sui Northern Gas</v>
          </cell>
        </row>
        <row r="598">
          <cell r="A598" t="str">
            <v>SNGP-MAR</v>
          </cell>
          <cell r="B598" t="str">
            <v>Sui Northern Gas Pipelines Ltd.</v>
          </cell>
        </row>
        <row r="599">
          <cell r="A599" t="str">
            <v>SPEL</v>
          </cell>
          <cell r="B599" t="str">
            <v>Synthetic Products Enterprises Limited</v>
          </cell>
        </row>
        <row r="600">
          <cell r="A600" t="str">
            <v>SPL</v>
          </cell>
          <cell r="B600" t="str">
            <v>Sitara Peroxide Limited</v>
          </cell>
        </row>
        <row r="601">
          <cell r="A601" t="str">
            <v>SPLC</v>
          </cell>
          <cell r="B601" t="str">
            <v>Saudi Pak Leasing Company Limited</v>
          </cell>
        </row>
        <row r="602">
          <cell r="A602" t="str">
            <v>SPWL</v>
          </cell>
          <cell r="B602" t="str">
            <v>Saif Power Limited</v>
          </cell>
        </row>
        <row r="603">
          <cell r="A603" t="str">
            <v>SRVI</v>
          </cell>
          <cell r="B603" t="str">
            <v>Service Industries Limited</v>
          </cell>
        </row>
        <row r="604">
          <cell r="A604" t="str">
            <v>SSGC</v>
          </cell>
          <cell r="B604" t="str">
            <v>Sui Southern Gas Company Limited</v>
          </cell>
        </row>
        <row r="605">
          <cell r="A605" t="str">
            <v>SSGC-APR</v>
          </cell>
          <cell r="B605" t="str">
            <v>Sui Southern Gas Co. Ltd.</v>
          </cell>
        </row>
        <row r="606">
          <cell r="A606" t="str">
            <v>SSGC-FEB</v>
          </cell>
          <cell r="B606" t="str">
            <v>Sui Southern Gas Co. Ltd.</v>
          </cell>
        </row>
        <row r="607">
          <cell r="A607" t="str">
            <v>SSGC-MAR</v>
          </cell>
          <cell r="B607" t="str">
            <v>Sui Southern Gas Co. Ltd.</v>
          </cell>
        </row>
        <row r="608">
          <cell r="A608" t="str">
            <v>SSML</v>
          </cell>
          <cell r="B608" t="str">
            <v>Saritow Spinning Mills Limited</v>
          </cell>
        </row>
        <row r="609">
          <cell r="A609" t="str">
            <v>SSOM</v>
          </cell>
          <cell r="B609" t="str">
            <v>S.S.Oil Mills Limited</v>
          </cell>
        </row>
        <row r="610">
          <cell r="A610" t="str">
            <v>STCL</v>
          </cell>
          <cell r="B610" t="str">
            <v>Shabbir Tiles &amp; Ceramics Limited</v>
          </cell>
        </row>
        <row r="611">
          <cell r="A611" t="str">
            <v>STJT</v>
          </cell>
          <cell r="B611" t="str">
            <v>Shahtaj Textile Limited</v>
          </cell>
        </row>
        <row r="612">
          <cell r="A612" t="str">
            <v>STML</v>
          </cell>
          <cell r="B612" t="str">
            <v>Shams Textile Mills Limited</v>
          </cell>
        </row>
        <row r="613">
          <cell r="A613" t="str">
            <v>STPL</v>
          </cell>
          <cell r="B613" t="str">
            <v>Siddiqsons Tin Plate Limited</v>
          </cell>
        </row>
        <row r="614">
          <cell r="A614" t="str">
            <v>STPL-APR</v>
          </cell>
          <cell r="B614" t="str">
            <v>Siddiqsons Tin Plate Limited</v>
          </cell>
        </row>
        <row r="615">
          <cell r="A615" t="str">
            <v>STPL-FEB</v>
          </cell>
          <cell r="B615" t="str">
            <v>Siddiqsons Tin Plate Limited</v>
          </cell>
        </row>
        <row r="616">
          <cell r="A616" t="str">
            <v>STPL-MAR</v>
          </cell>
          <cell r="B616" t="str">
            <v>Siddiqsons Tin Plate Limited</v>
          </cell>
        </row>
        <row r="617">
          <cell r="A617" t="str">
            <v>SUHJ</v>
          </cell>
          <cell r="B617" t="str">
            <v>Suhail Jute Mills Limited</v>
          </cell>
        </row>
        <row r="618">
          <cell r="A618" t="str">
            <v>SURC</v>
          </cell>
          <cell r="B618" t="str">
            <v>Suraj Cotton Mills Limited</v>
          </cell>
        </row>
        <row r="619">
          <cell r="A619" t="str">
            <v>SUTM</v>
          </cell>
          <cell r="B619" t="str">
            <v>Sunrays Textile Mills Limited</v>
          </cell>
        </row>
        <row r="620">
          <cell r="A620" t="str">
            <v>SYS</v>
          </cell>
          <cell r="B620" t="str">
            <v>Systems Limited</v>
          </cell>
        </row>
        <row r="621">
          <cell r="A621" t="str">
            <v>SYS-APR</v>
          </cell>
          <cell r="B621" t="str">
            <v>SYS-APR</v>
          </cell>
        </row>
        <row r="622">
          <cell r="A622" t="str">
            <v>SYS-FEB</v>
          </cell>
          <cell r="B622" t="str">
            <v>SYS-FEB</v>
          </cell>
        </row>
        <row r="623">
          <cell r="A623" t="str">
            <v>SYS-MAR</v>
          </cell>
          <cell r="B623" t="str">
            <v>Systems Limited</v>
          </cell>
        </row>
        <row r="624">
          <cell r="A624" t="str">
            <v>TATM</v>
          </cell>
          <cell r="B624" t="str">
            <v>Tata Textile Mills Limited</v>
          </cell>
        </row>
        <row r="625">
          <cell r="A625" t="str">
            <v>TELE</v>
          </cell>
          <cell r="B625" t="str">
            <v>Telecard Limited</v>
          </cell>
        </row>
        <row r="626">
          <cell r="A626" t="str">
            <v>TELE-APR</v>
          </cell>
          <cell r="B626" t="str">
            <v>Telecard Limited</v>
          </cell>
        </row>
        <row r="627">
          <cell r="A627" t="str">
            <v>TELE-FEB</v>
          </cell>
          <cell r="B627" t="str">
            <v>Telecard Limited</v>
          </cell>
        </row>
        <row r="628">
          <cell r="A628" t="str">
            <v>TELE-MAR</v>
          </cell>
          <cell r="B628" t="str">
            <v>Telecard Limited</v>
          </cell>
        </row>
        <row r="629">
          <cell r="A629" t="str">
            <v>TGL</v>
          </cell>
          <cell r="B629" t="str">
            <v>Tariq Glass Industries Limited</v>
          </cell>
        </row>
        <row r="630">
          <cell r="A630" t="str">
            <v>TGL-APR</v>
          </cell>
          <cell r="B630" t="str">
            <v>Tariq Glass Industries Limited</v>
          </cell>
        </row>
        <row r="631">
          <cell r="A631" t="str">
            <v>TGL-FEB</v>
          </cell>
          <cell r="B631" t="str">
            <v>Tariq Glass Industries Limited</v>
          </cell>
        </row>
        <row r="632">
          <cell r="A632" t="str">
            <v>TGL-MAR</v>
          </cell>
          <cell r="B632" t="str">
            <v>Tariq Glass Industries Limited</v>
          </cell>
        </row>
        <row r="633">
          <cell r="A633" t="str">
            <v>THALL</v>
          </cell>
          <cell r="B633" t="str">
            <v>Thal Limited</v>
          </cell>
        </row>
        <row r="634">
          <cell r="A634" t="str">
            <v>THALL-APR</v>
          </cell>
          <cell r="B634" t="str">
            <v>THALL-APR</v>
          </cell>
        </row>
        <row r="635">
          <cell r="A635" t="str">
            <v>THALL-FEB</v>
          </cell>
          <cell r="B635" t="str">
            <v>THALL-FEB</v>
          </cell>
        </row>
        <row r="636">
          <cell r="A636" t="str">
            <v>THALL-MAR</v>
          </cell>
          <cell r="B636" t="str">
            <v>THALL-MAR</v>
          </cell>
        </row>
        <row r="637">
          <cell r="A637" t="str">
            <v>THCCL</v>
          </cell>
          <cell r="B637" t="str">
            <v>Thatta Cement Company Limited</v>
          </cell>
        </row>
        <row r="638">
          <cell r="A638" t="str">
            <v>TOMCL</v>
          </cell>
          <cell r="B638" t="str">
            <v>The Organic Meat Company Limited</v>
          </cell>
        </row>
        <row r="639">
          <cell r="A639" t="str">
            <v>TOMCL-APR</v>
          </cell>
          <cell r="B639" t="str">
            <v>TOMCL-APR</v>
          </cell>
        </row>
        <row r="640">
          <cell r="A640" t="str">
            <v>TOMCL-FEB</v>
          </cell>
          <cell r="B640" t="str">
            <v>TOMCL-FEB</v>
          </cell>
        </row>
        <row r="641">
          <cell r="A641" t="str">
            <v>TOMCL-MAR</v>
          </cell>
          <cell r="B641" t="str">
            <v>TOMCL-MAR</v>
          </cell>
        </row>
        <row r="642">
          <cell r="A642" t="str">
            <v>TPL</v>
          </cell>
          <cell r="B642" t="str">
            <v>TPL Corp Limited</v>
          </cell>
        </row>
        <row r="643">
          <cell r="A643" t="str">
            <v>TPL-APR</v>
          </cell>
          <cell r="B643" t="str">
            <v>TPL Trakker Limited</v>
          </cell>
        </row>
        <row r="644">
          <cell r="A644" t="str">
            <v>TPL-FEB</v>
          </cell>
          <cell r="B644" t="str">
            <v>TPL-FEB</v>
          </cell>
        </row>
        <row r="645">
          <cell r="A645" t="str">
            <v>TPL-MAR</v>
          </cell>
          <cell r="B645" t="str">
            <v>TPL Trakker Limited</v>
          </cell>
        </row>
        <row r="646">
          <cell r="A646" t="str">
            <v>TPLI</v>
          </cell>
          <cell r="B646" t="str">
            <v>TPL Insurance Limited</v>
          </cell>
        </row>
        <row r="647">
          <cell r="A647" t="str">
            <v>TPLP</v>
          </cell>
          <cell r="B647" t="str">
            <v>TPL Properties Limited</v>
          </cell>
        </row>
        <row r="648">
          <cell r="A648" t="str">
            <v>TPLP-APR</v>
          </cell>
          <cell r="B648" t="str">
            <v>TPLP-APR</v>
          </cell>
        </row>
        <row r="649">
          <cell r="A649" t="str">
            <v>TPLP-FEB</v>
          </cell>
          <cell r="B649" t="str">
            <v>TPLP-FEB</v>
          </cell>
        </row>
        <row r="650">
          <cell r="A650" t="str">
            <v>TPLP-MAR</v>
          </cell>
          <cell r="B650" t="str">
            <v>TPLP-MAR</v>
          </cell>
        </row>
        <row r="651">
          <cell r="A651" t="str">
            <v>TPLT</v>
          </cell>
          <cell r="B651" t="str">
            <v>TPL Trakker Limited</v>
          </cell>
        </row>
        <row r="652">
          <cell r="A652" t="str">
            <v>TREET</v>
          </cell>
          <cell r="B652" t="str">
            <v>Treet Corporation Limited</v>
          </cell>
        </row>
        <row r="653">
          <cell r="A653" t="str">
            <v>TREET-APR</v>
          </cell>
          <cell r="B653" t="str">
            <v>Treet Corporation Limited</v>
          </cell>
        </row>
        <row r="654">
          <cell r="A654" t="str">
            <v>TREET-FEB</v>
          </cell>
          <cell r="B654" t="str">
            <v>Treet Corporation Limited</v>
          </cell>
        </row>
        <row r="655">
          <cell r="A655" t="str">
            <v>TREET-MAR</v>
          </cell>
          <cell r="B655" t="str">
            <v>Treet Corporation Limited</v>
          </cell>
        </row>
        <row r="656">
          <cell r="A656" t="str">
            <v>TRG</v>
          </cell>
          <cell r="B656" t="str">
            <v>TRG Pakistan Limited</v>
          </cell>
        </row>
        <row r="657">
          <cell r="A657" t="str">
            <v>TRG-APR</v>
          </cell>
          <cell r="B657" t="str">
            <v>TRG Pakistan</v>
          </cell>
        </row>
        <row r="658">
          <cell r="A658" t="str">
            <v>TRG-FEB</v>
          </cell>
          <cell r="B658" t="str">
            <v>TRG Pakistan Limited</v>
          </cell>
        </row>
        <row r="659">
          <cell r="A659" t="str">
            <v>TRG-MAR</v>
          </cell>
          <cell r="B659" t="str">
            <v>TRG Pakistan</v>
          </cell>
        </row>
        <row r="660">
          <cell r="A660" t="str">
            <v>TRIPF</v>
          </cell>
          <cell r="B660" t="str">
            <v>Tri-Pack Films Limited</v>
          </cell>
        </row>
        <row r="661">
          <cell r="A661" t="str">
            <v>TSPL</v>
          </cell>
          <cell r="B661" t="str">
            <v>Tri-Star Power Limited</v>
          </cell>
        </row>
        <row r="662">
          <cell r="A662" t="str">
            <v>UBDL</v>
          </cell>
          <cell r="B662" t="str">
            <v>United Brands Limited</v>
          </cell>
        </row>
        <row r="663">
          <cell r="A663" t="str">
            <v>UBL</v>
          </cell>
          <cell r="B663" t="str">
            <v>United Bank Limited</v>
          </cell>
        </row>
        <row r="664">
          <cell r="A664" t="str">
            <v>UBL-APR</v>
          </cell>
          <cell r="B664" t="str">
            <v>United Bank Ltd.</v>
          </cell>
        </row>
        <row r="665">
          <cell r="A665" t="str">
            <v>UBL-FEB</v>
          </cell>
          <cell r="B665" t="str">
            <v>United Bank Ltd.</v>
          </cell>
        </row>
        <row r="666">
          <cell r="A666" t="str">
            <v>UBL-MAR</v>
          </cell>
          <cell r="B666" t="str">
            <v>United Bank Ltd.</v>
          </cell>
        </row>
        <row r="667">
          <cell r="A667" t="str">
            <v>UBLPETF</v>
          </cell>
          <cell r="B667" t="str">
            <v>UBLPakistan Enterprise ETF</v>
          </cell>
        </row>
        <row r="668">
          <cell r="A668" t="str">
            <v>UBLPETF-APR</v>
          </cell>
          <cell r="B668" t="str">
            <v>UBLPETF-APR</v>
          </cell>
        </row>
        <row r="669">
          <cell r="A669" t="str">
            <v>UBLPETF-FEB</v>
          </cell>
          <cell r="B669" t="str">
            <v>UBLPETF-FEB</v>
          </cell>
        </row>
        <row r="670">
          <cell r="A670" t="str">
            <v>UBLPETF-MAR</v>
          </cell>
          <cell r="B670" t="str">
            <v>UBLPETF-MAR</v>
          </cell>
        </row>
        <row r="671">
          <cell r="A671" t="str">
            <v>UCAPM</v>
          </cell>
          <cell r="B671" t="str">
            <v>Unicap Modaraba</v>
          </cell>
        </row>
        <row r="672">
          <cell r="A672" t="str">
            <v>UNITY</v>
          </cell>
          <cell r="B672" t="str">
            <v>Unity Foods Limited</v>
          </cell>
        </row>
        <row r="673">
          <cell r="A673" t="str">
            <v>UNITY-APR</v>
          </cell>
          <cell r="B673" t="str">
            <v>Unity Foods Limited</v>
          </cell>
        </row>
        <row r="674">
          <cell r="A674" t="str">
            <v>UNITY-FEB</v>
          </cell>
          <cell r="B674" t="str">
            <v>Unity Foods Limited</v>
          </cell>
        </row>
        <row r="675">
          <cell r="A675" t="str">
            <v>UNITY-MAR</v>
          </cell>
          <cell r="B675" t="str">
            <v>Unity Foods Limited</v>
          </cell>
        </row>
        <row r="676">
          <cell r="A676" t="str">
            <v>UPFL</v>
          </cell>
          <cell r="B676" t="str">
            <v>Unilever Pakistan Foods Limited</v>
          </cell>
        </row>
        <row r="677">
          <cell r="A677" t="str">
            <v>UVIC</v>
          </cell>
          <cell r="B677" t="str">
            <v>The Universal Insurance Company Limited</v>
          </cell>
        </row>
        <row r="678">
          <cell r="A678" t="str">
            <v>WAHN</v>
          </cell>
          <cell r="B678" t="str">
            <v>Wah Noble Chemicals Limited</v>
          </cell>
        </row>
        <row r="679">
          <cell r="A679" t="str">
            <v>WAVES</v>
          </cell>
          <cell r="B679" t="str">
            <v>Waves Singer Pakistan Limited</v>
          </cell>
        </row>
        <row r="680">
          <cell r="A680" t="str">
            <v>WAVES-APR</v>
          </cell>
          <cell r="B680" t="str">
            <v>Waves Singer Pakistan Limited</v>
          </cell>
        </row>
        <row r="681">
          <cell r="A681" t="str">
            <v>WAVES-FEB</v>
          </cell>
          <cell r="B681" t="str">
            <v>WAVES-FEB</v>
          </cell>
        </row>
        <row r="682">
          <cell r="A682" t="str">
            <v>WAVES-MAR</v>
          </cell>
          <cell r="B682" t="str">
            <v>WAVES-MAR</v>
          </cell>
        </row>
        <row r="683">
          <cell r="A683" t="str">
            <v>WTL</v>
          </cell>
          <cell r="B683" t="str">
            <v>Worldcall Telecom Limited</v>
          </cell>
        </row>
        <row r="684">
          <cell r="A684" t="str">
            <v>WTL-APR</v>
          </cell>
          <cell r="B684" t="str">
            <v>WorldCall Telecom</v>
          </cell>
        </row>
        <row r="685">
          <cell r="A685" t="str">
            <v>WTL-FEB</v>
          </cell>
          <cell r="B685" t="str">
            <v>WorldCall Telecom</v>
          </cell>
        </row>
        <row r="686">
          <cell r="A686" t="str">
            <v>WTL-MAR</v>
          </cell>
          <cell r="B686" t="str">
            <v>WorldCall Comm. Ltd</v>
          </cell>
        </row>
        <row r="687">
          <cell r="A687" t="str">
            <v>WYETH</v>
          </cell>
          <cell r="B687" t="str">
            <v>Wyeth Pakistan Limited</v>
          </cell>
        </row>
        <row r="688">
          <cell r="A688" t="str">
            <v>YOUW</v>
          </cell>
          <cell r="B688" t="str">
            <v>Yousaf Weaving Mills Limited</v>
          </cell>
        </row>
        <row r="689">
          <cell r="A689" t="str">
            <v>YOUW-APR</v>
          </cell>
          <cell r="B689" t="str">
            <v>YOUW-APR</v>
          </cell>
        </row>
        <row r="690">
          <cell r="A690" t="str">
            <v>YOUW-FEB</v>
          </cell>
          <cell r="B690" t="str">
            <v>YOUW-FEB</v>
          </cell>
        </row>
        <row r="691">
          <cell r="A691" t="str">
            <v>YOUW-MAR</v>
          </cell>
          <cell r="B691" t="str">
            <v>YOUW-MAR</v>
          </cell>
        </row>
        <row r="692">
          <cell r="A692" t="str">
            <v>ZTL</v>
          </cell>
          <cell r="B692" t="str">
            <v>Zephyr Textiles Limited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"/>
      <sheetName val="Script Names"/>
      <sheetName val="Bonus"/>
      <sheetName val="Bonus Tax Working"/>
      <sheetName val="Right Shares - ICL"/>
      <sheetName val="Right Shares - MEBL"/>
      <sheetName val="Engro Corporation"/>
      <sheetName val="Right Shares - HASCOL"/>
      <sheetName val="Right Shares - SEARL"/>
      <sheetName val="Transfer"/>
      <sheetName val="Charity Transfer"/>
      <sheetName val="MF Dividend"/>
      <sheetName val="Sheet1"/>
      <sheetName val="Right Shares - HUBC"/>
      <sheetName val="Right Shares - HUBC - Adjusted"/>
      <sheetName val="Sheet3"/>
      <sheetName val="AGIIF"/>
    </sheetNames>
    <sheetDataSet>
      <sheetData sheetId="0"/>
      <sheetData sheetId="1">
        <row r="1">
          <cell r="A1">
            <v>786</v>
          </cell>
          <cell r="B1" t="str">
            <v>786 Investments Limited</v>
          </cell>
        </row>
        <row r="2">
          <cell r="A2" t="str">
            <v>AABS</v>
          </cell>
          <cell r="B2" t="str">
            <v>Al-Abbas Sugar Mills Limited</v>
          </cell>
        </row>
        <row r="3">
          <cell r="A3" t="str">
            <v>ABL</v>
          </cell>
          <cell r="B3" t="str">
            <v>Allied Bank Limited</v>
          </cell>
        </row>
        <row r="4">
          <cell r="A4" t="str">
            <v>ABL-APR</v>
          </cell>
          <cell r="B4" t="str">
            <v>Allied Bank Limited</v>
          </cell>
        </row>
        <row r="5">
          <cell r="A5" t="str">
            <v>ABL-FEB</v>
          </cell>
          <cell r="B5" t="str">
            <v>Allied Bank Limited</v>
          </cell>
        </row>
        <row r="6">
          <cell r="A6" t="str">
            <v>ABL-MAR</v>
          </cell>
          <cell r="B6" t="str">
            <v>Allied Bank Limited</v>
          </cell>
        </row>
        <row r="7">
          <cell r="A7" t="str">
            <v>ABOT</v>
          </cell>
          <cell r="B7" t="str">
            <v>Abbott Laboratories (Pakistan) Limited</v>
          </cell>
        </row>
        <row r="8">
          <cell r="A8" t="str">
            <v>ACPL</v>
          </cell>
          <cell r="B8" t="str">
            <v>Attock Cement Pakistan Limited</v>
          </cell>
        </row>
        <row r="9">
          <cell r="A9" t="str">
            <v>ADAMS</v>
          </cell>
          <cell r="B9" t="str">
            <v>Adam Sugar Mills Limited</v>
          </cell>
        </row>
        <row r="10">
          <cell r="A10" t="str">
            <v>ADMM</v>
          </cell>
          <cell r="B10" t="str">
            <v>Artistic Denim Mills Limited</v>
          </cell>
        </row>
        <row r="11">
          <cell r="A11" t="str">
            <v>ADOS</v>
          </cell>
          <cell r="B11" t="str">
            <v>Ados Pakistan Limited</v>
          </cell>
        </row>
        <row r="12">
          <cell r="A12" t="str">
            <v>AGHA</v>
          </cell>
          <cell r="B12" t="str">
            <v>Agha Steel Ind.Ltd</v>
          </cell>
        </row>
        <row r="13">
          <cell r="A13" t="str">
            <v>AGHA-APR</v>
          </cell>
          <cell r="B13" t="str">
            <v>AGHA-APR</v>
          </cell>
        </row>
        <row r="14">
          <cell r="A14" t="str">
            <v>AGHA-FEB</v>
          </cell>
          <cell r="B14" t="str">
            <v>AGHA-FEB</v>
          </cell>
        </row>
        <row r="15">
          <cell r="A15" t="str">
            <v>AGHA-MAR</v>
          </cell>
          <cell r="B15" t="str">
            <v>AGHA-MAR</v>
          </cell>
        </row>
        <row r="16">
          <cell r="A16" t="str">
            <v>AGIL</v>
          </cell>
          <cell r="B16" t="str">
            <v>Agriauto Industries Limited</v>
          </cell>
        </row>
        <row r="17">
          <cell r="A17" t="str">
            <v>AGL</v>
          </cell>
          <cell r="B17" t="str">
            <v>Agritech Limited</v>
          </cell>
        </row>
        <row r="18">
          <cell r="A18" t="str">
            <v>AGL-APR</v>
          </cell>
          <cell r="B18" t="str">
            <v>AGL-APR</v>
          </cell>
        </row>
        <row r="19">
          <cell r="A19" t="str">
            <v>AGL-FEB</v>
          </cell>
          <cell r="B19" t="str">
            <v>AGL-FEB</v>
          </cell>
        </row>
        <row r="20">
          <cell r="A20" t="str">
            <v>AGL-MAR</v>
          </cell>
          <cell r="B20" t="str">
            <v>AGL-MAR</v>
          </cell>
        </row>
        <row r="21">
          <cell r="A21" t="str">
            <v>AGP</v>
          </cell>
          <cell r="B21" t="str">
            <v>AGP Limited</v>
          </cell>
        </row>
        <row r="22">
          <cell r="A22" t="str">
            <v>AGP-APR</v>
          </cell>
          <cell r="B22" t="str">
            <v>AGP-APR</v>
          </cell>
        </row>
        <row r="23">
          <cell r="A23" t="str">
            <v>AGP-FEB</v>
          </cell>
          <cell r="B23" t="str">
            <v>AGP-FEB</v>
          </cell>
        </row>
        <row r="24">
          <cell r="A24" t="str">
            <v>AGP-MAR</v>
          </cell>
          <cell r="B24" t="str">
            <v>AGP-MAR</v>
          </cell>
        </row>
        <row r="25">
          <cell r="A25" t="str">
            <v>AGSML</v>
          </cell>
          <cell r="B25" t="str">
            <v>Abdullah Shah Ghazi Sugar Mills Limited</v>
          </cell>
        </row>
        <row r="26">
          <cell r="A26" t="str">
            <v>AGTL</v>
          </cell>
          <cell r="B26" t="str">
            <v>Al-Ghazi Tractors Limited</v>
          </cell>
        </row>
        <row r="27">
          <cell r="A27" t="str">
            <v>AHCL</v>
          </cell>
          <cell r="B27" t="str">
            <v>Arif Habib Corporation Limited</v>
          </cell>
        </row>
        <row r="28">
          <cell r="A28" t="str">
            <v>AHL</v>
          </cell>
          <cell r="B28" t="str">
            <v>Arif Habib Limited</v>
          </cell>
        </row>
        <row r="29">
          <cell r="A29" t="str">
            <v>AICL</v>
          </cell>
          <cell r="B29" t="str">
            <v>Adamjee Insurance Company Limited</v>
          </cell>
        </row>
        <row r="30">
          <cell r="A30" t="str">
            <v>AIRLINK</v>
          </cell>
          <cell r="B30" t="str">
            <v>Air Link Communication Limited</v>
          </cell>
        </row>
        <row r="31">
          <cell r="A31" t="str">
            <v>AKBL</v>
          </cell>
          <cell r="B31" t="str">
            <v>Askari Bank Limited</v>
          </cell>
        </row>
        <row r="32">
          <cell r="A32" t="str">
            <v>AKDHL</v>
          </cell>
          <cell r="B32" t="str">
            <v>AKD Hospitality Limited</v>
          </cell>
        </row>
        <row r="33">
          <cell r="A33" t="str">
            <v>ALAC</v>
          </cell>
          <cell r="B33" t="str">
            <v>Askari Life Assurance Company Limited</v>
          </cell>
        </row>
        <row r="34">
          <cell r="A34" t="str">
            <v>ALTN</v>
          </cell>
          <cell r="B34" t="str">
            <v>Altern Energy Limited</v>
          </cell>
        </row>
        <row r="35">
          <cell r="A35" t="str">
            <v>AMBL</v>
          </cell>
          <cell r="B35" t="str">
            <v>Apna Microfinance Bank Limited</v>
          </cell>
        </row>
        <row r="36">
          <cell r="A36" t="str">
            <v>ANL</v>
          </cell>
          <cell r="B36" t="str">
            <v>Azgard Nine Limited</v>
          </cell>
        </row>
        <row r="37">
          <cell r="A37" t="str">
            <v>ANL-APR</v>
          </cell>
          <cell r="B37" t="str">
            <v>Azgard Nine Ltd.</v>
          </cell>
        </row>
        <row r="38">
          <cell r="A38" t="str">
            <v>ANL-FEB</v>
          </cell>
          <cell r="B38" t="str">
            <v>Azgard Nine Ltd.</v>
          </cell>
        </row>
        <row r="39">
          <cell r="A39" t="str">
            <v>ANL-MAR</v>
          </cell>
          <cell r="B39" t="str">
            <v>Azgard Nine Ltd.</v>
          </cell>
        </row>
        <row r="40">
          <cell r="A40" t="str">
            <v>APL</v>
          </cell>
          <cell r="B40" t="str">
            <v>Attock Petroleum Limited</v>
          </cell>
        </row>
        <row r="41">
          <cell r="A41" t="str">
            <v>ARM</v>
          </cell>
          <cell r="B41" t="str">
            <v>Allied Rental Modaraba</v>
          </cell>
        </row>
        <row r="42">
          <cell r="A42" t="str">
            <v>ARPL</v>
          </cell>
          <cell r="B42" t="str">
            <v>Archroma Pakistan Limited</v>
          </cell>
        </row>
        <row r="43">
          <cell r="A43" t="str">
            <v>ARUJ</v>
          </cell>
          <cell r="B43" t="str">
            <v>Aruj Industries Limited</v>
          </cell>
        </row>
        <row r="44">
          <cell r="A44" t="str">
            <v>ASC</v>
          </cell>
          <cell r="B44" t="str">
            <v>Al Shaheer Corporation Limited</v>
          </cell>
        </row>
        <row r="45">
          <cell r="A45" t="str">
            <v>ASC-APR</v>
          </cell>
          <cell r="B45" t="str">
            <v>Al Shaheer Corporation Limited</v>
          </cell>
        </row>
        <row r="46">
          <cell r="A46" t="str">
            <v>ASC-FEB</v>
          </cell>
          <cell r="B46" t="str">
            <v>ASC-FEB</v>
          </cell>
        </row>
        <row r="47">
          <cell r="A47" t="str">
            <v>ASC-MAR</v>
          </cell>
          <cell r="B47" t="str">
            <v>ASC-MAR</v>
          </cell>
        </row>
        <row r="48">
          <cell r="A48" t="str">
            <v>ASL</v>
          </cell>
          <cell r="B48" t="str">
            <v>Aisha Steel Mills Limited</v>
          </cell>
        </row>
        <row r="49">
          <cell r="A49" t="str">
            <v>ASL-APR</v>
          </cell>
          <cell r="B49" t="str">
            <v>Aisha Steel Mills Limited</v>
          </cell>
        </row>
        <row r="50">
          <cell r="A50" t="str">
            <v>ASL-FEB</v>
          </cell>
          <cell r="B50" t="str">
            <v>Aisha Steel Mills Limited</v>
          </cell>
        </row>
        <row r="51">
          <cell r="A51" t="str">
            <v>ASL-MAR</v>
          </cell>
          <cell r="B51" t="str">
            <v>Aisha Steel Mills Limited</v>
          </cell>
        </row>
        <row r="52">
          <cell r="A52" t="str">
            <v>ASTL</v>
          </cell>
          <cell r="B52" t="str">
            <v>Amreli Steels Limited</v>
          </cell>
        </row>
        <row r="53">
          <cell r="A53" t="str">
            <v>ASTL-APR</v>
          </cell>
          <cell r="B53" t="str">
            <v>Amreli Steels Limited</v>
          </cell>
        </row>
        <row r="54">
          <cell r="A54" t="str">
            <v>ASTL-FEB</v>
          </cell>
          <cell r="B54" t="str">
            <v>Amreli Steels Limited</v>
          </cell>
        </row>
        <row r="55">
          <cell r="A55" t="str">
            <v>ASTL-MAR</v>
          </cell>
          <cell r="B55" t="str">
            <v>Amreli Steels Limited</v>
          </cell>
        </row>
        <row r="56">
          <cell r="A56" t="str">
            <v>ASTM</v>
          </cell>
          <cell r="B56" t="str">
            <v>Asim Textile Mills Limited</v>
          </cell>
        </row>
        <row r="57">
          <cell r="A57" t="str">
            <v>ATBA</v>
          </cell>
          <cell r="B57" t="str">
            <v>Atlas Battery Limited</v>
          </cell>
        </row>
        <row r="58">
          <cell r="A58" t="str">
            <v>ATIL</v>
          </cell>
          <cell r="B58" t="str">
            <v>Atlas Insurance Limited</v>
          </cell>
        </row>
        <row r="59">
          <cell r="A59" t="str">
            <v>ATLH</v>
          </cell>
          <cell r="B59" t="str">
            <v>Atlas Honda Limited</v>
          </cell>
        </row>
        <row r="60">
          <cell r="A60" t="str">
            <v>ATRL</v>
          </cell>
          <cell r="B60" t="str">
            <v>Attock Refinery Limited</v>
          </cell>
        </row>
        <row r="61">
          <cell r="A61" t="str">
            <v>ATRL-APR</v>
          </cell>
          <cell r="B61" t="str">
            <v>Attock Refinery Ltd.</v>
          </cell>
        </row>
        <row r="62">
          <cell r="A62" t="str">
            <v>ATRL-FEB</v>
          </cell>
          <cell r="B62" t="str">
            <v>Attock Refinery Ltd.</v>
          </cell>
        </row>
        <row r="63">
          <cell r="A63" t="str">
            <v>ATRL-MAR</v>
          </cell>
          <cell r="B63" t="str">
            <v>Attock Refinery Ltd.</v>
          </cell>
        </row>
        <row r="64">
          <cell r="A64" t="str">
            <v>AVN</v>
          </cell>
          <cell r="B64" t="str">
            <v>Avanceon Limited</v>
          </cell>
        </row>
        <row r="65">
          <cell r="A65" t="str">
            <v>AVN-APR</v>
          </cell>
          <cell r="B65" t="str">
            <v>Avanceon Limited</v>
          </cell>
        </row>
        <row r="66">
          <cell r="A66" t="str">
            <v>AVN-FEB</v>
          </cell>
          <cell r="B66" t="str">
            <v>Avanceon Limited</v>
          </cell>
        </row>
        <row r="67">
          <cell r="A67" t="str">
            <v>AVN-MAR</v>
          </cell>
          <cell r="B67" t="str">
            <v>Avanceon Limited</v>
          </cell>
        </row>
        <row r="68">
          <cell r="A68" t="str">
            <v>BAFL</v>
          </cell>
          <cell r="B68" t="str">
            <v>Bank Alfalah Limited</v>
          </cell>
        </row>
        <row r="69">
          <cell r="A69" t="str">
            <v>BAFL-APR</v>
          </cell>
          <cell r="B69" t="str">
            <v>Bank Alfalah Ltd</v>
          </cell>
        </row>
        <row r="70">
          <cell r="A70" t="str">
            <v>BAFL-FEB</v>
          </cell>
          <cell r="B70" t="str">
            <v>Bank Al-Falah Limited</v>
          </cell>
        </row>
        <row r="71">
          <cell r="A71" t="str">
            <v>BAFL-MAR</v>
          </cell>
          <cell r="B71" t="str">
            <v>Bank Alfalah Ltd</v>
          </cell>
        </row>
        <row r="72">
          <cell r="A72" t="str">
            <v>BAHL</v>
          </cell>
          <cell r="B72" t="str">
            <v>Bank AL Habib Limited</v>
          </cell>
        </row>
        <row r="73">
          <cell r="A73" t="str">
            <v>BAHL-APR</v>
          </cell>
          <cell r="B73" t="str">
            <v>Bank AL-Habib Limited</v>
          </cell>
        </row>
        <row r="74">
          <cell r="A74" t="str">
            <v>BAHL-FEB</v>
          </cell>
          <cell r="B74" t="str">
            <v>Bank AL-Habib Limited</v>
          </cell>
        </row>
        <row r="75">
          <cell r="A75" t="str">
            <v>BAHL-MAR</v>
          </cell>
          <cell r="B75" t="str">
            <v>Bank AL-Habib Limited</v>
          </cell>
        </row>
        <row r="76">
          <cell r="A76" t="str">
            <v>BAPL</v>
          </cell>
          <cell r="B76" t="str">
            <v>Bawany Air Products Limited</v>
          </cell>
        </row>
        <row r="77">
          <cell r="A77" t="str">
            <v>BATA</v>
          </cell>
          <cell r="B77" t="str">
            <v>Bata Pakistan Limited</v>
          </cell>
        </row>
        <row r="78">
          <cell r="A78" t="str">
            <v>BCML</v>
          </cell>
          <cell r="B78" t="str">
            <v>Babri Cotton Mills Limited</v>
          </cell>
        </row>
        <row r="79">
          <cell r="A79" t="str">
            <v>BECO</v>
          </cell>
          <cell r="B79" t="str">
            <v>Beco Steel Limited</v>
          </cell>
        </row>
        <row r="80">
          <cell r="A80" t="str">
            <v>BERG</v>
          </cell>
          <cell r="B80" t="str">
            <v>Berger Paints Pakistan Limited</v>
          </cell>
        </row>
        <row r="81">
          <cell r="A81" t="str">
            <v>BFMOD</v>
          </cell>
          <cell r="B81" t="str">
            <v>B.F. Modaraba</v>
          </cell>
        </row>
        <row r="82">
          <cell r="A82" t="str">
            <v>BGL</v>
          </cell>
          <cell r="B82" t="str">
            <v>Balochistan Glass Limited</v>
          </cell>
        </row>
        <row r="83">
          <cell r="A83" t="str">
            <v>BGL-APR</v>
          </cell>
          <cell r="B83" t="str">
            <v>BGL-APR</v>
          </cell>
        </row>
        <row r="84">
          <cell r="A84" t="str">
            <v>BGL-FEB</v>
          </cell>
          <cell r="B84" t="str">
            <v>BGL-FEB</v>
          </cell>
        </row>
        <row r="85">
          <cell r="A85" t="str">
            <v>BGL-MAR</v>
          </cell>
          <cell r="B85" t="str">
            <v>BGL-MAR</v>
          </cell>
        </row>
        <row r="86">
          <cell r="A86" t="str">
            <v>BIFO</v>
          </cell>
          <cell r="B86" t="str">
            <v>Biafo Industries Limited</v>
          </cell>
        </row>
        <row r="87">
          <cell r="A87" t="str">
            <v>BILF</v>
          </cell>
          <cell r="B87" t="str">
            <v>Bilal Fibres Limited</v>
          </cell>
        </row>
        <row r="88">
          <cell r="A88" t="str">
            <v>BIPL</v>
          </cell>
          <cell r="B88" t="str">
            <v>BankIslami Pakistan Limited</v>
          </cell>
        </row>
        <row r="89">
          <cell r="A89" t="str">
            <v>BIPL-APR</v>
          </cell>
          <cell r="B89" t="str">
            <v>BankIslami Pakistan Limited</v>
          </cell>
        </row>
        <row r="90">
          <cell r="A90" t="str">
            <v>BIPL-FEB</v>
          </cell>
          <cell r="B90" t="str">
            <v>BIPL-FEB</v>
          </cell>
        </row>
        <row r="91">
          <cell r="A91" t="str">
            <v>BIPL-MAR</v>
          </cell>
          <cell r="B91" t="str">
            <v>BankIslami Pakistan Limited</v>
          </cell>
        </row>
        <row r="92">
          <cell r="A92" t="str">
            <v>BIPLS</v>
          </cell>
          <cell r="B92" t="str">
            <v>BIPL Securities Limited</v>
          </cell>
        </row>
        <row r="93">
          <cell r="A93" t="str">
            <v>BIPLSC</v>
          </cell>
          <cell r="B93" t="str">
            <v>Bank IslamiSC</v>
          </cell>
        </row>
        <row r="94">
          <cell r="A94" t="str">
            <v>BNL</v>
          </cell>
          <cell r="B94" t="str">
            <v>Bunnys Limited</v>
          </cell>
        </row>
        <row r="95">
          <cell r="A95" t="str">
            <v>BNWM</v>
          </cell>
          <cell r="B95" t="str">
            <v>Bannu Woollen Mills Limited</v>
          </cell>
        </row>
        <row r="96">
          <cell r="A96" t="str">
            <v>BOP</v>
          </cell>
          <cell r="B96" t="str">
            <v>The Bank of Punjab</v>
          </cell>
        </row>
        <row r="97">
          <cell r="A97" t="str">
            <v>BOP-APR</v>
          </cell>
          <cell r="B97" t="str">
            <v>The Bank Of Punjab</v>
          </cell>
        </row>
        <row r="98">
          <cell r="A98" t="str">
            <v>BOP-FEB</v>
          </cell>
          <cell r="B98" t="str">
            <v>Bank Of Punjab Limited.</v>
          </cell>
        </row>
        <row r="99">
          <cell r="A99" t="str">
            <v>BOP-MAR</v>
          </cell>
          <cell r="B99" t="str">
            <v>The Bank Of Punjab</v>
          </cell>
        </row>
        <row r="100">
          <cell r="A100" t="str">
            <v>BPL</v>
          </cell>
          <cell r="B100" t="str">
            <v>Burshane LPG (Pakistan) Limited</v>
          </cell>
        </row>
        <row r="101">
          <cell r="A101" t="str">
            <v>BUXL</v>
          </cell>
          <cell r="B101" t="str">
            <v>Buxly Paints Limited</v>
          </cell>
        </row>
        <row r="102">
          <cell r="A102" t="str">
            <v>BWCL</v>
          </cell>
          <cell r="B102" t="str">
            <v>Bestway Cement Limited</v>
          </cell>
        </row>
        <row r="103">
          <cell r="A103" t="str">
            <v>BWHL</v>
          </cell>
          <cell r="B103" t="str">
            <v>Baluchistan Wheels Limited</v>
          </cell>
        </row>
        <row r="104">
          <cell r="A104" t="str">
            <v>CCM</v>
          </cell>
          <cell r="B104" t="str">
            <v>Crescent Cotton Mills Limited</v>
          </cell>
        </row>
        <row r="105">
          <cell r="A105" t="str">
            <v>CENI</v>
          </cell>
          <cell r="B105" t="str">
            <v>Century Insurance Company Limited</v>
          </cell>
        </row>
        <row r="106">
          <cell r="A106" t="str">
            <v>CEPB</v>
          </cell>
          <cell r="B106" t="str">
            <v>Century Paper &amp; Board Mills Limited</v>
          </cell>
        </row>
        <row r="107">
          <cell r="A107" t="str">
            <v>CHCC</v>
          </cell>
          <cell r="B107" t="str">
            <v>Cherat Cement Company Limited</v>
          </cell>
        </row>
        <row r="108">
          <cell r="A108" t="str">
            <v>CHCC-APR</v>
          </cell>
          <cell r="B108" t="str">
            <v>Cherat Cement Company Limited</v>
          </cell>
        </row>
        <row r="109">
          <cell r="A109" t="str">
            <v>CHCC-FEB</v>
          </cell>
          <cell r="B109" t="str">
            <v>Cherat Cement Company Limited</v>
          </cell>
        </row>
        <row r="110">
          <cell r="A110" t="str">
            <v>CHCC-MAR</v>
          </cell>
          <cell r="B110" t="str">
            <v>Cherat Cement Company Limited</v>
          </cell>
        </row>
        <row r="111">
          <cell r="A111" t="str">
            <v>CLOV</v>
          </cell>
          <cell r="B111" t="str">
            <v>Clover Pakistan Limited</v>
          </cell>
        </row>
        <row r="112">
          <cell r="A112" t="str">
            <v>CLVL</v>
          </cell>
          <cell r="B112" t="str">
            <v>Cordoba Logistics &amp; Ventures Limited</v>
          </cell>
        </row>
        <row r="113">
          <cell r="A113" t="str">
            <v>CNERGY</v>
          </cell>
          <cell r="B113" t="str">
            <v>Cnergyico PK  Limited</v>
          </cell>
        </row>
        <row r="114">
          <cell r="A114" t="str">
            <v>CNERGY-APR</v>
          </cell>
          <cell r="B114" t="str">
            <v>CNERGY-APR</v>
          </cell>
        </row>
        <row r="115">
          <cell r="A115" t="str">
            <v>CNERGY-FEB</v>
          </cell>
          <cell r="B115" t="str">
            <v>Cnergyico PK Limited</v>
          </cell>
        </row>
        <row r="116">
          <cell r="A116" t="str">
            <v>CNERGY-MAR</v>
          </cell>
          <cell r="B116" t="str">
            <v>CNERGY-MAR</v>
          </cell>
        </row>
        <row r="117">
          <cell r="A117" t="str">
            <v>COLG</v>
          </cell>
          <cell r="B117" t="str">
            <v>Colgate-Palmolive (Pakistan) Limited</v>
          </cell>
        </row>
        <row r="118">
          <cell r="A118" t="str">
            <v>CPHL</v>
          </cell>
          <cell r="B118" t="str">
            <v>Citi Pharma Ltd.</v>
          </cell>
        </row>
        <row r="119">
          <cell r="A119" t="str">
            <v>CPPL</v>
          </cell>
          <cell r="B119" t="str">
            <v>Cherat Packaging Limited</v>
          </cell>
        </row>
        <row r="120">
          <cell r="A120" t="str">
            <v>CRTM</v>
          </cell>
          <cell r="B120" t="str">
            <v>The Crescent Textile Mills Limited</v>
          </cell>
        </row>
        <row r="121">
          <cell r="A121" t="str">
            <v>CSAP</v>
          </cell>
          <cell r="B121" t="str">
            <v>Crescent Steel &amp; Allied Products Limited</v>
          </cell>
        </row>
        <row r="122">
          <cell r="A122" t="str">
            <v>CSIL</v>
          </cell>
          <cell r="B122" t="str">
            <v>Crescent Star Insurance Limited</v>
          </cell>
        </row>
        <row r="123">
          <cell r="A123" t="str">
            <v>CTM</v>
          </cell>
          <cell r="B123" t="str">
            <v>Colony Textile Mills Limited</v>
          </cell>
        </row>
        <row r="124">
          <cell r="A124" t="str">
            <v>CWSM</v>
          </cell>
          <cell r="B124" t="str">
            <v>Chakwal Spinning Mills Limited</v>
          </cell>
        </row>
        <row r="125">
          <cell r="A125" t="str">
            <v>CYAN</v>
          </cell>
          <cell r="B125" t="str">
            <v>Cyan Limited</v>
          </cell>
        </row>
        <row r="126">
          <cell r="A126" t="str">
            <v>DAAG</v>
          </cell>
          <cell r="B126" t="str">
            <v>Data Agro Limited</v>
          </cell>
        </row>
        <row r="127">
          <cell r="A127" t="str">
            <v>DADX</v>
          </cell>
          <cell r="B127" t="str">
            <v>Dadex Eternit Limited</v>
          </cell>
        </row>
        <row r="128">
          <cell r="A128" t="str">
            <v>DAWH</v>
          </cell>
          <cell r="B128" t="str">
            <v>Dawood Hercules Corporation Limited</v>
          </cell>
        </row>
        <row r="129">
          <cell r="A129" t="str">
            <v>DCL</v>
          </cell>
          <cell r="B129" t="str">
            <v>Dewan Cement Limited</v>
          </cell>
        </row>
        <row r="130">
          <cell r="A130" t="str">
            <v>DCL-APR</v>
          </cell>
          <cell r="B130" t="str">
            <v>Dewan Cement Limited</v>
          </cell>
        </row>
        <row r="131">
          <cell r="A131" t="str">
            <v>DCL-FEB</v>
          </cell>
          <cell r="B131" t="str">
            <v>DCL-FEB</v>
          </cell>
        </row>
        <row r="132">
          <cell r="A132" t="str">
            <v>DCL-MAR</v>
          </cell>
          <cell r="B132" t="str">
            <v>Dewan Cement Limited</v>
          </cell>
        </row>
        <row r="133">
          <cell r="A133" t="str">
            <v>DCR</v>
          </cell>
          <cell r="B133" t="str">
            <v>Dolmen City REIT</v>
          </cell>
        </row>
        <row r="134">
          <cell r="A134" t="str">
            <v>DCR-APR</v>
          </cell>
          <cell r="B134" t="str">
            <v>Dolmen City REIT</v>
          </cell>
        </row>
        <row r="135">
          <cell r="A135" t="str">
            <v>DCR-FEBB</v>
          </cell>
          <cell r="B135" t="str">
            <v>DCR-FEBB</v>
          </cell>
        </row>
        <row r="136">
          <cell r="A136" t="str">
            <v>DCR-MARB</v>
          </cell>
          <cell r="B136" t="str">
            <v>DCR-MARB</v>
          </cell>
        </row>
        <row r="137">
          <cell r="A137" t="str">
            <v>DEL</v>
          </cell>
          <cell r="B137" t="str">
            <v>Dawood Equities Limited</v>
          </cell>
        </row>
        <row r="138">
          <cell r="A138" t="str">
            <v>DFML</v>
          </cell>
          <cell r="B138" t="str">
            <v>Dewan Farooque Motors Limited</v>
          </cell>
        </row>
        <row r="139">
          <cell r="A139" t="str">
            <v>DFSM</v>
          </cell>
          <cell r="B139" t="str">
            <v>Dewan Farooque Spinning Mills Limited</v>
          </cell>
        </row>
        <row r="140">
          <cell r="A140" t="str">
            <v>DGKC</v>
          </cell>
          <cell r="B140" t="str">
            <v>D.G. Khan Cement Company Limited</v>
          </cell>
        </row>
        <row r="141">
          <cell r="A141" t="str">
            <v>DGKC-APR</v>
          </cell>
          <cell r="B141" t="str">
            <v>D. G. Khan Cement</v>
          </cell>
        </row>
        <row r="142">
          <cell r="A142" t="str">
            <v>DGKC-FEB</v>
          </cell>
          <cell r="B142" t="str">
            <v>D. G. Khan Cement</v>
          </cell>
        </row>
        <row r="143">
          <cell r="A143" t="str">
            <v>DGKC-MAR</v>
          </cell>
          <cell r="B143" t="str">
            <v>D. G. Khan Cement</v>
          </cell>
        </row>
        <row r="144">
          <cell r="A144" t="str">
            <v>DOL</v>
          </cell>
          <cell r="B144" t="str">
            <v>Descon Oxychem Limited</v>
          </cell>
        </row>
        <row r="145">
          <cell r="A145" t="str">
            <v>DSIL</v>
          </cell>
          <cell r="B145" t="str">
            <v>D.S. Industries Limited</v>
          </cell>
        </row>
        <row r="146">
          <cell r="A146" t="str">
            <v>DSL</v>
          </cell>
          <cell r="B146" t="str">
            <v>Dost Steels Limited</v>
          </cell>
        </row>
        <row r="147">
          <cell r="A147" t="str">
            <v>DSML</v>
          </cell>
          <cell r="B147" t="str">
            <v>Dar-es-Salaam Textile Mills Limited</v>
          </cell>
        </row>
        <row r="148">
          <cell r="A148" t="str">
            <v>DWSM</v>
          </cell>
          <cell r="B148" t="str">
            <v>Dewan Sugar Mills Limited</v>
          </cell>
        </row>
        <row r="149">
          <cell r="A149" t="str">
            <v>DWTM</v>
          </cell>
          <cell r="B149" t="str">
            <v>Dewan Textile Mills Limited</v>
          </cell>
        </row>
        <row r="150">
          <cell r="A150" t="str">
            <v>DYNO</v>
          </cell>
          <cell r="B150" t="str">
            <v>Dynea Pakistan Limited</v>
          </cell>
        </row>
        <row r="151">
          <cell r="A151" t="str">
            <v>ECOP</v>
          </cell>
          <cell r="B151" t="str">
            <v>Ecopack Limited</v>
          </cell>
        </row>
        <row r="152">
          <cell r="A152" t="str">
            <v>EFERT</v>
          </cell>
          <cell r="B152" t="str">
            <v>Engro Fertilizers Limited</v>
          </cell>
        </row>
        <row r="153">
          <cell r="A153" t="str">
            <v>EFERT-APR</v>
          </cell>
          <cell r="B153" t="str">
            <v>Engro Fertilizer Limited</v>
          </cell>
        </row>
        <row r="154">
          <cell r="A154" t="str">
            <v>EFERT-FEB</v>
          </cell>
          <cell r="B154" t="str">
            <v>Engro Fertilizer Limited</v>
          </cell>
        </row>
        <row r="155">
          <cell r="A155" t="str">
            <v>EFERT-MAR</v>
          </cell>
          <cell r="B155" t="str">
            <v>Engro Fertilizer Limited</v>
          </cell>
        </row>
        <row r="156">
          <cell r="A156" t="str">
            <v>EFGH</v>
          </cell>
          <cell r="B156" t="str">
            <v>EFG Hermes Pakistan Limited</v>
          </cell>
        </row>
        <row r="157">
          <cell r="A157" t="str">
            <v>EFUG</v>
          </cell>
          <cell r="B157" t="str">
            <v>EFU General Insurance Limited</v>
          </cell>
        </row>
        <row r="158">
          <cell r="A158" t="str">
            <v>EFUL</v>
          </cell>
          <cell r="B158" t="str">
            <v>EFU Life Assurance Limited</v>
          </cell>
        </row>
        <row r="159">
          <cell r="A159" t="str">
            <v>EMCO</v>
          </cell>
          <cell r="B159" t="str">
            <v>Emco Industries Limited</v>
          </cell>
        </row>
        <row r="160">
          <cell r="A160" t="str">
            <v>ENGRO</v>
          </cell>
          <cell r="B160" t="str">
            <v>Engro Corporation Limited</v>
          </cell>
        </row>
        <row r="161">
          <cell r="A161" t="str">
            <v>ENGRO-APR</v>
          </cell>
          <cell r="B161" t="str">
            <v>Engro Corporation Limited</v>
          </cell>
        </row>
        <row r="162">
          <cell r="A162" t="str">
            <v>ENGRO-FEB</v>
          </cell>
          <cell r="B162" t="str">
            <v>Engro Corporation Limited</v>
          </cell>
        </row>
        <row r="163">
          <cell r="A163" t="str">
            <v>ENGRO-MAR</v>
          </cell>
          <cell r="B163" t="str">
            <v>Engro Corporation Limited</v>
          </cell>
        </row>
        <row r="164">
          <cell r="A164" t="str">
            <v>EPCL</v>
          </cell>
          <cell r="B164" t="str">
            <v>Engro Polymer &amp; Chemicals Limited</v>
          </cell>
        </row>
        <row r="165">
          <cell r="A165" t="str">
            <v>EPCL-APR</v>
          </cell>
          <cell r="B165" t="str">
            <v>Engro Polymer &amp; Chemicals Limited</v>
          </cell>
        </row>
        <row r="166">
          <cell r="A166" t="str">
            <v>EPCL-FEB</v>
          </cell>
          <cell r="B166" t="str">
            <v>Engro Polymer &amp; Chemicals Limited</v>
          </cell>
        </row>
        <row r="167">
          <cell r="A167" t="str">
            <v>EPCL-MAR</v>
          </cell>
          <cell r="B167" t="str">
            <v>Engro Polymer &amp; Chemicals Limited</v>
          </cell>
        </row>
        <row r="168">
          <cell r="A168" t="str">
            <v>EPQL</v>
          </cell>
          <cell r="B168" t="str">
            <v>Engro Powergen Qadirpur Limited</v>
          </cell>
        </row>
        <row r="169">
          <cell r="A169" t="str">
            <v>ESBL</v>
          </cell>
          <cell r="B169" t="str">
            <v>Escorts Investment Bank Limited</v>
          </cell>
        </row>
        <row r="170">
          <cell r="A170" t="str">
            <v>EXIDE</v>
          </cell>
          <cell r="B170" t="str">
            <v>Exide Pakistan Limited</v>
          </cell>
        </row>
        <row r="171">
          <cell r="A171" t="str">
            <v>FABL</v>
          </cell>
          <cell r="B171" t="str">
            <v>Faysal Bank Limited</v>
          </cell>
        </row>
        <row r="172">
          <cell r="A172" t="str">
            <v>FABL-APR</v>
          </cell>
          <cell r="B172" t="str">
            <v>Faysal Bank Limited</v>
          </cell>
        </row>
        <row r="173">
          <cell r="A173" t="str">
            <v>FABL-FEB</v>
          </cell>
          <cell r="B173" t="str">
            <v>Faysal Bank Limited</v>
          </cell>
        </row>
        <row r="174">
          <cell r="A174" t="str">
            <v>FABL-MAR</v>
          </cell>
          <cell r="B174" t="str">
            <v>Faysal Bank Limited</v>
          </cell>
        </row>
        <row r="175">
          <cell r="A175" t="str">
            <v>FASM</v>
          </cell>
          <cell r="B175" t="str">
            <v>Faisal Spinning Mills Limited</v>
          </cell>
        </row>
        <row r="176">
          <cell r="A176" t="str">
            <v>FATIMA</v>
          </cell>
          <cell r="B176" t="str">
            <v>Fatima Fertilizer Company Limited</v>
          </cell>
        </row>
        <row r="177">
          <cell r="A177" t="str">
            <v>FATIMA-APR</v>
          </cell>
          <cell r="B177" t="str">
            <v>Fatima Fert.Co.</v>
          </cell>
        </row>
        <row r="178">
          <cell r="A178" t="str">
            <v>FATIMA-FEB</v>
          </cell>
          <cell r="B178" t="str">
            <v>Fatima Fert.Co</v>
          </cell>
        </row>
        <row r="179">
          <cell r="A179" t="str">
            <v>FATIMA-MAR</v>
          </cell>
          <cell r="B179" t="str">
            <v>Fatima Fert.Co.</v>
          </cell>
        </row>
        <row r="180">
          <cell r="A180" t="str">
            <v>FCCL</v>
          </cell>
          <cell r="B180" t="str">
            <v>Fauji Cement Company Limited</v>
          </cell>
        </row>
        <row r="181">
          <cell r="A181" t="str">
            <v>FCCL-APR</v>
          </cell>
          <cell r="B181" t="str">
            <v>Fauji Cement Company Ltd.</v>
          </cell>
        </row>
        <row r="182">
          <cell r="A182" t="str">
            <v>FCCL-FEB</v>
          </cell>
          <cell r="B182" t="str">
            <v>Fauji Cement Company Ltd.</v>
          </cell>
        </row>
        <row r="183">
          <cell r="A183" t="str">
            <v>FCCL-MAR</v>
          </cell>
          <cell r="B183" t="str">
            <v>Fauji Cement Company Ltd.</v>
          </cell>
        </row>
        <row r="184">
          <cell r="A184" t="str">
            <v>FCEPL</v>
          </cell>
          <cell r="B184" t="str">
            <v>Frieslandcampina Engro Pakistan Limited</v>
          </cell>
        </row>
        <row r="185">
          <cell r="A185" t="str">
            <v>FCEPL-APR</v>
          </cell>
          <cell r="B185" t="str">
            <v>Frieslandcampins Engro Foods Limited</v>
          </cell>
        </row>
        <row r="186">
          <cell r="A186" t="str">
            <v>FCEPL-FEB</v>
          </cell>
          <cell r="B186" t="str">
            <v>Frieslandcampins Engro Foods Limited</v>
          </cell>
        </row>
        <row r="187">
          <cell r="A187" t="str">
            <v>FCEPL-MAR</v>
          </cell>
          <cell r="B187" t="str">
            <v>Frieslandcampins Engro Foods Limited</v>
          </cell>
        </row>
        <row r="188">
          <cell r="A188" t="str">
            <v>FCSC</v>
          </cell>
          <cell r="B188" t="str">
            <v>First Capital Securities Corporation</v>
          </cell>
        </row>
        <row r="189">
          <cell r="A189" t="str">
            <v>FDIBL</v>
          </cell>
          <cell r="B189" t="str">
            <v>First Dawood Investment Bank Limited</v>
          </cell>
        </row>
        <row r="190">
          <cell r="A190" t="str">
            <v>FECM</v>
          </cell>
          <cell r="B190" t="str">
            <v>First Elite Capital Modaraba</v>
          </cell>
        </row>
        <row r="191">
          <cell r="A191" t="str">
            <v>FECTC</v>
          </cell>
          <cell r="B191" t="str">
            <v>Fecto Cement Limited</v>
          </cell>
        </row>
        <row r="192">
          <cell r="A192" t="str">
            <v>FEROZ</v>
          </cell>
          <cell r="B192" t="str">
            <v>Ferozsons Laboratories Limited</v>
          </cell>
        </row>
        <row r="193">
          <cell r="A193" t="str">
            <v>FEROZ-APR</v>
          </cell>
          <cell r="B193" t="str">
            <v>FEROZ-APR</v>
          </cell>
        </row>
        <row r="194">
          <cell r="A194" t="str">
            <v>FEROZ-FEB</v>
          </cell>
          <cell r="B194" t="str">
            <v>Ferozsons Laboratories Limited</v>
          </cell>
        </row>
        <row r="195">
          <cell r="A195" t="str">
            <v>FEROZ-MAR</v>
          </cell>
          <cell r="B195" t="str">
            <v>FEROZ-MAR</v>
          </cell>
        </row>
        <row r="196">
          <cell r="A196" t="str">
            <v>FFBL</v>
          </cell>
          <cell r="B196" t="str">
            <v>Fauji Fertilizer Bin Qasim Limited</v>
          </cell>
        </row>
        <row r="197">
          <cell r="A197" t="str">
            <v>FFBL-APR</v>
          </cell>
          <cell r="B197" t="str">
            <v>Fauji Fert Bin Qasim Ltd.</v>
          </cell>
        </row>
        <row r="198">
          <cell r="A198" t="str">
            <v>FFBL-FEB</v>
          </cell>
          <cell r="B198" t="str">
            <v>Fauji Fertilizer Bin Qasim</v>
          </cell>
        </row>
        <row r="199">
          <cell r="A199" t="str">
            <v>FFBL-MAR</v>
          </cell>
          <cell r="B199" t="str">
            <v>Fauji Fert Bin Qasim Ltd.</v>
          </cell>
        </row>
        <row r="200">
          <cell r="A200" t="str">
            <v>FFC</v>
          </cell>
          <cell r="B200" t="str">
            <v>Fauji Fertilizer Company Limited</v>
          </cell>
        </row>
        <row r="201">
          <cell r="A201" t="str">
            <v>FFC-APR</v>
          </cell>
          <cell r="B201" t="str">
            <v>Fauji Fertilizer Company</v>
          </cell>
        </row>
        <row r="202">
          <cell r="A202" t="str">
            <v>FFC-FEB</v>
          </cell>
          <cell r="B202" t="str">
            <v>Fauji Fertilizer Company</v>
          </cell>
        </row>
        <row r="203">
          <cell r="A203" t="str">
            <v>FFC-MAR</v>
          </cell>
          <cell r="B203" t="str">
            <v>Fauji Fertilizer Company</v>
          </cell>
        </row>
        <row r="204">
          <cell r="A204" t="str">
            <v>FFL</v>
          </cell>
          <cell r="B204" t="str">
            <v>Fauji Foods Limited</v>
          </cell>
        </row>
        <row r="205">
          <cell r="A205" t="str">
            <v>FFL-APR</v>
          </cell>
          <cell r="B205" t="str">
            <v>Fauji Foods Limited</v>
          </cell>
        </row>
        <row r="206">
          <cell r="A206" t="str">
            <v>FFL-FEB</v>
          </cell>
          <cell r="B206" t="str">
            <v>Fauji Foods Limited</v>
          </cell>
        </row>
        <row r="207">
          <cell r="A207" t="str">
            <v>FFL-MAR</v>
          </cell>
          <cell r="B207" t="str">
            <v>Fauji Foods Limited</v>
          </cell>
        </row>
        <row r="208">
          <cell r="A208" t="str">
            <v>FFLM</v>
          </cell>
          <cell r="B208" t="str">
            <v>First Fidelity Leasing Modaraba</v>
          </cell>
        </row>
        <row r="209">
          <cell r="A209" t="str">
            <v>FHAM</v>
          </cell>
          <cell r="B209" t="str">
            <v>First Habib Modaraba</v>
          </cell>
        </row>
        <row r="210">
          <cell r="A210" t="str">
            <v>FIMM</v>
          </cell>
          <cell r="B210" t="str">
            <v>First Imrooz Modaraba</v>
          </cell>
        </row>
        <row r="211">
          <cell r="A211" t="str">
            <v>FLYNG</v>
          </cell>
          <cell r="B211" t="str">
            <v>Flying Cement Company Limited</v>
          </cell>
        </row>
        <row r="212">
          <cell r="A212" t="str">
            <v>FLYNG-APR</v>
          </cell>
          <cell r="B212" t="str">
            <v>FLYNG-APR</v>
          </cell>
        </row>
        <row r="213">
          <cell r="A213" t="str">
            <v>FLYNG-FEBB</v>
          </cell>
          <cell r="B213" t="str">
            <v>FLYNG-FEBB</v>
          </cell>
        </row>
        <row r="214">
          <cell r="A214" t="str">
            <v>FLYNG-MARB</v>
          </cell>
          <cell r="B214" t="str">
            <v>FLYNG-MARB</v>
          </cell>
        </row>
        <row r="215">
          <cell r="A215" t="str">
            <v>FML</v>
          </cell>
          <cell r="B215" t="str">
            <v>Feroze1888 Mills Limited</v>
          </cell>
        </row>
        <row r="216">
          <cell r="A216" t="str">
            <v>FNEL</v>
          </cell>
          <cell r="B216" t="str">
            <v>First National Equities Limited</v>
          </cell>
        </row>
        <row r="217">
          <cell r="A217" t="str">
            <v>FPJM</v>
          </cell>
          <cell r="B217" t="str">
            <v>First Punjab Modaraba</v>
          </cell>
        </row>
        <row r="218">
          <cell r="A218" t="str">
            <v>FRSM</v>
          </cell>
          <cell r="B218" t="str">
            <v>Faran Sugar Mills Limited</v>
          </cell>
        </row>
        <row r="219">
          <cell r="A219" t="str">
            <v>FTMM</v>
          </cell>
          <cell r="B219" t="str">
            <v>First Treet Manufacturing Modaraba</v>
          </cell>
        </row>
        <row r="220">
          <cell r="A220" t="str">
            <v>FUDLM</v>
          </cell>
          <cell r="B220" t="str">
            <v>First UDL Modaraba</v>
          </cell>
        </row>
        <row r="221">
          <cell r="A221" t="str">
            <v>GADT</v>
          </cell>
          <cell r="B221" t="str">
            <v>Gadoon Textile Mills Limited</v>
          </cell>
        </row>
        <row r="222">
          <cell r="A222" t="str">
            <v>GAMON</v>
          </cell>
          <cell r="B222" t="str">
            <v>Gammon Pakistan Limited</v>
          </cell>
        </row>
        <row r="223">
          <cell r="A223" t="str">
            <v>GATM</v>
          </cell>
          <cell r="B223" t="str">
            <v>Gul Ahmed Textile Mills Limited</v>
          </cell>
        </row>
        <row r="224">
          <cell r="A224" t="str">
            <v>GATM-APR</v>
          </cell>
          <cell r="B224" t="str">
            <v>Gul Ahmed Textile Mills Ltd.</v>
          </cell>
        </row>
        <row r="225">
          <cell r="A225" t="str">
            <v>GATM-FEB</v>
          </cell>
          <cell r="B225" t="str">
            <v>Gul Ahmed Textile Mills Ltd.</v>
          </cell>
        </row>
        <row r="226">
          <cell r="A226" t="str">
            <v>GATM-MAR</v>
          </cell>
          <cell r="B226" t="str">
            <v>Gul Ahmed Textile Mills Ltd.</v>
          </cell>
        </row>
        <row r="227">
          <cell r="A227" t="str">
            <v>GEMPAPL</v>
          </cell>
          <cell r="B227" t="str">
            <v>Pak Agro Packaging Limited(GEM)</v>
          </cell>
        </row>
        <row r="228">
          <cell r="A228" t="str">
            <v>GEMUNSL</v>
          </cell>
          <cell r="B228" t="str">
            <v>Universal Network Systems Limited(GEM)</v>
          </cell>
        </row>
        <row r="229">
          <cell r="A229" t="str">
            <v>GFIL</v>
          </cell>
          <cell r="B229" t="str">
            <v>Ghazi Fabrics International Limited</v>
          </cell>
        </row>
        <row r="230">
          <cell r="A230" t="str">
            <v>GGGL</v>
          </cell>
          <cell r="B230" t="str">
            <v>Ghani Global Glass Limited</v>
          </cell>
        </row>
        <row r="231">
          <cell r="A231" t="str">
            <v>GGGL-APR</v>
          </cell>
          <cell r="B231" t="str">
            <v>GGGL-APR</v>
          </cell>
        </row>
        <row r="232">
          <cell r="A232" t="str">
            <v>GGGL-FEB</v>
          </cell>
          <cell r="B232" t="str">
            <v>GGGL-FEB</v>
          </cell>
        </row>
        <row r="233">
          <cell r="A233" t="str">
            <v>GGGL-MAR</v>
          </cell>
          <cell r="B233" t="str">
            <v>GGGL-MAR</v>
          </cell>
        </row>
        <row r="234">
          <cell r="A234" t="str">
            <v>GGL</v>
          </cell>
          <cell r="B234" t="str">
            <v>Ghani Global Holdings Limited</v>
          </cell>
        </row>
        <row r="235">
          <cell r="A235" t="str">
            <v>GGL-APR</v>
          </cell>
          <cell r="B235" t="str">
            <v>Ghani Global Holdings Limited</v>
          </cell>
        </row>
        <row r="236">
          <cell r="A236" t="str">
            <v>GGL-FEB</v>
          </cell>
          <cell r="B236" t="str">
            <v>GGL-FEB</v>
          </cell>
        </row>
        <row r="237">
          <cell r="A237" t="str">
            <v>GGL-MAR</v>
          </cell>
          <cell r="B237" t="str">
            <v>Ghani Global Holdings Limited</v>
          </cell>
        </row>
        <row r="238">
          <cell r="A238" t="str">
            <v>GHGL</v>
          </cell>
          <cell r="B238" t="str">
            <v>Ghani Glass Limited</v>
          </cell>
        </row>
        <row r="239">
          <cell r="A239" t="str">
            <v>GHGL-APR</v>
          </cell>
          <cell r="B239" t="str">
            <v>GHGL-APR</v>
          </cell>
        </row>
        <row r="240">
          <cell r="A240" t="str">
            <v>GHGL-FEB</v>
          </cell>
          <cell r="B240" t="str">
            <v>GHGL-FEB</v>
          </cell>
        </row>
        <row r="241">
          <cell r="A241" t="str">
            <v>GHGL-MAR</v>
          </cell>
          <cell r="B241" t="str">
            <v>GHGL-MAR</v>
          </cell>
        </row>
        <row r="242">
          <cell r="A242" t="str">
            <v>GHNI</v>
          </cell>
          <cell r="B242" t="str">
            <v>Ghandhara Industries Limited</v>
          </cell>
        </row>
        <row r="243">
          <cell r="A243" t="str">
            <v>GHNI-APR</v>
          </cell>
          <cell r="B243" t="str">
            <v>Ghandhara Industries Limited</v>
          </cell>
        </row>
        <row r="244">
          <cell r="A244" t="str">
            <v>GHNI-FEB</v>
          </cell>
          <cell r="B244" t="str">
            <v>Ghandhara Industries Limited</v>
          </cell>
        </row>
        <row r="245">
          <cell r="A245" t="str">
            <v>GHNI-MAR</v>
          </cell>
          <cell r="B245" t="str">
            <v>Ghandhara Industries Limited</v>
          </cell>
        </row>
        <row r="246">
          <cell r="A246" t="str">
            <v>GHNL</v>
          </cell>
          <cell r="B246" t="str">
            <v>Ghandhara Nissan Limited</v>
          </cell>
        </row>
        <row r="247">
          <cell r="A247" t="str">
            <v>GHNL-APR</v>
          </cell>
          <cell r="B247" t="str">
            <v>Ghandhara Nissan Limited</v>
          </cell>
        </row>
        <row r="248">
          <cell r="A248" t="str">
            <v>GHNL-FEB</v>
          </cell>
          <cell r="B248" t="str">
            <v>Ghandhara Nissan Limited</v>
          </cell>
        </row>
        <row r="249">
          <cell r="A249" t="str">
            <v>GHNL-MAR</v>
          </cell>
          <cell r="B249" t="str">
            <v>Ghandhara Nissan Limited</v>
          </cell>
        </row>
        <row r="250">
          <cell r="A250" t="str">
            <v>GLAXO</v>
          </cell>
          <cell r="B250" t="str">
            <v>GlaxoSmithKline Pakistan Limited</v>
          </cell>
        </row>
        <row r="251">
          <cell r="A251" t="str">
            <v>GLPL</v>
          </cell>
          <cell r="B251" t="str">
            <v>Gillette Pakistan Limited</v>
          </cell>
        </row>
        <row r="252">
          <cell r="A252" t="str">
            <v>GSKCH</v>
          </cell>
          <cell r="B252" t="str">
            <v>GlaxoSmithKline Consumer Healthcare</v>
          </cell>
        </row>
        <row r="253">
          <cell r="A253" t="str">
            <v>GTECH</v>
          </cell>
          <cell r="B253" t="str">
            <v>G3 Technologies Limited</v>
          </cell>
        </row>
        <row r="254">
          <cell r="A254" t="str">
            <v>GTYR</v>
          </cell>
          <cell r="B254" t="str">
            <v>Ghandhara Tyre &amp; Rubber Company Limited</v>
          </cell>
        </row>
        <row r="255">
          <cell r="A255" t="str">
            <v>GVGL</v>
          </cell>
          <cell r="B255" t="str">
            <v>Ghani Value Glass Limited</v>
          </cell>
        </row>
        <row r="256">
          <cell r="A256" t="str">
            <v>GWLC</v>
          </cell>
          <cell r="B256" t="str">
            <v>Gharibwal Cement Limited</v>
          </cell>
        </row>
        <row r="257">
          <cell r="A257" t="str">
            <v>HABSM</v>
          </cell>
          <cell r="B257" t="str">
            <v>Habib Sugar Mills Limited</v>
          </cell>
        </row>
        <row r="258">
          <cell r="A258" t="str">
            <v>HAEL</v>
          </cell>
          <cell r="B258" t="str">
            <v>Hala Enterprises Limited</v>
          </cell>
        </row>
        <row r="259">
          <cell r="A259" t="str">
            <v>HASCOL</v>
          </cell>
          <cell r="B259" t="str">
            <v>Hascol Petroleum Limited</v>
          </cell>
        </row>
        <row r="260">
          <cell r="A260" t="str">
            <v>HBL</v>
          </cell>
          <cell r="B260" t="str">
            <v>Habib Bank Limited</v>
          </cell>
        </row>
        <row r="261">
          <cell r="A261" t="str">
            <v>HBL-APR</v>
          </cell>
          <cell r="B261" t="str">
            <v>Habib Bank Ltd</v>
          </cell>
        </row>
        <row r="262">
          <cell r="A262" t="str">
            <v>HBL-FEB</v>
          </cell>
          <cell r="B262" t="str">
            <v>Habib Bank Ltd</v>
          </cell>
        </row>
        <row r="263">
          <cell r="A263" t="str">
            <v>HBL-MAR</v>
          </cell>
          <cell r="B263" t="str">
            <v>Habib Bank Ltd</v>
          </cell>
        </row>
        <row r="264">
          <cell r="A264" t="str">
            <v>HCAR</v>
          </cell>
          <cell r="B264" t="str">
            <v>Honda Atlas Cars (Pakistan) Limited</v>
          </cell>
        </row>
        <row r="265">
          <cell r="A265" t="str">
            <v>HGFA</v>
          </cell>
          <cell r="B265" t="str">
            <v>HBL Growth Fund</v>
          </cell>
        </row>
        <row r="266">
          <cell r="A266" t="str">
            <v>HICL</v>
          </cell>
          <cell r="B266" t="str">
            <v>Habib Insurance Company Limited</v>
          </cell>
        </row>
        <row r="267">
          <cell r="A267" t="str">
            <v>HIFA</v>
          </cell>
          <cell r="B267" t="str">
            <v>HBL Investment Fund</v>
          </cell>
        </row>
        <row r="268">
          <cell r="A268" t="str">
            <v>HINO</v>
          </cell>
          <cell r="B268" t="str">
            <v>Hinopak Motors Limited</v>
          </cell>
        </row>
        <row r="269">
          <cell r="A269" t="str">
            <v>HINOON</v>
          </cell>
          <cell r="B269" t="str">
            <v>Highnoon Laboratories Limited</v>
          </cell>
        </row>
        <row r="270">
          <cell r="A270" t="str">
            <v>HIRAT</v>
          </cell>
          <cell r="B270" t="str">
            <v>Hira Textile Mills Limited</v>
          </cell>
        </row>
        <row r="271">
          <cell r="A271" t="str">
            <v>HMB</v>
          </cell>
          <cell r="B271" t="str">
            <v>Habib Metropolitan Bank Limited</v>
          </cell>
        </row>
        <row r="272">
          <cell r="A272" t="str">
            <v>HMB-APR</v>
          </cell>
          <cell r="B272" t="str">
            <v>Habib Metropolitan Bank Limited</v>
          </cell>
        </row>
        <row r="273">
          <cell r="A273" t="str">
            <v>HMB-FEB</v>
          </cell>
          <cell r="B273" t="str">
            <v>Habib Metropolitan Bank Limited</v>
          </cell>
        </row>
        <row r="274">
          <cell r="A274" t="str">
            <v>HMB-MAR</v>
          </cell>
          <cell r="B274" t="str">
            <v>Habib Metropolitan Bank Limited</v>
          </cell>
        </row>
        <row r="275">
          <cell r="A275" t="str">
            <v>HSM</v>
          </cell>
          <cell r="B275" t="str">
            <v>Husein Sugar Mills Limited</v>
          </cell>
        </row>
        <row r="276">
          <cell r="A276" t="str">
            <v>HSPI</v>
          </cell>
          <cell r="B276" t="str">
            <v>Huffaz Seamless Pipe Industries Limited</v>
          </cell>
        </row>
        <row r="277">
          <cell r="A277" t="str">
            <v>HTL</v>
          </cell>
          <cell r="B277" t="str">
            <v>Hi-Tech Lubricants Limited</v>
          </cell>
        </row>
        <row r="278">
          <cell r="A278" t="str">
            <v>HUBC</v>
          </cell>
          <cell r="B278" t="str">
            <v>The Hub Power Company Limited</v>
          </cell>
        </row>
        <row r="279">
          <cell r="A279" t="str">
            <v>HUBC-APR</v>
          </cell>
          <cell r="B279" t="str">
            <v>Hub Power Company Limited</v>
          </cell>
        </row>
        <row r="280">
          <cell r="A280" t="str">
            <v>HUBC-FEBB</v>
          </cell>
          <cell r="B280" t="str">
            <v>HUBC-FEBB</v>
          </cell>
        </row>
        <row r="281">
          <cell r="A281" t="str">
            <v>HUBC-MARB</v>
          </cell>
          <cell r="B281" t="str">
            <v>Hub Power Company Limited</v>
          </cell>
        </row>
        <row r="282">
          <cell r="A282" t="str">
            <v>HUMNL</v>
          </cell>
          <cell r="B282" t="str">
            <v>Hum Network Limited</v>
          </cell>
        </row>
        <row r="283">
          <cell r="A283" t="str">
            <v>HUMNL-APR</v>
          </cell>
          <cell r="B283" t="str">
            <v>Hum Network Limited</v>
          </cell>
        </row>
        <row r="284">
          <cell r="A284" t="str">
            <v>HUMNL-FEBB</v>
          </cell>
          <cell r="B284" t="str">
            <v>HUMNL-FEBB</v>
          </cell>
        </row>
        <row r="285">
          <cell r="A285" t="str">
            <v>HUMNL-MARB</v>
          </cell>
          <cell r="B285" t="str">
            <v>HUMNL-MARB</v>
          </cell>
        </row>
        <row r="286">
          <cell r="A286" t="str">
            <v>IBLHL</v>
          </cell>
          <cell r="B286" t="str">
            <v>IBL HealthCare Limited</v>
          </cell>
        </row>
        <row r="287">
          <cell r="A287" t="str">
            <v>ICI</v>
          </cell>
          <cell r="B287" t="str">
            <v>ICI Pakistan Limited</v>
          </cell>
        </row>
        <row r="288">
          <cell r="A288" t="str">
            <v>ICIBL</v>
          </cell>
          <cell r="B288" t="str">
            <v>Invest Capital Investment Bank Limited</v>
          </cell>
        </row>
        <row r="289">
          <cell r="A289" t="str">
            <v>ICL</v>
          </cell>
          <cell r="B289" t="str">
            <v>Ittehad Chemicals Limted</v>
          </cell>
        </row>
        <row r="290">
          <cell r="A290" t="str">
            <v>IDSM</v>
          </cell>
          <cell r="B290" t="str">
            <v>Ideal Spinning Mills Limited</v>
          </cell>
        </row>
        <row r="291">
          <cell r="A291" t="str">
            <v>IDYM</v>
          </cell>
          <cell r="B291" t="str">
            <v>Indus Dyeing &amp; Manufacturing Co. Limited</v>
          </cell>
        </row>
        <row r="292">
          <cell r="A292" t="str">
            <v>IGIHL</v>
          </cell>
          <cell r="B292" t="str">
            <v>IGI Holdings Limited</v>
          </cell>
        </row>
        <row r="293">
          <cell r="A293" t="str">
            <v>IGIL</v>
          </cell>
          <cell r="B293" t="str">
            <v>IGI Life Insurance Limited</v>
          </cell>
        </row>
        <row r="294">
          <cell r="A294" t="str">
            <v>ILP</v>
          </cell>
          <cell r="B294" t="str">
            <v>Interloop Limited</v>
          </cell>
        </row>
        <row r="295">
          <cell r="A295" t="str">
            <v>IMAGE</v>
          </cell>
          <cell r="B295" t="str">
            <v>Image Pakistan Limited</v>
          </cell>
        </row>
        <row r="296">
          <cell r="A296" t="str">
            <v>IMAGE-APR</v>
          </cell>
          <cell r="B296" t="str">
            <v>IMAGE-APR</v>
          </cell>
        </row>
        <row r="297">
          <cell r="A297" t="str">
            <v>IMAGE-FEB</v>
          </cell>
          <cell r="B297" t="str">
            <v>IMAGE-FEB</v>
          </cell>
        </row>
        <row r="298">
          <cell r="A298" t="str">
            <v>IMAGE-MAR</v>
          </cell>
          <cell r="B298" t="str">
            <v>IMAGE-MAR</v>
          </cell>
        </row>
        <row r="299">
          <cell r="A299" t="str">
            <v>IML</v>
          </cell>
          <cell r="B299" t="str">
            <v>Imperial  Limited</v>
          </cell>
        </row>
        <row r="300">
          <cell r="A300" t="str">
            <v>INDU</v>
          </cell>
          <cell r="B300" t="str">
            <v>Indus Motor Company Limited</v>
          </cell>
        </row>
        <row r="301">
          <cell r="A301" t="str">
            <v>INIL</v>
          </cell>
          <cell r="B301" t="str">
            <v>International Industries Limited</v>
          </cell>
        </row>
        <row r="302">
          <cell r="A302" t="str">
            <v>INIL-APR</v>
          </cell>
          <cell r="B302" t="str">
            <v>International Industries Limited</v>
          </cell>
        </row>
        <row r="303">
          <cell r="A303" t="str">
            <v>INIL-APRB</v>
          </cell>
          <cell r="B303" t="str">
            <v>INIL-APRB</v>
          </cell>
        </row>
        <row r="304">
          <cell r="A304" t="str">
            <v>INIL-FEB</v>
          </cell>
          <cell r="B304" t="str">
            <v>International Industries Limited</v>
          </cell>
        </row>
        <row r="305">
          <cell r="A305" t="str">
            <v>INIL-FEBB</v>
          </cell>
          <cell r="B305" t="str">
            <v>INIL-FEBB</v>
          </cell>
        </row>
        <row r="306">
          <cell r="A306" t="str">
            <v>INIL-MAR</v>
          </cell>
          <cell r="B306" t="str">
            <v>International Industries Limited</v>
          </cell>
        </row>
        <row r="307">
          <cell r="A307" t="str">
            <v>INIL-MARB</v>
          </cell>
          <cell r="B307" t="str">
            <v>INIL-MARB</v>
          </cell>
        </row>
        <row r="308">
          <cell r="A308" t="str">
            <v>ISIL</v>
          </cell>
          <cell r="B308" t="str">
            <v>Ismail Industries Limited</v>
          </cell>
        </row>
        <row r="309">
          <cell r="A309" t="str">
            <v>ISL</v>
          </cell>
          <cell r="B309" t="str">
            <v>International Steels Limited</v>
          </cell>
        </row>
        <row r="310">
          <cell r="A310" t="str">
            <v>ISL-APR</v>
          </cell>
          <cell r="B310" t="str">
            <v>International Steels Limited</v>
          </cell>
        </row>
        <row r="311">
          <cell r="A311" t="str">
            <v>ISL-APRB</v>
          </cell>
          <cell r="B311" t="str">
            <v>ISL-APRB</v>
          </cell>
        </row>
        <row r="312">
          <cell r="A312" t="str">
            <v>ISL-FEB</v>
          </cell>
          <cell r="B312" t="str">
            <v>International Steels Limited</v>
          </cell>
        </row>
        <row r="313">
          <cell r="A313" t="str">
            <v>ISL-FEBB</v>
          </cell>
          <cell r="B313" t="str">
            <v>ISL-FEBB</v>
          </cell>
        </row>
        <row r="314">
          <cell r="A314" t="str">
            <v>ISL-MAR</v>
          </cell>
          <cell r="B314" t="str">
            <v>Inter.Steel Ltd.</v>
          </cell>
        </row>
        <row r="315">
          <cell r="A315" t="str">
            <v>ISL-MARB</v>
          </cell>
          <cell r="B315" t="str">
            <v>ISL-MARB</v>
          </cell>
        </row>
        <row r="316">
          <cell r="A316" t="str">
            <v>ITTEFAQ</v>
          </cell>
          <cell r="B316" t="str">
            <v>Ittefaq Iron Industries Limited</v>
          </cell>
        </row>
        <row r="317">
          <cell r="A317" t="str">
            <v>JDMT</v>
          </cell>
          <cell r="B317" t="str">
            <v>Janana De Malucho Textile Mills Limited</v>
          </cell>
        </row>
        <row r="318">
          <cell r="A318" t="str">
            <v>JLICL</v>
          </cell>
          <cell r="B318" t="str">
            <v>Jubilee Life Insurance Company Limited</v>
          </cell>
        </row>
        <row r="319">
          <cell r="A319" t="str">
            <v>JSBL</v>
          </cell>
          <cell r="B319" t="str">
            <v>JS Bank Limited</v>
          </cell>
        </row>
        <row r="320">
          <cell r="A320" t="str">
            <v>JSBL-APR</v>
          </cell>
          <cell r="B320" t="str">
            <v>JS Bank Ltd.</v>
          </cell>
        </row>
        <row r="321">
          <cell r="A321" t="str">
            <v>JSBL-FEB</v>
          </cell>
          <cell r="B321" t="str">
            <v>JS Bank Ltd.</v>
          </cell>
        </row>
        <row r="322">
          <cell r="A322" t="str">
            <v>JSBL-MAR</v>
          </cell>
          <cell r="B322" t="str">
            <v>JS Bank Ltd.</v>
          </cell>
        </row>
        <row r="323">
          <cell r="A323" t="str">
            <v>JSCL</v>
          </cell>
          <cell r="B323" t="str">
            <v>Jahangir Siddiqui &amp; Co. Ltd.</v>
          </cell>
        </row>
        <row r="324">
          <cell r="A324" t="str">
            <v>JSCLPSA</v>
          </cell>
          <cell r="B324" t="str">
            <v>Jahangir Sidd(Pref)</v>
          </cell>
        </row>
        <row r="325">
          <cell r="A325" t="str">
            <v>JSGCL</v>
          </cell>
          <cell r="B325" t="str">
            <v>JS Global Capital Limited</v>
          </cell>
        </row>
        <row r="326">
          <cell r="A326" t="str">
            <v>JSIL</v>
          </cell>
          <cell r="B326" t="str">
            <v>JS Investments Limited</v>
          </cell>
        </row>
        <row r="327">
          <cell r="A327" t="str">
            <v>JSMFETF</v>
          </cell>
          <cell r="B327" t="str">
            <v>JS Momentum Factor Exchange Traded Fund</v>
          </cell>
        </row>
        <row r="328">
          <cell r="A328" t="str">
            <v>JSML</v>
          </cell>
          <cell r="B328" t="str">
            <v>Jauharabad Sugar Mills Limited</v>
          </cell>
        </row>
        <row r="329">
          <cell r="A329" t="str">
            <v>JUBS</v>
          </cell>
          <cell r="B329" t="str">
            <v>Jubilee Spinning &amp; Weaving Mills Ltd.</v>
          </cell>
        </row>
        <row r="330">
          <cell r="A330" t="str">
            <v>JVDC</v>
          </cell>
          <cell r="B330" t="str">
            <v>Javedan Corporation Limited</v>
          </cell>
        </row>
        <row r="331">
          <cell r="A331" t="str">
            <v>JVDC-APR</v>
          </cell>
          <cell r="B331" t="str">
            <v>JVDC-APR</v>
          </cell>
        </row>
        <row r="332">
          <cell r="A332" t="str">
            <v>JVDC-FEB</v>
          </cell>
          <cell r="B332" t="str">
            <v>JVDC-FEB</v>
          </cell>
        </row>
        <row r="333">
          <cell r="A333" t="str">
            <v>JVDC-MAR</v>
          </cell>
          <cell r="B333" t="str">
            <v>JVDC-MAR</v>
          </cell>
        </row>
        <row r="334">
          <cell r="A334" t="str">
            <v>KAPCO</v>
          </cell>
          <cell r="B334" t="str">
            <v>Kot Addu Power Company Limited</v>
          </cell>
        </row>
        <row r="335">
          <cell r="A335" t="str">
            <v>KAPCO-APR</v>
          </cell>
          <cell r="B335" t="str">
            <v>Kot Addu Power</v>
          </cell>
        </row>
        <row r="336">
          <cell r="A336" t="str">
            <v>KAPCO-FEBB</v>
          </cell>
          <cell r="B336" t="str">
            <v>Kot Addu Power</v>
          </cell>
        </row>
        <row r="337">
          <cell r="A337" t="str">
            <v>KAPCO-MARB</v>
          </cell>
          <cell r="B337" t="str">
            <v>Kot Addu Power</v>
          </cell>
        </row>
        <row r="338">
          <cell r="A338" t="str">
            <v>KASBM</v>
          </cell>
          <cell r="B338" t="str">
            <v>KASB Modaraba</v>
          </cell>
        </row>
        <row r="339">
          <cell r="A339" t="str">
            <v>KEL</v>
          </cell>
          <cell r="B339" t="str">
            <v>K-Electric Limited</v>
          </cell>
        </row>
        <row r="340">
          <cell r="A340" t="str">
            <v>KEL-APR</v>
          </cell>
          <cell r="B340" t="str">
            <v>K-Electric Limited</v>
          </cell>
        </row>
        <row r="341">
          <cell r="A341" t="str">
            <v>KEL-FEB</v>
          </cell>
          <cell r="B341" t="str">
            <v>K-Electric Limited</v>
          </cell>
        </row>
        <row r="342">
          <cell r="A342" t="str">
            <v>KEL-MAR</v>
          </cell>
          <cell r="B342" t="str">
            <v>K-Electric Limited</v>
          </cell>
        </row>
        <row r="343">
          <cell r="A343" t="str">
            <v>KHSM</v>
          </cell>
          <cell r="B343" t="str">
            <v>Khurshid Spinning Mills Limited</v>
          </cell>
        </row>
        <row r="344">
          <cell r="A344" t="str">
            <v>KHTC</v>
          </cell>
          <cell r="B344" t="str">
            <v>Khyber Tobacco Company Limited</v>
          </cell>
        </row>
        <row r="345">
          <cell r="A345" t="str">
            <v>KOHC</v>
          </cell>
          <cell r="B345" t="str">
            <v>Kohat Cement Company Limited</v>
          </cell>
        </row>
        <row r="346">
          <cell r="A346" t="str">
            <v>KOHC-APR</v>
          </cell>
          <cell r="B346" t="str">
            <v>Kohat Cement Company Limited</v>
          </cell>
        </row>
        <row r="347">
          <cell r="A347" t="str">
            <v>KOHC-FEB</v>
          </cell>
          <cell r="B347" t="str">
            <v>Kohat Cement Company Limited</v>
          </cell>
        </row>
        <row r="348">
          <cell r="A348" t="str">
            <v>KOHC-MAR</v>
          </cell>
          <cell r="B348" t="str">
            <v>Kohat Cement Company Limited</v>
          </cell>
        </row>
        <row r="349">
          <cell r="A349" t="str">
            <v>KOHE</v>
          </cell>
          <cell r="B349" t="str">
            <v>Kohinoor Energy Limited</v>
          </cell>
        </row>
        <row r="350">
          <cell r="A350" t="str">
            <v>KOHTM</v>
          </cell>
          <cell r="B350" t="str">
            <v>Kohat Textile Mills Limited</v>
          </cell>
        </row>
        <row r="351">
          <cell r="A351" t="str">
            <v>KOIL</v>
          </cell>
          <cell r="B351" t="str">
            <v>Kohinoor Industries Limited</v>
          </cell>
        </row>
        <row r="352">
          <cell r="A352" t="str">
            <v>KOSM</v>
          </cell>
          <cell r="B352" t="str">
            <v>Kohinoor Spinning Mills Limited</v>
          </cell>
        </row>
        <row r="353">
          <cell r="A353" t="str">
            <v>KOSM-APR</v>
          </cell>
          <cell r="B353" t="str">
            <v>KOSM-APR</v>
          </cell>
        </row>
        <row r="354">
          <cell r="A354" t="str">
            <v>KOSM-FEB</v>
          </cell>
          <cell r="B354" t="str">
            <v>KOSM-FEB</v>
          </cell>
        </row>
        <row r="355">
          <cell r="A355" t="str">
            <v>KOSM-MAR</v>
          </cell>
          <cell r="B355" t="str">
            <v>KOSM-MAR</v>
          </cell>
        </row>
        <row r="356">
          <cell r="A356" t="str">
            <v>KPUS</v>
          </cell>
          <cell r="B356" t="str">
            <v>Khairpur Sugar Mills Limited</v>
          </cell>
        </row>
        <row r="357">
          <cell r="A357" t="str">
            <v>KSBP</v>
          </cell>
          <cell r="B357" t="str">
            <v>KSB Pumps Company Limited</v>
          </cell>
        </row>
        <row r="358">
          <cell r="A358" t="str">
            <v>KTML</v>
          </cell>
          <cell r="B358" t="str">
            <v>Kohinoor Textile Mills Limited</v>
          </cell>
        </row>
        <row r="359">
          <cell r="A359" t="str">
            <v>LEUL</v>
          </cell>
          <cell r="B359" t="str">
            <v>Leather Up Limited</v>
          </cell>
        </row>
        <row r="360">
          <cell r="A360" t="str">
            <v>LOADS</v>
          </cell>
          <cell r="B360" t="str">
            <v>Loads Limited</v>
          </cell>
        </row>
        <row r="361">
          <cell r="A361" t="str">
            <v>LOADS-APR</v>
          </cell>
          <cell r="B361" t="str">
            <v>Loads Limited</v>
          </cell>
        </row>
        <row r="362">
          <cell r="A362" t="str">
            <v>LOADS-FEB</v>
          </cell>
          <cell r="B362" t="str">
            <v>LOADS-FEB</v>
          </cell>
        </row>
        <row r="363">
          <cell r="A363" t="str">
            <v>LOADS-MAR</v>
          </cell>
          <cell r="B363" t="str">
            <v>Loads Limited</v>
          </cell>
        </row>
        <row r="364">
          <cell r="A364" t="str">
            <v>LOTCHEM</v>
          </cell>
          <cell r="B364" t="str">
            <v>Lotte Chemical Pakistan Limited</v>
          </cell>
        </row>
        <row r="365">
          <cell r="A365" t="str">
            <v>LOTCHEM-APR</v>
          </cell>
          <cell r="B365" t="str">
            <v>Lotte Chemical Pakistan Ltd.</v>
          </cell>
        </row>
        <row r="366">
          <cell r="A366" t="str">
            <v>LOTCHEM-FEB</v>
          </cell>
          <cell r="B366" t="str">
            <v>Lotte Chemical Pakistan Limited</v>
          </cell>
        </row>
        <row r="367">
          <cell r="A367" t="str">
            <v>LOTCHEM-MAR</v>
          </cell>
          <cell r="B367" t="str">
            <v>Lotte Chemical Pakistan Limited</v>
          </cell>
        </row>
        <row r="368">
          <cell r="A368" t="str">
            <v>LPGL</v>
          </cell>
          <cell r="B368" t="str">
            <v>Leiner Pak Gelatine Limited</v>
          </cell>
        </row>
        <row r="369">
          <cell r="A369" t="str">
            <v>LPL</v>
          </cell>
          <cell r="B369" t="str">
            <v>Lalpir Power Limited</v>
          </cell>
        </row>
        <row r="370">
          <cell r="A370" t="str">
            <v>LUCK</v>
          </cell>
          <cell r="B370" t="str">
            <v>Lucky Cement Limited</v>
          </cell>
        </row>
        <row r="371">
          <cell r="A371" t="str">
            <v>LUCK-APR</v>
          </cell>
          <cell r="B371" t="str">
            <v>Lucky Cement Limited</v>
          </cell>
        </row>
        <row r="372">
          <cell r="A372" t="str">
            <v>LUCK-FEB</v>
          </cell>
          <cell r="B372" t="str">
            <v>Lucky Cement Limited</v>
          </cell>
        </row>
        <row r="373">
          <cell r="A373" t="str">
            <v>LUCK-MAR</v>
          </cell>
          <cell r="B373" t="str">
            <v>Lucky Cement Limited</v>
          </cell>
        </row>
        <row r="374">
          <cell r="A374" t="str">
            <v>MACFL</v>
          </cell>
          <cell r="B374" t="str">
            <v>MACPAC Films Limited</v>
          </cell>
        </row>
        <row r="375">
          <cell r="A375" t="str">
            <v>MACTER</v>
          </cell>
          <cell r="B375" t="str">
            <v>Macter International Limited</v>
          </cell>
        </row>
        <row r="376">
          <cell r="A376" t="str">
            <v>MARI</v>
          </cell>
          <cell r="B376" t="str">
            <v>Mari Petroleum Company Limited</v>
          </cell>
        </row>
        <row r="377">
          <cell r="A377" t="str">
            <v>MCB</v>
          </cell>
          <cell r="B377" t="str">
            <v>MCB Bank Limited</v>
          </cell>
        </row>
        <row r="378">
          <cell r="A378" t="str">
            <v>MCB-APR</v>
          </cell>
          <cell r="B378" t="str">
            <v>MCB Bank Limited</v>
          </cell>
        </row>
        <row r="379">
          <cell r="A379" t="str">
            <v>MCB-FEB</v>
          </cell>
          <cell r="B379" t="str">
            <v>MCB Bank Limited</v>
          </cell>
        </row>
        <row r="380">
          <cell r="A380" t="str">
            <v>MCB-MAR</v>
          </cell>
          <cell r="B380" t="str">
            <v>MCB Bank Limited</v>
          </cell>
        </row>
        <row r="381">
          <cell r="A381" t="str">
            <v>MDTL</v>
          </cell>
          <cell r="B381" t="str">
            <v>Media Times Limited</v>
          </cell>
        </row>
        <row r="382">
          <cell r="A382" t="str">
            <v>MDTL-APR</v>
          </cell>
          <cell r="B382" t="str">
            <v>MDTL-APR</v>
          </cell>
        </row>
        <row r="383">
          <cell r="A383" t="str">
            <v>MDTL-FEB</v>
          </cell>
          <cell r="B383" t="str">
            <v>MDTL-FEB</v>
          </cell>
        </row>
        <row r="384">
          <cell r="A384" t="str">
            <v>MDTL-MAR</v>
          </cell>
          <cell r="B384" t="str">
            <v>MDTL-MAR</v>
          </cell>
        </row>
        <row r="385">
          <cell r="A385" t="str">
            <v>MEBL</v>
          </cell>
          <cell r="B385" t="str">
            <v>Meezan Bank Limited</v>
          </cell>
        </row>
        <row r="386">
          <cell r="A386" t="str">
            <v>MEBL-APR</v>
          </cell>
          <cell r="B386" t="str">
            <v>Meezan Bank Limited</v>
          </cell>
        </row>
        <row r="387">
          <cell r="A387" t="str">
            <v>MEBL-FEB</v>
          </cell>
          <cell r="B387" t="str">
            <v>Meezan Bank Limited</v>
          </cell>
        </row>
        <row r="388">
          <cell r="A388" t="str">
            <v>MEBL-MAR</v>
          </cell>
          <cell r="B388" t="str">
            <v>Meezan Bank Limited</v>
          </cell>
        </row>
        <row r="389">
          <cell r="A389" t="str">
            <v>MERIT</v>
          </cell>
          <cell r="B389" t="str">
            <v>Merit Packaging Limited</v>
          </cell>
        </row>
        <row r="390">
          <cell r="A390" t="str">
            <v>MFFL</v>
          </cell>
          <cell r="B390" t="str">
            <v>Mitchells Fruit Farms Limited</v>
          </cell>
        </row>
        <row r="391">
          <cell r="A391" t="str">
            <v>MFL</v>
          </cell>
          <cell r="B391" t="str">
            <v>Matco Foods Limited</v>
          </cell>
        </row>
        <row r="392">
          <cell r="A392" t="str">
            <v>MIRKS</v>
          </cell>
          <cell r="B392" t="str">
            <v>Mirpurkhas Sugar Mills Limited</v>
          </cell>
        </row>
        <row r="393">
          <cell r="A393" t="str">
            <v>MLCF</v>
          </cell>
          <cell r="B393" t="str">
            <v>Maple Leaf Cement Factory Limited</v>
          </cell>
        </row>
        <row r="394">
          <cell r="A394" t="str">
            <v>MLCF-APR</v>
          </cell>
          <cell r="B394" t="str">
            <v>Maple Leaf Cement Factory Limited</v>
          </cell>
        </row>
        <row r="395">
          <cell r="A395" t="str">
            <v>MLCF-FEB</v>
          </cell>
          <cell r="B395" t="str">
            <v>Maple Leaf Cement Factory Limited</v>
          </cell>
        </row>
        <row r="396">
          <cell r="A396" t="str">
            <v>MLCF-MAR</v>
          </cell>
          <cell r="B396" t="str">
            <v>Maple Leaf Cement Factory Limited</v>
          </cell>
        </row>
        <row r="397">
          <cell r="A397" t="str">
            <v>MODAM</v>
          </cell>
          <cell r="B397" t="str">
            <v>Modaraba Al-Mali</v>
          </cell>
        </row>
        <row r="398">
          <cell r="A398" t="str">
            <v>MRNS</v>
          </cell>
          <cell r="B398" t="str">
            <v>Mehran Sugar Mills Limited</v>
          </cell>
        </row>
        <row r="399">
          <cell r="A399" t="str">
            <v>MSCL</v>
          </cell>
          <cell r="B399" t="str">
            <v>Metropolitan Steel Corporation Limited</v>
          </cell>
        </row>
        <row r="400">
          <cell r="A400" t="str">
            <v>MSOT</v>
          </cell>
          <cell r="B400" t="str">
            <v>Masood Textile Mills Limited</v>
          </cell>
        </row>
        <row r="401">
          <cell r="A401" t="str">
            <v>MTL</v>
          </cell>
          <cell r="B401" t="str">
            <v>Millat Tractors Limited</v>
          </cell>
        </row>
        <row r="402">
          <cell r="A402" t="str">
            <v>MTL-APR</v>
          </cell>
          <cell r="B402" t="str">
            <v>MTL-APR</v>
          </cell>
        </row>
        <row r="403">
          <cell r="A403" t="str">
            <v>MTL-FEB</v>
          </cell>
          <cell r="B403" t="str">
            <v>MTL-FEB</v>
          </cell>
        </row>
        <row r="404">
          <cell r="A404" t="str">
            <v>MTL-MAR</v>
          </cell>
          <cell r="B404" t="str">
            <v>MTL-MAR</v>
          </cell>
        </row>
        <row r="405">
          <cell r="A405" t="str">
            <v>MUGHAL</v>
          </cell>
          <cell r="B405" t="str">
            <v>Mughal Iron &amp; Steel Industries Limited</v>
          </cell>
        </row>
        <row r="406">
          <cell r="A406" t="str">
            <v>MUGHAL-APR</v>
          </cell>
          <cell r="B406" t="str">
            <v>Mughal Iron &amp; Steel Industries Limited</v>
          </cell>
        </row>
        <row r="407">
          <cell r="A407" t="str">
            <v>MUGHAL-FEB</v>
          </cell>
          <cell r="B407" t="str">
            <v>Mughal Iron &amp; Steel Industries Limited</v>
          </cell>
        </row>
        <row r="408">
          <cell r="A408" t="str">
            <v>MUGHAL-MAR</v>
          </cell>
          <cell r="B408" t="str">
            <v>Mughal Iron &amp; Steel Industries Limited</v>
          </cell>
        </row>
        <row r="409">
          <cell r="A409" t="str">
            <v>MUREB</v>
          </cell>
          <cell r="B409" t="str">
            <v>Murree Brewery Company Limited</v>
          </cell>
        </row>
        <row r="410">
          <cell r="A410" t="str">
            <v>MZNPETF</v>
          </cell>
          <cell r="B410" t="str">
            <v>Meezan Pakistan ETF</v>
          </cell>
        </row>
        <row r="411">
          <cell r="A411" t="str">
            <v>MZNPETF-APR</v>
          </cell>
          <cell r="B411" t="str">
            <v>MZNPETF-APR</v>
          </cell>
        </row>
        <row r="412">
          <cell r="A412" t="str">
            <v>MZNPETF-FEB</v>
          </cell>
          <cell r="B412" t="str">
            <v>MZNPETF-FEB</v>
          </cell>
        </row>
        <row r="413">
          <cell r="A413" t="str">
            <v>MZNPETF-MAR</v>
          </cell>
          <cell r="B413" t="str">
            <v>MZNPETF-MAR</v>
          </cell>
        </row>
        <row r="414">
          <cell r="A414" t="str">
            <v>NAGC</v>
          </cell>
          <cell r="B414" t="str">
            <v>Nagina Cotton Mills Limited</v>
          </cell>
        </row>
        <row r="415">
          <cell r="A415" t="str">
            <v>NATF</v>
          </cell>
          <cell r="B415" t="str">
            <v>National Foods Limited</v>
          </cell>
        </row>
        <row r="416">
          <cell r="A416" t="str">
            <v>NBP</v>
          </cell>
          <cell r="B416" t="str">
            <v>National Bank of Pakistan</v>
          </cell>
        </row>
        <row r="417">
          <cell r="A417" t="str">
            <v>NBP-APR</v>
          </cell>
          <cell r="B417" t="str">
            <v>National Bank Of Pakistan</v>
          </cell>
        </row>
        <row r="418">
          <cell r="A418" t="str">
            <v>NBP-FEB</v>
          </cell>
          <cell r="B418" t="str">
            <v>National Bank Of Pakistan</v>
          </cell>
        </row>
        <row r="419">
          <cell r="A419" t="str">
            <v>NBP-MAR</v>
          </cell>
          <cell r="B419" t="str">
            <v>National Bank Of Pakistan</v>
          </cell>
        </row>
        <row r="420">
          <cell r="A420" t="str">
            <v>NBPGETF-APR</v>
          </cell>
          <cell r="B420" t="str">
            <v>NBPGETF-APR</v>
          </cell>
        </row>
        <row r="421">
          <cell r="A421" t="str">
            <v>NBPGETF-FEB</v>
          </cell>
          <cell r="B421" t="str">
            <v>NBPGETF-FEB</v>
          </cell>
        </row>
        <row r="422">
          <cell r="A422" t="str">
            <v>NBPGETF-MAR</v>
          </cell>
          <cell r="B422" t="str">
            <v>NBPGETF-MAR</v>
          </cell>
        </row>
        <row r="423">
          <cell r="A423" t="str">
            <v>NCL</v>
          </cell>
          <cell r="B423" t="str">
            <v>Nishat Chunian Limited</v>
          </cell>
        </row>
        <row r="424">
          <cell r="A424" t="str">
            <v>NCL-APR</v>
          </cell>
          <cell r="B424" t="str">
            <v>Nishat (Chunian) Limited.</v>
          </cell>
        </row>
        <row r="425">
          <cell r="A425" t="str">
            <v>NCL-FEB</v>
          </cell>
          <cell r="B425" t="str">
            <v>Nishat (Chunian) Limited.</v>
          </cell>
        </row>
        <row r="426">
          <cell r="A426" t="str">
            <v>NCL-MAR</v>
          </cell>
          <cell r="B426" t="str">
            <v>Nishat (Chunian) Limited.</v>
          </cell>
        </row>
        <row r="427">
          <cell r="A427" t="str">
            <v>NCML</v>
          </cell>
          <cell r="B427" t="str">
            <v>Nazir Cotton Mills Limited</v>
          </cell>
        </row>
        <row r="428">
          <cell r="A428" t="str">
            <v>NCPL</v>
          </cell>
          <cell r="B428" t="str">
            <v>Nishat Chunian Power Limited</v>
          </cell>
        </row>
        <row r="429">
          <cell r="A429" t="str">
            <v>NETSOL</v>
          </cell>
          <cell r="B429" t="str">
            <v>NetSol Technologies Limited</v>
          </cell>
        </row>
        <row r="430">
          <cell r="A430" t="str">
            <v>NETSOL-APR</v>
          </cell>
          <cell r="B430" t="str">
            <v>Netsol Technologie</v>
          </cell>
        </row>
        <row r="431">
          <cell r="A431" t="str">
            <v>NETSOL-FEB</v>
          </cell>
          <cell r="B431" t="str">
            <v>Netsol Technologie</v>
          </cell>
        </row>
        <row r="432">
          <cell r="A432" t="str">
            <v>NETSOL-MAR</v>
          </cell>
          <cell r="B432" t="str">
            <v>Netsol Technologie</v>
          </cell>
        </row>
        <row r="433">
          <cell r="A433" t="str">
            <v>NICL</v>
          </cell>
          <cell r="B433" t="str">
            <v>Nimir Industrial Chemicals Limited</v>
          </cell>
        </row>
        <row r="434">
          <cell r="A434" t="str">
            <v>NITGETF-APR</v>
          </cell>
          <cell r="B434" t="str">
            <v>NITGETF-APR</v>
          </cell>
        </row>
        <row r="435">
          <cell r="A435" t="str">
            <v>NITGETF-FEB</v>
          </cell>
          <cell r="B435" t="str">
            <v>NITGETF-FEB</v>
          </cell>
        </row>
        <row r="436">
          <cell r="A436" t="str">
            <v>NITGETF-MAR</v>
          </cell>
          <cell r="B436" t="str">
            <v>NITGETF-MAR</v>
          </cell>
        </row>
        <row r="437">
          <cell r="A437" t="str">
            <v>NML</v>
          </cell>
          <cell r="B437" t="str">
            <v>Nishat Mills Limited</v>
          </cell>
        </row>
        <row r="438">
          <cell r="A438" t="str">
            <v>NML-APR</v>
          </cell>
          <cell r="B438" t="str">
            <v>Nishat Mills Ltd.</v>
          </cell>
        </row>
        <row r="439">
          <cell r="A439" t="str">
            <v>NML-FEB</v>
          </cell>
          <cell r="B439" t="str">
            <v>Nishat Mills Ltd.</v>
          </cell>
        </row>
        <row r="440">
          <cell r="A440" t="str">
            <v>NML-MAR</v>
          </cell>
          <cell r="B440" t="str">
            <v>Nishat Mills Ltd.</v>
          </cell>
        </row>
        <row r="441">
          <cell r="A441" t="str">
            <v>NPL</v>
          </cell>
          <cell r="B441" t="str">
            <v>Nishat Power Limited</v>
          </cell>
        </row>
        <row r="442">
          <cell r="A442" t="str">
            <v>NRL</v>
          </cell>
          <cell r="B442" t="str">
            <v>National Refinery Limited</v>
          </cell>
        </row>
        <row r="443">
          <cell r="A443" t="str">
            <v>NRL-APR</v>
          </cell>
          <cell r="B443" t="str">
            <v>National Refinery Ltd.</v>
          </cell>
        </row>
        <row r="444">
          <cell r="A444" t="str">
            <v>NRL-FEB</v>
          </cell>
          <cell r="B444" t="str">
            <v>National Refinery Ltd.</v>
          </cell>
        </row>
        <row r="445">
          <cell r="A445" t="str">
            <v>NRL-MAR</v>
          </cell>
          <cell r="B445" t="str">
            <v>National Refinery Ltd.</v>
          </cell>
        </row>
        <row r="446">
          <cell r="A446" t="str">
            <v>NRSL</v>
          </cell>
          <cell r="B446" t="str">
            <v>Nimir Resins Limited</v>
          </cell>
        </row>
        <row r="447">
          <cell r="A447" t="str">
            <v>NRSL-APR</v>
          </cell>
          <cell r="B447" t="str">
            <v>Nimir Resins Limited</v>
          </cell>
        </row>
        <row r="448">
          <cell r="A448" t="str">
            <v>NRSL-FEB</v>
          </cell>
          <cell r="B448" t="str">
            <v>NRSL-FEB</v>
          </cell>
        </row>
        <row r="449">
          <cell r="A449" t="str">
            <v>NRSL-MAR</v>
          </cell>
          <cell r="B449" t="str">
            <v>Nimir Resins Limited</v>
          </cell>
        </row>
        <row r="450">
          <cell r="A450" t="str">
            <v>NSRM</v>
          </cell>
          <cell r="B450" t="str">
            <v>The National Silk &amp; Rayon Mills Limited</v>
          </cell>
        </row>
        <row r="451">
          <cell r="A451" t="str">
            <v>OBOY</v>
          </cell>
          <cell r="B451" t="str">
            <v>Oilboy Engergy Limited</v>
          </cell>
        </row>
        <row r="452">
          <cell r="A452" t="str">
            <v>OCTOPUS</v>
          </cell>
          <cell r="B452" t="str">
            <v>Octopus Digital Limited</v>
          </cell>
        </row>
        <row r="453">
          <cell r="A453" t="str">
            <v>OGDC</v>
          </cell>
          <cell r="B453" t="str">
            <v>Oil &amp; Gas Development Company Limited</v>
          </cell>
        </row>
        <row r="454">
          <cell r="A454" t="str">
            <v>OGDC-APR</v>
          </cell>
          <cell r="B454" t="str">
            <v>Oil &amp; Gas Dev.Co</v>
          </cell>
        </row>
        <row r="455">
          <cell r="A455" t="str">
            <v>OGDC-FEB</v>
          </cell>
          <cell r="B455" t="str">
            <v>Oil &amp; Gas Dev.Co</v>
          </cell>
        </row>
        <row r="456">
          <cell r="A456" t="str">
            <v>OGDC-MAR</v>
          </cell>
          <cell r="B456" t="str">
            <v>Oil &amp; Gas Dev.Co</v>
          </cell>
        </row>
        <row r="457">
          <cell r="A457" t="str">
            <v>OLPL</v>
          </cell>
          <cell r="B457" t="str">
            <v>OLP Financial Services Pakistan Limited</v>
          </cell>
        </row>
        <row r="458">
          <cell r="A458" t="str">
            <v>ORIXM</v>
          </cell>
          <cell r="B458" t="str">
            <v>Orix Modaraba</v>
          </cell>
        </row>
        <row r="459">
          <cell r="A459" t="str">
            <v>ORM</v>
          </cell>
          <cell r="B459" t="str">
            <v>Orient Rental Mod</v>
          </cell>
        </row>
        <row r="460">
          <cell r="A460" t="str">
            <v>OTSU</v>
          </cell>
          <cell r="B460" t="str">
            <v>Otsuka Pakistan Limited</v>
          </cell>
        </row>
        <row r="461">
          <cell r="A461" t="str">
            <v>PABC</v>
          </cell>
          <cell r="B461" t="str">
            <v>Pakistan Aluminium Beverage Cans Limited</v>
          </cell>
        </row>
        <row r="462">
          <cell r="A462" t="str">
            <v>PACE</v>
          </cell>
          <cell r="B462" t="str">
            <v>Pace (Pakistan) Limited</v>
          </cell>
        </row>
        <row r="463">
          <cell r="A463" t="str">
            <v>PACE-APR</v>
          </cell>
          <cell r="B463" t="str">
            <v>Pace (Pak) Ltd.</v>
          </cell>
        </row>
        <row r="464">
          <cell r="A464" t="str">
            <v>PACE-FEB</v>
          </cell>
          <cell r="B464" t="str">
            <v>Pace (Pak) Ltd.</v>
          </cell>
        </row>
        <row r="465">
          <cell r="A465" t="str">
            <v>PACE-MAR</v>
          </cell>
          <cell r="B465" t="str">
            <v>Pace (Pak) Ltd.</v>
          </cell>
        </row>
        <row r="466">
          <cell r="A466" t="str">
            <v>PAEL</v>
          </cell>
          <cell r="B466" t="str">
            <v>Pak Elektron Limited</v>
          </cell>
        </row>
        <row r="467">
          <cell r="A467" t="str">
            <v>PAEL-APR</v>
          </cell>
          <cell r="B467" t="str">
            <v>Pak Elektron Limited</v>
          </cell>
        </row>
        <row r="468">
          <cell r="A468" t="str">
            <v>PAEL-FEB</v>
          </cell>
          <cell r="B468" t="str">
            <v>Pak Elektron Ltd.</v>
          </cell>
        </row>
        <row r="469">
          <cell r="A469" t="str">
            <v>PAEL-MAR</v>
          </cell>
          <cell r="B469" t="str">
            <v>Pak Elektron Ltd.</v>
          </cell>
        </row>
        <row r="470">
          <cell r="A470" t="str">
            <v>PAKD</v>
          </cell>
          <cell r="B470" t="str">
            <v>Pak Datacom Limited</v>
          </cell>
        </row>
        <row r="471">
          <cell r="A471" t="str">
            <v>PAKMI</v>
          </cell>
          <cell r="B471" t="str">
            <v>First Pak Modaraba</v>
          </cell>
        </row>
        <row r="472">
          <cell r="A472" t="str">
            <v>PAKOXY</v>
          </cell>
          <cell r="B472" t="str">
            <v>Pakistan Oxygen Limited</v>
          </cell>
        </row>
        <row r="473">
          <cell r="A473" t="str">
            <v>PAKRI</v>
          </cell>
          <cell r="B473" t="str">
            <v>Pakistan Reinsurance Company Limited</v>
          </cell>
        </row>
        <row r="474">
          <cell r="A474" t="str">
            <v>PAKT</v>
          </cell>
          <cell r="B474" t="str">
            <v>Pakistan Tobacco Company Limited</v>
          </cell>
        </row>
        <row r="475">
          <cell r="A475" t="str">
            <v>PASL</v>
          </cell>
          <cell r="B475" t="str">
            <v>Pervez Ahmed Consultancy Services Ltd.</v>
          </cell>
        </row>
        <row r="476">
          <cell r="A476" t="str">
            <v>PCAL</v>
          </cell>
          <cell r="B476" t="str">
            <v>Pakistan Cables Limited</v>
          </cell>
        </row>
        <row r="477">
          <cell r="A477" t="str">
            <v>PGLC</v>
          </cell>
          <cell r="B477" t="str">
            <v>Pak-Gulf Leasing Company Limited</v>
          </cell>
        </row>
        <row r="478">
          <cell r="A478" t="str">
            <v>PIAA</v>
          </cell>
          <cell r="B478" t="str">
            <v>Pakistan International Airlines Corp</v>
          </cell>
        </row>
        <row r="479">
          <cell r="A479" t="str">
            <v>PIAA-APR</v>
          </cell>
          <cell r="B479" t="str">
            <v>Pakistan International Airlines Corp.</v>
          </cell>
        </row>
        <row r="480">
          <cell r="A480" t="str">
            <v>PIAA-FEB</v>
          </cell>
          <cell r="B480" t="str">
            <v>Pakistan International Airlines Corp.</v>
          </cell>
        </row>
        <row r="481">
          <cell r="A481" t="str">
            <v>PIAA-MAR</v>
          </cell>
          <cell r="B481" t="str">
            <v>Pakistan International Airlines Corp.</v>
          </cell>
        </row>
        <row r="482">
          <cell r="A482" t="str">
            <v>PIBTL</v>
          </cell>
          <cell r="B482" t="str">
            <v>Pakistan International Bulk Terminal</v>
          </cell>
        </row>
        <row r="483">
          <cell r="A483" t="str">
            <v>PIBTL-APR</v>
          </cell>
          <cell r="B483" t="str">
            <v>Pakistan International Bulk Terminal Limited</v>
          </cell>
        </row>
        <row r="484">
          <cell r="A484" t="str">
            <v>PIBTL-FEB</v>
          </cell>
          <cell r="B484" t="str">
            <v>Pakistan International Bulk Terminal Limited</v>
          </cell>
        </row>
        <row r="485">
          <cell r="A485" t="str">
            <v>PIBTL-MAR</v>
          </cell>
          <cell r="B485" t="str">
            <v>Pakistan International Bulk Terminal Limited</v>
          </cell>
        </row>
        <row r="486">
          <cell r="A486" t="str">
            <v>PICT</v>
          </cell>
          <cell r="B486" t="str">
            <v>Pakistan International Container</v>
          </cell>
        </row>
        <row r="487">
          <cell r="A487" t="str">
            <v>PIL</v>
          </cell>
          <cell r="B487" t="str">
            <v>PICIC Insurance Limited</v>
          </cell>
        </row>
        <row r="488">
          <cell r="A488" t="str">
            <v>PIM</v>
          </cell>
          <cell r="B488" t="str">
            <v>Popular Islamic Modaraba</v>
          </cell>
        </row>
        <row r="489">
          <cell r="A489" t="str">
            <v>PIOC</v>
          </cell>
          <cell r="B489" t="str">
            <v>Pioneer Cement Limited</v>
          </cell>
        </row>
        <row r="490">
          <cell r="A490" t="str">
            <v>PIOC-APR</v>
          </cell>
          <cell r="B490" t="str">
            <v>Pioneer Cement Limited</v>
          </cell>
        </row>
        <row r="491">
          <cell r="A491" t="str">
            <v>PIOC-FEB</v>
          </cell>
          <cell r="B491" t="str">
            <v>Pioneer Cement Limited</v>
          </cell>
        </row>
        <row r="492">
          <cell r="A492" t="str">
            <v>PIOC-MAR</v>
          </cell>
          <cell r="B492" t="str">
            <v>Pioneer Cement Limited</v>
          </cell>
        </row>
        <row r="493">
          <cell r="A493" t="str">
            <v>PKGI</v>
          </cell>
          <cell r="B493" t="str">
            <v>The Pakistan General Insurance Co. Ltd.</v>
          </cell>
        </row>
        <row r="494">
          <cell r="A494" t="str">
            <v>PKGP</v>
          </cell>
          <cell r="B494" t="str">
            <v>Pakgen Power Limited</v>
          </cell>
        </row>
        <row r="495">
          <cell r="A495" t="str">
            <v>PKGS</v>
          </cell>
          <cell r="B495" t="str">
            <v>Packages Limited</v>
          </cell>
        </row>
        <row r="496">
          <cell r="A496" t="str">
            <v>PMI</v>
          </cell>
          <cell r="B496" t="str">
            <v>First Prudential Modaraba</v>
          </cell>
        </row>
        <row r="497">
          <cell r="A497" t="str">
            <v>PMPK</v>
          </cell>
          <cell r="B497" t="str">
            <v>Philip Morris (Pakistan) Limited</v>
          </cell>
        </row>
        <row r="498">
          <cell r="A498" t="str">
            <v>PMRS</v>
          </cell>
          <cell r="B498" t="str">
            <v>The Premier Sugar Mills</v>
          </cell>
        </row>
        <row r="499">
          <cell r="A499" t="str">
            <v>PNSC</v>
          </cell>
          <cell r="B499" t="str">
            <v>Pakistan National Shipping Corporation</v>
          </cell>
        </row>
        <row r="500">
          <cell r="A500" t="str">
            <v>POL</v>
          </cell>
          <cell r="B500" t="str">
            <v>Pakistan Oilfields Limited</v>
          </cell>
        </row>
        <row r="501">
          <cell r="A501" t="str">
            <v>POL-APR</v>
          </cell>
          <cell r="B501" t="str">
            <v>Pakistan Oilfields Ltd.</v>
          </cell>
        </row>
        <row r="502">
          <cell r="A502" t="str">
            <v>POL-APRB</v>
          </cell>
          <cell r="B502" t="str">
            <v>POL-APRB</v>
          </cell>
        </row>
        <row r="503">
          <cell r="A503" t="str">
            <v>POL-FEB</v>
          </cell>
          <cell r="B503" t="str">
            <v>Pakistan Oilfields Ltd.</v>
          </cell>
        </row>
        <row r="504">
          <cell r="A504" t="str">
            <v>POL-FEBB</v>
          </cell>
          <cell r="B504" t="str">
            <v>Pakistan Oilfields Ltd.</v>
          </cell>
        </row>
        <row r="505">
          <cell r="A505" t="str">
            <v>POL-MAR</v>
          </cell>
          <cell r="B505" t="str">
            <v>Pakistan Oilfields Ltd.</v>
          </cell>
        </row>
        <row r="506">
          <cell r="A506" t="str">
            <v>POL-MARB</v>
          </cell>
          <cell r="B506" t="str">
            <v>POL-MARB</v>
          </cell>
        </row>
        <row r="507">
          <cell r="A507" t="str">
            <v>POWER</v>
          </cell>
          <cell r="B507" t="str">
            <v>Power Cement Limited</v>
          </cell>
        </row>
        <row r="508">
          <cell r="A508" t="str">
            <v>POWER-APR</v>
          </cell>
          <cell r="B508" t="str">
            <v>Power Cement Limited</v>
          </cell>
        </row>
        <row r="509">
          <cell r="A509" t="str">
            <v>POWER-FEB</v>
          </cell>
          <cell r="B509" t="str">
            <v>Power Cement Limited</v>
          </cell>
        </row>
        <row r="510">
          <cell r="A510" t="str">
            <v>POWER-MAR</v>
          </cell>
          <cell r="B510" t="str">
            <v>Power Cement Limited</v>
          </cell>
        </row>
        <row r="511">
          <cell r="A511" t="str">
            <v>PPL</v>
          </cell>
          <cell r="B511" t="str">
            <v>Pakistan Petroleum Limited</v>
          </cell>
        </row>
        <row r="512">
          <cell r="A512" t="str">
            <v>PPL-APR</v>
          </cell>
          <cell r="B512" t="str">
            <v>Pakistan Petroleum Ltd.</v>
          </cell>
        </row>
        <row r="513">
          <cell r="A513" t="str">
            <v>PPL-FEB</v>
          </cell>
          <cell r="B513" t="str">
            <v>Pak Petroleum Ltd.</v>
          </cell>
        </row>
        <row r="514">
          <cell r="A514" t="str">
            <v>PPL-MAR</v>
          </cell>
          <cell r="B514" t="str">
            <v>Pakistan Petroleum Ltd.</v>
          </cell>
        </row>
        <row r="515">
          <cell r="A515" t="str">
            <v>PPP</v>
          </cell>
          <cell r="B515" t="str">
            <v>Pakistan Paper Products Limited</v>
          </cell>
        </row>
        <row r="516">
          <cell r="A516" t="str">
            <v>PREMA</v>
          </cell>
          <cell r="B516" t="str">
            <v>At-Tahur Limited</v>
          </cell>
        </row>
        <row r="517">
          <cell r="A517" t="str">
            <v>PRL</v>
          </cell>
          <cell r="B517" t="str">
            <v>Pakistan Refinery Limited</v>
          </cell>
        </row>
        <row r="518">
          <cell r="A518" t="str">
            <v>PRL-APR</v>
          </cell>
          <cell r="B518" t="str">
            <v>Pakistan Refinery Limited</v>
          </cell>
        </row>
        <row r="519">
          <cell r="A519" t="str">
            <v>PRL-FEB</v>
          </cell>
          <cell r="B519" t="str">
            <v>Pakistan Refinery Limited</v>
          </cell>
        </row>
        <row r="520">
          <cell r="A520" t="str">
            <v>PRL-MAR</v>
          </cell>
          <cell r="B520" t="str">
            <v>Pakistan Refinery Limited</v>
          </cell>
        </row>
        <row r="521">
          <cell r="A521" t="str">
            <v>PRWM</v>
          </cell>
          <cell r="B521" t="str">
            <v>Prosperity Weaving Mills Limited</v>
          </cell>
        </row>
        <row r="522">
          <cell r="A522" t="str">
            <v>PSMC</v>
          </cell>
          <cell r="B522" t="str">
            <v>Pak Suzuki Motor Company Limited</v>
          </cell>
        </row>
        <row r="523">
          <cell r="A523" t="str">
            <v>PSMC-APR</v>
          </cell>
          <cell r="B523" t="str">
            <v>Pak Suzuki Motor Company Limited</v>
          </cell>
        </row>
        <row r="524">
          <cell r="A524" t="str">
            <v>PSMC-FEB</v>
          </cell>
          <cell r="B524" t="str">
            <v>Pak Suzuki Motor Company Limited</v>
          </cell>
        </row>
        <row r="525">
          <cell r="A525" t="str">
            <v>PSMC-MAR</v>
          </cell>
          <cell r="B525" t="str">
            <v>Pak Suzuki Motor Company Limited</v>
          </cell>
        </row>
        <row r="526">
          <cell r="A526" t="str">
            <v>PSO</v>
          </cell>
          <cell r="B526" t="str">
            <v>Pakistan State Oil Company Limited</v>
          </cell>
        </row>
        <row r="527">
          <cell r="A527" t="str">
            <v>PSO-APR</v>
          </cell>
          <cell r="B527" t="str">
            <v>Pakistan State Oil Co.</v>
          </cell>
        </row>
        <row r="528">
          <cell r="A528" t="str">
            <v>PSO-FEB</v>
          </cell>
          <cell r="B528" t="str">
            <v>Pakistan State Oil Co. Ltd.</v>
          </cell>
        </row>
        <row r="529">
          <cell r="A529" t="str">
            <v>PSO-MAR</v>
          </cell>
          <cell r="B529" t="str">
            <v>Pakistan State Oil Co.</v>
          </cell>
        </row>
        <row r="530">
          <cell r="A530" t="str">
            <v>PSX</v>
          </cell>
          <cell r="B530" t="str">
            <v>Pakistan Stock Exchange Limited</v>
          </cell>
        </row>
        <row r="531">
          <cell r="A531" t="str">
            <v>PTC</v>
          </cell>
          <cell r="B531" t="str">
            <v>Pakistan Telecommunication Company Ltd</v>
          </cell>
        </row>
        <row r="532">
          <cell r="A532" t="str">
            <v>PTC-APR</v>
          </cell>
          <cell r="B532" t="str">
            <v>Pakistan Telecommunication</v>
          </cell>
        </row>
        <row r="533">
          <cell r="A533" t="str">
            <v>PTC-FEB</v>
          </cell>
          <cell r="B533" t="str">
            <v>Pakistan Telecommunication</v>
          </cell>
        </row>
        <row r="534">
          <cell r="A534" t="str">
            <v>PTC-MAR</v>
          </cell>
          <cell r="B534" t="str">
            <v>Pakistan Telecommunication</v>
          </cell>
        </row>
        <row r="535">
          <cell r="A535" t="str">
            <v>PTL</v>
          </cell>
          <cell r="B535" t="str">
            <v>Panther Tyres Ltd.</v>
          </cell>
        </row>
        <row r="536">
          <cell r="A536" t="str">
            <v>QUICE</v>
          </cell>
          <cell r="B536" t="str">
            <v>Quice Food Industries Limited</v>
          </cell>
        </row>
        <row r="537">
          <cell r="A537" t="str">
            <v>QUICE-APR</v>
          </cell>
          <cell r="B537" t="str">
            <v>Quice Food Industries Limited</v>
          </cell>
        </row>
        <row r="538">
          <cell r="A538" t="str">
            <v>QUICE-FEB</v>
          </cell>
          <cell r="B538" t="str">
            <v>QUICE-FEB</v>
          </cell>
        </row>
        <row r="539">
          <cell r="A539" t="str">
            <v>QUICE-MAR</v>
          </cell>
          <cell r="B539" t="str">
            <v>Quice Food Industries Limited</v>
          </cell>
        </row>
        <row r="540">
          <cell r="A540" t="str">
            <v>RCML</v>
          </cell>
          <cell r="B540" t="str">
            <v>Reliance Cotton Spinning Mills Limited</v>
          </cell>
        </row>
        <row r="541">
          <cell r="A541" t="str">
            <v>REDCO</v>
          </cell>
          <cell r="B541" t="str">
            <v>Redco Textiles Limited</v>
          </cell>
        </row>
        <row r="542">
          <cell r="A542" t="str">
            <v>REWM</v>
          </cell>
          <cell r="B542" t="str">
            <v>Reliance Weaving Mills Limited</v>
          </cell>
        </row>
        <row r="543">
          <cell r="A543" t="str">
            <v>RICL</v>
          </cell>
          <cell r="B543" t="str">
            <v>Reliance Insurance Company Limited</v>
          </cell>
        </row>
        <row r="544">
          <cell r="A544" t="str">
            <v>RPL</v>
          </cell>
          <cell r="B544" t="str">
            <v>Roshan Packages Limited</v>
          </cell>
        </row>
        <row r="545">
          <cell r="A545" t="str">
            <v>RUPL</v>
          </cell>
          <cell r="B545" t="str">
            <v>Rupali Polyester Limited</v>
          </cell>
        </row>
        <row r="546">
          <cell r="A546" t="str">
            <v>SAIF</v>
          </cell>
          <cell r="B546" t="str">
            <v>Saif Textile Mills Limited</v>
          </cell>
        </row>
        <row r="547">
          <cell r="A547" t="str">
            <v>SAPL</v>
          </cell>
          <cell r="B547" t="str">
            <v>Sanofi-Aventis Pakistan Limited</v>
          </cell>
        </row>
        <row r="548">
          <cell r="A548" t="str">
            <v>SAPT</v>
          </cell>
          <cell r="B548" t="str">
            <v>Sapphire Textile Mills Limited</v>
          </cell>
        </row>
        <row r="549">
          <cell r="A549" t="str">
            <v>SARC</v>
          </cell>
          <cell r="B549" t="str">
            <v>Sardar Chemical Industries Limited</v>
          </cell>
        </row>
        <row r="550">
          <cell r="A550" t="str">
            <v>SAZEW</v>
          </cell>
          <cell r="B550" t="str">
            <v>Sazgar Engineering Works Limited</v>
          </cell>
        </row>
        <row r="551">
          <cell r="A551" t="str">
            <v>SBL</v>
          </cell>
          <cell r="B551" t="str">
            <v>Samba Bank Limited</v>
          </cell>
        </row>
        <row r="552">
          <cell r="A552" t="str">
            <v>SCBPL</v>
          </cell>
          <cell r="B552" t="str">
            <v>Standard Chartered Bank (Pak) Ltd</v>
          </cell>
        </row>
        <row r="553">
          <cell r="A553" t="str">
            <v>SCL</v>
          </cell>
          <cell r="B553" t="str">
            <v>Shield Corporation Limited</v>
          </cell>
        </row>
        <row r="554">
          <cell r="A554" t="str">
            <v>SEARL</v>
          </cell>
          <cell r="B554" t="str">
            <v>The Searle Company Limited</v>
          </cell>
        </row>
        <row r="555">
          <cell r="A555" t="str">
            <v>SEARL-APR</v>
          </cell>
          <cell r="B555" t="str">
            <v>The Searle Company Limited</v>
          </cell>
        </row>
        <row r="556">
          <cell r="A556" t="str">
            <v>SEARL-FEB</v>
          </cell>
          <cell r="B556" t="str">
            <v>The Searle Company Limited</v>
          </cell>
        </row>
        <row r="557">
          <cell r="A557" t="str">
            <v>SEARL-MAR</v>
          </cell>
          <cell r="B557" t="str">
            <v>The Searle Company Limited.</v>
          </cell>
        </row>
        <row r="558">
          <cell r="A558" t="str">
            <v>SEPL</v>
          </cell>
          <cell r="B558" t="str">
            <v>Security Papers Limited</v>
          </cell>
        </row>
        <row r="559">
          <cell r="A559" t="str">
            <v>SERT</v>
          </cell>
          <cell r="B559" t="str">
            <v>Service Industries Textiles Limited</v>
          </cell>
        </row>
        <row r="560">
          <cell r="A560" t="str">
            <v>SGF</v>
          </cell>
          <cell r="B560" t="str">
            <v>Service GlobalFootwear Limited</v>
          </cell>
        </row>
        <row r="561">
          <cell r="A561" t="str">
            <v>SGPL</v>
          </cell>
          <cell r="B561" t="str">
            <v>S.G. Power Limited</v>
          </cell>
        </row>
        <row r="562">
          <cell r="A562" t="str">
            <v>SHEL</v>
          </cell>
          <cell r="B562" t="str">
            <v>Shell Pakistan Limited</v>
          </cell>
        </row>
        <row r="563">
          <cell r="A563" t="str">
            <v>SHEL-APR</v>
          </cell>
          <cell r="B563" t="str">
            <v>SHEL-APR</v>
          </cell>
        </row>
        <row r="564">
          <cell r="A564" t="str">
            <v>SHEL-FEB</v>
          </cell>
          <cell r="B564" t="str">
            <v>SHEL-FEB</v>
          </cell>
        </row>
        <row r="565">
          <cell r="A565" t="str">
            <v>SHEL-MAR</v>
          </cell>
          <cell r="B565" t="str">
            <v>SHEL-MAR</v>
          </cell>
        </row>
        <row r="566">
          <cell r="A566" t="str">
            <v>SHEZ</v>
          </cell>
          <cell r="B566" t="str">
            <v>Shezan International Limited</v>
          </cell>
        </row>
        <row r="567">
          <cell r="A567" t="str">
            <v>SHFA</v>
          </cell>
          <cell r="B567" t="str">
            <v>Shifa International Hospitals Limited</v>
          </cell>
        </row>
        <row r="568">
          <cell r="A568" t="str">
            <v>SHJS</v>
          </cell>
          <cell r="B568" t="str">
            <v>Shahtaj Sugar Mills Limited</v>
          </cell>
        </row>
        <row r="569">
          <cell r="A569" t="str">
            <v>SHNI</v>
          </cell>
          <cell r="B569" t="str">
            <v>Shaheen Insurance Company Limited</v>
          </cell>
        </row>
        <row r="570">
          <cell r="A570" t="str">
            <v>SHSML</v>
          </cell>
          <cell r="B570" t="str">
            <v>Shahmurad Sugar Mills Limited</v>
          </cell>
        </row>
        <row r="571">
          <cell r="A571" t="str">
            <v>SIBL</v>
          </cell>
          <cell r="B571" t="str">
            <v>Security Investment Bank Limited</v>
          </cell>
        </row>
        <row r="572">
          <cell r="A572" t="str">
            <v>SIEM</v>
          </cell>
          <cell r="B572" t="str">
            <v>Siemens (Pakistan) Engineering</v>
          </cell>
        </row>
        <row r="573">
          <cell r="A573" t="str">
            <v>SILK</v>
          </cell>
          <cell r="B573" t="str">
            <v>Silkbank Limited</v>
          </cell>
        </row>
        <row r="574">
          <cell r="A574" t="str">
            <v>SILK-APR</v>
          </cell>
          <cell r="B574" t="str">
            <v>SILK-APR</v>
          </cell>
        </row>
        <row r="575">
          <cell r="A575" t="str">
            <v>SILK-FEB</v>
          </cell>
          <cell r="B575" t="str">
            <v>SILK-FEB</v>
          </cell>
        </row>
        <row r="576">
          <cell r="A576" t="str">
            <v>SILK-MAR</v>
          </cell>
          <cell r="B576" t="str">
            <v>SILK-MAR</v>
          </cell>
        </row>
        <row r="577">
          <cell r="A577" t="str">
            <v>SINDM</v>
          </cell>
          <cell r="B577" t="str">
            <v>Sindh Modaraba</v>
          </cell>
        </row>
        <row r="578">
          <cell r="A578" t="str">
            <v>SITC</v>
          </cell>
          <cell r="B578" t="str">
            <v>Sitara Chemical Industries Limited</v>
          </cell>
        </row>
        <row r="579">
          <cell r="A579" t="str">
            <v>SKRS</v>
          </cell>
          <cell r="B579" t="str">
            <v>Sakrand Sugar Mills Limited</v>
          </cell>
        </row>
        <row r="580">
          <cell r="A580" t="str">
            <v>SLYT</v>
          </cell>
          <cell r="B580" t="str">
            <v>Sally Textile Mills Limited</v>
          </cell>
        </row>
        <row r="581">
          <cell r="A581" t="str">
            <v>SMBL</v>
          </cell>
          <cell r="B581" t="str">
            <v>Summit Bank Limited</v>
          </cell>
        </row>
        <row r="582">
          <cell r="A582" t="str">
            <v>SMBL-APR</v>
          </cell>
          <cell r="B582" t="str">
            <v>SMBL-APR</v>
          </cell>
        </row>
        <row r="583">
          <cell r="A583" t="str">
            <v>SMBL-FEB</v>
          </cell>
          <cell r="B583" t="str">
            <v>SMBL-FEB</v>
          </cell>
        </row>
        <row r="584">
          <cell r="A584" t="str">
            <v>SMBL-MAR</v>
          </cell>
          <cell r="B584" t="str">
            <v>SMBL-MAR</v>
          </cell>
        </row>
        <row r="585">
          <cell r="A585" t="str">
            <v>SMCPL</v>
          </cell>
          <cell r="B585" t="str">
            <v>Safe Mix Concrete Limited</v>
          </cell>
        </row>
        <row r="586">
          <cell r="A586" t="str">
            <v>SML</v>
          </cell>
          <cell r="B586" t="str">
            <v>Shakarganj Limited</v>
          </cell>
        </row>
        <row r="587">
          <cell r="A587" t="str">
            <v>SMTM</v>
          </cell>
          <cell r="B587" t="str">
            <v>Samin Textiles Limited</v>
          </cell>
        </row>
        <row r="588">
          <cell r="A588" t="str">
            <v>SNAI</v>
          </cell>
          <cell r="B588" t="str">
            <v>Sana Industries Limited</v>
          </cell>
        </row>
        <row r="589">
          <cell r="A589" t="str">
            <v>SNBL</v>
          </cell>
          <cell r="B589" t="str">
            <v>Soneri Bank Limited</v>
          </cell>
        </row>
        <row r="590">
          <cell r="A590" t="str">
            <v>SNBL-APR</v>
          </cell>
          <cell r="B590" t="str">
            <v>Sonari Bank Limited</v>
          </cell>
        </row>
        <row r="591">
          <cell r="A591" t="str">
            <v>SNBL-FEB</v>
          </cell>
          <cell r="B591" t="str">
            <v>Sonari Bank Limited</v>
          </cell>
        </row>
        <row r="592">
          <cell r="A592" t="str">
            <v>SNBL-MAR</v>
          </cell>
          <cell r="B592" t="str">
            <v>Sonari Bank Limited</v>
          </cell>
        </row>
        <row r="593">
          <cell r="A593" t="str">
            <v>SNBLTFC2</v>
          </cell>
          <cell r="B593" t="str">
            <v>Soneri Bank Limited (SNBLTFC2)</v>
          </cell>
        </row>
        <row r="594">
          <cell r="A594" t="str">
            <v>SNBLTFC3</v>
          </cell>
          <cell r="B594" t="str">
            <v>Soneri Bank(TFC3)</v>
          </cell>
        </row>
        <row r="595">
          <cell r="A595" t="str">
            <v>SNGP</v>
          </cell>
          <cell r="B595" t="str">
            <v>Sui Northern Gas Pipelines Limited</v>
          </cell>
        </row>
        <row r="596">
          <cell r="A596" t="str">
            <v>SNGP-APR</v>
          </cell>
          <cell r="B596" t="str">
            <v>Sui Northern Gas Pipelines Ltd.</v>
          </cell>
        </row>
        <row r="597">
          <cell r="A597" t="str">
            <v>SNGP-FEB</v>
          </cell>
          <cell r="B597" t="str">
            <v>Sui Northern Gas</v>
          </cell>
        </row>
        <row r="598">
          <cell r="A598" t="str">
            <v>SNGP-MAR</v>
          </cell>
          <cell r="B598" t="str">
            <v>Sui Northern Gas Pipelines Ltd.</v>
          </cell>
        </row>
        <row r="599">
          <cell r="A599" t="str">
            <v>SPEL</v>
          </cell>
          <cell r="B599" t="str">
            <v>Synthetic Products Enterprises Limited</v>
          </cell>
        </row>
        <row r="600">
          <cell r="A600" t="str">
            <v>SPL</v>
          </cell>
          <cell r="B600" t="str">
            <v>Sitara Peroxide Limited</v>
          </cell>
        </row>
        <row r="601">
          <cell r="A601" t="str">
            <v>SPLC</v>
          </cell>
          <cell r="B601" t="str">
            <v>Saudi Pak Leasing Company Limited</v>
          </cell>
        </row>
        <row r="602">
          <cell r="A602" t="str">
            <v>SPWL</v>
          </cell>
          <cell r="B602" t="str">
            <v>Saif Power Limited</v>
          </cell>
        </row>
        <row r="603">
          <cell r="A603" t="str">
            <v>SRVI</v>
          </cell>
          <cell r="B603" t="str">
            <v>Service Industries Limited</v>
          </cell>
        </row>
        <row r="604">
          <cell r="A604" t="str">
            <v>SSGC</v>
          </cell>
          <cell r="B604" t="str">
            <v>Sui Southern Gas Company Limited</v>
          </cell>
        </row>
        <row r="605">
          <cell r="A605" t="str">
            <v>SSGC-APR</v>
          </cell>
          <cell r="B605" t="str">
            <v>Sui Southern Gas Co. Ltd.</v>
          </cell>
        </row>
        <row r="606">
          <cell r="A606" t="str">
            <v>SSGC-FEB</v>
          </cell>
          <cell r="B606" t="str">
            <v>Sui Southern Gas Co. Ltd.</v>
          </cell>
        </row>
        <row r="607">
          <cell r="A607" t="str">
            <v>SSGC-MAR</v>
          </cell>
          <cell r="B607" t="str">
            <v>Sui Southern Gas Co. Ltd.</v>
          </cell>
        </row>
        <row r="608">
          <cell r="A608" t="str">
            <v>SSML</v>
          </cell>
          <cell r="B608" t="str">
            <v>Saritow Spinning Mills Limited</v>
          </cell>
        </row>
        <row r="609">
          <cell r="A609" t="str">
            <v>SSOM</v>
          </cell>
          <cell r="B609" t="str">
            <v>S.S.Oil Mills Limited</v>
          </cell>
        </row>
        <row r="610">
          <cell r="A610" t="str">
            <v>STCL</v>
          </cell>
          <cell r="B610" t="str">
            <v>Shabbir Tiles &amp; Ceramics Limited</v>
          </cell>
        </row>
        <row r="611">
          <cell r="A611" t="str">
            <v>STJT</v>
          </cell>
          <cell r="B611" t="str">
            <v>Shahtaj Textile Limited</v>
          </cell>
        </row>
        <row r="612">
          <cell r="A612" t="str">
            <v>STML</v>
          </cell>
          <cell r="B612" t="str">
            <v>Shams Textile Mills Limited</v>
          </cell>
        </row>
        <row r="613">
          <cell r="A613" t="str">
            <v>STPL</v>
          </cell>
          <cell r="B613" t="str">
            <v>Siddiqsons Tin Plate Limited</v>
          </cell>
        </row>
        <row r="614">
          <cell r="A614" t="str">
            <v>STPL-APR</v>
          </cell>
          <cell r="B614" t="str">
            <v>Siddiqsons Tin Plate Limited</v>
          </cell>
        </row>
        <row r="615">
          <cell r="A615" t="str">
            <v>STPL-FEB</v>
          </cell>
          <cell r="B615" t="str">
            <v>Siddiqsons Tin Plate Limited</v>
          </cell>
        </row>
        <row r="616">
          <cell r="A616" t="str">
            <v>STPL-MAR</v>
          </cell>
          <cell r="B616" t="str">
            <v>Siddiqsons Tin Plate Limited</v>
          </cell>
        </row>
        <row r="617">
          <cell r="A617" t="str">
            <v>SUHJ</v>
          </cell>
          <cell r="B617" t="str">
            <v>Suhail Jute Mills Limited</v>
          </cell>
        </row>
        <row r="618">
          <cell r="A618" t="str">
            <v>SURC</v>
          </cell>
          <cell r="B618" t="str">
            <v>Suraj Cotton Mills Limited</v>
          </cell>
        </row>
        <row r="619">
          <cell r="A619" t="str">
            <v>SUTM</v>
          </cell>
          <cell r="B619" t="str">
            <v>Sunrays Textile Mills Limited</v>
          </cell>
        </row>
        <row r="620">
          <cell r="A620" t="str">
            <v>SYS</v>
          </cell>
          <cell r="B620" t="str">
            <v>Systems Limited</v>
          </cell>
        </row>
        <row r="621">
          <cell r="A621" t="str">
            <v>SYS-APR</v>
          </cell>
          <cell r="B621" t="str">
            <v>SYS-APR</v>
          </cell>
        </row>
        <row r="622">
          <cell r="A622" t="str">
            <v>SYS-FEB</v>
          </cell>
          <cell r="B622" t="str">
            <v>SYS-FEB</v>
          </cell>
        </row>
        <row r="623">
          <cell r="A623" t="str">
            <v>SYS-MAR</v>
          </cell>
          <cell r="B623" t="str">
            <v>Systems Limited</v>
          </cell>
        </row>
        <row r="624">
          <cell r="A624" t="str">
            <v>TATM</v>
          </cell>
          <cell r="B624" t="str">
            <v>Tata Textile Mills Limited</v>
          </cell>
        </row>
        <row r="625">
          <cell r="A625" t="str">
            <v>TELE</v>
          </cell>
          <cell r="B625" t="str">
            <v>Telecard Limited</v>
          </cell>
        </row>
        <row r="626">
          <cell r="A626" t="str">
            <v>TELE-APR</v>
          </cell>
          <cell r="B626" t="str">
            <v>Telecard Limited</v>
          </cell>
        </row>
        <row r="627">
          <cell r="A627" t="str">
            <v>TELE-FEB</v>
          </cell>
          <cell r="B627" t="str">
            <v>Telecard Limited</v>
          </cell>
        </row>
        <row r="628">
          <cell r="A628" t="str">
            <v>TELE-MAR</v>
          </cell>
          <cell r="B628" t="str">
            <v>Telecard Limited</v>
          </cell>
        </row>
        <row r="629">
          <cell r="A629" t="str">
            <v>TGL</v>
          </cell>
          <cell r="B629" t="str">
            <v>Tariq Glass Industries Limited</v>
          </cell>
        </row>
        <row r="630">
          <cell r="A630" t="str">
            <v>TGL-APR</v>
          </cell>
          <cell r="B630" t="str">
            <v>Tariq Glass Industries Limited</v>
          </cell>
        </row>
        <row r="631">
          <cell r="A631" t="str">
            <v>TGL-FEB</v>
          </cell>
          <cell r="B631" t="str">
            <v>Tariq Glass Industries Limited</v>
          </cell>
        </row>
        <row r="632">
          <cell r="A632" t="str">
            <v>TGL-MAR</v>
          </cell>
          <cell r="B632" t="str">
            <v>Tariq Glass Industries Limited</v>
          </cell>
        </row>
        <row r="633">
          <cell r="A633" t="str">
            <v>THALL</v>
          </cell>
          <cell r="B633" t="str">
            <v>Thal Limited</v>
          </cell>
        </row>
        <row r="634">
          <cell r="A634" t="str">
            <v>THALL-APR</v>
          </cell>
          <cell r="B634" t="str">
            <v>THALL-APR</v>
          </cell>
        </row>
        <row r="635">
          <cell r="A635" t="str">
            <v>THALL-FEB</v>
          </cell>
          <cell r="B635" t="str">
            <v>THALL-FEB</v>
          </cell>
        </row>
        <row r="636">
          <cell r="A636" t="str">
            <v>THALL-MAR</v>
          </cell>
          <cell r="B636" t="str">
            <v>THALL-MAR</v>
          </cell>
        </row>
        <row r="637">
          <cell r="A637" t="str">
            <v>THCCL</v>
          </cell>
          <cell r="B637" t="str">
            <v>Thatta Cement Company Limited</v>
          </cell>
        </row>
        <row r="638">
          <cell r="A638" t="str">
            <v>TOMCL</v>
          </cell>
          <cell r="B638" t="str">
            <v>The Organic Meat Company Limited</v>
          </cell>
        </row>
        <row r="639">
          <cell r="A639" t="str">
            <v>TOMCL-APR</v>
          </cell>
          <cell r="B639" t="str">
            <v>TOMCL-APR</v>
          </cell>
        </row>
        <row r="640">
          <cell r="A640" t="str">
            <v>TOMCL-FEB</v>
          </cell>
          <cell r="B640" t="str">
            <v>TOMCL-FEB</v>
          </cell>
        </row>
        <row r="641">
          <cell r="A641" t="str">
            <v>TOMCL-MAR</v>
          </cell>
          <cell r="B641" t="str">
            <v>TOMCL-MAR</v>
          </cell>
        </row>
        <row r="642">
          <cell r="A642" t="str">
            <v>TPL</v>
          </cell>
          <cell r="B642" t="str">
            <v>TPL Corp Limited</v>
          </cell>
        </row>
        <row r="643">
          <cell r="A643" t="str">
            <v>TPL-APR</v>
          </cell>
          <cell r="B643" t="str">
            <v>TPL Trakker Limited</v>
          </cell>
        </row>
        <row r="644">
          <cell r="A644" t="str">
            <v>TPL-FEB</v>
          </cell>
          <cell r="B644" t="str">
            <v>TPL-FEB</v>
          </cell>
        </row>
        <row r="645">
          <cell r="A645" t="str">
            <v>TPL-MAR</v>
          </cell>
          <cell r="B645" t="str">
            <v>TPL Trakker Limited</v>
          </cell>
        </row>
        <row r="646">
          <cell r="A646" t="str">
            <v>TPLI</v>
          </cell>
          <cell r="B646" t="str">
            <v>TPL Insurance Limited</v>
          </cell>
        </row>
        <row r="647">
          <cell r="A647" t="str">
            <v>TPLP</v>
          </cell>
          <cell r="B647" t="str">
            <v>TPL Properties Limited</v>
          </cell>
        </row>
        <row r="648">
          <cell r="A648" t="str">
            <v>TPLP-APR</v>
          </cell>
          <cell r="B648" t="str">
            <v>TPLP-APR</v>
          </cell>
        </row>
        <row r="649">
          <cell r="A649" t="str">
            <v>TPLP-FEB</v>
          </cell>
          <cell r="B649" t="str">
            <v>TPLP-FEB</v>
          </cell>
        </row>
        <row r="650">
          <cell r="A650" t="str">
            <v>TPLP-MAR</v>
          </cell>
          <cell r="B650" t="str">
            <v>TPLP-MAR</v>
          </cell>
        </row>
        <row r="651">
          <cell r="A651" t="str">
            <v>TPLT</v>
          </cell>
          <cell r="B651" t="str">
            <v>TPL Trakker Limited</v>
          </cell>
        </row>
        <row r="652">
          <cell r="A652" t="str">
            <v>TREET</v>
          </cell>
          <cell r="B652" t="str">
            <v>Treet Corporation Limited</v>
          </cell>
        </row>
        <row r="653">
          <cell r="A653" t="str">
            <v>TREET-APR</v>
          </cell>
          <cell r="B653" t="str">
            <v>Treet Corporation Limited</v>
          </cell>
        </row>
        <row r="654">
          <cell r="A654" t="str">
            <v>TREET-FEB</v>
          </cell>
          <cell r="B654" t="str">
            <v>Treet Corporation Limited</v>
          </cell>
        </row>
        <row r="655">
          <cell r="A655" t="str">
            <v>TREET-MAR</v>
          </cell>
          <cell r="B655" t="str">
            <v>Treet Corporation Limited</v>
          </cell>
        </row>
        <row r="656">
          <cell r="A656" t="str">
            <v>TRG</v>
          </cell>
          <cell r="B656" t="str">
            <v>TRG Pakistan Limited</v>
          </cell>
        </row>
        <row r="657">
          <cell r="A657" t="str">
            <v>TRG-APR</v>
          </cell>
          <cell r="B657" t="str">
            <v>TRG Pakistan</v>
          </cell>
        </row>
        <row r="658">
          <cell r="A658" t="str">
            <v>TRG-FEB</v>
          </cell>
          <cell r="B658" t="str">
            <v>TRG Pakistan Limited</v>
          </cell>
        </row>
        <row r="659">
          <cell r="A659" t="str">
            <v>TRG-MAR</v>
          </cell>
          <cell r="B659" t="str">
            <v>TRG Pakistan</v>
          </cell>
        </row>
        <row r="660">
          <cell r="A660" t="str">
            <v>TRIPF</v>
          </cell>
          <cell r="B660" t="str">
            <v>Tri-Pack Films Limited</v>
          </cell>
        </row>
        <row r="661">
          <cell r="A661" t="str">
            <v>TSPL</v>
          </cell>
          <cell r="B661" t="str">
            <v>Tri-Star Power Limited</v>
          </cell>
        </row>
        <row r="662">
          <cell r="A662" t="str">
            <v>UBDL</v>
          </cell>
          <cell r="B662" t="str">
            <v>United Brands Limited</v>
          </cell>
        </row>
        <row r="663">
          <cell r="A663" t="str">
            <v>UBL</v>
          </cell>
          <cell r="B663" t="str">
            <v>United Bank Limited</v>
          </cell>
        </row>
        <row r="664">
          <cell r="A664" t="str">
            <v>UBL-APR</v>
          </cell>
          <cell r="B664" t="str">
            <v>United Bank Ltd.</v>
          </cell>
        </row>
        <row r="665">
          <cell r="A665" t="str">
            <v>UBL-FEB</v>
          </cell>
          <cell r="B665" t="str">
            <v>United Bank Ltd.</v>
          </cell>
        </row>
        <row r="666">
          <cell r="A666" t="str">
            <v>UBL-MAR</v>
          </cell>
          <cell r="B666" t="str">
            <v>United Bank Ltd.</v>
          </cell>
        </row>
        <row r="667">
          <cell r="A667" t="str">
            <v>UBLPETF</v>
          </cell>
          <cell r="B667" t="str">
            <v>UBLPakistan Enterprise ETF</v>
          </cell>
        </row>
        <row r="668">
          <cell r="A668" t="str">
            <v>UBLPETF-APR</v>
          </cell>
          <cell r="B668" t="str">
            <v>UBLPETF-APR</v>
          </cell>
        </row>
        <row r="669">
          <cell r="A669" t="str">
            <v>UBLPETF-FEB</v>
          </cell>
          <cell r="B669" t="str">
            <v>UBLPETF-FEB</v>
          </cell>
        </row>
        <row r="670">
          <cell r="A670" t="str">
            <v>UBLPETF-MAR</v>
          </cell>
          <cell r="B670" t="str">
            <v>UBLPETF-MAR</v>
          </cell>
        </row>
        <row r="671">
          <cell r="A671" t="str">
            <v>UCAPM</v>
          </cell>
          <cell r="B671" t="str">
            <v>Unicap Modaraba</v>
          </cell>
        </row>
        <row r="672">
          <cell r="A672" t="str">
            <v>UNITY</v>
          </cell>
          <cell r="B672" t="str">
            <v>Unity Foods Limited</v>
          </cell>
        </row>
        <row r="673">
          <cell r="A673" t="str">
            <v>UNITY-APR</v>
          </cell>
          <cell r="B673" t="str">
            <v>Unity Foods Limited</v>
          </cell>
        </row>
        <row r="674">
          <cell r="A674" t="str">
            <v>UNITY-FEB</v>
          </cell>
          <cell r="B674" t="str">
            <v>Unity Foods Limited</v>
          </cell>
        </row>
        <row r="675">
          <cell r="A675" t="str">
            <v>UNITY-MAR</v>
          </cell>
          <cell r="B675" t="str">
            <v>Unity Foods Limited</v>
          </cell>
        </row>
        <row r="676">
          <cell r="A676" t="str">
            <v>UPFL</v>
          </cell>
          <cell r="B676" t="str">
            <v>Unilever Pakistan Foods Limited</v>
          </cell>
        </row>
        <row r="677">
          <cell r="A677" t="str">
            <v>UVIC</v>
          </cell>
          <cell r="B677" t="str">
            <v>The Universal Insurance Company Limited</v>
          </cell>
        </row>
        <row r="678">
          <cell r="A678" t="str">
            <v>WAHN</v>
          </cell>
          <cell r="B678" t="str">
            <v>Wah Noble Chemicals Limited</v>
          </cell>
        </row>
        <row r="679">
          <cell r="A679" t="str">
            <v>WAVES</v>
          </cell>
          <cell r="B679" t="str">
            <v>Waves Singer Pakistan Limited</v>
          </cell>
        </row>
        <row r="680">
          <cell r="A680" t="str">
            <v>WAVES-APR</v>
          </cell>
          <cell r="B680" t="str">
            <v>Waves Singer Pakistan Limited</v>
          </cell>
        </row>
        <row r="681">
          <cell r="A681" t="str">
            <v>WAVES-FEB</v>
          </cell>
          <cell r="B681" t="str">
            <v>WAVES-FEB</v>
          </cell>
        </row>
        <row r="682">
          <cell r="A682" t="str">
            <v>WAVES-MAR</v>
          </cell>
          <cell r="B682" t="str">
            <v>WAVES-MAR</v>
          </cell>
        </row>
        <row r="683">
          <cell r="A683" t="str">
            <v>WTL</v>
          </cell>
          <cell r="B683" t="str">
            <v>Worldcall Telecom Limited</v>
          </cell>
        </row>
        <row r="684">
          <cell r="A684" t="str">
            <v>WTL-APR</v>
          </cell>
          <cell r="B684" t="str">
            <v>WorldCall Telecom</v>
          </cell>
        </row>
        <row r="685">
          <cell r="A685" t="str">
            <v>WTL-FEB</v>
          </cell>
          <cell r="B685" t="str">
            <v>WorldCall Telecom</v>
          </cell>
        </row>
        <row r="686">
          <cell r="A686" t="str">
            <v>WTL-MAR</v>
          </cell>
          <cell r="B686" t="str">
            <v>WorldCall Comm. Ltd</v>
          </cell>
        </row>
        <row r="687">
          <cell r="A687" t="str">
            <v>WYETH</v>
          </cell>
          <cell r="B687" t="str">
            <v>Wyeth Pakistan Limited</v>
          </cell>
        </row>
        <row r="688">
          <cell r="A688" t="str">
            <v>YOUW</v>
          </cell>
          <cell r="B688" t="str">
            <v>Yousaf Weaving Mills Limited</v>
          </cell>
        </row>
        <row r="689">
          <cell r="A689" t="str">
            <v>YOUW-APR</v>
          </cell>
          <cell r="B689" t="str">
            <v>YOUW-APR</v>
          </cell>
        </row>
        <row r="690">
          <cell r="A690" t="str">
            <v>YOUW-FEB</v>
          </cell>
          <cell r="B690" t="str">
            <v>YOUW-FEB</v>
          </cell>
        </row>
        <row r="691">
          <cell r="A691" t="str">
            <v>YOUW-MAR</v>
          </cell>
          <cell r="B691" t="str">
            <v>YOUW-MAR</v>
          </cell>
        </row>
        <row r="692">
          <cell r="A692" t="str">
            <v>ZTL</v>
          </cell>
          <cell r="B692" t="str">
            <v>Zephyr Textiles Limited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RV"/>
      <sheetName val="comparison"/>
      <sheetName val="PIB"/>
      <sheetName val="T-Bills"/>
      <sheetName val="PIB -Accrual"/>
      <sheetName val="T-Bills Capitalization"/>
      <sheetName val="TDR Assets"/>
      <sheetName val="TDR accrual"/>
      <sheetName val="Stocks"/>
      <sheetName val="Summary"/>
      <sheetName val="Rates"/>
    </sheetNames>
    <sheetDataSet>
      <sheetData sheetId="0"/>
      <sheetData sheetId="1">
        <row r="1">
          <cell r="A1" t="str">
            <v>CGF VALUATION SHEET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I25">
            <v>730</v>
          </cell>
          <cell r="J25">
            <v>0.1232</v>
          </cell>
        </row>
        <row r="26">
          <cell r="I26">
            <v>731</v>
          </cell>
          <cell r="J26">
            <v>0.12320575342465753</v>
          </cell>
        </row>
        <row r="27">
          <cell r="I27">
            <v>732</v>
          </cell>
          <cell r="J27">
            <v>0.12321150684931508</v>
          </cell>
        </row>
        <row r="28">
          <cell r="I28">
            <v>733</v>
          </cell>
          <cell r="J28">
            <v>0.1232172602739726</v>
          </cell>
        </row>
        <row r="29">
          <cell r="I29">
            <v>734</v>
          </cell>
          <cell r="J29">
            <v>0.12322301369863015</v>
          </cell>
        </row>
        <row r="30">
          <cell r="I30">
            <v>735</v>
          </cell>
          <cell r="J30">
            <v>0.12322876712328767</v>
          </cell>
        </row>
        <row r="31">
          <cell r="I31">
            <v>736</v>
          </cell>
          <cell r="J31">
            <v>0.1232345205479452</v>
          </cell>
        </row>
        <row r="32">
          <cell r="I32">
            <v>737</v>
          </cell>
          <cell r="J32">
            <v>0.12324027397260275</v>
          </cell>
        </row>
        <row r="33">
          <cell r="I33">
            <v>738</v>
          </cell>
          <cell r="J33">
            <v>0.12324602739726027</v>
          </cell>
        </row>
        <row r="34">
          <cell r="I34">
            <v>739</v>
          </cell>
          <cell r="J34">
            <v>0.12325178082191782</v>
          </cell>
        </row>
        <row r="35">
          <cell r="I35">
            <v>740</v>
          </cell>
          <cell r="J35">
            <v>0.12325753424657535</v>
          </cell>
        </row>
        <row r="36">
          <cell r="I36">
            <v>741</v>
          </cell>
          <cell r="J36">
            <v>0.12326328767123287</v>
          </cell>
        </row>
        <row r="37">
          <cell r="I37">
            <v>742</v>
          </cell>
          <cell r="J37">
            <v>0.12326904109589042</v>
          </cell>
        </row>
        <row r="38">
          <cell r="I38">
            <v>743</v>
          </cell>
          <cell r="J38">
            <v>0.12327479452054795</v>
          </cell>
        </row>
        <row r="39">
          <cell r="I39">
            <v>744</v>
          </cell>
          <cell r="J39">
            <v>0.12328054794520549</v>
          </cell>
        </row>
        <row r="40">
          <cell r="I40">
            <v>745</v>
          </cell>
          <cell r="J40">
            <v>0.12328630136986302</v>
          </cell>
        </row>
        <row r="41">
          <cell r="I41">
            <v>746</v>
          </cell>
          <cell r="J41">
            <v>0.12329205479452054</v>
          </cell>
        </row>
        <row r="42">
          <cell r="I42">
            <v>747</v>
          </cell>
          <cell r="J42">
            <v>0.12329780821917809</v>
          </cell>
        </row>
        <row r="43">
          <cell r="I43">
            <v>748</v>
          </cell>
          <cell r="J43">
            <v>0.12330356164383562</v>
          </cell>
        </row>
        <row r="44">
          <cell r="I44">
            <v>749</v>
          </cell>
          <cell r="J44">
            <v>0.12330931506849316</v>
          </cell>
        </row>
        <row r="45">
          <cell r="I45">
            <v>750</v>
          </cell>
          <cell r="J45">
            <v>0.12331506849315069</v>
          </cell>
        </row>
        <row r="46">
          <cell r="I46">
            <v>751</v>
          </cell>
          <cell r="J46">
            <v>0.12332082191780823</v>
          </cell>
        </row>
        <row r="47">
          <cell r="I47">
            <v>752</v>
          </cell>
          <cell r="J47">
            <v>0.12332657534246576</v>
          </cell>
        </row>
        <row r="48">
          <cell r="I48">
            <v>753</v>
          </cell>
          <cell r="J48">
            <v>0.12333232876712329</v>
          </cell>
        </row>
        <row r="49">
          <cell r="I49">
            <v>754</v>
          </cell>
          <cell r="J49">
            <v>0.12333808219178083</v>
          </cell>
        </row>
        <row r="50">
          <cell r="I50">
            <v>755</v>
          </cell>
          <cell r="J50">
            <v>0.12334383561643836</v>
          </cell>
        </row>
        <row r="51">
          <cell r="I51">
            <v>756</v>
          </cell>
          <cell r="J51">
            <v>0.1233495890410959</v>
          </cell>
        </row>
        <row r="52">
          <cell r="I52">
            <v>757</v>
          </cell>
          <cell r="J52">
            <v>0.12335534246575343</v>
          </cell>
        </row>
        <row r="53">
          <cell r="I53">
            <v>758</v>
          </cell>
          <cell r="J53">
            <v>0.12336109589041096</v>
          </cell>
        </row>
        <row r="54">
          <cell r="I54">
            <v>759</v>
          </cell>
          <cell r="J54">
            <v>0.1233668493150685</v>
          </cell>
        </row>
        <row r="55">
          <cell r="I55">
            <v>760</v>
          </cell>
          <cell r="J55">
            <v>0.12337260273972603</v>
          </cell>
        </row>
        <row r="56">
          <cell r="I56">
            <v>761</v>
          </cell>
          <cell r="J56">
            <v>0.12337835616438357</v>
          </cell>
        </row>
        <row r="57">
          <cell r="I57">
            <v>762</v>
          </cell>
          <cell r="J57">
            <v>0.1233841095890411</v>
          </cell>
        </row>
        <row r="58">
          <cell r="I58">
            <v>763</v>
          </cell>
          <cell r="J58">
            <v>0.12338986301369863</v>
          </cell>
        </row>
        <row r="59">
          <cell r="I59">
            <v>764</v>
          </cell>
          <cell r="J59">
            <v>0.12339561643835617</v>
          </cell>
        </row>
        <row r="60">
          <cell r="I60">
            <v>765</v>
          </cell>
          <cell r="J60">
            <v>0.1234013698630137</v>
          </cell>
        </row>
        <row r="61">
          <cell r="I61">
            <v>766</v>
          </cell>
          <cell r="J61">
            <v>0.12340712328767124</v>
          </cell>
        </row>
        <row r="62">
          <cell r="I62">
            <v>767</v>
          </cell>
          <cell r="J62">
            <v>0.12341287671232877</v>
          </cell>
        </row>
        <row r="63">
          <cell r="I63">
            <v>768</v>
          </cell>
          <cell r="J63">
            <v>0.1234186301369863</v>
          </cell>
        </row>
        <row r="64">
          <cell r="I64">
            <v>769</v>
          </cell>
          <cell r="J64">
            <v>0.12342438356164384</v>
          </cell>
        </row>
        <row r="65">
          <cell r="I65">
            <v>770</v>
          </cell>
          <cell r="J65">
            <v>0.12343013698630137</v>
          </cell>
        </row>
        <row r="66">
          <cell r="I66">
            <v>771</v>
          </cell>
          <cell r="J66">
            <v>0.12343589041095891</v>
          </cell>
        </row>
        <row r="67">
          <cell r="I67">
            <v>772</v>
          </cell>
          <cell r="J67">
            <v>0.12344164383561644</v>
          </cell>
        </row>
        <row r="68">
          <cell r="I68">
            <v>773</v>
          </cell>
          <cell r="J68">
            <v>0.12344739726027397</v>
          </cell>
        </row>
        <row r="69">
          <cell r="I69">
            <v>774</v>
          </cell>
          <cell r="J69">
            <v>0.12345315068493151</v>
          </cell>
        </row>
        <row r="70">
          <cell r="I70">
            <v>775</v>
          </cell>
          <cell r="J70">
            <v>0.12345890410958904</v>
          </cell>
        </row>
        <row r="71">
          <cell r="I71">
            <v>776</v>
          </cell>
          <cell r="J71">
            <v>0.12346465753424658</v>
          </cell>
        </row>
        <row r="72">
          <cell r="I72">
            <v>777</v>
          </cell>
          <cell r="J72">
            <v>0.12347041095890411</v>
          </cell>
        </row>
        <row r="73">
          <cell r="I73">
            <v>778</v>
          </cell>
          <cell r="J73">
            <v>0.12347616438356164</v>
          </cell>
        </row>
        <row r="74">
          <cell r="I74">
            <v>779</v>
          </cell>
          <cell r="J74">
            <v>0.12348191780821918</v>
          </cell>
        </row>
        <row r="75">
          <cell r="I75">
            <v>780</v>
          </cell>
          <cell r="J75">
            <v>0.12348767123287671</v>
          </cell>
        </row>
        <row r="76">
          <cell r="I76">
            <v>781</v>
          </cell>
          <cell r="J76">
            <v>0.12349342465753425</v>
          </cell>
        </row>
        <row r="77">
          <cell r="I77">
            <v>782</v>
          </cell>
          <cell r="J77">
            <v>0.12349917808219178</v>
          </cell>
        </row>
        <row r="78">
          <cell r="I78">
            <v>783</v>
          </cell>
          <cell r="J78">
            <v>0.12350493150684931</v>
          </cell>
        </row>
        <row r="79">
          <cell r="I79">
            <v>784</v>
          </cell>
          <cell r="J79">
            <v>0.12351068493150685</v>
          </cell>
        </row>
        <row r="80">
          <cell r="I80">
            <v>785</v>
          </cell>
          <cell r="J80">
            <v>0.12351643835616438</v>
          </cell>
        </row>
        <row r="81">
          <cell r="I81">
            <v>786</v>
          </cell>
          <cell r="J81">
            <v>0.12352219178082192</v>
          </cell>
        </row>
        <row r="82">
          <cell r="I82">
            <v>787</v>
          </cell>
          <cell r="J82">
            <v>0.12352794520547945</v>
          </cell>
        </row>
        <row r="83">
          <cell r="I83">
            <v>788</v>
          </cell>
          <cell r="J83">
            <v>0.123533698630137</v>
          </cell>
        </row>
        <row r="84">
          <cell r="I84">
            <v>789</v>
          </cell>
          <cell r="J84">
            <v>0.12353945205479452</v>
          </cell>
        </row>
        <row r="85">
          <cell r="I85">
            <v>790</v>
          </cell>
          <cell r="J85">
            <v>0.12354520547945205</v>
          </cell>
        </row>
        <row r="86">
          <cell r="I86">
            <v>791</v>
          </cell>
          <cell r="J86">
            <v>0.1235509589041096</v>
          </cell>
        </row>
        <row r="87">
          <cell r="I87">
            <v>792</v>
          </cell>
          <cell r="J87">
            <v>0.12355671232876712</v>
          </cell>
        </row>
        <row r="88">
          <cell r="I88">
            <v>793</v>
          </cell>
          <cell r="J88">
            <v>0.12356246575342467</v>
          </cell>
        </row>
        <row r="89">
          <cell r="I89">
            <v>794</v>
          </cell>
          <cell r="J89">
            <v>0.12356821917808219</v>
          </cell>
        </row>
        <row r="90">
          <cell r="I90">
            <v>795</v>
          </cell>
          <cell r="J90">
            <v>0.12357397260273972</v>
          </cell>
        </row>
        <row r="91">
          <cell r="I91">
            <v>796</v>
          </cell>
          <cell r="J91">
            <v>0.12357972602739727</v>
          </cell>
        </row>
        <row r="92">
          <cell r="I92">
            <v>797</v>
          </cell>
          <cell r="J92">
            <v>0.12358547945205479</v>
          </cell>
        </row>
        <row r="93">
          <cell r="I93">
            <v>798</v>
          </cell>
          <cell r="J93">
            <v>0.12359123287671234</v>
          </cell>
        </row>
        <row r="94">
          <cell r="I94">
            <v>799</v>
          </cell>
          <cell r="J94">
            <v>0.12359698630136987</v>
          </cell>
        </row>
        <row r="95">
          <cell r="I95">
            <v>800</v>
          </cell>
          <cell r="J95">
            <v>0.12360273972602739</v>
          </cell>
        </row>
        <row r="96">
          <cell r="I96">
            <v>801</v>
          </cell>
          <cell r="J96">
            <v>0.12360849315068494</v>
          </cell>
        </row>
        <row r="97">
          <cell r="I97">
            <v>802</v>
          </cell>
          <cell r="J97">
            <v>0.12361424657534247</v>
          </cell>
        </row>
        <row r="98">
          <cell r="I98">
            <v>803</v>
          </cell>
          <cell r="J98">
            <v>0.12362000000000001</v>
          </cell>
        </row>
        <row r="99">
          <cell r="I99">
            <v>804</v>
          </cell>
          <cell r="J99">
            <v>0.12362575342465754</v>
          </cell>
        </row>
        <row r="100">
          <cell r="I100">
            <v>805</v>
          </cell>
          <cell r="J100">
            <v>0.12363150684931506</v>
          </cell>
        </row>
        <row r="101">
          <cell r="I101">
            <v>806</v>
          </cell>
          <cell r="J101">
            <v>0.12363726027397261</v>
          </cell>
        </row>
        <row r="102">
          <cell r="I102">
            <v>807</v>
          </cell>
          <cell r="J102">
            <v>0.12364301369863014</v>
          </cell>
        </row>
        <row r="103">
          <cell r="I103">
            <v>808</v>
          </cell>
          <cell r="J103">
            <v>0.12364876712328768</v>
          </cell>
        </row>
        <row r="104">
          <cell r="I104">
            <v>809</v>
          </cell>
          <cell r="J104">
            <v>0.12365452054794521</v>
          </cell>
        </row>
        <row r="105">
          <cell r="I105">
            <v>810</v>
          </cell>
          <cell r="J105">
            <v>0.12366027397260274</v>
          </cell>
        </row>
        <row r="106">
          <cell r="I106">
            <v>811</v>
          </cell>
          <cell r="J106">
            <v>0.12366602739726028</v>
          </cell>
        </row>
        <row r="107">
          <cell r="I107">
            <v>812</v>
          </cell>
          <cell r="J107">
            <v>0.12367178082191781</v>
          </cell>
        </row>
        <row r="108">
          <cell r="I108">
            <v>813</v>
          </cell>
          <cell r="J108">
            <v>0.12367753424657535</v>
          </cell>
        </row>
        <row r="109">
          <cell r="I109">
            <v>814</v>
          </cell>
          <cell r="J109">
            <v>0.12368328767123288</v>
          </cell>
        </row>
        <row r="110">
          <cell r="I110">
            <v>815</v>
          </cell>
          <cell r="J110">
            <v>0.12368904109589041</v>
          </cell>
        </row>
        <row r="111">
          <cell r="I111">
            <v>816</v>
          </cell>
          <cell r="J111">
            <v>0.12369479452054795</v>
          </cell>
        </row>
        <row r="112">
          <cell r="I112">
            <v>817</v>
          </cell>
          <cell r="J112">
            <v>0.12370054794520548</v>
          </cell>
        </row>
        <row r="113">
          <cell r="I113">
            <v>818</v>
          </cell>
          <cell r="J113">
            <v>0.12370630136986302</v>
          </cell>
        </row>
        <row r="114">
          <cell r="I114">
            <v>819</v>
          </cell>
          <cell r="J114">
            <v>0.12371205479452055</v>
          </cell>
        </row>
        <row r="115">
          <cell r="I115">
            <v>820</v>
          </cell>
          <cell r="J115">
            <v>0.12371780821917808</v>
          </cell>
        </row>
        <row r="116">
          <cell r="I116">
            <v>821</v>
          </cell>
          <cell r="J116">
            <v>0.12372356164383562</v>
          </cell>
        </row>
        <row r="117">
          <cell r="I117">
            <v>822</v>
          </cell>
          <cell r="J117">
            <v>0.12372931506849315</v>
          </cell>
        </row>
        <row r="118">
          <cell r="I118">
            <v>823</v>
          </cell>
          <cell r="J118">
            <v>0.12373506849315069</v>
          </cell>
        </row>
        <row r="119">
          <cell r="I119">
            <v>824</v>
          </cell>
          <cell r="J119">
            <v>0.12374082191780822</v>
          </cell>
        </row>
        <row r="120">
          <cell r="I120">
            <v>825</v>
          </cell>
          <cell r="J120">
            <v>0.12374657534246576</v>
          </cell>
        </row>
        <row r="121">
          <cell r="I121">
            <v>826</v>
          </cell>
          <cell r="J121">
            <v>0.12375232876712329</v>
          </cell>
        </row>
        <row r="122">
          <cell r="I122">
            <v>827</v>
          </cell>
          <cell r="J122">
            <v>0.12375808219178082</v>
          </cell>
        </row>
        <row r="123">
          <cell r="I123">
            <v>828</v>
          </cell>
          <cell r="J123">
            <v>0.12376383561643836</v>
          </cell>
        </row>
        <row r="124">
          <cell r="I124">
            <v>829</v>
          </cell>
          <cell r="J124">
            <v>0.12376958904109589</v>
          </cell>
        </row>
        <row r="125">
          <cell r="I125">
            <v>830</v>
          </cell>
          <cell r="J125">
            <v>0.12377534246575343</v>
          </cell>
        </row>
        <row r="126">
          <cell r="I126">
            <v>831</v>
          </cell>
          <cell r="J126">
            <v>0.12378109589041096</v>
          </cell>
        </row>
        <row r="127">
          <cell r="I127">
            <v>832</v>
          </cell>
          <cell r="J127">
            <v>0.12378684931506849</v>
          </cell>
        </row>
        <row r="128">
          <cell r="I128">
            <v>833</v>
          </cell>
          <cell r="J128">
            <v>0.12379260273972603</v>
          </cell>
        </row>
        <row r="129">
          <cell r="I129">
            <v>834</v>
          </cell>
          <cell r="J129">
            <v>0.12379835616438356</v>
          </cell>
        </row>
        <row r="130">
          <cell r="I130">
            <v>835</v>
          </cell>
          <cell r="J130">
            <v>0.1238041095890411</v>
          </cell>
        </row>
        <row r="131">
          <cell r="I131">
            <v>836</v>
          </cell>
          <cell r="J131">
            <v>0.12380986301369863</v>
          </cell>
        </row>
        <row r="132">
          <cell r="I132">
            <v>837</v>
          </cell>
          <cell r="J132">
            <v>0.12381561643835616</v>
          </cell>
        </row>
        <row r="133">
          <cell r="I133">
            <v>838</v>
          </cell>
          <cell r="J133">
            <v>0.1238213698630137</v>
          </cell>
        </row>
        <row r="134">
          <cell r="I134">
            <v>839</v>
          </cell>
          <cell r="J134">
            <v>0.12382712328767123</v>
          </cell>
        </row>
        <row r="135">
          <cell r="I135">
            <v>840</v>
          </cell>
          <cell r="J135">
            <v>0.12383287671232877</v>
          </cell>
        </row>
        <row r="136">
          <cell r="I136">
            <v>841</v>
          </cell>
          <cell r="J136">
            <v>0.1238386301369863</v>
          </cell>
        </row>
        <row r="137">
          <cell r="I137">
            <v>842</v>
          </cell>
          <cell r="J137">
            <v>0.12384438356164383</v>
          </cell>
        </row>
        <row r="138">
          <cell r="I138">
            <v>843</v>
          </cell>
          <cell r="J138">
            <v>0.12385013698630137</v>
          </cell>
        </row>
        <row r="139">
          <cell r="I139">
            <v>844</v>
          </cell>
          <cell r="J139">
            <v>0.1238558904109589</v>
          </cell>
        </row>
        <row r="140">
          <cell r="I140">
            <v>845</v>
          </cell>
          <cell r="J140">
            <v>0.12386164383561644</v>
          </cell>
        </row>
        <row r="141">
          <cell r="I141">
            <v>846</v>
          </cell>
          <cell r="J141">
            <v>0.12386739726027397</v>
          </cell>
        </row>
        <row r="142">
          <cell r="I142">
            <v>847</v>
          </cell>
          <cell r="J142">
            <v>0.1238731506849315</v>
          </cell>
        </row>
        <row r="143">
          <cell r="I143">
            <v>848</v>
          </cell>
          <cell r="J143">
            <v>0.12387890410958904</v>
          </cell>
        </row>
        <row r="144">
          <cell r="I144">
            <v>849</v>
          </cell>
          <cell r="J144">
            <v>0.12388465753424657</v>
          </cell>
        </row>
        <row r="145">
          <cell r="I145">
            <v>850</v>
          </cell>
          <cell r="J145">
            <v>0.12389041095890412</v>
          </cell>
        </row>
        <row r="146">
          <cell r="I146">
            <v>851</v>
          </cell>
          <cell r="J146">
            <v>0.12389616438356164</v>
          </cell>
        </row>
        <row r="147">
          <cell r="I147">
            <v>852</v>
          </cell>
          <cell r="J147">
            <v>0.12390191780821917</v>
          </cell>
        </row>
        <row r="148">
          <cell r="I148">
            <v>853</v>
          </cell>
          <cell r="J148">
            <v>0.12390767123287671</v>
          </cell>
        </row>
        <row r="149">
          <cell r="I149">
            <v>854</v>
          </cell>
          <cell r="J149">
            <v>0.12391342465753424</v>
          </cell>
        </row>
        <row r="150">
          <cell r="I150">
            <v>855</v>
          </cell>
          <cell r="J150">
            <v>0.12391917808219179</v>
          </cell>
        </row>
        <row r="151">
          <cell r="I151">
            <v>856</v>
          </cell>
          <cell r="J151">
            <v>0.12392493150684931</v>
          </cell>
        </row>
        <row r="152">
          <cell r="I152">
            <v>857</v>
          </cell>
          <cell r="J152">
            <v>0.12393068493150684</v>
          </cell>
        </row>
        <row r="153">
          <cell r="I153">
            <v>858</v>
          </cell>
          <cell r="J153">
            <v>0.12393643835616439</v>
          </cell>
        </row>
        <row r="154">
          <cell r="I154">
            <v>859</v>
          </cell>
          <cell r="J154">
            <v>0.12394219178082191</v>
          </cell>
        </row>
        <row r="155">
          <cell r="I155">
            <v>860</v>
          </cell>
          <cell r="J155">
            <v>0.12394794520547946</v>
          </cell>
        </row>
        <row r="156">
          <cell r="I156">
            <v>861</v>
          </cell>
          <cell r="J156">
            <v>0.12395369863013699</v>
          </cell>
        </row>
        <row r="157">
          <cell r="I157">
            <v>862</v>
          </cell>
          <cell r="J157">
            <v>0.12395945205479453</v>
          </cell>
        </row>
        <row r="158">
          <cell r="I158">
            <v>863</v>
          </cell>
          <cell r="J158">
            <v>0.12396520547945206</v>
          </cell>
        </row>
        <row r="159">
          <cell r="I159">
            <v>864</v>
          </cell>
          <cell r="J159">
            <v>0.12397095890410958</v>
          </cell>
        </row>
        <row r="160">
          <cell r="I160">
            <v>865</v>
          </cell>
          <cell r="J160">
            <v>0.12397671232876713</v>
          </cell>
        </row>
        <row r="161">
          <cell r="I161">
            <v>866</v>
          </cell>
          <cell r="J161">
            <v>0.12398246575342466</v>
          </cell>
        </row>
        <row r="162">
          <cell r="I162">
            <v>867</v>
          </cell>
          <cell r="J162">
            <v>0.1239882191780822</v>
          </cell>
        </row>
        <row r="163">
          <cell r="I163">
            <v>868</v>
          </cell>
          <cell r="J163">
            <v>0.12399397260273973</v>
          </cell>
        </row>
        <row r="164">
          <cell r="I164">
            <v>869</v>
          </cell>
          <cell r="J164">
            <v>0.12399972602739726</v>
          </cell>
        </row>
        <row r="165">
          <cell r="I165">
            <v>870</v>
          </cell>
          <cell r="J165">
            <v>0.1240054794520548</v>
          </cell>
        </row>
        <row r="166">
          <cell r="I166">
            <v>871</v>
          </cell>
          <cell r="J166">
            <v>0.12401123287671233</v>
          </cell>
        </row>
        <row r="167">
          <cell r="I167">
            <v>872</v>
          </cell>
          <cell r="J167">
            <v>0.12401698630136987</v>
          </cell>
        </row>
        <row r="168">
          <cell r="I168">
            <v>873</v>
          </cell>
          <cell r="J168">
            <v>0.1240227397260274</v>
          </cell>
        </row>
        <row r="169">
          <cell r="I169">
            <v>874</v>
          </cell>
          <cell r="J169">
            <v>0.12402849315068493</v>
          </cell>
        </row>
        <row r="170">
          <cell r="I170">
            <v>875</v>
          </cell>
          <cell r="J170">
            <v>0.12403424657534247</v>
          </cell>
        </row>
        <row r="171">
          <cell r="I171">
            <v>876</v>
          </cell>
          <cell r="J171">
            <v>0.12404</v>
          </cell>
        </row>
        <row r="172">
          <cell r="I172">
            <v>877</v>
          </cell>
          <cell r="J172">
            <v>0.12404575342465754</v>
          </cell>
        </row>
        <row r="173">
          <cell r="I173">
            <v>878</v>
          </cell>
          <cell r="J173">
            <v>0.12405150684931507</v>
          </cell>
        </row>
        <row r="174">
          <cell r="I174">
            <v>879</v>
          </cell>
          <cell r="J174">
            <v>0.1240572602739726</v>
          </cell>
        </row>
        <row r="175">
          <cell r="I175">
            <v>880</v>
          </cell>
          <cell r="J175">
            <v>0.12406301369863014</v>
          </cell>
        </row>
        <row r="176">
          <cell r="I176">
            <v>881</v>
          </cell>
          <cell r="J176">
            <v>0.12406876712328767</v>
          </cell>
        </row>
        <row r="177">
          <cell r="I177">
            <v>882</v>
          </cell>
          <cell r="J177">
            <v>0.12407452054794521</v>
          </cell>
        </row>
        <row r="178">
          <cell r="I178">
            <v>883</v>
          </cell>
          <cell r="J178">
            <v>0.12408027397260274</v>
          </cell>
        </row>
        <row r="179">
          <cell r="I179">
            <v>884</v>
          </cell>
          <cell r="J179">
            <v>0.12408602739726027</v>
          </cell>
        </row>
        <row r="180">
          <cell r="I180">
            <v>885</v>
          </cell>
          <cell r="J180">
            <v>0.12409178082191781</v>
          </cell>
        </row>
        <row r="181">
          <cell r="I181">
            <v>886</v>
          </cell>
          <cell r="J181">
            <v>0.12409753424657534</v>
          </cell>
        </row>
        <row r="182">
          <cell r="I182">
            <v>887</v>
          </cell>
          <cell r="J182">
            <v>0.12410328767123288</v>
          </cell>
        </row>
        <row r="183">
          <cell r="I183">
            <v>888</v>
          </cell>
          <cell r="J183">
            <v>0.12410904109589041</v>
          </cell>
        </row>
        <row r="184">
          <cell r="I184">
            <v>889</v>
          </cell>
          <cell r="J184">
            <v>0.12411479452054794</v>
          </cell>
        </row>
        <row r="185">
          <cell r="I185">
            <v>890</v>
          </cell>
          <cell r="J185">
            <v>0.12412054794520548</v>
          </cell>
        </row>
        <row r="186">
          <cell r="I186">
            <v>891</v>
          </cell>
          <cell r="J186">
            <v>0.12412630136986301</v>
          </cell>
        </row>
        <row r="187">
          <cell r="I187">
            <v>892</v>
          </cell>
          <cell r="J187">
            <v>0.12413205479452055</v>
          </cell>
        </row>
        <row r="188">
          <cell r="I188">
            <v>893</v>
          </cell>
          <cell r="J188">
            <v>0.12413780821917808</v>
          </cell>
        </row>
        <row r="189">
          <cell r="I189">
            <v>894</v>
          </cell>
          <cell r="J189">
            <v>0.12414356164383561</v>
          </cell>
        </row>
        <row r="190">
          <cell r="I190">
            <v>895</v>
          </cell>
          <cell r="J190">
            <v>0.12414931506849315</v>
          </cell>
        </row>
        <row r="191">
          <cell r="I191">
            <v>896</v>
          </cell>
          <cell r="J191">
            <v>0.12415506849315068</v>
          </cell>
        </row>
        <row r="192">
          <cell r="I192">
            <v>897</v>
          </cell>
          <cell r="J192">
            <v>0.12416082191780822</v>
          </cell>
        </row>
        <row r="193">
          <cell r="I193">
            <v>898</v>
          </cell>
          <cell r="J193">
            <v>0.12416657534246575</v>
          </cell>
        </row>
        <row r="194">
          <cell r="I194">
            <v>899</v>
          </cell>
          <cell r="J194">
            <v>0.12417232876712329</v>
          </cell>
        </row>
        <row r="195">
          <cell r="I195">
            <v>900</v>
          </cell>
          <cell r="J195">
            <v>0.12417808219178082</v>
          </cell>
        </row>
        <row r="196">
          <cell r="I196">
            <v>901</v>
          </cell>
          <cell r="J196">
            <v>0.12418383561643835</v>
          </cell>
        </row>
        <row r="197">
          <cell r="I197">
            <v>902</v>
          </cell>
          <cell r="J197">
            <v>0.12418958904109589</v>
          </cell>
        </row>
        <row r="198">
          <cell r="I198">
            <v>903</v>
          </cell>
          <cell r="J198">
            <v>0.12419534246575342</v>
          </cell>
        </row>
        <row r="199">
          <cell r="I199">
            <v>904</v>
          </cell>
          <cell r="J199">
            <v>0.12420109589041096</v>
          </cell>
        </row>
        <row r="200">
          <cell r="I200">
            <v>905</v>
          </cell>
          <cell r="J200">
            <v>0.12420684931506849</v>
          </cell>
        </row>
        <row r="201">
          <cell r="I201">
            <v>906</v>
          </cell>
          <cell r="J201">
            <v>0.12421260273972602</v>
          </cell>
        </row>
        <row r="202">
          <cell r="I202">
            <v>907</v>
          </cell>
          <cell r="J202">
            <v>0.12421835616438356</v>
          </cell>
        </row>
        <row r="203">
          <cell r="I203">
            <v>908</v>
          </cell>
          <cell r="J203">
            <v>0.12422410958904109</v>
          </cell>
        </row>
        <row r="204">
          <cell r="I204">
            <v>909</v>
          </cell>
          <cell r="J204">
            <v>0.12422986301369864</v>
          </cell>
        </row>
        <row r="205">
          <cell r="I205">
            <v>910</v>
          </cell>
          <cell r="J205">
            <v>0.12423561643835616</v>
          </cell>
        </row>
        <row r="206">
          <cell r="I206">
            <v>911</v>
          </cell>
          <cell r="J206">
            <v>0.12424136986301369</v>
          </cell>
        </row>
        <row r="207">
          <cell r="I207">
            <v>912</v>
          </cell>
          <cell r="J207">
            <v>0.12424712328767124</v>
          </cell>
        </row>
        <row r="208">
          <cell r="I208">
            <v>913</v>
          </cell>
          <cell r="J208">
            <v>0.12425287671232876</v>
          </cell>
        </row>
        <row r="209">
          <cell r="I209">
            <v>914</v>
          </cell>
          <cell r="J209">
            <v>0.12425863013698631</v>
          </cell>
        </row>
        <row r="210">
          <cell r="I210">
            <v>915</v>
          </cell>
          <cell r="J210">
            <v>0.12426438356164383</v>
          </cell>
        </row>
        <row r="211">
          <cell r="I211">
            <v>916</v>
          </cell>
          <cell r="J211">
            <v>0.12427013698630136</v>
          </cell>
        </row>
        <row r="212">
          <cell r="I212">
            <v>917</v>
          </cell>
          <cell r="J212">
            <v>0.12427589041095891</v>
          </cell>
        </row>
        <row r="213">
          <cell r="I213">
            <v>918</v>
          </cell>
          <cell r="J213">
            <v>0.12428164383561643</v>
          </cell>
        </row>
        <row r="214">
          <cell r="I214">
            <v>919</v>
          </cell>
          <cell r="J214">
            <v>0.12428739726027398</v>
          </cell>
        </row>
        <row r="215">
          <cell r="I215">
            <v>920</v>
          </cell>
          <cell r="J215">
            <v>0.12429315068493151</v>
          </cell>
        </row>
        <row r="216">
          <cell r="I216">
            <v>921</v>
          </cell>
          <cell r="J216">
            <v>0.12429890410958903</v>
          </cell>
        </row>
        <row r="217">
          <cell r="I217">
            <v>922</v>
          </cell>
          <cell r="J217">
            <v>0.12430465753424658</v>
          </cell>
        </row>
        <row r="218">
          <cell r="I218">
            <v>923</v>
          </cell>
          <cell r="J218">
            <v>0.12431041095890411</v>
          </cell>
        </row>
        <row r="219">
          <cell r="I219">
            <v>924</v>
          </cell>
          <cell r="J219">
            <v>0.12431616438356165</v>
          </cell>
        </row>
        <row r="220">
          <cell r="I220">
            <v>925</v>
          </cell>
          <cell r="J220">
            <v>0.12432191780821918</v>
          </cell>
        </row>
        <row r="221">
          <cell r="I221">
            <v>926</v>
          </cell>
          <cell r="J221">
            <v>0.1243276712328767</v>
          </cell>
        </row>
        <row r="222">
          <cell r="I222">
            <v>927</v>
          </cell>
          <cell r="J222">
            <v>0.12433342465753425</v>
          </cell>
        </row>
        <row r="223">
          <cell r="I223">
            <v>928</v>
          </cell>
          <cell r="J223">
            <v>0.12433917808219178</v>
          </cell>
        </row>
        <row r="224">
          <cell r="I224">
            <v>929</v>
          </cell>
          <cell r="J224">
            <v>0.12434493150684932</v>
          </cell>
        </row>
        <row r="225">
          <cell r="I225">
            <v>930</v>
          </cell>
          <cell r="J225">
            <v>0.12435068493150685</v>
          </cell>
        </row>
        <row r="226">
          <cell r="I226">
            <v>931</v>
          </cell>
          <cell r="J226">
            <v>0.12435643835616439</v>
          </cell>
        </row>
        <row r="227">
          <cell r="I227">
            <v>932</v>
          </cell>
          <cell r="J227">
            <v>0.12436219178082192</v>
          </cell>
        </row>
        <row r="228">
          <cell r="I228">
            <v>933</v>
          </cell>
          <cell r="J228">
            <v>0.12436794520547945</v>
          </cell>
        </row>
        <row r="229">
          <cell r="I229">
            <v>934</v>
          </cell>
          <cell r="J229">
            <v>0.12437369863013699</v>
          </cell>
        </row>
        <row r="230">
          <cell r="I230">
            <v>935</v>
          </cell>
          <cell r="J230">
            <v>0.12437945205479452</v>
          </cell>
        </row>
        <row r="231">
          <cell r="I231">
            <v>936</v>
          </cell>
          <cell r="J231">
            <v>0.12438520547945206</v>
          </cell>
        </row>
        <row r="232">
          <cell r="I232">
            <v>937</v>
          </cell>
          <cell r="J232">
            <v>0.12439095890410959</v>
          </cell>
        </row>
        <row r="233">
          <cell r="I233">
            <v>938</v>
          </cell>
          <cell r="J233">
            <v>0.12439671232876712</v>
          </cell>
        </row>
        <row r="234">
          <cell r="I234">
            <v>939</v>
          </cell>
          <cell r="J234">
            <v>0.12440246575342466</v>
          </cell>
        </row>
        <row r="235">
          <cell r="I235">
            <v>940</v>
          </cell>
          <cell r="J235">
            <v>0.12440821917808219</v>
          </cell>
        </row>
        <row r="236">
          <cell r="I236">
            <v>941</v>
          </cell>
          <cell r="J236">
            <v>0.12441397260273973</v>
          </cell>
        </row>
        <row r="237">
          <cell r="I237">
            <v>942</v>
          </cell>
          <cell r="J237">
            <v>0.12441972602739726</v>
          </cell>
        </row>
        <row r="238">
          <cell r="I238">
            <v>943</v>
          </cell>
          <cell r="J238">
            <v>0.12442547945205479</v>
          </cell>
        </row>
        <row r="239">
          <cell r="I239">
            <v>944</v>
          </cell>
          <cell r="J239">
            <v>0.12443123287671233</v>
          </cell>
        </row>
        <row r="240">
          <cell r="I240">
            <v>945</v>
          </cell>
          <cell r="J240">
            <v>0.12443698630136986</v>
          </cell>
        </row>
        <row r="241">
          <cell r="I241">
            <v>946</v>
          </cell>
          <cell r="J241">
            <v>0.1244427397260274</v>
          </cell>
        </row>
        <row r="242">
          <cell r="I242">
            <v>947</v>
          </cell>
          <cell r="J242">
            <v>0.12444849315068493</v>
          </cell>
        </row>
        <row r="243">
          <cell r="I243">
            <v>948</v>
          </cell>
          <cell r="J243">
            <v>0.12445424657534246</v>
          </cell>
        </row>
        <row r="244">
          <cell r="I244">
            <v>949</v>
          </cell>
          <cell r="J244">
            <v>0.12446</v>
          </cell>
        </row>
        <row r="245">
          <cell r="I245">
            <v>950</v>
          </cell>
          <cell r="J245">
            <v>0.12446575342465753</v>
          </cell>
        </row>
        <row r="246">
          <cell r="I246">
            <v>951</v>
          </cell>
          <cell r="J246">
            <v>0.12447150684931507</v>
          </cell>
        </row>
        <row r="247">
          <cell r="I247">
            <v>952</v>
          </cell>
          <cell r="J247">
            <v>0.1244772602739726</v>
          </cell>
        </row>
        <row r="248">
          <cell r="I248">
            <v>953</v>
          </cell>
          <cell r="J248">
            <v>0.12448301369863013</v>
          </cell>
        </row>
        <row r="249">
          <cell r="I249">
            <v>954</v>
          </cell>
          <cell r="J249">
            <v>0.12448876712328767</v>
          </cell>
        </row>
        <row r="250">
          <cell r="I250">
            <v>955</v>
          </cell>
          <cell r="J250">
            <v>0.1244945205479452</v>
          </cell>
        </row>
        <row r="251">
          <cell r="I251">
            <v>956</v>
          </cell>
          <cell r="J251">
            <v>0.12450027397260274</v>
          </cell>
        </row>
        <row r="252">
          <cell r="I252">
            <v>957</v>
          </cell>
          <cell r="J252">
            <v>0.12450602739726027</v>
          </cell>
        </row>
        <row r="253">
          <cell r="I253">
            <v>958</v>
          </cell>
          <cell r="J253">
            <v>0.1245117808219178</v>
          </cell>
        </row>
        <row r="254">
          <cell r="I254">
            <v>959</v>
          </cell>
          <cell r="J254">
            <v>0.12451753424657534</v>
          </cell>
        </row>
        <row r="255">
          <cell r="I255">
            <v>960</v>
          </cell>
          <cell r="J255">
            <v>0.12452328767123287</v>
          </cell>
        </row>
        <row r="256">
          <cell r="I256">
            <v>961</v>
          </cell>
          <cell r="J256">
            <v>0.12452904109589041</v>
          </cell>
        </row>
        <row r="257">
          <cell r="I257">
            <v>962</v>
          </cell>
          <cell r="J257">
            <v>0.12453479452054794</v>
          </cell>
        </row>
        <row r="258">
          <cell r="I258">
            <v>963</v>
          </cell>
          <cell r="J258">
            <v>0.12454054794520547</v>
          </cell>
        </row>
        <row r="259">
          <cell r="I259">
            <v>964</v>
          </cell>
          <cell r="J259">
            <v>0.12454630136986301</v>
          </cell>
        </row>
        <row r="260">
          <cell r="I260">
            <v>965</v>
          </cell>
          <cell r="J260">
            <v>0.12455205479452054</v>
          </cell>
        </row>
        <row r="261">
          <cell r="I261">
            <v>966</v>
          </cell>
          <cell r="J261">
            <v>0.12455780821917808</v>
          </cell>
        </row>
        <row r="262">
          <cell r="I262">
            <v>967</v>
          </cell>
          <cell r="J262">
            <v>0.12456356164383561</v>
          </cell>
        </row>
        <row r="263">
          <cell r="I263">
            <v>968</v>
          </cell>
          <cell r="J263">
            <v>0.12456931506849314</v>
          </cell>
        </row>
        <row r="264">
          <cell r="I264">
            <v>969</v>
          </cell>
          <cell r="J264">
            <v>0.12457506849315068</v>
          </cell>
        </row>
        <row r="265">
          <cell r="I265">
            <v>970</v>
          </cell>
          <cell r="J265">
            <v>0.12458082191780821</v>
          </cell>
        </row>
        <row r="266">
          <cell r="I266">
            <v>971</v>
          </cell>
          <cell r="J266">
            <v>0.12458657534246576</v>
          </cell>
        </row>
        <row r="267">
          <cell r="I267">
            <v>972</v>
          </cell>
          <cell r="J267">
            <v>0.12459232876712328</v>
          </cell>
        </row>
        <row r="268">
          <cell r="I268">
            <v>973</v>
          </cell>
          <cell r="J268">
            <v>0.12459808219178083</v>
          </cell>
        </row>
        <row r="269">
          <cell r="I269">
            <v>974</v>
          </cell>
          <cell r="J269">
            <v>0.12460383561643835</v>
          </cell>
        </row>
        <row r="270">
          <cell r="I270">
            <v>975</v>
          </cell>
          <cell r="J270">
            <v>0.12460958904109588</v>
          </cell>
        </row>
        <row r="271">
          <cell r="I271">
            <v>976</v>
          </cell>
          <cell r="J271">
            <v>0.12461534246575343</v>
          </cell>
        </row>
        <row r="272">
          <cell r="I272">
            <v>977</v>
          </cell>
          <cell r="J272">
            <v>0.12462109589041095</v>
          </cell>
        </row>
        <row r="273">
          <cell r="I273">
            <v>978</v>
          </cell>
          <cell r="J273">
            <v>0.1246268493150685</v>
          </cell>
        </row>
        <row r="274">
          <cell r="I274">
            <v>979</v>
          </cell>
          <cell r="J274">
            <v>0.12463260273972603</v>
          </cell>
        </row>
        <row r="275">
          <cell r="I275">
            <v>980</v>
          </cell>
          <cell r="J275">
            <v>0.12463835616438355</v>
          </cell>
        </row>
        <row r="276">
          <cell r="I276">
            <v>981</v>
          </cell>
          <cell r="J276">
            <v>0.1246441095890411</v>
          </cell>
        </row>
        <row r="277">
          <cell r="I277">
            <v>982</v>
          </cell>
          <cell r="J277">
            <v>0.12464986301369863</v>
          </cell>
        </row>
        <row r="278">
          <cell r="I278">
            <v>983</v>
          </cell>
          <cell r="J278">
            <v>0.12465561643835617</v>
          </cell>
        </row>
        <row r="279">
          <cell r="I279">
            <v>984</v>
          </cell>
          <cell r="J279">
            <v>0.1246613698630137</v>
          </cell>
        </row>
        <row r="280">
          <cell r="I280">
            <v>985</v>
          </cell>
          <cell r="J280">
            <v>0.12466712328767122</v>
          </cell>
        </row>
        <row r="281">
          <cell r="I281">
            <v>986</v>
          </cell>
          <cell r="J281">
            <v>0.12467287671232877</v>
          </cell>
        </row>
        <row r="282">
          <cell r="I282">
            <v>987</v>
          </cell>
          <cell r="J282">
            <v>0.1246786301369863</v>
          </cell>
        </row>
        <row r="283">
          <cell r="I283">
            <v>988</v>
          </cell>
          <cell r="J283">
            <v>0.12468438356164384</v>
          </cell>
        </row>
        <row r="284">
          <cell r="I284">
            <v>989</v>
          </cell>
          <cell r="J284">
            <v>0.12469013698630137</v>
          </cell>
        </row>
        <row r="285">
          <cell r="I285">
            <v>990</v>
          </cell>
          <cell r="J285">
            <v>0.1246958904109589</v>
          </cell>
        </row>
        <row r="286">
          <cell r="I286">
            <v>991</v>
          </cell>
          <cell r="J286">
            <v>0.12470164383561644</v>
          </cell>
        </row>
        <row r="287">
          <cell r="I287">
            <v>992</v>
          </cell>
          <cell r="J287">
            <v>0.12470739726027397</v>
          </cell>
        </row>
        <row r="288">
          <cell r="I288">
            <v>993</v>
          </cell>
          <cell r="J288">
            <v>0.12471315068493151</v>
          </cell>
        </row>
        <row r="289">
          <cell r="I289">
            <v>994</v>
          </cell>
          <cell r="J289">
            <v>0.12471890410958904</v>
          </cell>
        </row>
        <row r="290">
          <cell r="I290">
            <v>995</v>
          </cell>
          <cell r="J290">
            <v>0.12472465753424657</v>
          </cell>
        </row>
        <row r="291">
          <cell r="I291">
            <v>996</v>
          </cell>
          <cell r="J291">
            <v>0.12473041095890411</v>
          </cell>
        </row>
        <row r="292">
          <cell r="I292">
            <v>997</v>
          </cell>
          <cell r="J292">
            <v>0.12473616438356164</v>
          </cell>
        </row>
        <row r="293">
          <cell r="I293">
            <v>998</v>
          </cell>
          <cell r="J293">
            <v>0.12474191780821918</v>
          </cell>
        </row>
        <row r="294">
          <cell r="I294">
            <v>999</v>
          </cell>
          <cell r="J294">
            <v>0.12474767123287671</v>
          </cell>
        </row>
        <row r="295">
          <cell r="I295">
            <v>1000</v>
          </cell>
          <cell r="J295">
            <v>0.12475342465753424</v>
          </cell>
        </row>
        <row r="296">
          <cell r="I296">
            <v>1001</v>
          </cell>
          <cell r="J296">
            <v>0.12475917808219178</v>
          </cell>
        </row>
        <row r="297">
          <cell r="I297">
            <v>1002</v>
          </cell>
          <cell r="J297">
            <v>0.12476493150684931</v>
          </cell>
        </row>
        <row r="298">
          <cell r="I298">
            <v>1003</v>
          </cell>
          <cell r="J298">
            <v>0.12477068493150685</v>
          </cell>
        </row>
        <row r="299">
          <cell r="I299">
            <v>1004</v>
          </cell>
          <cell r="J299">
            <v>0.12477643835616438</v>
          </cell>
        </row>
        <row r="300">
          <cell r="I300">
            <v>1005</v>
          </cell>
          <cell r="J300">
            <v>0.12478219178082192</v>
          </cell>
        </row>
        <row r="301">
          <cell r="I301">
            <v>1006</v>
          </cell>
          <cell r="J301">
            <v>0.12478794520547945</v>
          </cell>
        </row>
        <row r="302">
          <cell r="I302">
            <v>1007</v>
          </cell>
          <cell r="J302">
            <v>0.12479369863013698</v>
          </cell>
        </row>
        <row r="303">
          <cell r="I303">
            <v>1008</v>
          </cell>
          <cell r="J303">
            <v>0.12479945205479452</v>
          </cell>
        </row>
        <row r="304">
          <cell r="I304">
            <v>1009</v>
          </cell>
          <cell r="J304">
            <v>0.12480520547945205</v>
          </cell>
        </row>
        <row r="305">
          <cell r="I305">
            <v>1010</v>
          </cell>
          <cell r="J305">
            <v>0.12481095890410959</v>
          </cell>
        </row>
        <row r="306">
          <cell r="I306">
            <v>1011</v>
          </cell>
          <cell r="J306">
            <v>0.12481671232876712</v>
          </cell>
        </row>
        <row r="307">
          <cell r="I307">
            <v>1012</v>
          </cell>
          <cell r="J307">
            <v>0.12482246575342465</v>
          </cell>
        </row>
        <row r="308">
          <cell r="I308">
            <v>1013</v>
          </cell>
          <cell r="J308">
            <v>0.12482821917808219</v>
          </cell>
        </row>
        <row r="309">
          <cell r="I309">
            <v>1014</v>
          </cell>
          <cell r="J309">
            <v>0.12483397260273972</v>
          </cell>
        </row>
        <row r="310">
          <cell r="I310">
            <v>1015</v>
          </cell>
          <cell r="J310">
            <v>0.12483972602739726</v>
          </cell>
        </row>
        <row r="311">
          <cell r="I311">
            <v>1016</v>
          </cell>
          <cell r="J311">
            <v>0.12484547945205479</v>
          </cell>
        </row>
        <row r="312">
          <cell r="I312">
            <v>1017</v>
          </cell>
          <cell r="J312">
            <v>0.12485123287671232</v>
          </cell>
        </row>
        <row r="313">
          <cell r="I313">
            <v>1018</v>
          </cell>
          <cell r="J313">
            <v>0.12485698630136986</v>
          </cell>
        </row>
        <row r="314">
          <cell r="I314">
            <v>1019</v>
          </cell>
          <cell r="J314">
            <v>0.12486273972602739</v>
          </cell>
        </row>
        <row r="315">
          <cell r="I315">
            <v>1020</v>
          </cell>
          <cell r="J315">
            <v>0.12486849315068493</v>
          </cell>
        </row>
        <row r="316">
          <cell r="I316">
            <v>1021</v>
          </cell>
          <cell r="J316">
            <v>0.12487424657534246</v>
          </cell>
        </row>
        <row r="317">
          <cell r="I317">
            <v>1022</v>
          </cell>
          <cell r="J317">
            <v>0.12487999999999999</v>
          </cell>
        </row>
        <row r="318">
          <cell r="I318">
            <v>1023</v>
          </cell>
          <cell r="J318">
            <v>0.12488575342465753</v>
          </cell>
        </row>
        <row r="319">
          <cell r="I319">
            <v>1024</v>
          </cell>
          <cell r="J319">
            <v>0.12489150684931506</v>
          </cell>
        </row>
        <row r="320">
          <cell r="I320">
            <v>1025</v>
          </cell>
          <cell r="J320">
            <v>0.1248972602739726</v>
          </cell>
        </row>
        <row r="321">
          <cell r="I321">
            <v>1026</v>
          </cell>
          <cell r="J321">
            <v>0.12490301369863013</v>
          </cell>
        </row>
        <row r="322">
          <cell r="I322">
            <v>1027</v>
          </cell>
          <cell r="J322">
            <v>0.12490876712328766</v>
          </cell>
        </row>
        <row r="323">
          <cell r="I323">
            <v>1028</v>
          </cell>
          <cell r="J323">
            <v>0.1249145205479452</v>
          </cell>
        </row>
        <row r="324">
          <cell r="I324">
            <v>1029</v>
          </cell>
          <cell r="J324">
            <v>0.12492027397260273</v>
          </cell>
        </row>
        <row r="325">
          <cell r="I325">
            <v>1030</v>
          </cell>
          <cell r="J325">
            <v>0.12492602739726028</v>
          </cell>
        </row>
        <row r="326">
          <cell r="I326">
            <v>1031</v>
          </cell>
          <cell r="J326">
            <v>0.1249317808219178</v>
          </cell>
        </row>
        <row r="327">
          <cell r="I327">
            <v>1032</v>
          </cell>
          <cell r="J327">
            <v>0.12493753424657533</v>
          </cell>
        </row>
        <row r="328">
          <cell r="I328">
            <v>1033</v>
          </cell>
          <cell r="J328">
            <v>0.12494328767123287</v>
          </cell>
        </row>
        <row r="329">
          <cell r="I329">
            <v>1034</v>
          </cell>
          <cell r="J329">
            <v>0.1249490410958904</v>
          </cell>
        </row>
        <row r="330">
          <cell r="I330">
            <v>1035</v>
          </cell>
          <cell r="J330">
            <v>0.12495479452054795</v>
          </cell>
        </row>
        <row r="331">
          <cell r="I331">
            <v>1036</v>
          </cell>
          <cell r="J331">
            <v>0.12496054794520547</v>
          </cell>
        </row>
        <row r="332">
          <cell r="I332">
            <v>1037</v>
          </cell>
          <cell r="J332">
            <v>0.124966301369863</v>
          </cell>
        </row>
        <row r="333">
          <cell r="I333">
            <v>1038</v>
          </cell>
          <cell r="J333">
            <v>0.12497205479452055</v>
          </cell>
        </row>
        <row r="334">
          <cell r="I334">
            <v>1039</v>
          </cell>
          <cell r="J334">
            <v>0.12497780821917807</v>
          </cell>
        </row>
        <row r="335">
          <cell r="I335">
            <v>1040</v>
          </cell>
          <cell r="J335">
            <v>0.12498356164383562</v>
          </cell>
        </row>
        <row r="336">
          <cell r="I336">
            <v>1041</v>
          </cell>
          <cell r="J336">
            <v>0.12498931506849315</v>
          </cell>
        </row>
        <row r="337">
          <cell r="I337">
            <v>1042</v>
          </cell>
          <cell r="J337">
            <v>0.12499506849315067</v>
          </cell>
        </row>
        <row r="338">
          <cell r="I338">
            <v>1043</v>
          </cell>
          <cell r="J338">
            <v>0.1250008219178082</v>
          </cell>
        </row>
        <row r="339">
          <cell r="I339">
            <v>1044</v>
          </cell>
          <cell r="J339">
            <v>0.12500657534246576</v>
          </cell>
        </row>
        <row r="340">
          <cell r="I340">
            <v>1045</v>
          </cell>
          <cell r="J340">
            <v>0.12501232876712329</v>
          </cell>
        </row>
        <row r="341">
          <cell r="I341">
            <v>1046</v>
          </cell>
          <cell r="J341">
            <v>0.12501808219178082</v>
          </cell>
        </row>
        <row r="342">
          <cell r="I342">
            <v>1047</v>
          </cell>
          <cell r="J342">
            <v>0.12502383561643834</v>
          </cell>
        </row>
        <row r="343">
          <cell r="I343">
            <v>1048</v>
          </cell>
          <cell r="J343">
            <v>0.12502958904109587</v>
          </cell>
        </row>
        <row r="344">
          <cell r="I344">
            <v>1049</v>
          </cell>
          <cell r="J344">
            <v>0.12503534246575343</v>
          </cell>
        </row>
        <row r="345">
          <cell r="I345">
            <v>1050</v>
          </cell>
          <cell r="J345">
            <v>0.12504109589041096</v>
          </cell>
        </row>
        <row r="346">
          <cell r="I346">
            <v>1051</v>
          </cell>
          <cell r="J346">
            <v>0.12504684931506849</v>
          </cell>
        </row>
        <row r="347">
          <cell r="I347">
            <v>1052</v>
          </cell>
          <cell r="J347">
            <v>0.12505260273972602</v>
          </cell>
        </row>
        <row r="348">
          <cell r="I348">
            <v>1053</v>
          </cell>
          <cell r="J348">
            <v>0.12505835616438354</v>
          </cell>
        </row>
        <row r="349">
          <cell r="I349">
            <v>1054</v>
          </cell>
          <cell r="J349">
            <v>0.1250641095890411</v>
          </cell>
        </row>
        <row r="350">
          <cell r="I350">
            <v>1055</v>
          </cell>
          <cell r="J350">
            <v>0.12506986301369863</v>
          </cell>
        </row>
        <row r="351">
          <cell r="I351">
            <v>1056</v>
          </cell>
          <cell r="J351">
            <v>0.12507561643835616</v>
          </cell>
        </row>
        <row r="352">
          <cell r="I352">
            <v>1057</v>
          </cell>
          <cell r="J352">
            <v>0.12508136986301369</v>
          </cell>
        </row>
        <row r="353">
          <cell r="I353">
            <v>1058</v>
          </cell>
          <cell r="J353">
            <v>0.12508712328767121</v>
          </cell>
        </row>
        <row r="354">
          <cell r="I354">
            <v>1059</v>
          </cell>
          <cell r="J354">
            <v>0.12509287671232877</v>
          </cell>
        </row>
        <row r="355">
          <cell r="I355">
            <v>1060</v>
          </cell>
          <cell r="J355">
            <v>0.1250986301369863</v>
          </cell>
        </row>
        <row r="356">
          <cell r="I356">
            <v>1061</v>
          </cell>
          <cell r="J356">
            <v>0.12510438356164383</v>
          </cell>
        </row>
        <row r="357">
          <cell r="I357">
            <v>1062</v>
          </cell>
          <cell r="J357">
            <v>0.12511013698630136</v>
          </cell>
        </row>
        <row r="358">
          <cell r="I358">
            <v>1063</v>
          </cell>
          <cell r="J358">
            <v>0.12511589041095891</v>
          </cell>
        </row>
        <row r="359">
          <cell r="I359">
            <v>1064</v>
          </cell>
          <cell r="J359">
            <v>0.12512164383561644</v>
          </cell>
        </row>
        <row r="360">
          <cell r="I360">
            <v>1065</v>
          </cell>
          <cell r="J360">
            <v>0.12512739726027397</v>
          </cell>
        </row>
        <row r="361">
          <cell r="I361">
            <v>1066</v>
          </cell>
          <cell r="J361">
            <v>0.1251331506849315</v>
          </cell>
        </row>
        <row r="362">
          <cell r="I362">
            <v>1067</v>
          </cell>
          <cell r="J362">
            <v>0.12513890410958903</v>
          </cell>
        </row>
        <row r="363">
          <cell r="I363">
            <v>1068</v>
          </cell>
          <cell r="J363">
            <v>0.12514465753424658</v>
          </cell>
        </row>
        <row r="364">
          <cell r="I364">
            <v>1069</v>
          </cell>
          <cell r="J364">
            <v>0.12515041095890411</v>
          </cell>
        </row>
        <row r="365">
          <cell r="I365">
            <v>1070</v>
          </cell>
          <cell r="J365">
            <v>0.12515616438356164</v>
          </cell>
        </row>
        <row r="366">
          <cell r="I366">
            <v>1071</v>
          </cell>
          <cell r="J366">
            <v>0.12516191780821917</v>
          </cell>
        </row>
        <row r="367">
          <cell r="I367">
            <v>1072</v>
          </cell>
          <cell r="J367">
            <v>0.1251676712328767</v>
          </cell>
        </row>
        <row r="368">
          <cell r="I368">
            <v>1073</v>
          </cell>
          <cell r="J368">
            <v>0.12517342465753425</v>
          </cell>
        </row>
        <row r="369">
          <cell r="I369">
            <v>1074</v>
          </cell>
          <cell r="J369">
            <v>0.12517917808219178</v>
          </cell>
        </row>
        <row r="370">
          <cell r="I370">
            <v>1075</v>
          </cell>
          <cell r="J370">
            <v>0.12518493150684931</v>
          </cell>
        </row>
        <row r="371">
          <cell r="I371">
            <v>1076</v>
          </cell>
          <cell r="J371">
            <v>0.12519068493150684</v>
          </cell>
        </row>
        <row r="372">
          <cell r="I372">
            <v>1077</v>
          </cell>
          <cell r="J372">
            <v>0.12519643835616437</v>
          </cell>
        </row>
        <row r="373">
          <cell r="I373">
            <v>1078</v>
          </cell>
          <cell r="J373">
            <v>0.12520219178082193</v>
          </cell>
        </row>
        <row r="374">
          <cell r="I374">
            <v>1079</v>
          </cell>
          <cell r="J374">
            <v>0.12520794520547945</v>
          </cell>
        </row>
        <row r="375">
          <cell r="I375">
            <v>1080</v>
          </cell>
          <cell r="J375">
            <v>0.12521369863013698</v>
          </cell>
        </row>
        <row r="376">
          <cell r="I376">
            <v>1081</v>
          </cell>
          <cell r="J376">
            <v>0.12521945205479451</v>
          </cell>
        </row>
        <row r="377">
          <cell r="I377">
            <v>1082</v>
          </cell>
          <cell r="J377">
            <v>0.12522520547945204</v>
          </cell>
        </row>
        <row r="378">
          <cell r="I378">
            <v>1083</v>
          </cell>
          <cell r="J378">
            <v>0.1252309589041096</v>
          </cell>
        </row>
        <row r="379">
          <cell r="I379">
            <v>1084</v>
          </cell>
          <cell r="J379">
            <v>0.12523671232876712</v>
          </cell>
        </row>
        <row r="380">
          <cell r="I380">
            <v>1085</v>
          </cell>
          <cell r="J380">
            <v>0.12524246575342465</v>
          </cell>
        </row>
        <row r="381">
          <cell r="I381">
            <v>1086</v>
          </cell>
          <cell r="J381">
            <v>0.12524821917808218</v>
          </cell>
        </row>
        <row r="382">
          <cell r="I382">
            <v>1087</v>
          </cell>
          <cell r="J382">
            <v>0.12525397260273971</v>
          </cell>
        </row>
        <row r="383">
          <cell r="I383">
            <v>1088</v>
          </cell>
          <cell r="J383">
            <v>0.12525972602739727</v>
          </cell>
        </row>
        <row r="384">
          <cell r="I384">
            <v>1089</v>
          </cell>
          <cell r="J384">
            <v>0.1252654794520548</v>
          </cell>
        </row>
        <row r="385">
          <cell r="I385">
            <v>1090</v>
          </cell>
          <cell r="J385">
            <v>0.12527123287671232</v>
          </cell>
        </row>
        <row r="386">
          <cell r="I386">
            <v>1091</v>
          </cell>
          <cell r="J386">
            <v>0.12527698630136985</v>
          </cell>
        </row>
        <row r="387">
          <cell r="I387">
            <v>1092</v>
          </cell>
          <cell r="J387">
            <v>0.12528273972602738</v>
          </cell>
        </row>
        <row r="388">
          <cell r="I388">
            <v>1093</v>
          </cell>
          <cell r="J388">
            <v>0.12528849315068494</v>
          </cell>
        </row>
        <row r="389">
          <cell r="I389">
            <v>1094</v>
          </cell>
          <cell r="J389">
            <v>0.12529424657534247</v>
          </cell>
        </row>
        <row r="390">
          <cell r="I390">
            <v>1095</v>
          </cell>
          <cell r="J390">
            <v>0.12529999999999999</v>
          </cell>
        </row>
        <row r="391">
          <cell r="I391">
            <v>1096</v>
          </cell>
          <cell r="J391">
            <v>0.12530931506849313</v>
          </cell>
        </row>
        <row r="392">
          <cell r="I392">
            <v>1097</v>
          </cell>
          <cell r="J392">
            <v>0.1253186301369863</v>
          </cell>
        </row>
        <row r="393">
          <cell r="I393">
            <v>1098</v>
          </cell>
          <cell r="J393">
            <v>0.12532794520547944</v>
          </cell>
        </row>
        <row r="394">
          <cell r="I394">
            <v>1099</v>
          </cell>
          <cell r="J394">
            <v>0.1253372602739726</v>
          </cell>
        </row>
        <row r="395">
          <cell r="I395">
            <v>1100</v>
          </cell>
          <cell r="J395">
            <v>0.12534657534246574</v>
          </cell>
        </row>
        <row r="396">
          <cell r="I396">
            <v>1101</v>
          </cell>
          <cell r="J396">
            <v>0.1253558904109589</v>
          </cell>
        </row>
        <row r="397">
          <cell r="I397">
            <v>1102</v>
          </cell>
          <cell r="J397">
            <v>0.12536520547945204</v>
          </cell>
        </row>
        <row r="398">
          <cell r="I398">
            <v>1103</v>
          </cell>
          <cell r="J398">
            <v>0.12537452054794521</v>
          </cell>
        </row>
        <row r="399">
          <cell r="I399">
            <v>1104</v>
          </cell>
          <cell r="J399">
            <v>0.12538383561643834</v>
          </cell>
        </row>
        <row r="400">
          <cell r="I400">
            <v>1105</v>
          </cell>
          <cell r="J400">
            <v>0.12539315068493151</v>
          </cell>
        </row>
        <row r="401">
          <cell r="I401">
            <v>1106</v>
          </cell>
          <cell r="J401">
            <v>0.12540246575342465</v>
          </cell>
        </row>
        <row r="402">
          <cell r="I402">
            <v>1107</v>
          </cell>
          <cell r="J402">
            <v>0.12541178082191781</v>
          </cell>
        </row>
        <row r="403">
          <cell r="I403">
            <v>1108</v>
          </cell>
          <cell r="J403">
            <v>0.12542109589041095</v>
          </cell>
        </row>
        <row r="404">
          <cell r="I404">
            <v>1109</v>
          </cell>
          <cell r="J404">
            <v>0.12543041095890411</v>
          </cell>
        </row>
        <row r="405">
          <cell r="I405">
            <v>1110</v>
          </cell>
          <cell r="J405">
            <v>0.12543972602739725</v>
          </cell>
        </row>
        <row r="406">
          <cell r="I406">
            <v>1111</v>
          </cell>
          <cell r="J406">
            <v>0.12544904109589042</v>
          </cell>
        </row>
        <row r="407">
          <cell r="I407">
            <v>1112</v>
          </cell>
          <cell r="J407">
            <v>0.12545835616438356</v>
          </cell>
        </row>
        <row r="408">
          <cell r="I408">
            <v>1113</v>
          </cell>
          <cell r="J408">
            <v>0.12546767123287669</v>
          </cell>
        </row>
        <row r="409">
          <cell r="I409">
            <v>1114</v>
          </cell>
          <cell r="J409">
            <v>0.12547698630136986</v>
          </cell>
        </row>
        <row r="410">
          <cell r="I410">
            <v>1115</v>
          </cell>
          <cell r="J410">
            <v>0.125486301369863</v>
          </cell>
        </row>
        <row r="411">
          <cell r="I411">
            <v>1116</v>
          </cell>
          <cell r="J411">
            <v>0.12549561643835616</v>
          </cell>
        </row>
        <row r="412">
          <cell r="I412">
            <v>1117</v>
          </cell>
          <cell r="J412">
            <v>0.1255049315068493</v>
          </cell>
        </row>
        <row r="413">
          <cell r="I413">
            <v>1118</v>
          </cell>
          <cell r="J413">
            <v>0.12551424657534246</v>
          </cell>
        </row>
        <row r="414">
          <cell r="I414">
            <v>1119</v>
          </cell>
          <cell r="J414">
            <v>0.1255235616438356</v>
          </cell>
        </row>
        <row r="415">
          <cell r="I415">
            <v>1120</v>
          </cell>
          <cell r="J415">
            <v>0.12553287671232877</v>
          </cell>
        </row>
        <row r="416">
          <cell r="I416">
            <v>1121</v>
          </cell>
          <cell r="J416">
            <v>0.1255421917808219</v>
          </cell>
        </row>
        <row r="417">
          <cell r="I417">
            <v>1122</v>
          </cell>
          <cell r="J417">
            <v>0.12555150684931507</v>
          </cell>
        </row>
        <row r="418">
          <cell r="I418">
            <v>1123</v>
          </cell>
          <cell r="J418">
            <v>0.12556082191780821</v>
          </cell>
        </row>
        <row r="419">
          <cell r="I419">
            <v>1124</v>
          </cell>
          <cell r="J419">
            <v>0.12557013698630137</v>
          </cell>
        </row>
        <row r="420">
          <cell r="I420">
            <v>1125</v>
          </cell>
          <cell r="J420">
            <v>0.12557945205479451</v>
          </cell>
        </row>
        <row r="421">
          <cell r="I421">
            <v>1126</v>
          </cell>
          <cell r="J421">
            <v>0.12558876712328768</v>
          </cell>
        </row>
        <row r="422">
          <cell r="I422">
            <v>1127</v>
          </cell>
          <cell r="J422">
            <v>0.12559808219178081</v>
          </cell>
        </row>
        <row r="423">
          <cell r="I423">
            <v>1128</v>
          </cell>
          <cell r="J423">
            <v>0.12560739726027398</v>
          </cell>
        </row>
        <row r="424">
          <cell r="I424">
            <v>1129</v>
          </cell>
          <cell r="J424">
            <v>0.12561671232876712</v>
          </cell>
        </row>
        <row r="425">
          <cell r="I425">
            <v>1130</v>
          </cell>
          <cell r="J425">
            <v>0.12562602739726025</v>
          </cell>
        </row>
        <row r="426">
          <cell r="I426">
            <v>1131</v>
          </cell>
          <cell r="J426">
            <v>0.12563534246575342</v>
          </cell>
        </row>
        <row r="427">
          <cell r="I427">
            <v>1132</v>
          </cell>
          <cell r="J427">
            <v>0.12564465753424656</v>
          </cell>
        </row>
        <row r="428">
          <cell r="I428">
            <v>1133</v>
          </cell>
          <cell r="J428">
            <v>0.12565397260273972</v>
          </cell>
        </row>
        <row r="429">
          <cell r="I429">
            <v>1134</v>
          </cell>
          <cell r="J429">
            <v>0.12566328767123286</v>
          </cell>
        </row>
        <row r="430">
          <cell r="I430">
            <v>1135</v>
          </cell>
          <cell r="J430">
            <v>0.12567260273972602</v>
          </cell>
        </row>
        <row r="431">
          <cell r="I431">
            <v>1136</v>
          </cell>
          <cell r="J431">
            <v>0.12568191780821916</v>
          </cell>
        </row>
        <row r="432">
          <cell r="I432">
            <v>1137</v>
          </cell>
          <cell r="J432">
            <v>0.12569123287671233</v>
          </cell>
        </row>
        <row r="433">
          <cell r="I433">
            <v>1138</v>
          </cell>
          <cell r="J433">
            <v>0.12570054794520547</v>
          </cell>
        </row>
        <row r="434">
          <cell r="I434">
            <v>1139</v>
          </cell>
          <cell r="J434">
            <v>0.12570986301369863</v>
          </cell>
        </row>
        <row r="435">
          <cell r="I435">
            <v>1140</v>
          </cell>
          <cell r="J435">
            <v>0.12571917808219177</v>
          </cell>
        </row>
        <row r="436">
          <cell r="I436">
            <v>1141</v>
          </cell>
          <cell r="J436">
            <v>0.12572849315068493</v>
          </cell>
        </row>
        <row r="437">
          <cell r="I437">
            <v>1142</v>
          </cell>
          <cell r="J437">
            <v>0.12573780821917807</v>
          </cell>
        </row>
        <row r="438">
          <cell r="I438">
            <v>1143</v>
          </cell>
          <cell r="J438">
            <v>0.12574712328767124</v>
          </cell>
        </row>
        <row r="439">
          <cell r="I439">
            <v>1144</v>
          </cell>
          <cell r="J439">
            <v>0.12575643835616437</v>
          </cell>
        </row>
        <row r="440">
          <cell r="I440">
            <v>1145</v>
          </cell>
          <cell r="J440">
            <v>0.12576575342465754</v>
          </cell>
        </row>
        <row r="441">
          <cell r="I441">
            <v>1146</v>
          </cell>
          <cell r="J441">
            <v>0.12577506849315068</v>
          </cell>
        </row>
        <row r="442">
          <cell r="I442">
            <v>1147</v>
          </cell>
          <cell r="J442">
            <v>0.12578438356164384</v>
          </cell>
        </row>
        <row r="443">
          <cell r="I443">
            <v>1148</v>
          </cell>
          <cell r="J443">
            <v>0.12579369863013698</v>
          </cell>
        </row>
        <row r="444">
          <cell r="I444">
            <v>1149</v>
          </cell>
          <cell r="J444">
            <v>0.12580301369863012</v>
          </cell>
        </row>
        <row r="445">
          <cell r="I445">
            <v>1150</v>
          </cell>
          <cell r="J445">
            <v>0.12581232876712328</v>
          </cell>
        </row>
        <row r="446">
          <cell r="I446">
            <v>1151</v>
          </cell>
          <cell r="J446">
            <v>0.12582164383561642</v>
          </cell>
        </row>
        <row r="447">
          <cell r="I447">
            <v>1152</v>
          </cell>
          <cell r="J447">
            <v>0.12583095890410959</v>
          </cell>
        </row>
        <row r="448">
          <cell r="I448">
            <v>1153</v>
          </cell>
          <cell r="J448">
            <v>0.12584027397260272</v>
          </cell>
        </row>
        <row r="449">
          <cell r="I449">
            <v>1154</v>
          </cell>
          <cell r="J449">
            <v>0.12584958904109589</v>
          </cell>
        </row>
        <row r="450">
          <cell r="I450">
            <v>1155</v>
          </cell>
          <cell r="J450">
            <v>0.12585890410958903</v>
          </cell>
        </row>
        <row r="451">
          <cell r="I451">
            <v>1156</v>
          </cell>
          <cell r="J451">
            <v>0.12586821917808219</v>
          </cell>
        </row>
        <row r="452">
          <cell r="I452">
            <v>1157</v>
          </cell>
          <cell r="J452">
            <v>0.12587753424657533</v>
          </cell>
        </row>
        <row r="453">
          <cell r="I453">
            <v>1158</v>
          </cell>
          <cell r="J453">
            <v>0.12588684931506849</v>
          </cell>
        </row>
        <row r="454">
          <cell r="I454">
            <v>1159</v>
          </cell>
          <cell r="J454">
            <v>0.12589616438356163</v>
          </cell>
        </row>
        <row r="455">
          <cell r="I455">
            <v>1160</v>
          </cell>
          <cell r="J455">
            <v>0.1259054794520548</v>
          </cell>
        </row>
        <row r="456">
          <cell r="I456">
            <v>1161</v>
          </cell>
          <cell r="J456">
            <v>0.12591479452054793</v>
          </cell>
        </row>
        <row r="457">
          <cell r="I457">
            <v>1162</v>
          </cell>
          <cell r="J457">
            <v>0.1259241095890411</v>
          </cell>
        </row>
        <row r="458">
          <cell r="I458">
            <v>1163</v>
          </cell>
          <cell r="J458">
            <v>0.12593342465753424</v>
          </cell>
        </row>
        <row r="459">
          <cell r="I459">
            <v>1164</v>
          </cell>
          <cell r="J459">
            <v>0.1259427397260274</v>
          </cell>
        </row>
        <row r="460">
          <cell r="I460">
            <v>1165</v>
          </cell>
          <cell r="J460">
            <v>0.12595205479452054</v>
          </cell>
        </row>
        <row r="461">
          <cell r="I461">
            <v>1166</v>
          </cell>
          <cell r="J461">
            <v>0.12596136986301368</v>
          </cell>
        </row>
        <row r="462">
          <cell r="I462">
            <v>1167</v>
          </cell>
          <cell r="J462">
            <v>0.12597068493150684</v>
          </cell>
        </row>
        <row r="463">
          <cell r="I463">
            <v>1168</v>
          </cell>
          <cell r="J463">
            <v>0.12597999999999998</v>
          </cell>
        </row>
        <row r="464">
          <cell r="I464">
            <v>1169</v>
          </cell>
          <cell r="J464">
            <v>0.12598931506849315</v>
          </cell>
        </row>
        <row r="465">
          <cell r="I465">
            <v>1170</v>
          </cell>
          <cell r="J465">
            <v>0.12599863013698628</v>
          </cell>
        </row>
        <row r="466">
          <cell r="I466">
            <v>1171</v>
          </cell>
          <cell r="J466">
            <v>0.12600794520547945</v>
          </cell>
        </row>
        <row r="467">
          <cell r="I467">
            <v>1172</v>
          </cell>
          <cell r="J467">
            <v>0.12601726027397259</v>
          </cell>
        </row>
        <row r="468">
          <cell r="I468">
            <v>1173</v>
          </cell>
          <cell r="J468">
            <v>0.12602657534246575</v>
          </cell>
        </row>
        <row r="469">
          <cell r="I469">
            <v>1174</v>
          </cell>
          <cell r="J469">
            <v>0.12603589041095889</v>
          </cell>
        </row>
        <row r="470">
          <cell r="I470">
            <v>1175</v>
          </cell>
          <cell r="J470">
            <v>0.12604520547945205</v>
          </cell>
        </row>
        <row r="471">
          <cell r="I471">
            <v>1176</v>
          </cell>
          <cell r="J471">
            <v>0.12605452054794519</v>
          </cell>
        </row>
        <row r="472">
          <cell r="I472">
            <v>1177</v>
          </cell>
          <cell r="J472">
            <v>0.12606383561643836</v>
          </cell>
        </row>
        <row r="473">
          <cell r="I473">
            <v>1178</v>
          </cell>
          <cell r="J473">
            <v>0.1260731506849315</v>
          </cell>
        </row>
        <row r="474">
          <cell r="I474">
            <v>1179</v>
          </cell>
          <cell r="J474">
            <v>0.12608246575342466</v>
          </cell>
        </row>
        <row r="475">
          <cell r="I475">
            <v>1180</v>
          </cell>
          <cell r="J475">
            <v>0.1260917808219178</v>
          </cell>
        </row>
        <row r="476">
          <cell r="I476">
            <v>1181</v>
          </cell>
          <cell r="J476">
            <v>0.12610109589041096</v>
          </cell>
        </row>
        <row r="477">
          <cell r="I477">
            <v>1182</v>
          </cell>
          <cell r="J477">
            <v>0.1261104109589041</v>
          </cell>
        </row>
        <row r="478">
          <cell r="I478">
            <v>1183</v>
          </cell>
          <cell r="J478">
            <v>0.12611972602739724</v>
          </cell>
        </row>
        <row r="479">
          <cell r="I479">
            <v>1184</v>
          </cell>
          <cell r="J479">
            <v>0.1261290410958904</v>
          </cell>
        </row>
        <row r="480">
          <cell r="I480">
            <v>1185</v>
          </cell>
          <cell r="J480">
            <v>0.12613835616438354</v>
          </cell>
        </row>
        <row r="481">
          <cell r="I481">
            <v>1186</v>
          </cell>
          <cell r="J481">
            <v>0.12614767123287671</v>
          </cell>
        </row>
        <row r="482">
          <cell r="I482">
            <v>1187</v>
          </cell>
          <cell r="J482">
            <v>0.12615698630136984</v>
          </cell>
        </row>
        <row r="483">
          <cell r="I483">
            <v>1188</v>
          </cell>
          <cell r="J483">
            <v>0.12616630136986301</v>
          </cell>
        </row>
        <row r="484">
          <cell r="I484">
            <v>1189</v>
          </cell>
          <cell r="J484">
            <v>0.12617561643835615</v>
          </cell>
        </row>
        <row r="485">
          <cell r="I485">
            <v>1190</v>
          </cell>
          <cell r="J485">
            <v>0.12618493150684931</v>
          </cell>
        </row>
        <row r="486">
          <cell r="I486">
            <v>1191</v>
          </cell>
          <cell r="J486">
            <v>0.12619424657534245</v>
          </cell>
        </row>
        <row r="487">
          <cell r="I487">
            <v>1192</v>
          </cell>
          <cell r="J487">
            <v>0.12620356164383562</v>
          </cell>
        </row>
        <row r="488">
          <cell r="I488">
            <v>1193</v>
          </cell>
          <cell r="J488">
            <v>0.12621287671232875</v>
          </cell>
        </row>
        <row r="489">
          <cell r="I489">
            <v>1194</v>
          </cell>
          <cell r="J489">
            <v>0.12622219178082192</v>
          </cell>
        </row>
        <row r="490">
          <cell r="I490">
            <v>1195</v>
          </cell>
          <cell r="J490">
            <v>0.12623150684931506</v>
          </cell>
        </row>
        <row r="491">
          <cell r="I491">
            <v>1196</v>
          </cell>
          <cell r="J491">
            <v>0.12624082191780822</v>
          </cell>
        </row>
        <row r="492">
          <cell r="I492">
            <v>1197</v>
          </cell>
          <cell r="J492">
            <v>0.12625013698630136</v>
          </cell>
        </row>
        <row r="493">
          <cell r="I493">
            <v>1198</v>
          </cell>
          <cell r="J493">
            <v>0.12625945205479452</v>
          </cell>
        </row>
        <row r="494">
          <cell r="I494">
            <v>1199</v>
          </cell>
          <cell r="J494">
            <v>0.12626876712328766</v>
          </cell>
        </row>
        <row r="495">
          <cell r="I495">
            <v>1200</v>
          </cell>
          <cell r="J495">
            <v>0.1262780821917808</v>
          </cell>
        </row>
        <row r="496">
          <cell r="I496">
            <v>1201</v>
          </cell>
          <cell r="J496">
            <v>0.12628739726027396</v>
          </cell>
        </row>
        <row r="497">
          <cell r="I497">
            <v>1202</v>
          </cell>
          <cell r="J497">
            <v>0.1262967123287671</v>
          </cell>
        </row>
        <row r="498">
          <cell r="I498">
            <v>1203</v>
          </cell>
          <cell r="J498">
            <v>0.12630602739726027</v>
          </cell>
        </row>
        <row r="499">
          <cell r="I499">
            <v>1204</v>
          </cell>
          <cell r="J499">
            <v>0.12631534246575341</v>
          </cell>
        </row>
        <row r="500">
          <cell r="I500">
            <v>1205</v>
          </cell>
          <cell r="J500">
            <v>0.12632465753424657</v>
          </cell>
        </row>
        <row r="501">
          <cell r="I501">
            <v>1206</v>
          </cell>
          <cell r="J501">
            <v>0.12633397260273971</v>
          </cell>
        </row>
        <row r="502">
          <cell r="I502">
            <v>1207</v>
          </cell>
          <cell r="J502">
            <v>0.12634328767123287</v>
          </cell>
        </row>
        <row r="503">
          <cell r="I503">
            <v>1208</v>
          </cell>
          <cell r="J503">
            <v>0.12635260273972601</v>
          </cell>
        </row>
        <row r="504">
          <cell r="I504">
            <v>1209</v>
          </cell>
          <cell r="J504">
            <v>0.12636191780821918</v>
          </cell>
        </row>
        <row r="505">
          <cell r="I505">
            <v>1210</v>
          </cell>
          <cell r="J505">
            <v>0.12637123287671231</v>
          </cell>
        </row>
        <row r="506">
          <cell r="I506">
            <v>1211</v>
          </cell>
          <cell r="J506">
            <v>0.12638054794520548</v>
          </cell>
        </row>
        <row r="507">
          <cell r="I507">
            <v>1212</v>
          </cell>
          <cell r="J507">
            <v>0.12638986301369862</v>
          </cell>
        </row>
        <row r="508">
          <cell r="I508">
            <v>1213</v>
          </cell>
          <cell r="J508">
            <v>0.12639917808219178</v>
          </cell>
        </row>
        <row r="509">
          <cell r="I509">
            <v>1214</v>
          </cell>
          <cell r="J509">
            <v>0.12640849315068492</v>
          </cell>
        </row>
        <row r="510">
          <cell r="I510">
            <v>1215</v>
          </cell>
          <cell r="J510">
            <v>0.12641780821917808</v>
          </cell>
        </row>
        <row r="511">
          <cell r="I511">
            <v>1216</v>
          </cell>
          <cell r="J511">
            <v>0.12642712328767122</v>
          </cell>
        </row>
        <row r="512">
          <cell r="I512">
            <v>1217</v>
          </cell>
          <cell r="J512">
            <v>0.12643643835616436</v>
          </cell>
        </row>
        <row r="513">
          <cell r="I513">
            <v>1218</v>
          </cell>
          <cell r="J513">
            <v>0.12644575342465753</v>
          </cell>
        </row>
        <row r="514">
          <cell r="I514">
            <v>1219</v>
          </cell>
          <cell r="J514">
            <v>0.12645506849315066</v>
          </cell>
        </row>
        <row r="515">
          <cell r="I515">
            <v>1220</v>
          </cell>
          <cell r="J515">
            <v>0.12646438356164383</v>
          </cell>
        </row>
        <row r="516">
          <cell r="I516">
            <v>1221</v>
          </cell>
          <cell r="J516">
            <v>0.12647369863013697</v>
          </cell>
        </row>
        <row r="517">
          <cell r="I517">
            <v>1222</v>
          </cell>
          <cell r="J517">
            <v>0.12648301369863013</v>
          </cell>
        </row>
        <row r="518">
          <cell r="I518">
            <v>1223</v>
          </cell>
          <cell r="J518">
            <v>0.12649232876712327</v>
          </cell>
        </row>
        <row r="519">
          <cell r="I519">
            <v>1224</v>
          </cell>
          <cell r="J519">
            <v>0.12650164383561643</v>
          </cell>
        </row>
        <row r="520">
          <cell r="I520">
            <v>1225</v>
          </cell>
          <cell r="J520">
            <v>0.12651095890410957</v>
          </cell>
        </row>
        <row r="521">
          <cell r="I521">
            <v>1226</v>
          </cell>
          <cell r="J521">
            <v>0.12652027397260274</v>
          </cell>
        </row>
        <row r="522">
          <cell r="I522">
            <v>1227</v>
          </cell>
          <cell r="J522">
            <v>0.12652958904109587</v>
          </cell>
        </row>
        <row r="523">
          <cell r="I523">
            <v>1228</v>
          </cell>
          <cell r="J523">
            <v>0.12653890410958904</v>
          </cell>
        </row>
        <row r="524">
          <cell r="I524">
            <v>1229</v>
          </cell>
          <cell r="J524">
            <v>0.12654821917808218</v>
          </cell>
        </row>
        <row r="525">
          <cell r="I525">
            <v>1230</v>
          </cell>
          <cell r="J525">
            <v>0.12655753424657534</v>
          </cell>
        </row>
        <row r="526">
          <cell r="I526">
            <v>1231</v>
          </cell>
          <cell r="J526">
            <v>0.12656684931506848</v>
          </cell>
        </row>
        <row r="527">
          <cell r="I527">
            <v>1232</v>
          </cell>
          <cell r="J527">
            <v>0.12657616438356165</v>
          </cell>
        </row>
        <row r="528">
          <cell r="I528">
            <v>1233</v>
          </cell>
          <cell r="J528">
            <v>0.12658547945205478</v>
          </cell>
        </row>
        <row r="529">
          <cell r="I529">
            <v>1234</v>
          </cell>
          <cell r="J529">
            <v>0.12659479452054795</v>
          </cell>
        </row>
        <row r="530">
          <cell r="I530">
            <v>1235</v>
          </cell>
          <cell r="J530">
            <v>0.12660410958904109</v>
          </cell>
        </row>
        <row r="531">
          <cell r="I531">
            <v>1236</v>
          </cell>
          <cell r="J531">
            <v>0.12661342465753422</v>
          </cell>
        </row>
        <row r="532">
          <cell r="I532">
            <v>1237</v>
          </cell>
          <cell r="J532">
            <v>0.12662273972602739</v>
          </cell>
        </row>
        <row r="533">
          <cell r="I533">
            <v>1238</v>
          </cell>
          <cell r="J533">
            <v>0.12663205479452053</v>
          </cell>
        </row>
        <row r="534">
          <cell r="I534">
            <v>1239</v>
          </cell>
          <cell r="J534">
            <v>0.12664136986301369</v>
          </cell>
        </row>
        <row r="535">
          <cell r="I535">
            <v>1240</v>
          </cell>
          <cell r="J535">
            <v>0.12665068493150683</v>
          </cell>
        </row>
        <row r="536">
          <cell r="I536">
            <v>1241</v>
          </cell>
          <cell r="J536">
            <v>0.12665999999999999</v>
          </cell>
        </row>
        <row r="537">
          <cell r="I537">
            <v>1242</v>
          </cell>
          <cell r="J537">
            <v>0.12666931506849313</v>
          </cell>
        </row>
        <row r="538">
          <cell r="I538">
            <v>1243</v>
          </cell>
          <cell r="J538">
            <v>0.1266786301369863</v>
          </cell>
        </row>
        <row r="539">
          <cell r="I539">
            <v>1244</v>
          </cell>
          <cell r="J539">
            <v>0.12668794520547944</v>
          </cell>
        </row>
        <row r="540">
          <cell r="I540">
            <v>1245</v>
          </cell>
          <cell r="J540">
            <v>0.1266972602739726</v>
          </cell>
        </row>
        <row r="541">
          <cell r="I541">
            <v>1246</v>
          </cell>
          <cell r="J541">
            <v>0.12670657534246574</v>
          </cell>
        </row>
        <row r="542">
          <cell r="I542">
            <v>1247</v>
          </cell>
          <cell r="J542">
            <v>0.1267158904109589</v>
          </cell>
        </row>
        <row r="543">
          <cell r="I543">
            <v>1248</v>
          </cell>
          <cell r="J543">
            <v>0.12672520547945204</v>
          </cell>
        </row>
        <row r="544">
          <cell r="I544">
            <v>1249</v>
          </cell>
          <cell r="J544">
            <v>0.12673452054794521</v>
          </cell>
        </row>
        <row r="545">
          <cell r="I545">
            <v>1250</v>
          </cell>
          <cell r="J545">
            <v>0.12674383561643834</v>
          </cell>
        </row>
        <row r="546">
          <cell r="I546">
            <v>1251</v>
          </cell>
          <cell r="J546">
            <v>0.12675315068493151</v>
          </cell>
        </row>
        <row r="547">
          <cell r="I547">
            <v>1252</v>
          </cell>
          <cell r="J547">
            <v>0.12676246575342465</v>
          </cell>
        </row>
        <row r="548">
          <cell r="I548">
            <v>1253</v>
          </cell>
          <cell r="J548">
            <v>0.12677178082191778</v>
          </cell>
        </row>
        <row r="549">
          <cell r="I549">
            <v>1254</v>
          </cell>
          <cell r="J549">
            <v>0.12678109589041095</v>
          </cell>
        </row>
        <row r="550">
          <cell r="I550">
            <v>1255</v>
          </cell>
          <cell r="J550">
            <v>0.12679041095890409</v>
          </cell>
        </row>
        <row r="551">
          <cell r="I551">
            <v>1256</v>
          </cell>
          <cell r="J551">
            <v>0.12679972602739725</v>
          </cell>
        </row>
        <row r="552">
          <cell r="I552">
            <v>1257</v>
          </cell>
          <cell r="J552">
            <v>0.12680904109589039</v>
          </cell>
        </row>
        <row r="553">
          <cell r="I553">
            <v>1258</v>
          </cell>
          <cell r="J553">
            <v>0.12681835616438356</v>
          </cell>
        </row>
        <row r="554">
          <cell r="I554">
            <v>1259</v>
          </cell>
          <cell r="J554">
            <v>0.12682767123287669</v>
          </cell>
        </row>
        <row r="555">
          <cell r="I555">
            <v>1260</v>
          </cell>
          <cell r="J555">
            <v>0.12683698630136986</v>
          </cell>
        </row>
        <row r="556">
          <cell r="I556">
            <v>1261</v>
          </cell>
          <cell r="J556">
            <v>0.126846301369863</v>
          </cell>
        </row>
        <row r="557">
          <cell r="I557">
            <v>1262</v>
          </cell>
          <cell r="J557">
            <v>0.12685561643835616</v>
          </cell>
        </row>
        <row r="558">
          <cell r="I558">
            <v>1263</v>
          </cell>
          <cell r="J558">
            <v>0.1268649315068493</v>
          </cell>
        </row>
        <row r="559">
          <cell r="I559">
            <v>1264</v>
          </cell>
          <cell r="J559">
            <v>0.12687424657534246</v>
          </cell>
        </row>
        <row r="560">
          <cell r="I560">
            <v>1265</v>
          </cell>
          <cell r="J560">
            <v>0.1268835616438356</v>
          </cell>
        </row>
        <row r="561">
          <cell r="I561">
            <v>1266</v>
          </cell>
          <cell r="J561">
            <v>0.12689287671232877</v>
          </cell>
        </row>
        <row r="562">
          <cell r="I562">
            <v>1267</v>
          </cell>
          <cell r="J562">
            <v>0.1269021917808219</v>
          </cell>
        </row>
        <row r="563">
          <cell r="I563">
            <v>1268</v>
          </cell>
          <cell r="J563">
            <v>0.12691150684931507</v>
          </cell>
        </row>
        <row r="564">
          <cell r="I564">
            <v>1269</v>
          </cell>
          <cell r="J564">
            <v>0.12692082191780821</v>
          </cell>
        </row>
        <row r="565">
          <cell r="I565">
            <v>1270</v>
          </cell>
          <cell r="J565">
            <v>0.12693013698630135</v>
          </cell>
        </row>
        <row r="566">
          <cell r="I566">
            <v>1271</v>
          </cell>
          <cell r="J566">
            <v>0.12693945205479451</v>
          </cell>
        </row>
        <row r="567">
          <cell r="I567">
            <v>1272</v>
          </cell>
          <cell r="J567">
            <v>0.12694876712328765</v>
          </cell>
        </row>
        <row r="568">
          <cell r="I568">
            <v>1273</v>
          </cell>
          <cell r="J568">
            <v>0.12695808219178081</v>
          </cell>
        </row>
        <row r="569">
          <cell r="I569">
            <v>1274</v>
          </cell>
          <cell r="J569">
            <v>0.12696739726027395</v>
          </cell>
        </row>
        <row r="570">
          <cell r="I570">
            <v>1275</v>
          </cell>
          <cell r="J570">
            <v>0.12697671232876712</v>
          </cell>
        </row>
        <row r="571">
          <cell r="I571">
            <v>1276</v>
          </cell>
          <cell r="J571">
            <v>0.12698602739726025</v>
          </cell>
        </row>
        <row r="572">
          <cell r="I572">
            <v>1277</v>
          </cell>
          <cell r="J572">
            <v>0.12699534246575342</v>
          </cell>
        </row>
        <row r="573">
          <cell r="I573">
            <v>1278</v>
          </cell>
          <cell r="J573">
            <v>0.12700465753424656</v>
          </cell>
        </row>
        <row r="574">
          <cell r="I574">
            <v>1279</v>
          </cell>
          <cell r="J574">
            <v>0.12701397260273972</v>
          </cell>
        </row>
        <row r="575">
          <cell r="I575">
            <v>1280</v>
          </cell>
          <cell r="J575">
            <v>0.12702328767123286</v>
          </cell>
        </row>
        <row r="576">
          <cell r="I576">
            <v>1281</v>
          </cell>
          <cell r="J576">
            <v>0.12703260273972602</v>
          </cell>
        </row>
        <row r="577">
          <cell r="I577">
            <v>1282</v>
          </cell>
          <cell r="J577">
            <v>0.12704191780821916</v>
          </cell>
        </row>
        <row r="578">
          <cell r="I578">
            <v>1283</v>
          </cell>
          <cell r="J578">
            <v>0.12705123287671233</v>
          </cell>
        </row>
        <row r="579">
          <cell r="I579">
            <v>1284</v>
          </cell>
          <cell r="J579">
            <v>0.12706054794520547</v>
          </cell>
        </row>
        <row r="580">
          <cell r="I580">
            <v>1285</v>
          </cell>
          <cell r="J580">
            <v>0.12706986301369863</v>
          </cell>
        </row>
        <row r="581">
          <cell r="I581">
            <v>1286</v>
          </cell>
          <cell r="J581">
            <v>0.12707917808219177</v>
          </cell>
        </row>
        <row r="582">
          <cell r="I582">
            <v>1287</v>
          </cell>
          <cell r="J582">
            <v>0.12708849315068491</v>
          </cell>
        </row>
        <row r="583">
          <cell r="I583">
            <v>1288</v>
          </cell>
          <cell r="J583">
            <v>0.12709780821917807</v>
          </cell>
        </row>
        <row r="584">
          <cell r="I584">
            <v>1289</v>
          </cell>
          <cell r="J584">
            <v>0.12710712328767121</v>
          </cell>
        </row>
        <row r="585">
          <cell r="I585">
            <v>1290</v>
          </cell>
          <cell r="J585">
            <v>0.12711643835616437</v>
          </cell>
        </row>
        <row r="586">
          <cell r="I586">
            <v>1291</v>
          </cell>
          <cell r="J586">
            <v>0.12712575342465751</v>
          </cell>
        </row>
        <row r="587">
          <cell r="I587">
            <v>1292</v>
          </cell>
          <cell r="J587">
            <v>0.12713506849315068</v>
          </cell>
        </row>
        <row r="588">
          <cell r="I588">
            <v>1293</v>
          </cell>
          <cell r="J588">
            <v>0.12714438356164381</v>
          </cell>
        </row>
        <row r="589">
          <cell r="I589">
            <v>1294</v>
          </cell>
          <cell r="J589">
            <v>0.12715369863013698</v>
          </cell>
        </row>
        <row r="590">
          <cell r="I590">
            <v>1295</v>
          </cell>
          <cell r="J590">
            <v>0.12716301369863012</v>
          </cell>
        </row>
        <row r="591">
          <cell r="I591">
            <v>1296</v>
          </cell>
          <cell r="J591">
            <v>0.12717232876712328</v>
          </cell>
        </row>
        <row r="592">
          <cell r="I592">
            <v>1297</v>
          </cell>
          <cell r="J592">
            <v>0.12718164383561642</v>
          </cell>
        </row>
        <row r="593">
          <cell r="I593">
            <v>1298</v>
          </cell>
          <cell r="J593">
            <v>0.12719095890410959</v>
          </cell>
        </row>
        <row r="594">
          <cell r="I594">
            <v>1299</v>
          </cell>
          <cell r="J594">
            <v>0.12720027397260272</v>
          </cell>
        </row>
        <row r="595">
          <cell r="I595">
            <v>1300</v>
          </cell>
          <cell r="J595">
            <v>0.12720958904109589</v>
          </cell>
        </row>
        <row r="596">
          <cell r="I596">
            <v>1301</v>
          </cell>
          <cell r="J596">
            <v>0.12721890410958903</v>
          </cell>
        </row>
        <row r="597">
          <cell r="I597">
            <v>1302</v>
          </cell>
          <cell r="J597">
            <v>0.12722821917808219</v>
          </cell>
        </row>
        <row r="598">
          <cell r="I598">
            <v>1303</v>
          </cell>
          <cell r="J598">
            <v>0.12723753424657533</v>
          </cell>
        </row>
        <row r="599">
          <cell r="I599">
            <v>1304</v>
          </cell>
          <cell r="J599">
            <v>0.12724684931506847</v>
          </cell>
        </row>
        <row r="600">
          <cell r="I600">
            <v>1305</v>
          </cell>
          <cell r="J600">
            <v>0.12725616438356163</v>
          </cell>
        </row>
        <row r="601">
          <cell r="I601">
            <v>1306</v>
          </cell>
          <cell r="J601">
            <v>0.12726547945205477</v>
          </cell>
        </row>
        <row r="602">
          <cell r="I602">
            <v>1307</v>
          </cell>
          <cell r="J602">
            <v>0.12727479452054793</v>
          </cell>
        </row>
        <row r="603">
          <cell r="I603">
            <v>1308</v>
          </cell>
          <cell r="J603">
            <v>0.12728410958904107</v>
          </cell>
        </row>
        <row r="604">
          <cell r="I604">
            <v>1309</v>
          </cell>
          <cell r="J604">
            <v>0.12729342465753424</v>
          </cell>
        </row>
        <row r="605">
          <cell r="I605">
            <v>1310</v>
          </cell>
          <cell r="J605">
            <v>0.12730273972602738</v>
          </cell>
        </row>
        <row r="606">
          <cell r="I606">
            <v>1311</v>
          </cell>
          <cell r="J606">
            <v>0.12731205479452054</v>
          </cell>
        </row>
        <row r="607">
          <cell r="I607">
            <v>1312</v>
          </cell>
          <cell r="J607">
            <v>0.12732136986301368</v>
          </cell>
        </row>
        <row r="608">
          <cell r="I608">
            <v>1313</v>
          </cell>
          <cell r="J608">
            <v>0.12733068493150684</v>
          </cell>
        </row>
        <row r="609">
          <cell r="I609">
            <v>1314</v>
          </cell>
          <cell r="J609">
            <v>0.12733999999999998</v>
          </cell>
        </row>
        <row r="610">
          <cell r="I610">
            <v>1315</v>
          </cell>
          <cell r="J610">
            <v>0.12734931506849315</v>
          </cell>
        </row>
        <row r="611">
          <cell r="I611">
            <v>1316</v>
          </cell>
          <cell r="J611">
            <v>0.12735863013698628</v>
          </cell>
        </row>
        <row r="612">
          <cell r="I612">
            <v>1317</v>
          </cell>
          <cell r="J612">
            <v>0.12736794520547945</v>
          </cell>
        </row>
        <row r="613">
          <cell r="I613">
            <v>1318</v>
          </cell>
          <cell r="J613">
            <v>0.12737726027397259</v>
          </cell>
        </row>
        <row r="614">
          <cell r="I614">
            <v>1319</v>
          </cell>
          <cell r="J614">
            <v>0.12738657534246575</v>
          </cell>
        </row>
        <row r="615">
          <cell r="I615">
            <v>1320</v>
          </cell>
          <cell r="J615">
            <v>0.12739589041095889</v>
          </cell>
        </row>
        <row r="616">
          <cell r="I616">
            <v>1321</v>
          </cell>
          <cell r="J616">
            <v>0.12740520547945205</v>
          </cell>
        </row>
        <row r="617">
          <cell r="I617">
            <v>1322</v>
          </cell>
          <cell r="J617">
            <v>0.12741452054794519</v>
          </cell>
        </row>
        <row r="618">
          <cell r="I618">
            <v>1323</v>
          </cell>
          <cell r="J618">
            <v>0.12742383561643833</v>
          </cell>
        </row>
        <row r="619">
          <cell r="I619">
            <v>1324</v>
          </cell>
          <cell r="J619">
            <v>0.1274331506849315</v>
          </cell>
        </row>
        <row r="620">
          <cell r="I620">
            <v>1325</v>
          </cell>
          <cell r="J620">
            <v>0.12744246575342463</v>
          </cell>
        </row>
        <row r="621">
          <cell r="I621">
            <v>1326</v>
          </cell>
          <cell r="J621">
            <v>0.1274517808219178</v>
          </cell>
        </row>
        <row r="622">
          <cell r="I622">
            <v>1327</v>
          </cell>
          <cell r="J622">
            <v>0.12746109589041094</v>
          </cell>
        </row>
        <row r="623">
          <cell r="I623">
            <v>1328</v>
          </cell>
          <cell r="J623">
            <v>0.1274704109589041</v>
          </cell>
        </row>
        <row r="624">
          <cell r="I624">
            <v>1329</v>
          </cell>
          <cell r="J624">
            <v>0.12747972602739724</v>
          </cell>
        </row>
        <row r="625">
          <cell r="I625">
            <v>1330</v>
          </cell>
          <cell r="J625">
            <v>0.1274890410958904</v>
          </cell>
        </row>
        <row r="626">
          <cell r="I626">
            <v>1331</v>
          </cell>
          <cell r="J626">
            <v>0.12749835616438354</v>
          </cell>
        </row>
        <row r="627">
          <cell r="I627">
            <v>1332</v>
          </cell>
          <cell r="J627">
            <v>0.12750767123287671</v>
          </cell>
        </row>
        <row r="628">
          <cell r="I628">
            <v>1333</v>
          </cell>
          <cell r="J628">
            <v>0.12751698630136984</v>
          </cell>
        </row>
        <row r="629">
          <cell r="I629">
            <v>1334</v>
          </cell>
          <cell r="J629">
            <v>0.12752630136986301</v>
          </cell>
        </row>
        <row r="630">
          <cell r="I630">
            <v>1335</v>
          </cell>
          <cell r="J630">
            <v>0.12753561643835615</v>
          </cell>
        </row>
        <row r="631">
          <cell r="I631">
            <v>1336</v>
          </cell>
          <cell r="J631">
            <v>0.12754493150684931</v>
          </cell>
        </row>
        <row r="632">
          <cell r="I632">
            <v>1337</v>
          </cell>
          <cell r="J632">
            <v>0.12755424657534245</v>
          </cell>
        </row>
        <row r="633">
          <cell r="I633">
            <v>1338</v>
          </cell>
          <cell r="J633">
            <v>0.12756356164383562</v>
          </cell>
        </row>
        <row r="634">
          <cell r="I634">
            <v>1339</v>
          </cell>
          <cell r="J634">
            <v>0.12757287671232875</v>
          </cell>
        </row>
        <row r="635">
          <cell r="I635">
            <v>1340</v>
          </cell>
          <cell r="J635">
            <v>0.12758219178082189</v>
          </cell>
        </row>
        <row r="636">
          <cell r="I636">
            <v>1341</v>
          </cell>
          <cell r="J636">
            <v>0.12759150684931506</v>
          </cell>
        </row>
        <row r="637">
          <cell r="I637">
            <v>1342</v>
          </cell>
          <cell r="J637">
            <v>0.12760082191780819</v>
          </cell>
        </row>
        <row r="638">
          <cell r="I638">
            <v>1343</v>
          </cell>
          <cell r="J638">
            <v>0.12761013698630136</v>
          </cell>
        </row>
        <row r="639">
          <cell r="I639">
            <v>1344</v>
          </cell>
          <cell r="J639">
            <v>0.1276194520547945</v>
          </cell>
        </row>
        <row r="640">
          <cell r="I640">
            <v>1345</v>
          </cell>
          <cell r="J640">
            <v>0.12762876712328766</v>
          </cell>
        </row>
        <row r="641">
          <cell r="I641">
            <v>1346</v>
          </cell>
          <cell r="J641">
            <v>0.1276380821917808</v>
          </cell>
        </row>
        <row r="642">
          <cell r="I642">
            <v>1347</v>
          </cell>
          <cell r="J642">
            <v>0.12764739726027396</v>
          </cell>
        </row>
        <row r="643">
          <cell r="I643">
            <v>1348</v>
          </cell>
          <cell r="J643">
            <v>0.1276567123287671</v>
          </cell>
        </row>
        <row r="644">
          <cell r="I644">
            <v>1349</v>
          </cell>
          <cell r="J644">
            <v>0.12766602739726027</v>
          </cell>
        </row>
        <row r="645">
          <cell r="I645">
            <v>1350</v>
          </cell>
          <cell r="J645">
            <v>0.12767534246575341</v>
          </cell>
        </row>
        <row r="646">
          <cell r="I646">
            <v>1351</v>
          </cell>
          <cell r="J646">
            <v>0.12768465753424657</v>
          </cell>
        </row>
        <row r="647">
          <cell r="I647">
            <v>1352</v>
          </cell>
          <cell r="J647">
            <v>0.12769397260273971</v>
          </cell>
        </row>
        <row r="648">
          <cell r="I648">
            <v>1353</v>
          </cell>
          <cell r="J648">
            <v>0.12770328767123287</v>
          </cell>
        </row>
        <row r="649">
          <cell r="I649">
            <v>1354</v>
          </cell>
          <cell r="J649">
            <v>0.12771260273972601</v>
          </cell>
        </row>
        <row r="650">
          <cell r="I650">
            <v>1355</v>
          </cell>
          <cell r="J650">
            <v>0.12772191780821918</v>
          </cell>
        </row>
        <row r="651">
          <cell r="I651">
            <v>1356</v>
          </cell>
          <cell r="J651">
            <v>0.12773123287671231</v>
          </cell>
        </row>
        <row r="652">
          <cell r="I652">
            <v>1357</v>
          </cell>
          <cell r="J652">
            <v>0.12774054794520545</v>
          </cell>
        </row>
        <row r="653">
          <cell r="I653">
            <v>1358</v>
          </cell>
          <cell r="J653">
            <v>0.12774986301369862</v>
          </cell>
        </row>
        <row r="654">
          <cell r="I654">
            <v>1359</v>
          </cell>
          <cell r="J654">
            <v>0.12775917808219175</v>
          </cell>
        </row>
        <row r="655">
          <cell r="I655">
            <v>1360</v>
          </cell>
          <cell r="J655">
            <v>0.12776849315068492</v>
          </cell>
        </row>
        <row r="656">
          <cell r="I656">
            <v>1361</v>
          </cell>
          <cell r="J656">
            <v>0.12777780821917806</v>
          </cell>
        </row>
        <row r="657">
          <cell r="I657">
            <v>1362</v>
          </cell>
          <cell r="J657">
            <v>0.12778712328767122</v>
          </cell>
        </row>
        <row r="658">
          <cell r="I658">
            <v>1363</v>
          </cell>
          <cell r="J658">
            <v>0.12779643835616436</v>
          </cell>
        </row>
        <row r="659">
          <cell r="I659">
            <v>1364</v>
          </cell>
          <cell r="J659">
            <v>0.12780575342465753</v>
          </cell>
        </row>
        <row r="660">
          <cell r="I660">
            <v>1365</v>
          </cell>
          <cell r="J660">
            <v>0.12781506849315066</v>
          </cell>
        </row>
        <row r="661">
          <cell r="I661">
            <v>1366</v>
          </cell>
          <cell r="J661">
            <v>0.12782438356164383</v>
          </cell>
        </row>
        <row r="662">
          <cell r="I662">
            <v>1367</v>
          </cell>
          <cell r="J662">
            <v>0.12783369863013697</v>
          </cell>
        </row>
        <row r="663">
          <cell r="I663">
            <v>1368</v>
          </cell>
          <cell r="J663">
            <v>0.12784301369863013</v>
          </cell>
        </row>
        <row r="664">
          <cell r="I664">
            <v>1369</v>
          </cell>
          <cell r="J664">
            <v>0.12785232876712327</v>
          </cell>
        </row>
        <row r="665">
          <cell r="I665">
            <v>1370</v>
          </cell>
          <cell r="J665">
            <v>0.12786164383561643</v>
          </cell>
        </row>
        <row r="666">
          <cell r="I666">
            <v>1371</v>
          </cell>
          <cell r="J666">
            <v>0.12787095890410957</v>
          </cell>
        </row>
        <row r="667">
          <cell r="I667">
            <v>1372</v>
          </cell>
          <cell r="J667">
            <v>0.12788027397260274</v>
          </cell>
        </row>
        <row r="668">
          <cell r="I668">
            <v>1373</v>
          </cell>
          <cell r="J668">
            <v>0.12788958904109587</v>
          </cell>
        </row>
        <row r="669">
          <cell r="I669">
            <v>1374</v>
          </cell>
          <cell r="J669">
            <v>0.12789890410958901</v>
          </cell>
        </row>
        <row r="670">
          <cell r="I670">
            <v>1375</v>
          </cell>
          <cell r="J670">
            <v>0.12790821917808218</v>
          </cell>
        </row>
        <row r="671">
          <cell r="I671">
            <v>1376</v>
          </cell>
          <cell r="J671">
            <v>0.12791753424657532</v>
          </cell>
        </row>
        <row r="672">
          <cell r="I672">
            <v>1377</v>
          </cell>
          <cell r="J672">
            <v>0.12792684931506848</v>
          </cell>
        </row>
        <row r="673">
          <cell r="I673">
            <v>1378</v>
          </cell>
          <cell r="J673">
            <v>0.12793616438356162</v>
          </cell>
        </row>
        <row r="674">
          <cell r="I674">
            <v>1379</v>
          </cell>
          <cell r="J674">
            <v>0.12794547945205478</v>
          </cell>
        </row>
        <row r="675">
          <cell r="I675">
            <v>1380</v>
          </cell>
          <cell r="J675">
            <v>0.12795479452054792</v>
          </cell>
        </row>
        <row r="676">
          <cell r="I676">
            <v>1381</v>
          </cell>
          <cell r="J676">
            <v>0.12796410958904109</v>
          </cell>
        </row>
        <row r="677">
          <cell r="I677">
            <v>1382</v>
          </cell>
          <cell r="J677">
            <v>0.12797342465753422</v>
          </cell>
        </row>
        <row r="678">
          <cell r="I678">
            <v>1383</v>
          </cell>
          <cell r="J678">
            <v>0.12798273972602739</v>
          </cell>
        </row>
        <row r="679">
          <cell r="I679">
            <v>1384</v>
          </cell>
          <cell r="J679">
            <v>0.12799205479452053</v>
          </cell>
        </row>
        <row r="680">
          <cell r="I680">
            <v>1385</v>
          </cell>
          <cell r="J680">
            <v>0.12800136986301369</v>
          </cell>
        </row>
        <row r="681">
          <cell r="I681">
            <v>1386</v>
          </cell>
          <cell r="J681">
            <v>0.12801068493150683</v>
          </cell>
        </row>
        <row r="682">
          <cell r="I682">
            <v>1387</v>
          </cell>
          <cell r="J682">
            <v>0.12801999999999999</v>
          </cell>
        </row>
        <row r="683">
          <cell r="I683">
            <v>1388</v>
          </cell>
          <cell r="J683">
            <v>0.12802931506849313</v>
          </cell>
        </row>
        <row r="684">
          <cell r="I684">
            <v>1389</v>
          </cell>
          <cell r="J684">
            <v>0.1280386301369863</v>
          </cell>
        </row>
        <row r="685">
          <cell r="I685">
            <v>1390</v>
          </cell>
          <cell r="J685">
            <v>0.12804794520547944</v>
          </cell>
        </row>
        <row r="686">
          <cell r="I686">
            <v>1391</v>
          </cell>
          <cell r="J686">
            <v>0.12805726027397257</v>
          </cell>
        </row>
        <row r="687">
          <cell r="I687">
            <v>1392</v>
          </cell>
          <cell r="J687">
            <v>0.12806657534246574</v>
          </cell>
        </row>
        <row r="688">
          <cell r="I688">
            <v>1393</v>
          </cell>
          <cell r="J688">
            <v>0.12807589041095888</v>
          </cell>
        </row>
        <row r="689">
          <cell r="I689">
            <v>1394</v>
          </cell>
          <cell r="J689">
            <v>0.12808520547945204</v>
          </cell>
        </row>
        <row r="690">
          <cell r="I690">
            <v>1395</v>
          </cell>
          <cell r="J690">
            <v>0.12809452054794518</v>
          </cell>
        </row>
        <row r="691">
          <cell r="I691">
            <v>1396</v>
          </cell>
          <cell r="J691">
            <v>0.12810383561643834</v>
          </cell>
        </row>
        <row r="692">
          <cell r="I692">
            <v>1397</v>
          </cell>
          <cell r="J692">
            <v>0.12811315068493148</v>
          </cell>
        </row>
        <row r="693">
          <cell r="I693">
            <v>1398</v>
          </cell>
          <cell r="J693">
            <v>0.12812246575342465</v>
          </cell>
        </row>
        <row r="694">
          <cell r="I694">
            <v>1399</v>
          </cell>
          <cell r="J694">
            <v>0.12813178082191778</v>
          </cell>
        </row>
        <row r="695">
          <cell r="I695">
            <v>1400</v>
          </cell>
          <cell r="J695">
            <v>0.12814109589041095</v>
          </cell>
        </row>
        <row r="696">
          <cell r="I696">
            <v>1401</v>
          </cell>
          <cell r="J696">
            <v>0.12815041095890409</v>
          </cell>
        </row>
        <row r="697">
          <cell r="I697">
            <v>1402</v>
          </cell>
          <cell r="J697">
            <v>0.12815972602739725</v>
          </cell>
        </row>
        <row r="698">
          <cell r="I698">
            <v>1403</v>
          </cell>
          <cell r="J698">
            <v>0.12816904109589039</v>
          </cell>
        </row>
        <row r="699">
          <cell r="I699">
            <v>1404</v>
          </cell>
          <cell r="J699">
            <v>0.12817835616438356</v>
          </cell>
        </row>
        <row r="700">
          <cell r="I700">
            <v>1405</v>
          </cell>
          <cell r="J700">
            <v>0.12818767123287669</v>
          </cell>
        </row>
        <row r="701">
          <cell r="I701">
            <v>1406</v>
          </cell>
          <cell r="J701">
            <v>0.12819698630136986</v>
          </cell>
        </row>
        <row r="702">
          <cell r="I702">
            <v>1407</v>
          </cell>
          <cell r="J702">
            <v>0.128206301369863</v>
          </cell>
        </row>
        <row r="703">
          <cell r="I703">
            <v>1408</v>
          </cell>
          <cell r="J703">
            <v>0.12821561643835616</v>
          </cell>
        </row>
        <row r="704">
          <cell r="I704">
            <v>1409</v>
          </cell>
          <cell r="J704">
            <v>0.1282249315068493</v>
          </cell>
        </row>
        <row r="705">
          <cell r="I705">
            <v>1410</v>
          </cell>
          <cell r="J705">
            <v>0.12823424657534244</v>
          </cell>
        </row>
        <row r="706">
          <cell r="I706">
            <v>1411</v>
          </cell>
          <cell r="J706">
            <v>0.1282435616438356</v>
          </cell>
        </row>
        <row r="707">
          <cell r="I707">
            <v>1412</v>
          </cell>
          <cell r="J707">
            <v>0.12825287671232874</v>
          </cell>
        </row>
        <row r="708">
          <cell r="I708">
            <v>1413</v>
          </cell>
          <cell r="J708">
            <v>0.1282621917808219</v>
          </cell>
        </row>
        <row r="709">
          <cell r="I709">
            <v>1414</v>
          </cell>
          <cell r="J709">
            <v>0.12827150684931504</v>
          </cell>
        </row>
        <row r="710">
          <cell r="I710">
            <v>1415</v>
          </cell>
          <cell r="J710">
            <v>0.12828082191780821</v>
          </cell>
        </row>
        <row r="711">
          <cell r="I711">
            <v>1416</v>
          </cell>
          <cell r="J711">
            <v>0.12829013698630135</v>
          </cell>
        </row>
        <row r="712">
          <cell r="I712">
            <v>1417</v>
          </cell>
          <cell r="J712">
            <v>0.12829945205479451</v>
          </cell>
        </row>
        <row r="713">
          <cell r="I713">
            <v>1418</v>
          </cell>
          <cell r="J713">
            <v>0.12830876712328765</v>
          </cell>
        </row>
        <row r="714">
          <cell r="I714">
            <v>1419</v>
          </cell>
          <cell r="J714">
            <v>0.12831808219178081</v>
          </cell>
        </row>
        <row r="715">
          <cell r="I715">
            <v>1420</v>
          </cell>
          <cell r="J715">
            <v>0.12832739726027395</v>
          </cell>
        </row>
        <row r="716">
          <cell r="I716">
            <v>1421</v>
          </cell>
          <cell r="J716">
            <v>0.12833671232876712</v>
          </cell>
        </row>
        <row r="717">
          <cell r="I717">
            <v>1422</v>
          </cell>
          <cell r="J717">
            <v>0.12834602739726025</v>
          </cell>
        </row>
        <row r="718">
          <cell r="I718">
            <v>1423</v>
          </cell>
          <cell r="J718">
            <v>0.12835534246575342</v>
          </cell>
        </row>
        <row r="719">
          <cell r="I719">
            <v>1424</v>
          </cell>
          <cell r="J719">
            <v>0.12836465753424656</v>
          </cell>
        </row>
        <row r="720">
          <cell r="I720">
            <v>1425</v>
          </cell>
          <cell r="J720">
            <v>0.12837397260273969</v>
          </cell>
        </row>
        <row r="721">
          <cell r="I721">
            <v>1426</v>
          </cell>
          <cell r="J721">
            <v>0.12838328767123286</v>
          </cell>
        </row>
        <row r="722">
          <cell r="I722">
            <v>1427</v>
          </cell>
          <cell r="J722">
            <v>0.128392602739726</v>
          </cell>
        </row>
        <row r="723">
          <cell r="I723">
            <v>1428</v>
          </cell>
          <cell r="J723">
            <v>0.12840191780821916</v>
          </cell>
        </row>
        <row r="724">
          <cell r="I724">
            <v>1429</v>
          </cell>
          <cell r="J724">
            <v>0.1284112328767123</v>
          </cell>
        </row>
        <row r="725">
          <cell r="I725">
            <v>1430</v>
          </cell>
          <cell r="J725">
            <v>0.12842054794520547</v>
          </cell>
        </row>
        <row r="726">
          <cell r="I726">
            <v>1431</v>
          </cell>
          <cell r="J726">
            <v>0.1284298630136986</v>
          </cell>
        </row>
        <row r="727">
          <cell r="I727">
            <v>1432</v>
          </cell>
          <cell r="J727">
            <v>0.12843917808219177</v>
          </cell>
        </row>
        <row r="728">
          <cell r="I728">
            <v>1433</v>
          </cell>
          <cell r="J728">
            <v>0.12844849315068491</v>
          </cell>
        </row>
        <row r="729">
          <cell r="I729">
            <v>1434</v>
          </cell>
          <cell r="J729">
            <v>0.12845780821917807</v>
          </cell>
        </row>
        <row r="730">
          <cell r="I730">
            <v>1435</v>
          </cell>
          <cell r="J730">
            <v>0.12846712328767121</v>
          </cell>
        </row>
        <row r="731">
          <cell r="I731">
            <v>1436</v>
          </cell>
          <cell r="J731">
            <v>0.12847643835616437</v>
          </cell>
        </row>
        <row r="732">
          <cell r="I732">
            <v>1437</v>
          </cell>
          <cell r="J732">
            <v>0.12848575342465751</v>
          </cell>
        </row>
        <row r="733">
          <cell r="I733">
            <v>1438</v>
          </cell>
          <cell r="J733">
            <v>0.12849506849315068</v>
          </cell>
        </row>
        <row r="734">
          <cell r="I734">
            <v>1439</v>
          </cell>
          <cell r="J734">
            <v>0.12850438356164381</v>
          </cell>
        </row>
        <row r="735">
          <cell r="I735">
            <v>1440</v>
          </cell>
          <cell r="J735">
            <v>0.12851369863013698</v>
          </cell>
        </row>
        <row r="736">
          <cell r="I736">
            <v>1441</v>
          </cell>
          <cell r="J736">
            <v>0.12852301369863012</v>
          </cell>
        </row>
        <row r="737">
          <cell r="I737">
            <v>1442</v>
          </cell>
          <cell r="J737">
            <v>0.12853232876712328</v>
          </cell>
        </row>
        <row r="738">
          <cell r="I738">
            <v>1443</v>
          </cell>
          <cell r="J738">
            <v>0.12854164383561642</v>
          </cell>
        </row>
        <row r="739">
          <cell r="I739">
            <v>1444</v>
          </cell>
          <cell r="J739">
            <v>0.12855095890410956</v>
          </cell>
        </row>
        <row r="740">
          <cell r="I740">
            <v>1445</v>
          </cell>
          <cell r="J740">
            <v>0.12856027397260272</v>
          </cell>
        </row>
        <row r="741">
          <cell r="I741">
            <v>1446</v>
          </cell>
          <cell r="J741">
            <v>0.12856958904109586</v>
          </cell>
        </row>
        <row r="742">
          <cell r="I742">
            <v>1447</v>
          </cell>
          <cell r="J742">
            <v>0.12857890410958903</v>
          </cell>
        </row>
        <row r="743">
          <cell r="I743">
            <v>1448</v>
          </cell>
          <cell r="J743">
            <v>0.12858821917808216</v>
          </cell>
        </row>
        <row r="744">
          <cell r="I744">
            <v>1449</v>
          </cell>
          <cell r="J744">
            <v>0.12859753424657533</v>
          </cell>
        </row>
        <row r="745">
          <cell r="I745">
            <v>1450</v>
          </cell>
          <cell r="J745">
            <v>0.12860684931506847</v>
          </cell>
        </row>
        <row r="746">
          <cell r="I746">
            <v>1451</v>
          </cell>
          <cell r="J746">
            <v>0.12861616438356163</v>
          </cell>
        </row>
        <row r="747">
          <cell r="I747">
            <v>1452</v>
          </cell>
          <cell r="J747">
            <v>0.12862547945205477</v>
          </cell>
        </row>
        <row r="748">
          <cell r="I748">
            <v>1453</v>
          </cell>
          <cell r="J748">
            <v>0.12863479452054793</v>
          </cell>
        </row>
        <row r="749">
          <cell r="I749">
            <v>1454</v>
          </cell>
          <cell r="J749">
            <v>0.12864410958904107</v>
          </cell>
        </row>
        <row r="750">
          <cell r="I750">
            <v>1455</v>
          </cell>
          <cell r="J750">
            <v>0.12865342465753424</v>
          </cell>
        </row>
        <row r="751">
          <cell r="I751">
            <v>1456</v>
          </cell>
          <cell r="J751">
            <v>0.12866273972602738</v>
          </cell>
        </row>
        <row r="752">
          <cell r="I752">
            <v>1457</v>
          </cell>
          <cell r="J752">
            <v>0.12867205479452054</v>
          </cell>
        </row>
        <row r="753">
          <cell r="I753">
            <v>1458</v>
          </cell>
          <cell r="J753">
            <v>0.12868136986301368</v>
          </cell>
        </row>
        <row r="754">
          <cell r="I754">
            <v>1459</v>
          </cell>
          <cell r="J754">
            <v>0.12869068493150684</v>
          </cell>
        </row>
        <row r="755">
          <cell r="I755">
            <v>1460</v>
          </cell>
          <cell r="J755">
            <v>0.12869999999999998</v>
          </cell>
        </row>
        <row r="756">
          <cell r="I756">
            <v>1461</v>
          </cell>
          <cell r="J756">
            <v>0.12869999999999998</v>
          </cell>
        </row>
        <row r="757">
          <cell r="I757">
            <v>1462</v>
          </cell>
          <cell r="J757">
            <v>0.12870356164383559</v>
          </cell>
        </row>
        <row r="758">
          <cell r="I758">
            <v>1463</v>
          </cell>
          <cell r="J758">
            <v>0.12870712328767123</v>
          </cell>
        </row>
        <row r="759">
          <cell r="I759">
            <v>1464</v>
          </cell>
          <cell r="J759">
            <v>0.12871068493150684</v>
          </cell>
        </row>
        <row r="760">
          <cell r="I760">
            <v>1465</v>
          </cell>
          <cell r="J760">
            <v>0.12871424657534244</v>
          </cell>
        </row>
        <row r="761">
          <cell r="I761">
            <v>1466</v>
          </cell>
          <cell r="J761">
            <v>0.12871780821917805</v>
          </cell>
        </row>
        <row r="762">
          <cell r="I762">
            <v>1467</v>
          </cell>
          <cell r="J762">
            <v>0.12872136986301369</v>
          </cell>
        </row>
        <row r="763">
          <cell r="I763">
            <v>1468</v>
          </cell>
          <cell r="J763">
            <v>0.1287249315068493</v>
          </cell>
        </row>
        <row r="764">
          <cell r="I764">
            <v>1469</v>
          </cell>
          <cell r="J764">
            <v>0.12872849315068491</v>
          </cell>
        </row>
        <row r="765">
          <cell r="I765">
            <v>1470</v>
          </cell>
          <cell r="J765">
            <v>0.12873205479452052</v>
          </cell>
        </row>
        <row r="766">
          <cell r="I766">
            <v>1471</v>
          </cell>
          <cell r="J766">
            <v>0.12873561643835615</v>
          </cell>
        </row>
        <row r="767">
          <cell r="I767">
            <v>1472</v>
          </cell>
          <cell r="J767">
            <v>0.12873917808219176</v>
          </cell>
        </row>
        <row r="768">
          <cell r="I768">
            <v>1473</v>
          </cell>
          <cell r="J768">
            <v>0.12874273972602737</v>
          </cell>
        </row>
        <row r="769">
          <cell r="I769">
            <v>1474</v>
          </cell>
          <cell r="J769">
            <v>0.12874630136986301</v>
          </cell>
        </row>
        <row r="770">
          <cell r="I770">
            <v>1475</v>
          </cell>
          <cell r="J770">
            <v>0.12874986301369862</v>
          </cell>
        </row>
        <row r="771">
          <cell r="I771">
            <v>1476</v>
          </cell>
          <cell r="J771">
            <v>0.12875342465753423</v>
          </cell>
        </row>
        <row r="772">
          <cell r="I772">
            <v>1477</v>
          </cell>
          <cell r="J772">
            <v>0.12875698630136984</v>
          </cell>
        </row>
        <row r="773">
          <cell r="I773">
            <v>1478</v>
          </cell>
          <cell r="J773">
            <v>0.12876054794520547</v>
          </cell>
        </row>
        <row r="774">
          <cell r="I774">
            <v>1479</v>
          </cell>
          <cell r="J774">
            <v>0.12876410958904108</v>
          </cell>
        </row>
        <row r="775">
          <cell r="I775">
            <v>1480</v>
          </cell>
          <cell r="J775">
            <v>0.12876767123287669</v>
          </cell>
        </row>
        <row r="776">
          <cell r="I776">
            <v>1481</v>
          </cell>
          <cell r="J776">
            <v>0.1287712328767123</v>
          </cell>
        </row>
        <row r="777">
          <cell r="I777">
            <v>1482</v>
          </cell>
          <cell r="J777">
            <v>0.12877479452054794</v>
          </cell>
        </row>
        <row r="778">
          <cell r="I778">
            <v>1483</v>
          </cell>
          <cell r="J778">
            <v>0.12877835616438355</v>
          </cell>
        </row>
        <row r="779">
          <cell r="I779">
            <v>1484</v>
          </cell>
          <cell r="J779">
            <v>0.12878191780821915</v>
          </cell>
        </row>
        <row r="780">
          <cell r="I780">
            <v>1485</v>
          </cell>
          <cell r="J780">
            <v>0.12878547945205479</v>
          </cell>
        </row>
        <row r="781">
          <cell r="I781">
            <v>1486</v>
          </cell>
          <cell r="J781">
            <v>0.1287890410958904</v>
          </cell>
        </row>
        <row r="782">
          <cell r="I782">
            <v>1487</v>
          </cell>
          <cell r="J782">
            <v>0.12879260273972601</v>
          </cell>
        </row>
        <row r="783">
          <cell r="I783">
            <v>1488</v>
          </cell>
          <cell r="J783">
            <v>0.12879616438356162</v>
          </cell>
        </row>
        <row r="784">
          <cell r="I784">
            <v>1489</v>
          </cell>
          <cell r="J784">
            <v>0.12879972602739725</v>
          </cell>
        </row>
        <row r="785">
          <cell r="I785">
            <v>1490</v>
          </cell>
          <cell r="J785">
            <v>0.12880328767123286</v>
          </cell>
        </row>
        <row r="786">
          <cell r="I786">
            <v>1491</v>
          </cell>
          <cell r="J786">
            <v>0.12880684931506847</v>
          </cell>
        </row>
        <row r="787">
          <cell r="I787">
            <v>1492</v>
          </cell>
          <cell r="J787">
            <v>0.12881041095890408</v>
          </cell>
        </row>
        <row r="788">
          <cell r="I788">
            <v>1493</v>
          </cell>
          <cell r="J788">
            <v>0.12881397260273972</v>
          </cell>
        </row>
        <row r="789">
          <cell r="I789">
            <v>1494</v>
          </cell>
          <cell r="J789">
            <v>0.12881753424657533</v>
          </cell>
        </row>
        <row r="790">
          <cell r="I790">
            <v>1495</v>
          </cell>
          <cell r="J790">
            <v>0.12882109589041094</v>
          </cell>
        </row>
        <row r="791">
          <cell r="I791">
            <v>1496</v>
          </cell>
          <cell r="J791">
            <v>0.12882465753424654</v>
          </cell>
        </row>
        <row r="792">
          <cell r="I792">
            <v>1497</v>
          </cell>
          <cell r="J792">
            <v>0.12882821917808218</v>
          </cell>
        </row>
        <row r="793">
          <cell r="I793">
            <v>1498</v>
          </cell>
          <cell r="J793">
            <v>0.12883178082191779</v>
          </cell>
        </row>
        <row r="794">
          <cell r="I794">
            <v>1499</v>
          </cell>
          <cell r="J794">
            <v>0.1288353424657534</v>
          </cell>
        </row>
        <row r="795">
          <cell r="I795">
            <v>1500</v>
          </cell>
          <cell r="J795">
            <v>0.12883890410958904</v>
          </cell>
        </row>
        <row r="796">
          <cell r="I796">
            <v>1501</v>
          </cell>
          <cell r="J796">
            <v>0.12884246575342465</v>
          </cell>
        </row>
        <row r="797">
          <cell r="I797">
            <v>1502</v>
          </cell>
          <cell r="J797">
            <v>0.12884602739726025</v>
          </cell>
        </row>
        <row r="798">
          <cell r="I798">
            <v>1503</v>
          </cell>
          <cell r="J798">
            <v>0.12884958904109586</v>
          </cell>
        </row>
        <row r="799">
          <cell r="I799">
            <v>1504</v>
          </cell>
          <cell r="J799">
            <v>0.1288531506849315</v>
          </cell>
        </row>
        <row r="800">
          <cell r="I800">
            <v>1505</v>
          </cell>
          <cell r="J800">
            <v>0.12885671232876711</v>
          </cell>
        </row>
        <row r="801">
          <cell r="I801">
            <v>1506</v>
          </cell>
          <cell r="J801">
            <v>0.12886027397260272</v>
          </cell>
        </row>
        <row r="802">
          <cell r="I802">
            <v>1507</v>
          </cell>
          <cell r="J802">
            <v>0.12886383561643833</v>
          </cell>
        </row>
        <row r="803">
          <cell r="I803">
            <v>1508</v>
          </cell>
          <cell r="J803">
            <v>0.12886739726027396</v>
          </cell>
        </row>
        <row r="804">
          <cell r="I804">
            <v>1509</v>
          </cell>
          <cell r="J804">
            <v>0.12887095890410957</v>
          </cell>
        </row>
        <row r="805">
          <cell r="I805">
            <v>1510</v>
          </cell>
          <cell r="J805">
            <v>0.12887452054794518</v>
          </cell>
        </row>
        <row r="806">
          <cell r="I806">
            <v>1511</v>
          </cell>
          <cell r="J806">
            <v>0.12887808219178082</v>
          </cell>
        </row>
        <row r="807">
          <cell r="I807">
            <v>1512</v>
          </cell>
          <cell r="J807">
            <v>0.12888164383561643</v>
          </cell>
        </row>
        <row r="808">
          <cell r="I808">
            <v>1513</v>
          </cell>
          <cell r="J808">
            <v>0.12888520547945204</v>
          </cell>
        </row>
        <row r="809">
          <cell r="I809">
            <v>1514</v>
          </cell>
          <cell r="J809">
            <v>0.12888876712328765</v>
          </cell>
        </row>
        <row r="810">
          <cell r="I810">
            <v>1515</v>
          </cell>
          <cell r="J810">
            <v>0.12889232876712328</v>
          </cell>
        </row>
        <row r="811">
          <cell r="I811">
            <v>1516</v>
          </cell>
          <cell r="J811">
            <v>0.12889589041095889</v>
          </cell>
        </row>
        <row r="812">
          <cell r="I812">
            <v>1517</v>
          </cell>
          <cell r="J812">
            <v>0.1288994520547945</v>
          </cell>
        </row>
        <row r="813">
          <cell r="I813">
            <v>1518</v>
          </cell>
          <cell r="J813">
            <v>0.12890301369863011</v>
          </cell>
        </row>
        <row r="814">
          <cell r="I814">
            <v>1519</v>
          </cell>
          <cell r="J814">
            <v>0.12890657534246575</v>
          </cell>
        </row>
        <row r="815">
          <cell r="I815">
            <v>1520</v>
          </cell>
          <cell r="J815">
            <v>0.12891013698630135</v>
          </cell>
        </row>
        <row r="816">
          <cell r="I816">
            <v>1521</v>
          </cell>
          <cell r="J816">
            <v>0.12891369863013696</v>
          </cell>
        </row>
        <row r="817">
          <cell r="I817">
            <v>1522</v>
          </cell>
          <cell r="J817">
            <v>0.1289172602739726</v>
          </cell>
        </row>
        <row r="818">
          <cell r="I818">
            <v>1523</v>
          </cell>
          <cell r="J818">
            <v>0.12892082191780821</v>
          </cell>
        </row>
        <row r="819">
          <cell r="I819">
            <v>1524</v>
          </cell>
          <cell r="J819">
            <v>0.12892438356164382</v>
          </cell>
        </row>
        <row r="820">
          <cell r="I820">
            <v>1525</v>
          </cell>
          <cell r="J820">
            <v>0.12892794520547943</v>
          </cell>
        </row>
        <row r="821">
          <cell r="I821">
            <v>1526</v>
          </cell>
          <cell r="J821">
            <v>0.12893150684931506</v>
          </cell>
        </row>
        <row r="822">
          <cell r="I822">
            <v>1527</v>
          </cell>
          <cell r="J822">
            <v>0.12893506849315067</v>
          </cell>
        </row>
        <row r="823">
          <cell r="I823">
            <v>1528</v>
          </cell>
          <cell r="J823">
            <v>0.12893863013698628</v>
          </cell>
        </row>
        <row r="824">
          <cell r="I824">
            <v>1529</v>
          </cell>
          <cell r="J824">
            <v>0.12894219178082189</v>
          </cell>
        </row>
        <row r="825">
          <cell r="I825">
            <v>1530</v>
          </cell>
          <cell r="J825">
            <v>0.12894575342465753</v>
          </cell>
        </row>
        <row r="826">
          <cell r="I826">
            <v>1531</v>
          </cell>
          <cell r="J826">
            <v>0.12894931506849314</v>
          </cell>
        </row>
        <row r="827">
          <cell r="I827">
            <v>1532</v>
          </cell>
          <cell r="J827">
            <v>0.12895287671232875</v>
          </cell>
        </row>
        <row r="828">
          <cell r="I828">
            <v>1533</v>
          </cell>
          <cell r="J828">
            <v>0.12895643835616438</v>
          </cell>
        </row>
        <row r="829">
          <cell r="I829">
            <v>1534</v>
          </cell>
          <cell r="J829">
            <v>0.12895999999999999</v>
          </cell>
        </row>
        <row r="830">
          <cell r="I830">
            <v>1535</v>
          </cell>
          <cell r="J830">
            <v>0.1289635616438356</v>
          </cell>
        </row>
        <row r="831">
          <cell r="I831">
            <v>1536</v>
          </cell>
          <cell r="J831">
            <v>0.12896712328767121</v>
          </cell>
        </row>
        <row r="832">
          <cell r="I832">
            <v>1537</v>
          </cell>
          <cell r="J832">
            <v>0.12897068493150685</v>
          </cell>
        </row>
        <row r="833">
          <cell r="I833">
            <v>1538</v>
          </cell>
          <cell r="J833">
            <v>0.12897424657534245</v>
          </cell>
        </row>
        <row r="834">
          <cell r="I834">
            <v>1539</v>
          </cell>
          <cell r="J834">
            <v>0.12897780821917806</v>
          </cell>
        </row>
        <row r="835">
          <cell r="I835">
            <v>1540</v>
          </cell>
          <cell r="J835">
            <v>0.12898136986301367</v>
          </cell>
        </row>
        <row r="836">
          <cell r="I836">
            <v>1541</v>
          </cell>
          <cell r="J836">
            <v>0.12898493150684931</v>
          </cell>
        </row>
        <row r="837">
          <cell r="I837">
            <v>1542</v>
          </cell>
          <cell r="J837">
            <v>0.12898849315068492</v>
          </cell>
        </row>
        <row r="838">
          <cell r="I838">
            <v>1543</v>
          </cell>
          <cell r="J838">
            <v>0.12899205479452053</v>
          </cell>
        </row>
        <row r="839">
          <cell r="I839">
            <v>1544</v>
          </cell>
          <cell r="J839">
            <v>0.12899561643835616</v>
          </cell>
        </row>
        <row r="840">
          <cell r="I840">
            <v>1545</v>
          </cell>
          <cell r="J840">
            <v>0.12899917808219177</v>
          </cell>
        </row>
        <row r="841">
          <cell r="I841">
            <v>1546</v>
          </cell>
          <cell r="J841">
            <v>0.12900273972602738</v>
          </cell>
        </row>
        <row r="842">
          <cell r="I842">
            <v>1547</v>
          </cell>
          <cell r="J842">
            <v>0.12900630136986299</v>
          </cell>
        </row>
        <row r="843">
          <cell r="I843">
            <v>1548</v>
          </cell>
          <cell r="J843">
            <v>0.12900986301369863</v>
          </cell>
        </row>
        <row r="844">
          <cell r="I844">
            <v>1549</v>
          </cell>
          <cell r="J844">
            <v>0.12901342465753424</v>
          </cell>
        </row>
        <row r="845">
          <cell r="I845">
            <v>1550</v>
          </cell>
          <cell r="J845">
            <v>0.12901698630136985</v>
          </cell>
        </row>
        <row r="846">
          <cell r="I846">
            <v>1551</v>
          </cell>
          <cell r="J846">
            <v>0.12902054794520545</v>
          </cell>
        </row>
        <row r="847">
          <cell r="I847">
            <v>1552</v>
          </cell>
          <cell r="J847">
            <v>0.12902410958904109</v>
          </cell>
        </row>
        <row r="848">
          <cell r="I848">
            <v>1553</v>
          </cell>
          <cell r="J848">
            <v>0.1290276712328767</v>
          </cell>
        </row>
        <row r="849">
          <cell r="I849">
            <v>1554</v>
          </cell>
          <cell r="J849">
            <v>0.12903123287671231</v>
          </cell>
        </row>
        <row r="850">
          <cell r="I850">
            <v>1555</v>
          </cell>
          <cell r="J850">
            <v>0.12903479452054792</v>
          </cell>
        </row>
        <row r="851">
          <cell r="I851">
            <v>1556</v>
          </cell>
          <cell r="J851">
            <v>0.12903835616438356</v>
          </cell>
        </row>
        <row r="852">
          <cell r="I852">
            <v>1557</v>
          </cell>
          <cell r="J852">
            <v>0.12904191780821916</v>
          </cell>
        </row>
        <row r="853">
          <cell r="I853">
            <v>1558</v>
          </cell>
          <cell r="J853">
            <v>0.12904547945205477</v>
          </cell>
        </row>
        <row r="854">
          <cell r="I854">
            <v>1559</v>
          </cell>
          <cell r="J854">
            <v>0.12904904109589041</v>
          </cell>
        </row>
        <row r="855">
          <cell r="I855">
            <v>1560</v>
          </cell>
          <cell r="J855">
            <v>0.12905260273972602</v>
          </cell>
        </row>
        <row r="856">
          <cell r="I856">
            <v>1561</v>
          </cell>
          <cell r="J856">
            <v>0.12905616438356163</v>
          </cell>
        </row>
        <row r="857">
          <cell r="I857">
            <v>1562</v>
          </cell>
          <cell r="J857">
            <v>0.12905972602739724</v>
          </cell>
        </row>
        <row r="858">
          <cell r="I858">
            <v>1563</v>
          </cell>
          <cell r="J858">
            <v>0.12906328767123287</v>
          </cell>
        </row>
        <row r="859">
          <cell r="I859">
            <v>1564</v>
          </cell>
          <cell r="J859">
            <v>0.12906684931506848</v>
          </cell>
        </row>
        <row r="860">
          <cell r="I860">
            <v>1565</v>
          </cell>
          <cell r="J860">
            <v>0.12907041095890409</v>
          </cell>
        </row>
        <row r="861">
          <cell r="I861">
            <v>1566</v>
          </cell>
          <cell r="J861">
            <v>0.1290739726027397</v>
          </cell>
        </row>
        <row r="862">
          <cell r="I862">
            <v>1567</v>
          </cell>
          <cell r="J862">
            <v>0.12907753424657534</v>
          </cell>
        </row>
        <row r="863">
          <cell r="I863">
            <v>1568</v>
          </cell>
          <cell r="J863">
            <v>0.12908109589041095</v>
          </cell>
        </row>
        <row r="864">
          <cell r="I864">
            <v>1569</v>
          </cell>
          <cell r="J864">
            <v>0.12908465753424656</v>
          </cell>
        </row>
        <row r="865">
          <cell r="I865">
            <v>1570</v>
          </cell>
          <cell r="J865">
            <v>0.12908821917808219</v>
          </cell>
        </row>
        <row r="866">
          <cell r="I866">
            <v>1571</v>
          </cell>
          <cell r="J866">
            <v>0.1290917808219178</v>
          </cell>
        </row>
        <row r="867">
          <cell r="I867">
            <v>1572</v>
          </cell>
          <cell r="J867">
            <v>0.12909534246575341</v>
          </cell>
        </row>
        <row r="868">
          <cell r="I868">
            <v>1573</v>
          </cell>
          <cell r="J868">
            <v>0.12909890410958902</v>
          </cell>
        </row>
        <row r="869">
          <cell r="I869">
            <v>1574</v>
          </cell>
          <cell r="J869">
            <v>0.12910246575342466</v>
          </cell>
        </row>
        <row r="870">
          <cell r="I870">
            <v>1575</v>
          </cell>
          <cell r="J870">
            <v>0.12910602739726026</v>
          </cell>
        </row>
        <row r="871">
          <cell r="I871">
            <v>1576</v>
          </cell>
          <cell r="J871">
            <v>0.12910958904109587</v>
          </cell>
        </row>
        <row r="872">
          <cell r="I872">
            <v>1577</v>
          </cell>
          <cell r="J872">
            <v>0.12911315068493148</v>
          </cell>
        </row>
        <row r="873">
          <cell r="I873">
            <v>1578</v>
          </cell>
          <cell r="J873">
            <v>0.12911671232876712</v>
          </cell>
        </row>
        <row r="874">
          <cell r="I874">
            <v>1579</v>
          </cell>
          <cell r="J874">
            <v>0.12912027397260273</v>
          </cell>
        </row>
        <row r="875">
          <cell r="I875">
            <v>1580</v>
          </cell>
          <cell r="J875">
            <v>0.12912383561643834</v>
          </cell>
        </row>
        <row r="876">
          <cell r="I876">
            <v>1581</v>
          </cell>
          <cell r="J876">
            <v>0.12912739726027397</v>
          </cell>
        </row>
        <row r="877">
          <cell r="I877">
            <v>1582</v>
          </cell>
          <cell r="J877">
            <v>0.12913095890410958</v>
          </cell>
        </row>
        <row r="878">
          <cell r="I878">
            <v>1583</v>
          </cell>
          <cell r="J878">
            <v>0.12913452054794519</v>
          </cell>
        </row>
        <row r="879">
          <cell r="I879">
            <v>1584</v>
          </cell>
          <cell r="J879">
            <v>0.1291380821917808</v>
          </cell>
        </row>
        <row r="880">
          <cell r="I880">
            <v>1585</v>
          </cell>
          <cell r="J880">
            <v>0.12914164383561644</v>
          </cell>
        </row>
        <row r="881">
          <cell r="I881">
            <v>1586</v>
          </cell>
          <cell r="J881">
            <v>0.12914520547945205</v>
          </cell>
        </row>
        <row r="882">
          <cell r="I882">
            <v>1587</v>
          </cell>
          <cell r="J882">
            <v>0.12914876712328766</v>
          </cell>
        </row>
        <row r="883">
          <cell r="I883">
            <v>1588</v>
          </cell>
          <cell r="J883">
            <v>0.12915232876712326</v>
          </cell>
        </row>
        <row r="884">
          <cell r="I884">
            <v>1589</v>
          </cell>
          <cell r="J884">
            <v>0.1291558904109589</v>
          </cell>
        </row>
        <row r="885">
          <cell r="I885">
            <v>1590</v>
          </cell>
          <cell r="J885">
            <v>0.12915945205479451</v>
          </cell>
        </row>
        <row r="886">
          <cell r="I886">
            <v>1591</v>
          </cell>
          <cell r="J886">
            <v>0.12916301369863012</v>
          </cell>
        </row>
        <row r="887">
          <cell r="I887">
            <v>1592</v>
          </cell>
          <cell r="J887">
            <v>0.12916657534246576</v>
          </cell>
        </row>
        <row r="888">
          <cell r="I888">
            <v>1593</v>
          </cell>
          <cell r="J888">
            <v>0.12917013698630136</v>
          </cell>
        </row>
        <row r="889">
          <cell r="I889">
            <v>1594</v>
          </cell>
          <cell r="J889">
            <v>0.12917369863013697</v>
          </cell>
        </row>
        <row r="890">
          <cell r="I890">
            <v>1595</v>
          </cell>
          <cell r="J890">
            <v>0.12917726027397258</v>
          </cell>
        </row>
        <row r="891">
          <cell r="I891">
            <v>1596</v>
          </cell>
          <cell r="J891">
            <v>0.12918082191780822</v>
          </cell>
        </row>
        <row r="892">
          <cell r="I892">
            <v>1597</v>
          </cell>
          <cell r="J892">
            <v>0.12918438356164383</v>
          </cell>
        </row>
        <row r="893">
          <cell r="I893">
            <v>1598</v>
          </cell>
          <cell r="J893">
            <v>0.12918794520547944</v>
          </cell>
        </row>
        <row r="894">
          <cell r="I894">
            <v>1599</v>
          </cell>
          <cell r="J894">
            <v>0.12919150684931505</v>
          </cell>
        </row>
        <row r="895">
          <cell r="I895">
            <v>1600</v>
          </cell>
          <cell r="J895">
            <v>0.12919506849315068</v>
          </cell>
        </row>
        <row r="896">
          <cell r="I896">
            <v>1601</v>
          </cell>
          <cell r="J896">
            <v>0.12919863013698629</v>
          </cell>
        </row>
        <row r="897">
          <cell r="I897">
            <v>1602</v>
          </cell>
          <cell r="J897">
            <v>0.1292021917808219</v>
          </cell>
        </row>
        <row r="898">
          <cell r="I898">
            <v>1603</v>
          </cell>
          <cell r="J898">
            <v>0.12920575342465754</v>
          </cell>
        </row>
        <row r="899">
          <cell r="I899">
            <v>1604</v>
          </cell>
          <cell r="J899">
            <v>0.12920931506849315</v>
          </cell>
        </row>
        <row r="900">
          <cell r="I900">
            <v>1605</v>
          </cell>
          <cell r="J900">
            <v>0.12921287671232876</v>
          </cell>
        </row>
        <row r="901">
          <cell r="I901">
            <v>1606</v>
          </cell>
          <cell r="J901">
            <v>0.12921643835616436</v>
          </cell>
        </row>
        <row r="902">
          <cell r="I902">
            <v>1607</v>
          </cell>
          <cell r="J902">
            <v>0.12922</v>
          </cell>
        </row>
        <row r="903">
          <cell r="I903">
            <v>1608</v>
          </cell>
          <cell r="J903">
            <v>0.12922356164383561</v>
          </cell>
        </row>
        <row r="904">
          <cell r="I904">
            <v>1609</v>
          </cell>
          <cell r="J904">
            <v>0.12922712328767122</v>
          </cell>
        </row>
        <row r="905">
          <cell r="I905">
            <v>1610</v>
          </cell>
          <cell r="J905">
            <v>0.12923068493150683</v>
          </cell>
        </row>
        <row r="906">
          <cell r="I906">
            <v>1611</v>
          </cell>
          <cell r="J906">
            <v>0.12923424657534247</v>
          </cell>
        </row>
        <row r="907">
          <cell r="I907">
            <v>1612</v>
          </cell>
          <cell r="J907">
            <v>0.12923780821917807</v>
          </cell>
        </row>
        <row r="908">
          <cell r="I908">
            <v>1613</v>
          </cell>
          <cell r="J908">
            <v>0.12924136986301368</v>
          </cell>
        </row>
        <row r="909">
          <cell r="I909">
            <v>1614</v>
          </cell>
          <cell r="J909">
            <v>0.12924493150684929</v>
          </cell>
        </row>
        <row r="910">
          <cell r="I910">
            <v>1615</v>
          </cell>
          <cell r="J910">
            <v>0.12924849315068493</v>
          </cell>
        </row>
        <row r="911">
          <cell r="I911">
            <v>1616</v>
          </cell>
          <cell r="J911">
            <v>0.12925205479452054</v>
          </cell>
        </row>
        <row r="912">
          <cell r="I912">
            <v>1617</v>
          </cell>
          <cell r="J912">
            <v>0.12925561643835615</v>
          </cell>
        </row>
        <row r="913">
          <cell r="I913">
            <v>1618</v>
          </cell>
          <cell r="J913">
            <v>0.12925917808219178</v>
          </cell>
        </row>
        <row r="914">
          <cell r="I914">
            <v>1619</v>
          </cell>
          <cell r="J914">
            <v>0.12926273972602739</v>
          </cell>
        </row>
        <row r="915">
          <cell r="I915">
            <v>1620</v>
          </cell>
          <cell r="J915">
            <v>0.129266301369863</v>
          </cell>
        </row>
        <row r="916">
          <cell r="I916">
            <v>1621</v>
          </cell>
          <cell r="J916">
            <v>0.12926986301369861</v>
          </cell>
        </row>
        <row r="917">
          <cell r="I917">
            <v>1622</v>
          </cell>
          <cell r="J917">
            <v>0.12927342465753425</v>
          </cell>
        </row>
        <row r="918">
          <cell r="I918">
            <v>1623</v>
          </cell>
          <cell r="J918">
            <v>0.12927698630136986</v>
          </cell>
        </row>
        <row r="919">
          <cell r="I919">
            <v>1624</v>
          </cell>
          <cell r="J919">
            <v>0.12928054794520547</v>
          </cell>
        </row>
        <row r="920">
          <cell r="I920">
            <v>1625</v>
          </cell>
          <cell r="J920">
            <v>0.12928410958904107</v>
          </cell>
        </row>
        <row r="921">
          <cell r="I921">
            <v>1626</v>
          </cell>
          <cell r="J921">
            <v>0.12928767123287671</v>
          </cell>
        </row>
        <row r="922">
          <cell r="I922">
            <v>1627</v>
          </cell>
          <cell r="J922">
            <v>0.12929123287671232</v>
          </cell>
        </row>
        <row r="923">
          <cell r="I923">
            <v>1628</v>
          </cell>
          <cell r="J923">
            <v>0.12929479452054793</v>
          </cell>
        </row>
        <row r="924">
          <cell r="I924">
            <v>1629</v>
          </cell>
          <cell r="J924">
            <v>0.12929835616438357</v>
          </cell>
        </row>
        <row r="925">
          <cell r="I925">
            <v>1630</v>
          </cell>
          <cell r="J925">
            <v>0.12930191780821917</v>
          </cell>
        </row>
        <row r="926">
          <cell r="I926">
            <v>1631</v>
          </cell>
          <cell r="J926">
            <v>0.12930547945205478</v>
          </cell>
        </row>
        <row r="927">
          <cell r="I927">
            <v>1632</v>
          </cell>
          <cell r="J927">
            <v>0.12930904109589039</v>
          </cell>
        </row>
        <row r="928">
          <cell r="I928">
            <v>1633</v>
          </cell>
          <cell r="J928">
            <v>0.12931260273972603</v>
          </cell>
        </row>
        <row r="929">
          <cell r="I929">
            <v>1634</v>
          </cell>
          <cell r="J929">
            <v>0.12931616438356164</v>
          </cell>
        </row>
        <row r="930">
          <cell r="I930">
            <v>1635</v>
          </cell>
          <cell r="J930">
            <v>0.12931972602739725</v>
          </cell>
        </row>
        <row r="931">
          <cell r="I931">
            <v>1636</v>
          </cell>
          <cell r="J931">
            <v>0.12932328767123286</v>
          </cell>
        </row>
        <row r="932">
          <cell r="I932">
            <v>1637</v>
          </cell>
          <cell r="J932">
            <v>0.12932684931506849</v>
          </cell>
        </row>
        <row r="933">
          <cell r="I933">
            <v>1638</v>
          </cell>
          <cell r="J933">
            <v>0.1293304109589041</v>
          </cell>
        </row>
        <row r="934">
          <cell r="I934">
            <v>1639</v>
          </cell>
          <cell r="J934">
            <v>0.12933397260273971</v>
          </cell>
        </row>
        <row r="935">
          <cell r="I935">
            <v>1640</v>
          </cell>
          <cell r="J935">
            <v>0.12933753424657535</v>
          </cell>
        </row>
        <row r="936">
          <cell r="I936">
            <v>1641</v>
          </cell>
          <cell r="J936">
            <v>0.12934109589041096</v>
          </cell>
        </row>
        <row r="937">
          <cell r="I937">
            <v>1642</v>
          </cell>
          <cell r="J937">
            <v>0.12934465753424657</v>
          </cell>
        </row>
        <row r="938">
          <cell r="I938">
            <v>1643</v>
          </cell>
          <cell r="J938">
            <v>0.12934821917808217</v>
          </cell>
        </row>
        <row r="939">
          <cell r="I939">
            <v>1644</v>
          </cell>
          <cell r="J939">
            <v>0.12935178082191781</v>
          </cell>
        </row>
        <row r="940">
          <cell r="I940">
            <v>1645</v>
          </cell>
          <cell r="J940">
            <v>0.12935534246575342</v>
          </cell>
        </row>
        <row r="941">
          <cell r="I941">
            <v>1646</v>
          </cell>
          <cell r="J941">
            <v>0.12935890410958903</v>
          </cell>
        </row>
        <row r="942">
          <cell r="I942">
            <v>1647</v>
          </cell>
          <cell r="J942">
            <v>0.12936246575342464</v>
          </cell>
        </row>
        <row r="943">
          <cell r="I943">
            <v>1648</v>
          </cell>
          <cell r="J943">
            <v>0.12936602739726027</v>
          </cell>
        </row>
        <row r="944">
          <cell r="I944">
            <v>1649</v>
          </cell>
          <cell r="J944">
            <v>0.12936958904109588</v>
          </cell>
        </row>
        <row r="945">
          <cell r="I945">
            <v>1650</v>
          </cell>
          <cell r="J945">
            <v>0.12937315068493149</v>
          </cell>
        </row>
        <row r="946">
          <cell r="I946">
            <v>1651</v>
          </cell>
          <cell r="J946">
            <v>0.12937671232876713</v>
          </cell>
        </row>
        <row r="947">
          <cell r="I947">
            <v>1652</v>
          </cell>
          <cell r="J947">
            <v>0.12938027397260274</v>
          </cell>
        </row>
        <row r="948">
          <cell r="I948">
            <v>1653</v>
          </cell>
          <cell r="J948">
            <v>0.12938383561643835</v>
          </cell>
        </row>
        <row r="949">
          <cell r="I949">
            <v>1654</v>
          </cell>
          <cell r="J949">
            <v>0.12938739726027396</v>
          </cell>
        </row>
        <row r="950">
          <cell r="I950">
            <v>1655</v>
          </cell>
          <cell r="J950">
            <v>0.12939095890410959</v>
          </cell>
        </row>
        <row r="951">
          <cell r="I951">
            <v>1656</v>
          </cell>
          <cell r="J951">
            <v>0.1293945205479452</v>
          </cell>
        </row>
        <row r="952">
          <cell r="I952">
            <v>1657</v>
          </cell>
          <cell r="J952">
            <v>0.12939808219178081</v>
          </cell>
        </row>
        <row r="953">
          <cell r="I953">
            <v>1658</v>
          </cell>
          <cell r="J953">
            <v>0.12940164383561642</v>
          </cell>
        </row>
        <row r="954">
          <cell r="I954">
            <v>1659</v>
          </cell>
          <cell r="J954">
            <v>0.12940520547945206</v>
          </cell>
        </row>
        <row r="955">
          <cell r="I955">
            <v>1660</v>
          </cell>
          <cell r="J955">
            <v>0.12940876712328767</v>
          </cell>
        </row>
        <row r="956">
          <cell r="I956">
            <v>1661</v>
          </cell>
          <cell r="J956">
            <v>0.12941232876712327</v>
          </cell>
        </row>
        <row r="957">
          <cell r="I957">
            <v>1662</v>
          </cell>
          <cell r="J957">
            <v>0.12941589041095891</v>
          </cell>
        </row>
        <row r="958">
          <cell r="I958">
            <v>1663</v>
          </cell>
          <cell r="J958">
            <v>0.12941945205479452</v>
          </cell>
        </row>
        <row r="959">
          <cell r="I959">
            <v>1664</v>
          </cell>
          <cell r="J959">
            <v>0.12942301369863013</v>
          </cell>
        </row>
        <row r="960">
          <cell r="I960">
            <v>1665</v>
          </cell>
          <cell r="J960">
            <v>0.12942657534246574</v>
          </cell>
        </row>
        <row r="961">
          <cell r="I961">
            <v>1666</v>
          </cell>
          <cell r="J961">
            <v>0.12943013698630138</v>
          </cell>
        </row>
        <row r="962">
          <cell r="I962">
            <v>1667</v>
          </cell>
          <cell r="J962">
            <v>0.12943369863013698</v>
          </cell>
        </row>
        <row r="963">
          <cell r="I963">
            <v>1668</v>
          </cell>
          <cell r="J963">
            <v>0.12943726027397259</v>
          </cell>
        </row>
        <row r="964">
          <cell r="I964">
            <v>1669</v>
          </cell>
          <cell r="J964">
            <v>0.1294408219178082</v>
          </cell>
        </row>
        <row r="965">
          <cell r="I965">
            <v>1670</v>
          </cell>
          <cell r="J965">
            <v>0.12944438356164384</v>
          </cell>
        </row>
        <row r="966">
          <cell r="I966">
            <v>1671</v>
          </cell>
          <cell r="J966">
            <v>0.12944794520547945</v>
          </cell>
        </row>
        <row r="967">
          <cell r="I967">
            <v>1672</v>
          </cell>
          <cell r="J967">
            <v>0.12945150684931506</v>
          </cell>
        </row>
        <row r="968">
          <cell r="I968">
            <v>1673</v>
          </cell>
          <cell r="J968">
            <v>0.12945506849315069</v>
          </cell>
        </row>
        <row r="969">
          <cell r="I969">
            <v>1674</v>
          </cell>
          <cell r="J969">
            <v>0.1294586301369863</v>
          </cell>
        </row>
        <row r="970">
          <cell r="I970">
            <v>1675</v>
          </cell>
          <cell r="J970">
            <v>0.12946219178082191</v>
          </cell>
        </row>
        <row r="971">
          <cell r="I971">
            <v>1676</v>
          </cell>
          <cell r="J971">
            <v>0.12946575342465752</v>
          </cell>
        </row>
        <row r="972">
          <cell r="I972">
            <v>1677</v>
          </cell>
          <cell r="J972">
            <v>0.12946931506849316</v>
          </cell>
        </row>
        <row r="973">
          <cell r="I973">
            <v>1678</v>
          </cell>
          <cell r="J973">
            <v>0.12947287671232877</v>
          </cell>
        </row>
        <row r="974">
          <cell r="I974">
            <v>1679</v>
          </cell>
          <cell r="J974">
            <v>0.12947643835616438</v>
          </cell>
        </row>
        <row r="975">
          <cell r="I975">
            <v>1680</v>
          </cell>
          <cell r="J975">
            <v>0.12947999999999998</v>
          </cell>
        </row>
        <row r="976">
          <cell r="I976">
            <v>1681</v>
          </cell>
          <cell r="J976">
            <v>0.12948356164383562</v>
          </cell>
        </row>
        <row r="977">
          <cell r="I977">
            <v>1682</v>
          </cell>
          <cell r="J977">
            <v>0.12948712328767123</v>
          </cell>
        </row>
        <row r="978">
          <cell r="I978">
            <v>1683</v>
          </cell>
          <cell r="J978">
            <v>0.12949068493150684</v>
          </cell>
        </row>
        <row r="979">
          <cell r="I979">
            <v>1684</v>
          </cell>
          <cell r="J979">
            <v>0.12949424657534245</v>
          </cell>
        </row>
        <row r="980">
          <cell r="I980">
            <v>1685</v>
          </cell>
          <cell r="J980">
            <v>0.12949780821917808</v>
          </cell>
        </row>
        <row r="981">
          <cell r="I981">
            <v>1686</v>
          </cell>
          <cell r="J981">
            <v>0.12950136986301369</v>
          </cell>
        </row>
        <row r="982">
          <cell r="I982">
            <v>1687</v>
          </cell>
          <cell r="J982">
            <v>0.1295049315068493</v>
          </cell>
        </row>
        <row r="983">
          <cell r="I983">
            <v>1688</v>
          </cell>
          <cell r="J983">
            <v>0.12950849315068494</v>
          </cell>
        </row>
        <row r="984">
          <cell r="I984">
            <v>1689</v>
          </cell>
          <cell r="J984">
            <v>0.12951205479452055</v>
          </cell>
        </row>
        <row r="985">
          <cell r="I985">
            <v>1690</v>
          </cell>
          <cell r="J985">
            <v>0.12951561643835616</v>
          </cell>
        </row>
        <row r="986">
          <cell r="I986">
            <v>1691</v>
          </cell>
          <cell r="J986">
            <v>0.12951917808219177</v>
          </cell>
        </row>
        <row r="987">
          <cell r="I987">
            <v>1692</v>
          </cell>
          <cell r="J987">
            <v>0.1295227397260274</v>
          </cell>
        </row>
        <row r="988">
          <cell r="I988">
            <v>1693</v>
          </cell>
          <cell r="J988">
            <v>0.12952630136986301</v>
          </cell>
        </row>
        <row r="989">
          <cell r="I989">
            <v>1694</v>
          </cell>
          <cell r="J989">
            <v>0.12952986301369862</v>
          </cell>
        </row>
        <row r="990">
          <cell r="I990">
            <v>1695</v>
          </cell>
          <cell r="J990">
            <v>0.12953342465753423</v>
          </cell>
        </row>
        <row r="991">
          <cell r="I991">
            <v>1696</v>
          </cell>
          <cell r="J991">
            <v>0.12953698630136987</v>
          </cell>
        </row>
        <row r="992">
          <cell r="I992">
            <v>1697</v>
          </cell>
          <cell r="J992">
            <v>0.12954054794520548</v>
          </cell>
        </row>
        <row r="993">
          <cell r="I993">
            <v>1698</v>
          </cell>
          <cell r="J993">
            <v>0.12954410958904108</v>
          </cell>
        </row>
        <row r="994">
          <cell r="I994">
            <v>1699</v>
          </cell>
          <cell r="J994">
            <v>0.12954767123287672</v>
          </cell>
        </row>
        <row r="995">
          <cell r="I995">
            <v>1700</v>
          </cell>
          <cell r="J995">
            <v>0.12955123287671233</v>
          </cell>
        </row>
        <row r="996">
          <cell r="I996">
            <v>1701</v>
          </cell>
          <cell r="J996">
            <v>0.12955479452054794</v>
          </cell>
        </row>
        <row r="997">
          <cell r="I997">
            <v>1702</v>
          </cell>
          <cell r="J997">
            <v>0.12955835616438355</v>
          </cell>
        </row>
        <row r="998">
          <cell r="I998">
            <v>1703</v>
          </cell>
          <cell r="J998">
            <v>0.12956191780821918</v>
          </cell>
        </row>
        <row r="999">
          <cell r="I999">
            <v>1704</v>
          </cell>
          <cell r="J999">
            <v>0.12956547945205479</v>
          </cell>
        </row>
        <row r="1000">
          <cell r="I1000">
            <v>1705</v>
          </cell>
          <cell r="J1000">
            <v>0.1295690410958904</v>
          </cell>
        </row>
        <row r="1001">
          <cell r="I1001">
            <v>1706</v>
          </cell>
          <cell r="J1001">
            <v>0.12957260273972601</v>
          </cell>
        </row>
        <row r="1002">
          <cell r="I1002">
            <v>1707</v>
          </cell>
          <cell r="J1002">
            <v>0.12957616438356165</v>
          </cell>
        </row>
        <row r="1003">
          <cell r="I1003">
            <v>1708</v>
          </cell>
          <cell r="J1003">
            <v>0.12957972602739726</v>
          </cell>
        </row>
        <row r="1004">
          <cell r="I1004">
            <v>1709</v>
          </cell>
          <cell r="J1004">
            <v>0.12958328767123287</v>
          </cell>
        </row>
        <row r="1005">
          <cell r="I1005">
            <v>1710</v>
          </cell>
          <cell r="J1005">
            <v>0.1295868493150685</v>
          </cell>
        </row>
        <row r="1006">
          <cell r="I1006">
            <v>1711</v>
          </cell>
          <cell r="J1006">
            <v>0.12959041095890411</v>
          </cell>
        </row>
        <row r="1007">
          <cell r="I1007">
            <v>1712</v>
          </cell>
          <cell r="J1007">
            <v>0.12959397260273972</v>
          </cell>
        </row>
        <row r="1008">
          <cell r="I1008">
            <v>1713</v>
          </cell>
          <cell r="J1008">
            <v>0.12959753424657533</v>
          </cell>
        </row>
        <row r="1009">
          <cell r="I1009">
            <v>1714</v>
          </cell>
          <cell r="J1009">
            <v>0.12960109589041097</v>
          </cell>
        </row>
        <row r="1010">
          <cell r="I1010">
            <v>1715</v>
          </cell>
          <cell r="J1010">
            <v>0.12960465753424658</v>
          </cell>
        </row>
        <row r="1011">
          <cell r="I1011">
            <v>1716</v>
          </cell>
          <cell r="J1011">
            <v>0.12960821917808218</v>
          </cell>
        </row>
        <row r="1012">
          <cell r="I1012">
            <v>1717</v>
          </cell>
          <cell r="J1012">
            <v>0.12961178082191779</v>
          </cell>
        </row>
        <row r="1013">
          <cell r="I1013">
            <v>1718</v>
          </cell>
          <cell r="J1013">
            <v>0.12961534246575343</v>
          </cell>
        </row>
        <row r="1014">
          <cell r="I1014">
            <v>1719</v>
          </cell>
          <cell r="J1014">
            <v>0.12961890410958904</v>
          </cell>
        </row>
        <row r="1015">
          <cell r="I1015">
            <v>1720</v>
          </cell>
          <cell r="J1015">
            <v>0.12962246575342465</v>
          </cell>
        </row>
        <row r="1016">
          <cell r="I1016">
            <v>1721</v>
          </cell>
          <cell r="J1016">
            <v>0.12962602739726029</v>
          </cell>
        </row>
        <row r="1017">
          <cell r="I1017">
            <v>1722</v>
          </cell>
          <cell r="J1017">
            <v>0.12962958904109589</v>
          </cell>
        </row>
        <row r="1018">
          <cell r="I1018">
            <v>1723</v>
          </cell>
          <cell r="J1018">
            <v>0.1296331506849315</v>
          </cell>
        </row>
        <row r="1019">
          <cell r="I1019">
            <v>1724</v>
          </cell>
          <cell r="J1019">
            <v>0.12963671232876711</v>
          </cell>
        </row>
        <row r="1020">
          <cell r="I1020">
            <v>1725</v>
          </cell>
          <cell r="J1020">
            <v>0.12964027397260275</v>
          </cell>
        </row>
        <row r="1021">
          <cell r="I1021">
            <v>1726</v>
          </cell>
          <cell r="J1021">
            <v>0.12964383561643836</v>
          </cell>
        </row>
        <row r="1022">
          <cell r="I1022">
            <v>1727</v>
          </cell>
          <cell r="J1022">
            <v>0.12964739726027397</v>
          </cell>
        </row>
        <row r="1023">
          <cell r="I1023">
            <v>1728</v>
          </cell>
          <cell r="J1023">
            <v>0.12965095890410958</v>
          </cell>
        </row>
        <row r="1024">
          <cell r="I1024">
            <v>1729</v>
          </cell>
          <cell r="J1024">
            <v>0.12965452054794521</v>
          </cell>
        </row>
        <row r="1025">
          <cell r="I1025">
            <v>1730</v>
          </cell>
          <cell r="J1025">
            <v>0.12965808219178082</v>
          </cell>
        </row>
        <row r="1026">
          <cell r="I1026">
            <v>1731</v>
          </cell>
          <cell r="J1026">
            <v>0.12966164383561643</v>
          </cell>
        </row>
        <row r="1027">
          <cell r="I1027">
            <v>1732</v>
          </cell>
          <cell r="J1027">
            <v>0.12966520547945207</v>
          </cell>
        </row>
        <row r="1028">
          <cell r="I1028">
            <v>1733</v>
          </cell>
          <cell r="J1028">
            <v>0.12966876712328768</v>
          </cell>
        </row>
        <row r="1029">
          <cell r="I1029">
            <v>1734</v>
          </cell>
          <cell r="J1029">
            <v>0.12967232876712328</v>
          </cell>
        </row>
        <row r="1030">
          <cell r="I1030">
            <v>1735</v>
          </cell>
          <cell r="J1030">
            <v>0.12967589041095889</v>
          </cell>
        </row>
        <row r="1031">
          <cell r="I1031">
            <v>1736</v>
          </cell>
          <cell r="J1031">
            <v>0.12967945205479453</v>
          </cell>
        </row>
        <row r="1032">
          <cell r="I1032">
            <v>1737</v>
          </cell>
          <cell r="J1032">
            <v>0.12968301369863014</v>
          </cell>
        </row>
        <row r="1033">
          <cell r="I1033">
            <v>1738</v>
          </cell>
          <cell r="J1033">
            <v>0.12968657534246575</v>
          </cell>
        </row>
        <row r="1034">
          <cell r="I1034">
            <v>1739</v>
          </cell>
          <cell r="J1034">
            <v>0.12969013698630136</v>
          </cell>
        </row>
        <row r="1035">
          <cell r="I1035">
            <v>1740</v>
          </cell>
          <cell r="J1035">
            <v>0.12969369863013699</v>
          </cell>
        </row>
        <row r="1036">
          <cell r="I1036">
            <v>1741</v>
          </cell>
          <cell r="J1036">
            <v>0.1296972602739726</v>
          </cell>
        </row>
        <row r="1037">
          <cell r="I1037">
            <v>1742</v>
          </cell>
          <cell r="J1037">
            <v>0.12970082191780821</v>
          </cell>
        </row>
        <row r="1038">
          <cell r="I1038">
            <v>1743</v>
          </cell>
          <cell r="J1038">
            <v>0.12970438356164382</v>
          </cell>
        </row>
        <row r="1039">
          <cell r="I1039">
            <v>1744</v>
          </cell>
          <cell r="J1039">
            <v>0.12970794520547946</v>
          </cell>
        </row>
        <row r="1040">
          <cell r="I1040">
            <v>1745</v>
          </cell>
          <cell r="J1040">
            <v>0.12971150684931507</v>
          </cell>
        </row>
        <row r="1041">
          <cell r="I1041">
            <v>1746</v>
          </cell>
          <cell r="J1041">
            <v>0.12971506849315068</v>
          </cell>
        </row>
        <row r="1042">
          <cell r="I1042">
            <v>1747</v>
          </cell>
          <cell r="J1042">
            <v>0.12971863013698631</v>
          </cell>
        </row>
        <row r="1043">
          <cell r="I1043">
            <v>1748</v>
          </cell>
          <cell r="J1043">
            <v>0.12972219178082192</v>
          </cell>
        </row>
        <row r="1044">
          <cell r="I1044">
            <v>1749</v>
          </cell>
          <cell r="J1044">
            <v>0.12972575342465753</v>
          </cell>
        </row>
        <row r="1045">
          <cell r="I1045">
            <v>1750</v>
          </cell>
          <cell r="J1045">
            <v>0.12972931506849314</v>
          </cell>
        </row>
        <row r="1046">
          <cell r="I1046">
            <v>1751</v>
          </cell>
          <cell r="J1046">
            <v>0.12973287671232878</v>
          </cell>
        </row>
        <row r="1047">
          <cell r="I1047">
            <v>1752</v>
          </cell>
          <cell r="J1047">
            <v>0.12973643835616439</v>
          </cell>
        </row>
        <row r="1048">
          <cell r="I1048">
            <v>1753</v>
          </cell>
          <cell r="J1048">
            <v>0.12973999999999999</v>
          </cell>
        </row>
        <row r="1049">
          <cell r="I1049">
            <v>1754</v>
          </cell>
          <cell r="J1049">
            <v>0.1297435616438356</v>
          </cell>
        </row>
        <row r="1050">
          <cell r="I1050">
            <v>1755</v>
          </cell>
          <cell r="J1050">
            <v>0.12974712328767124</v>
          </cell>
        </row>
        <row r="1051">
          <cell r="I1051">
            <v>1756</v>
          </cell>
          <cell r="J1051">
            <v>0.12975068493150685</v>
          </cell>
        </row>
        <row r="1052">
          <cell r="I1052">
            <v>1757</v>
          </cell>
          <cell r="J1052">
            <v>0.12975424657534246</v>
          </cell>
        </row>
        <row r="1053">
          <cell r="I1053">
            <v>1758</v>
          </cell>
          <cell r="J1053">
            <v>0.12975780821917809</v>
          </cell>
        </row>
        <row r="1054">
          <cell r="I1054">
            <v>1759</v>
          </cell>
          <cell r="J1054">
            <v>0.1297613698630137</v>
          </cell>
        </row>
        <row r="1055">
          <cell r="I1055">
            <v>1760</v>
          </cell>
          <cell r="J1055">
            <v>0.12976493150684931</v>
          </cell>
        </row>
        <row r="1056">
          <cell r="I1056">
            <v>1761</v>
          </cell>
          <cell r="J1056">
            <v>0.12976849315068492</v>
          </cell>
        </row>
        <row r="1057">
          <cell r="I1057">
            <v>1762</v>
          </cell>
          <cell r="J1057">
            <v>0.12977205479452056</v>
          </cell>
        </row>
        <row r="1058">
          <cell r="I1058">
            <v>1763</v>
          </cell>
          <cell r="J1058">
            <v>0.12977561643835617</v>
          </cell>
        </row>
        <row r="1059">
          <cell r="I1059">
            <v>1764</v>
          </cell>
          <cell r="J1059">
            <v>0.12977917808219178</v>
          </cell>
        </row>
        <row r="1060">
          <cell r="I1060">
            <v>1765</v>
          </cell>
          <cell r="J1060">
            <v>0.12978273972602739</v>
          </cell>
        </row>
        <row r="1061">
          <cell r="I1061">
            <v>1766</v>
          </cell>
          <cell r="J1061">
            <v>0.12978630136986302</v>
          </cell>
        </row>
        <row r="1062">
          <cell r="I1062">
            <v>1767</v>
          </cell>
          <cell r="J1062">
            <v>0.12978986301369863</v>
          </cell>
        </row>
        <row r="1063">
          <cell r="I1063">
            <v>1768</v>
          </cell>
          <cell r="J1063">
            <v>0.12979342465753424</v>
          </cell>
        </row>
        <row r="1064">
          <cell r="I1064">
            <v>1769</v>
          </cell>
          <cell r="J1064">
            <v>0.12979698630136988</v>
          </cell>
        </row>
        <row r="1065">
          <cell r="I1065">
            <v>1770</v>
          </cell>
          <cell r="J1065">
            <v>0.12980054794520549</v>
          </cell>
        </row>
        <row r="1066">
          <cell r="I1066">
            <v>1771</v>
          </cell>
          <cell r="J1066">
            <v>0.12980410958904109</v>
          </cell>
        </row>
        <row r="1067">
          <cell r="I1067">
            <v>1772</v>
          </cell>
          <cell r="J1067">
            <v>0.1298076712328767</v>
          </cell>
        </row>
        <row r="1068">
          <cell r="I1068">
            <v>1773</v>
          </cell>
          <cell r="J1068">
            <v>0.12981123287671234</v>
          </cell>
        </row>
        <row r="1069">
          <cell r="I1069">
            <v>1774</v>
          </cell>
          <cell r="J1069">
            <v>0.12981479452054795</v>
          </cell>
        </row>
        <row r="1070">
          <cell r="I1070">
            <v>1775</v>
          </cell>
          <cell r="J1070">
            <v>0.12981835616438356</v>
          </cell>
        </row>
        <row r="1071">
          <cell r="I1071">
            <v>1776</v>
          </cell>
          <cell r="J1071">
            <v>0.12982191780821917</v>
          </cell>
        </row>
        <row r="1072">
          <cell r="I1072">
            <v>1777</v>
          </cell>
          <cell r="J1072">
            <v>0.1298254794520548</v>
          </cell>
        </row>
        <row r="1073">
          <cell r="I1073">
            <v>1778</v>
          </cell>
          <cell r="J1073">
            <v>0.12982904109589041</v>
          </cell>
        </row>
        <row r="1074">
          <cell r="I1074">
            <v>1779</v>
          </cell>
          <cell r="J1074">
            <v>0.12983260273972602</v>
          </cell>
        </row>
        <row r="1075">
          <cell r="I1075">
            <v>1780</v>
          </cell>
          <cell r="J1075">
            <v>0.12983616438356166</v>
          </cell>
        </row>
        <row r="1076">
          <cell r="I1076">
            <v>1781</v>
          </cell>
          <cell r="J1076">
            <v>0.12983972602739727</v>
          </cell>
        </row>
        <row r="1077">
          <cell r="I1077">
            <v>1782</v>
          </cell>
          <cell r="J1077">
            <v>0.12984328767123288</v>
          </cell>
        </row>
        <row r="1078">
          <cell r="I1078">
            <v>1783</v>
          </cell>
          <cell r="J1078">
            <v>0.12984684931506849</v>
          </cell>
        </row>
        <row r="1079">
          <cell r="I1079">
            <v>1784</v>
          </cell>
          <cell r="J1079">
            <v>0.12985041095890412</v>
          </cell>
        </row>
        <row r="1080">
          <cell r="I1080">
            <v>1785</v>
          </cell>
          <cell r="J1080">
            <v>0.12985397260273973</v>
          </cell>
        </row>
        <row r="1081">
          <cell r="I1081">
            <v>1786</v>
          </cell>
          <cell r="J1081">
            <v>0.12985753424657534</v>
          </cell>
        </row>
        <row r="1082">
          <cell r="I1082">
            <v>1787</v>
          </cell>
          <cell r="J1082">
            <v>0.12986109589041095</v>
          </cell>
        </row>
        <row r="1083">
          <cell r="I1083">
            <v>1788</v>
          </cell>
          <cell r="J1083">
            <v>0.12986465753424659</v>
          </cell>
        </row>
        <row r="1084">
          <cell r="I1084">
            <v>1789</v>
          </cell>
          <cell r="J1084">
            <v>0.12986821917808219</v>
          </cell>
        </row>
        <row r="1085">
          <cell r="I1085">
            <v>1790</v>
          </cell>
          <cell r="J1085">
            <v>0.1298717808219178</v>
          </cell>
        </row>
        <row r="1086">
          <cell r="I1086">
            <v>1791</v>
          </cell>
          <cell r="J1086">
            <v>0.12987534246575344</v>
          </cell>
        </row>
        <row r="1087">
          <cell r="I1087">
            <v>1792</v>
          </cell>
          <cell r="J1087">
            <v>0.12987890410958905</v>
          </cell>
        </row>
        <row r="1088">
          <cell r="I1088">
            <v>1793</v>
          </cell>
          <cell r="J1088">
            <v>0.12988246575342466</v>
          </cell>
        </row>
        <row r="1089">
          <cell r="I1089">
            <v>1794</v>
          </cell>
          <cell r="J1089">
            <v>0.12988602739726027</v>
          </cell>
        </row>
        <row r="1090">
          <cell r="I1090">
            <v>1795</v>
          </cell>
          <cell r="J1090">
            <v>0.1298895890410959</v>
          </cell>
        </row>
        <row r="1091">
          <cell r="I1091">
            <v>1796</v>
          </cell>
          <cell r="J1091">
            <v>0.12989315068493151</v>
          </cell>
        </row>
        <row r="1092">
          <cell r="I1092">
            <v>1797</v>
          </cell>
          <cell r="J1092">
            <v>0.12989671232876712</v>
          </cell>
        </row>
        <row r="1093">
          <cell r="I1093">
            <v>1798</v>
          </cell>
          <cell r="J1093">
            <v>0.12990027397260273</v>
          </cell>
        </row>
        <row r="1094">
          <cell r="I1094">
            <v>1799</v>
          </cell>
          <cell r="J1094">
            <v>0.12990383561643837</v>
          </cell>
        </row>
        <row r="1095">
          <cell r="I1095">
            <v>1800</v>
          </cell>
          <cell r="J1095">
            <v>0.12990739726027398</v>
          </cell>
        </row>
        <row r="1096">
          <cell r="I1096">
            <v>1801</v>
          </cell>
          <cell r="J1096">
            <v>0.12991095890410959</v>
          </cell>
        </row>
        <row r="1097">
          <cell r="I1097">
            <v>1802</v>
          </cell>
          <cell r="J1097">
            <v>0.12991452054794519</v>
          </cell>
        </row>
        <row r="1098">
          <cell r="I1098">
            <v>1803</v>
          </cell>
          <cell r="J1098">
            <v>0.12991808219178083</v>
          </cell>
        </row>
        <row r="1099">
          <cell r="I1099">
            <v>1804</v>
          </cell>
          <cell r="J1099">
            <v>0.12992164383561644</v>
          </cell>
        </row>
        <row r="1100">
          <cell r="I1100">
            <v>1805</v>
          </cell>
          <cell r="J1100">
            <v>0.12992520547945205</v>
          </cell>
        </row>
        <row r="1101">
          <cell r="I1101">
            <v>1806</v>
          </cell>
          <cell r="J1101">
            <v>0.12992876712328769</v>
          </cell>
        </row>
        <row r="1102">
          <cell r="I1102">
            <v>1807</v>
          </cell>
          <cell r="J1102">
            <v>0.1299323287671233</v>
          </cell>
        </row>
        <row r="1103">
          <cell r="I1103">
            <v>1808</v>
          </cell>
          <cell r="J1103">
            <v>0.1299358904109589</v>
          </cell>
        </row>
        <row r="1104">
          <cell r="I1104">
            <v>1809</v>
          </cell>
          <cell r="J1104">
            <v>0.12993945205479451</v>
          </cell>
        </row>
        <row r="1105">
          <cell r="I1105">
            <v>1810</v>
          </cell>
          <cell r="J1105">
            <v>0.12994301369863015</v>
          </cell>
        </row>
        <row r="1106">
          <cell r="I1106">
            <v>1811</v>
          </cell>
          <cell r="J1106">
            <v>0.12994657534246576</v>
          </cell>
        </row>
        <row r="1107">
          <cell r="I1107">
            <v>1812</v>
          </cell>
          <cell r="J1107">
            <v>0.12995013698630137</v>
          </cell>
        </row>
        <row r="1108">
          <cell r="I1108">
            <v>1813</v>
          </cell>
          <cell r="J1108">
            <v>0.12995369863013698</v>
          </cell>
        </row>
        <row r="1109">
          <cell r="I1109">
            <v>1814</v>
          </cell>
          <cell r="J1109">
            <v>0.12995726027397261</v>
          </cell>
        </row>
        <row r="1110">
          <cell r="I1110">
            <v>1815</v>
          </cell>
          <cell r="J1110">
            <v>0.12996082191780822</v>
          </cell>
        </row>
        <row r="1111">
          <cell r="I1111">
            <v>1816</v>
          </cell>
          <cell r="J1111">
            <v>0.12996438356164383</v>
          </cell>
        </row>
        <row r="1112">
          <cell r="I1112">
            <v>1817</v>
          </cell>
          <cell r="J1112">
            <v>0.12996794520547947</v>
          </cell>
        </row>
        <row r="1113">
          <cell r="I1113">
            <v>1818</v>
          </cell>
          <cell r="J1113">
            <v>0.12997150684931508</v>
          </cell>
        </row>
        <row r="1114">
          <cell r="I1114">
            <v>1819</v>
          </cell>
          <cell r="J1114">
            <v>0.12997506849315069</v>
          </cell>
        </row>
        <row r="1115">
          <cell r="I1115">
            <v>1820</v>
          </cell>
          <cell r="J1115">
            <v>0.1299786301369863</v>
          </cell>
        </row>
        <row r="1116">
          <cell r="I1116">
            <v>1821</v>
          </cell>
          <cell r="J1116">
            <v>0.12998219178082193</v>
          </cell>
        </row>
        <row r="1117">
          <cell r="I1117">
            <v>1822</v>
          </cell>
          <cell r="J1117">
            <v>0.12998575342465754</v>
          </cell>
        </row>
        <row r="1118">
          <cell r="I1118">
            <v>1823</v>
          </cell>
          <cell r="J1118">
            <v>0.12998931506849315</v>
          </cell>
        </row>
        <row r="1119">
          <cell r="I1119">
            <v>1824</v>
          </cell>
          <cell r="J1119">
            <v>0.12999287671232876</v>
          </cell>
        </row>
        <row r="1120">
          <cell r="I1120">
            <v>1825</v>
          </cell>
          <cell r="J1120">
            <v>0.1299964383561644</v>
          </cell>
        </row>
        <row r="1121">
          <cell r="I1121">
            <v>1826</v>
          </cell>
          <cell r="J1121">
            <v>0.13</v>
          </cell>
        </row>
        <row r="1122">
          <cell r="I1122">
            <v>1827</v>
          </cell>
          <cell r="J1122">
            <v>0.13000164383561644</v>
          </cell>
        </row>
        <row r="1123">
          <cell r="I1123">
            <v>1828</v>
          </cell>
          <cell r="J1123">
            <v>0.13000328767123287</v>
          </cell>
        </row>
        <row r="1124">
          <cell r="I1124">
            <v>1829</v>
          </cell>
          <cell r="J1124">
            <v>0.13000493150684933</v>
          </cell>
        </row>
        <row r="1125">
          <cell r="I1125">
            <v>1830</v>
          </cell>
          <cell r="J1125">
            <v>0.13000657534246576</v>
          </cell>
        </row>
        <row r="1126">
          <cell r="I1126">
            <v>1831</v>
          </cell>
          <cell r="J1126">
            <v>0.1300082191780822</v>
          </cell>
        </row>
        <row r="1127">
          <cell r="I1127">
            <v>1832</v>
          </cell>
          <cell r="J1127">
            <v>0.13000986301369863</v>
          </cell>
        </row>
        <row r="1128">
          <cell r="I1128">
            <v>1833</v>
          </cell>
          <cell r="J1128">
            <v>0.13001150684931506</v>
          </cell>
        </row>
        <row r="1129">
          <cell r="I1129">
            <v>1834</v>
          </cell>
          <cell r="J1129">
            <v>0.13001315068493152</v>
          </cell>
        </row>
        <row r="1130">
          <cell r="I1130">
            <v>1835</v>
          </cell>
          <cell r="J1130">
            <v>0.13001479452054795</v>
          </cell>
        </row>
        <row r="1131">
          <cell r="I1131">
            <v>1836</v>
          </cell>
          <cell r="J1131">
            <v>0.13001643835616439</v>
          </cell>
        </row>
        <row r="1132">
          <cell r="I1132">
            <v>1837</v>
          </cell>
          <cell r="J1132">
            <v>0.13001808219178082</v>
          </cell>
        </row>
        <row r="1133">
          <cell r="I1133">
            <v>1838</v>
          </cell>
          <cell r="J1133">
            <v>0.13001972602739725</v>
          </cell>
        </row>
        <row r="1134">
          <cell r="I1134">
            <v>1839</v>
          </cell>
          <cell r="J1134">
            <v>0.13002136986301371</v>
          </cell>
        </row>
        <row r="1135">
          <cell r="I1135">
            <v>1840</v>
          </cell>
          <cell r="J1135">
            <v>0.13002301369863015</v>
          </cell>
        </row>
        <row r="1136">
          <cell r="I1136">
            <v>1841</v>
          </cell>
          <cell r="J1136">
            <v>0.13002465753424658</v>
          </cell>
        </row>
        <row r="1137">
          <cell r="I1137">
            <v>1842</v>
          </cell>
          <cell r="J1137">
            <v>0.13002630136986301</v>
          </cell>
        </row>
        <row r="1138">
          <cell r="I1138">
            <v>1843</v>
          </cell>
          <cell r="J1138">
            <v>0.13002794520547944</v>
          </cell>
        </row>
        <row r="1139">
          <cell r="I1139">
            <v>1844</v>
          </cell>
          <cell r="J1139">
            <v>0.13002958904109591</v>
          </cell>
        </row>
        <row r="1140">
          <cell r="I1140">
            <v>1845</v>
          </cell>
          <cell r="J1140">
            <v>0.13003123287671234</v>
          </cell>
        </row>
        <row r="1141">
          <cell r="I1141">
            <v>1846</v>
          </cell>
          <cell r="J1141">
            <v>0.13003287671232877</v>
          </cell>
        </row>
        <row r="1142">
          <cell r="I1142">
            <v>1847</v>
          </cell>
          <cell r="J1142">
            <v>0.1300345205479452</v>
          </cell>
        </row>
        <row r="1143">
          <cell r="I1143">
            <v>1848</v>
          </cell>
          <cell r="J1143">
            <v>0.13003616438356164</v>
          </cell>
        </row>
        <row r="1144">
          <cell r="I1144">
            <v>1849</v>
          </cell>
          <cell r="J1144">
            <v>0.1300378082191781</v>
          </cell>
        </row>
        <row r="1145">
          <cell r="I1145">
            <v>1850</v>
          </cell>
          <cell r="J1145">
            <v>0.13003945205479453</v>
          </cell>
        </row>
        <row r="1146">
          <cell r="I1146">
            <v>1851</v>
          </cell>
          <cell r="J1146">
            <v>0.13004109589041096</v>
          </cell>
        </row>
        <row r="1147">
          <cell r="I1147">
            <v>1852</v>
          </cell>
          <cell r="J1147">
            <v>0.1300427397260274</v>
          </cell>
        </row>
        <row r="1148">
          <cell r="I1148">
            <v>1853</v>
          </cell>
          <cell r="J1148">
            <v>0.13004438356164383</v>
          </cell>
        </row>
        <row r="1149">
          <cell r="I1149">
            <v>1854</v>
          </cell>
          <cell r="J1149">
            <v>0.13004602739726029</v>
          </cell>
        </row>
        <row r="1150">
          <cell r="I1150">
            <v>1855</v>
          </cell>
          <cell r="J1150">
            <v>0.13004767123287672</v>
          </cell>
        </row>
        <row r="1151">
          <cell r="I1151">
            <v>1856</v>
          </cell>
          <cell r="J1151">
            <v>0.13004931506849315</v>
          </cell>
        </row>
        <row r="1152">
          <cell r="I1152">
            <v>1857</v>
          </cell>
          <cell r="J1152">
            <v>0.13005095890410959</v>
          </cell>
        </row>
        <row r="1153">
          <cell r="I1153">
            <v>1858</v>
          </cell>
          <cell r="J1153">
            <v>0.13005260273972602</v>
          </cell>
        </row>
        <row r="1154">
          <cell r="I1154">
            <v>1859</v>
          </cell>
          <cell r="J1154">
            <v>0.13005424657534248</v>
          </cell>
        </row>
        <row r="1155">
          <cell r="I1155">
            <v>1860</v>
          </cell>
          <cell r="J1155">
            <v>0.13005589041095891</v>
          </cell>
        </row>
        <row r="1156">
          <cell r="I1156">
            <v>1861</v>
          </cell>
          <cell r="J1156">
            <v>0.13005753424657535</v>
          </cell>
        </row>
        <row r="1157">
          <cell r="I1157">
            <v>1862</v>
          </cell>
          <cell r="J1157">
            <v>0.13005917808219178</v>
          </cell>
        </row>
        <row r="1158">
          <cell r="I1158">
            <v>1863</v>
          </cell>
          <cell r="J1158">
            <v>0.13006082191780821</v>
          </cell>
        </row>
        <row r="1159">
          <cell r="I1159">
            <v>1864</v>
          </cell>
          <cell r="J1159">
            <v>0.13006246575342467</v>
          </cell>
        </row>
        <row r="1160">
          <cell r="I1160">
            <v>1865</v>
          </cell>
          <cell r="J1160">
            <v>0.1300641095890411</v>
          </cell>
        </row>
        <row r="1161">
          <cell r="I1161">
            <v>1866</v>
          </cell>
          <cell r="J1161">
            <v>0.13006575342465754</v>
          </cell>
        </row>
        <row r="1162">
          <cell r="I1162">
            <v>1867</v>
          </cell>
          <cell r="J1162">
            <v>0.13006739726027397</v>
          </cell>
        </row>
        <row r="1163">
          <cell r="I1163">
            <v>1868</v>
          </cell>
          <cell r="J1163">
            <v>0.1300690410958904</v>
          </cell>
        </row>
        <row r="1164">
          <cell r="I1164">
            <v>1869</v>
          </cell>
          <cell r="J1164">
            <v>0.13007068493150686</v>
          </cell>
        </row>
        <row r="1165">
          <cell r="I1165">
            <v>1870</v>
          </cell>
          <cell r="J1165">
            <v>0.1300723287671233</v>
          </cell>
        </row>
        <row r="1166">
          <cell r="I1166">
            <v>1871</v>
          </cell>
          <cell r="J1166">
            <v>0.13007397260273973</v>
          </cell>
        </row>
        <row r="1167">
          <cell r="I1167">
            <v>1872</v>
          </cell>
          <cell r="J1167">
            <v>0.13007561643835616</v>
          </cell>
        </row>
        <row r="1168">
          <cell r="I1168">
            <v>1873</v>
          </cell>
          <cell r="J1168">
            <v>0.13007726027397259</v>
          </cell>
        </row>
        <row r="1169">
          <cell r="I1169">
            <v>1874</v>
          </cell>
          <cell r="J1169">
            <v>0.13007890410958906</v>
          </cell>
        </row>
        <row r="1170">
          <cell r="I1170">
            <v>1875</v>
          </cell>
          <cell r="J1170">
            <v>0.13008054794520549</v>
          </cell>
        </row>
        <row r="1171">
          <cell r="I1171">
            <v>1876</v>
          </cell>
          <cell r="J1171">
            <v>0.13008219178082192</v>
          </cell>
        </row>
        <row r="1172">
          <cell r="I1172">
            <v>1877</v>
          </cell>
          <cell r="J1172">
            <v>0.13008383561643835</v>
          </cell>
        </row>
        <row r="1173">
          <cell r="I1173">
            <v>1878</v>
          </cell>
          <cell r="J1173">
            <v>0.13008547945205479</v>
          </cell>
        </row>
        <row r="1174">
          <cell r="I1174">
            <v>1879</v>
          </cell>
          <cell r="J1174">
            <v>0.13008712328767125</v>
          </cell>
        </row>
        <row r="1175">
          <cell r="I1175">
            <v>1880</v>
          </cell>
          <cell r="J1175">
            <v>0.13008876712328768</v>
          </cell>
        </row>
        <row r="1176">
          <cell r="I1176">
            <v>1881</v>
          </cell>
          <cell r="J1176">
            <v>0.13009041095890411</v>
          </cell>
        </row>
        <row r="1177">
          <cell r="I1177">
            <v>1882</v>
          </cell>
          <cell r="J1177">
            <v>0.13009205479452055</v>
          </cell>
        </row>
        <row r="1178">
          <cell r="I1178">
            <v>1883</v>
          </cell>
          <cell r="J1178">
            <v>0.13009369863013698</v>
          </cell>
        </row>
        <row r="1179">
          <cell r="I1179">
            <v>1884</v>
          </cell>
          <cell r="J1179">
            <v>0.13009534246575344</v>
          </cell>
        </row>
        <row r="1180">
          <cell r="I1180">
            <v>1885</v>
          </cell>
          <cell r="J1180">
            <v>0.13009698630136987</v>
          </cell>
        </row>
        <row r="1181">
          <cell r="I1181">
            <v>1886</v>
          </cell>
          <cell r="J1181">
            <v>0.1300986301369863</v>
          </cell>
        </row>
        <row r="1182">
          <cell r="I1182">
            <v>1887</v>
          </cell>
          <cell r="J1182">
            <v>0.13010027397260274</v>
          </cell>
        </row>
        <row r="1183">
          <cell r="I1183">
            <v>1888</v>
          </cell>
          <cell r="J1183">
            <v>0.13010191780821917</v>
          </cell>
        </row>
        <row r="1184">
          <cell r="I1184">
            <v>1889</v>
          </cell>
          <cell r="J1184">
            <v>0.13010356164383563</v>
          </cell>
        </row>
        <row r="1185">
          <cell r="I1185">
            <v>1890</v>
          </cell>
          <cell r="J1185">
            <v>0.13010520547945206</v>
          </cell>
        </row>
        <row r="1186">
          <cell r="I1186">
            <v>1891</v>
          </cell>
          <cell r="J1186">
            <v>0.1301068493150685</v>
          </cell>
        </row>
        <row r="1187">
          <cell r="I1187">
            <v>1892</v>
          </cell>
          <cell r="J1187">
            <v>0.13010849315068493</v>
          </cell>
        </row>
        <row r="1188">
          <cell r="I1188">
            <v>1893</v>
          </cell>
          <cell r="J1188">
            <v>0.13011013698630136</v>
          </cell>
        </row>
        <row r="1189">
          <cell r="I1189">
            <v>1894</v>
          </cell>
          <cell r="J1189">
            <v>0.13011178082191782</v>
          </cell>
        </row>
        <row r="1190">
          <cell r="I1190">
            <v>1895</v>
          </cell>
          <cell r="J1190">
            <v>0.13011342465753425</v>
          </cell>
        </row>
        <row r="1191">
          <cell r="I1191">
            <v>1896</v>
          </cell>
          <cell r="J1191">
            <v>0.13011506849315069</v>
          </cell>
        </row>
        <row r="1192">
          <cell r="I1192">
            <v>1897</v>
          </cell>
          <cell r="J1192">
            <v>0.13011671232876712</v>
          </cell>
        </row>
        <row r="1193">
          <cell r="I1193">
            <v>1898</v>
          </cell>
          <cell r="J1193">
            <v>0.13011835616438355</v>
          </cell>
        </row>
        <row r="1194">
          <cell r="I1194">
            <v>1899</v>
          </cell>
          <cell r="J1194">
            <v>0.13012000000000001</v>
          </cell>
        </row>
        <row r="1195">
          <cell r="I1195">
            <v>1900</v>
          </cell>
          <cell r="J1195">
            <v>0.13012164383561645</v>
          </cell>
        </row>
        <row r="1196">
          <cell r="I1196">
            <v>1901</v>
          </cell>
          <cell r="J1196">
            <v>0.13012328767123288</v>
          </cell>
        </row>
        <row r="1197">
          <cell r="I1197">
            <v>1902</v>
          </cell>
          <cell r="J1197">
            <v>0.13012493150684931</v>
          </cell>
        </row>
        <row r="1198">
          <cell r="I1198">
            <v>1903</v>
          </cell>
          <cell r="J1198">
            <v>0.13012657534246574</v>
          </cell>
        </row>
        <row r="1199">
          <cell r="I1199">
            <v>1904</v>
          </cell>
          <cell r="J1199">
            <v>0.13012821917808221</v>
          </cell>
        </row>
        <row r="1200">
          <cell r="I1200">
            <v>1905</v>
          </cell>
          <cell r="J1200">
            <v>0.13012986301369864</v>
          </cell>
        </row>
        <row r="1201">
          <cell r="I1201">
            <v>1906</v>
          </cell>
          <cell r="J1201">
            <v>0.13013150684931507</v>
          </cell>
        </row>
        <row r="1202">
          <cell r="I1202">
            <v>1907</v>
          </cell>
          <cell r="J1202">
            <v>0.1301331506849315</v>
          </cell>
        </row>
        <row r="1203">
          <cell r="I1203">
            <v>1908</v>
          </cell>
          <cell r="J1203">
            <v>0.13013479452054794</v>
          </cell>
        </row>
        <row r="1204">
          <cell r="I1204">
            <v>1909</v>
          </cell>
          <cell r="J1204">
            <v>0.1301364383561644</v>
          </cell>
        </row>
        <row r="1205">
          <cell r="I1205">
            <v>1910</v>
          </cell>
          <cell r="J1205">
            <v>0.13013808219178083</v>
          </cell>
        </row>
        <row r="1206">
          <cell r="I1206">
            <v>1911</v>
          </cell>
          <cell r="J1206">
            <v>0.13013972602739726</v>
          </cell>
        </row>
        <row r="1207">
          <cell r="I1207">
            <v>1912</v>
          </cell>
          <cell r="J1207">
            <v>0.1301413698630137</v>
          </cell>
        </row>
        <row r="1208">
          <cell r="I1208">
            <v>1913</v>
          </cell>
          <cell r="J1208">
            <v>0.13014301369863013</v>
          </cell>
        </row>
        <row r="1209">
          <cell r="I1209">
            <v>1914</v>
          </cell>
          <cell r="J1209">
            <v>0.13014465753424659</v>
          </cell>
        </row>
        <row r="1210">
          <cell r="I1210">
            <v>1915</v>
          </cell>
          <cell r="J1210">
            <v>0.13014630136986302</v>
          </cell>
        </row>
        <row r="1211">
          <cell r="I1211">
            <v>1916</v>
          </cell>
          <cell r="J1211">
            <v>0.13014794520547945</v>
          </cell>
        </row>
        <row r="1212">
          <cell r="I1212">
            <v>1917</v>
          </cell>
          <cell r="J1212">
            <v>0.13014958904109589</v>
          </cell>
        </row>
        <row r="1213">
          <cell r="I1213">
            <v>1918</v>
          </cell>
          <cell r="J1213">
            <v>0.13015123287671232</v>
          </cell>
        </row>
        <row r="1214">
          <cell r="I1214">
            <v>1919</v>
          </cell>
          <cell r="J1214">
            <v>0.13015287671232878</v>
          </cell>
        </row>
        <row r="1215">
          <cell r="I1215">
            <v>1920</v>
          </cell>
          <cell r="J1215">
            <v>0.13015452054794521</v>
          </cell>
        </row>
        <row r="1216">
          <cell r="I1216">
            <v>1921</v>
          </cell>
          <cell r="J1216">
            <v>0.13015616438356165</v>
          </cell>
        </row>
        <row r="1217">
          <cell r="I1217">
            <v>1922</v>
          </cell>
          <cell r="J1217">
            <v>0.13015780821917808</v>
          </cell>
        </row>
        <row r="1218">
          <cell r="I1218">
            <v>1923</v>
          </cell>
          <cell r="J1218">
            <v>0.13015945205479451</v>
          </cell>
        </row>
        <row r="1219">
          <cell r="I1219">
            <v>1924</v>
          </cell>
          <cell r="J1219">
            <v>0.13016109589041097</v>
          </cell>
        </row>
        <row r="1220">
          <cell r="I1220">
            <v>1925</v>
          </cell>
          <cell r="J1220">
            <v>0.1301627397260274</v>
          </cell>
        </row>
        <row r="1221">
          <cell r="I1221">
            <v>1926</v>
          </cell>
          <cell r="J1221">
            <v>0.13016438356164384</v>
          </cell>
        </row>
        <row r="1222">
          <cell r="I1222">
            <v>1927</v>
          </cell>
          <cell r="J1222">
            <v>0.13016602739726027</v>
          </cell>
        </row>
        <row r="1223">
          <cell r="I1223">
            <v>1928</v>
          </cell>
          <cell r="J1223">
            <v>0.1301676712328767</v>
          </cell>
        </row>
        <row r="1224">
          <cell r="I1224">
            <v>1929</v>
          </cell>
          <cell r="J1224">
            <v>0.13016931506849316</v>
          </cell>
        </row>
        <row r="1225">
          <cell r="I1225">
            <v>1930</v>
          </cell>
          <cell r="J1225">
            <v>0.1301709589041096</v>
          </cell>
        </row>
        <row r="1226">
          <cell r="I1226">
            <v>1931</v>
          </cell>
          <cell r="J1226">
            <v>0.13017260273972603</v>
          </cell>
        </row>
        <row r="1227">
          <cell r="I1227">
            <v>1932</v>
          </cell>
          <cell r="J1227">
            <v>0.13017424657534246</v>
          </cell>
        </row>
        <row r="1228">
          <cell r="I1228">
            <v>1933</v>
          </cell>
          <cell r="J1228">
            <v>0.13017589041095889</v>
          </cell>
        </row>
        <row r="1229">
          <cell r="I1229">
            <v>1934</v>
          </cell>
          <cell r="J1229">
            <v>0.13017753424657535</v>
          </cell>
        </row>
        <row r="1230">
          <cell r="I1230">
            <v>1935</v>
          </cell>
          <cell r="J1230">
            <v>0.13017917808219179</v>
          </cell>
        </row>
        <row r="1231">
          <cell r="I1231">
            <v>1936</v>
          </cell>
          <cell r="J1231">
            <v>0.13018082191780822</v>
          </cell>
        </row>
        <row r="1232">
          <cell r="I1232">
            <v>1937</v>
          </cell>
          <cell r="J1232">
            <v>0.13018246575342465</v>
          </cell>
        </row>
        <row r="1233">
          <cell r="I1233">
            <v>1938</v>
          </cell>
          <cell r="J1233">
            <v>0.13018410958904109</v>
          </cell>
        </row>
        <row r="1234">
          <cell r="I1234">
            <v>1939</v>
          </cell>
          <cell r="J1234">
            <v>0.13018575342465755</v>
          </cell>
        </row>
        <row r="1235">
          <cell r="I1235">
            <v>1940</v>
          </cell>
          <cell r="J1235">
            <v>0.13018739726027398</v>
          </cell>
        </row>
        <row r="1236">
          <cell r="I1236">
            <v>1941</v>
          </cell>
          <cell r="J1236">
            <v>0.13018904109589041</v>
          </cell>
        </row>
        <row r="1237">
          <cell r="I1237">
            <v>1942</v>
          </cell>
          <cell r="J1237">
            <v>0.13019068493150684</v>
          </cell>
        </row>
        <row r="1238">
          <cell r="I1238">
            <v>1943</v>
          </cell>
          <cell r="J1238">
            <v>0.13019232876712328</v>
          </cell>
        </row>
        <row r="1239">
          <cell r="I1239">
            <v>1944</v>
          </cell>
          <cell r="J1239">
            <v>0.13019397260273974</v>
          </cell>
        </row>
        <row r="1240">
          <cell r="I1240">
            <v>1945</v>
          </cell>
          <cell r="J1240">
            <v>0.13019561643835617</v>
          </cell>
        </row>
        <row r="1241">
          <cell r="I1241">
            <v>1946</v>
          </cell>
          <cell r="J1241">
            <v>0.1301972602739726</v>
          </cell>
        </row>
        <row r="1242">
          <cell r="I1242">
            <v>1947</v>
          </cell>
          <cell r="J1242">
            <v>0.13019890410958904</v>
          </cell>
        </row>
        <row r="1243">
          <cell r="I1243">
            <v>1948</v>
          </cell>
          <cell r="J1243">
            <v>0.13020054794520547</v>
          </cell>
        </row>
        <row r="1244">
          <cell r="I1244">
            <v>1949</v>
          </cell>
          <cell r="J1244">
            <v>0.13020219178082193</v>
          </cell>
        </row>
        <row r="1245">
          <cell r="I1245">
            <v>1950</v>
          </cell>
          <cell r="J1245">
            <v>0.13020383561643836</v>
          </cell>
        </row>
        <row r="1246">
          <cell r="I1246">
            <v>1951</v>
          </cell>
          <cell r="J1246">
            <v>0.1302054794520548</v>
          </cell>
        </row>
        <row r="1247">
          <cell r="I1247">
            <v>1952</v>
          </cell>
          <cell r="J1247">
            <v>0.13020712328767123</v>
          </cell>
        </row>
        <row r="1248">
          <cell r="I1248">
            <v>1953</v>
          </cell>
          <cell r="J1248">
            <v>0.13020876712328766</v>
          </cell>
        </row>
        <row r="1249">
          <cell r="I1249">
            <v>1954</v>
          </cell>
          <cell r="J1249">
            <v>0.13021041095890412</v>
          </cell>
        </row>
        <row r="1250">
          <cell r="I1250">
            <v>1955</v>
          </cell>
          <cell r="J1250">
            <v>0.13021205479452055</v>
          </cell>
        </row>
        <row r="1251">
          <cell r="I1251">
            <v>1956</v>
          </cell>
          <cell r="J1251">
            <v>0.13021369863013699</v>
          </cell>
        </row>
        <row r="1252">
          <cell r="I1252">
            <v>1957</v>
          </cell>
          <cell r="J1252">
            <v>0.13021534246575342</v>
          </cell>
        </row>
        <row r="1253">
          <cell r="I1253">
            <v>1958</v>
          </cell>
          <cell r="J1253">
            <v>0.13021698630136985</v>
          </cell>
        </row>
        <row r="1254">
          <cell r="I1254">
            <v>1959</v>
          </cell>
          <cell r="J1254">
            <v>0.13021863013698631</v>
          </cell>
        </row>
        <row r="1255">
          <cell r="I1255">
            <v>1960</v>
          </cell>
          <cell r="J1255">
            <v>0.13022027397260275</v>
          </cell>
        </row>
        <row r="1256">
          <cell r="I1256">
            <v>1961</v>
          </cell>
          <cell r="J1256">
            <v>0.13022191780821918</v>
          </cell>
        </row>
        <row r="1257">
          <cell r="I1257">
            <v>1962</v>
          </cell>
          <cell r="J1257">
            <v>0.13022356164383561</v>
          </cell>
        </row>
        <row r="1258">
          <cell r="I1258">
            <v>1963</v>
          </cell>
          <cell r="J1258">
            <v>0.13022520547945204</v>
          </cell>
        </row>
        <row r="1259">
          <cell r="I1259">
            <v>1964</v>
          </cell>
          <cell r="J1259">
            <v>0.1302268493150685</v>
          </cell>
        </row>
        <row r="1260">
          <cell r="I1260">
            <v>1965</v>
          </cell>
          <cell r="J1260">
            <v>0.13022849315068494</v>
          </cell>
        </row>
        <row r="1261">
          <cell r="I1261">
            <v>1966</v>
          </cell>
          <cell r="J1261">
            <v>0.13023013698630137</v>
          </cell>
        </row>
        <row r="1262">
          <cell r="I1262">
            <v>1967</v>
          </cell>
          <cell r="J1262">
            <v>0.1302317808219178</v>
          </cell>
        </row>
        <row r="1263">
          <cell r="I1263">
            <v>1968</v>
          </cell>
          <cell r="J1263">
            <v>0.13023342465753424</v>
          </cell>
        </row>
        <row r="1264">
          <cell r="I1264">
            <v>1969</v>
          </cell>
          <cell r="J1264">
            <v>0.1302350684931507</v>
          </cell>
        </row>
        <row r="1265">
          <cell r="I1265">
            <v>1970</v>
          </cell>
          <cell r="J1265">
            <v>0.13023671232876713</v>
          </cell>
        </row>
        <row r="1266">
          <cell r="I1266">
            <v>1971</v>
          </cell>
          <cell r="J1266">
            <v>0.13023835616438356</v>
          </cell>
        </row>
        <row r="1267">
          <cell r="I1267">
            <v>1972</v>
          </cell>
          <cell r="J1267">
            <v>0.13023999999999999</v>
          </cell>
        </row>
        <row r="1268">
          <cell r="I1268">
            <v>1973</v>
          </cell>
          <cell r="J1268">
            <v>0.13024164383561643</v>
          </cell>
        </row>
        <row r="1269">
          <cell r="I1269">
            <v>1974</v>
          </cell>
          <cell r="J1269">
            <v>0.13024328767123289</v>
          </cell>
        </row>
        <row r="1270">
          <cell r="I1270">
            <v>1975</v>
          </cell>
          <cell r="J1270">
            <v>0.13024493150684932</v>
          </cell>
        </row>
        <row r="1271">
          <cell r="I1271">
            <v>1976</v>
          </cell>
          <cell r="J1271">
            <v>0.13024657534246575</v>
          </cell>
        </row>
        <row r="1272">
          <cell r="I1272">
            <v>1977</v>
          </cell>
          <cell r="J1272">
            <v>0.13024821917808219</v>
          </cell>
        </row>
        <row r="1273">
          <cell r="I1273">
            <v>1978</v>
          </cell>
          <cell r="J1273">
            <v>0.13024986301369862</v>
          </cell>
        </row>
        <row r="1274">
          <cell r="I1274">
            <v>1979</v>
          </cell>
          <cell r="J1274">
            <v>0.13025150684931508</v>
          </cell>
        </row>
        <row r="1275">
          <cell r="I1275">
            <v>1980</v>
          </cell>
          <cell r="J1275">
            <v>0.13025315068493151</v>
          </cell>
        </row>
        <row r="1276">
          <cell r="I1276">
            <v>1981</v>
          </cell>
          <cell r="J1276">
            <v>0.13025479452054795</v>
          </cell>
        </row>
        <row r="1277">
          <cell r="I1277">
            <v>1982</v>
          </cell>
          <cell r="J1277">
            <v>0.13025643835616438</v>
          </cell>
        </row>
        <row r="1278">
          <cell r="I1278">
            <v>1983</v>
          </cell>
          <cell r="J1278">
            <v>0.13025808219178081</v>
          </cell>
        </row>
        <row r="1279">
          <cell r="I1279">
            <v>1984</v>
          </cell>
          <cell r="J1279">
            <v>0.13025972602739727</v>
          </cell>
        </row>
        <row r="1280">
          <cell r="I1280">
            <v>1985</v>
          </cell>
          <cell r="J1280">
            <v>0.1302613698630137</v>
          </cell>
        </row>
        <row r="1281">
          <cell r="I1281">
            <v>1986</v>
          </cell>
          <cell r="J1281">
            <v>0.13026301369863014</v>
          </cell>
        </row>
        <row r="1282">
          <cell r="I1282">
            <v>1987</v>
          </cell>
          <cell r="J1282">
            <v>0.13026465753424657</v>
          </cell>
        </row>
        <row r="1283">
          <cell r="I1283">
            <v>1988</v>
          </cell>
          <cell r="J1283">
            <v>0.130266301369863</v>
          </cell>
        </row>
        <row r="1284">
          <cell r="I1284">
            <v>1989</v>
          </cell>
          <cell r="J1284">
            <v>0.13026794520547946</v>
          </cell>
        </row>
        <row r="1285">
          <cell r="I1285">
            <v>1990</v>
          </cell>
          <cell r="J1285">
            <v>0.1302695890410959</v>
          </cell>
        </row>
        <row r="1286">
          <cell r="I1286">
            <v>1991</v>
          </cell>
          <cell r="J1286">
            <v>0.13027123287671233</v>
          </cell>
        </row>
        <row r="1287">
          <cell r="I1287">
            <v>1992</v>
          </cell>
          <cell r="J1287">
            <v>0.13027287671232876</v>
          </cell>
        </row>
        <row r="1288">
          <cell r="I1288">
            <v>1993</v>
          </cell>
          <cell r="J1288">
            <v>0.13027452054794519</v>
          </cell>
        </row>
        <row r="1289">
          <cell r="I1289">
            <v>1994</v>
          </cell>
          <cell r="J1289">
            <v>0.13027616438356165</v>
          </cell>
        </row>
        <row r="1290">
          <cell r="I1290">
            <v>1995</v>
          </cell>
          <cell r="J1290">
            <v>0.13027780821917809</v>
          </cell>
        </row>
        <row r="1291">
          <cell r="I1291">
            <v>1996</v>
          </cell>
          <cell r="J1291">
            <v>0.13027945205479452</v>
          </cell>
        </row>
        <row r="1292">
          <cell r="I1292">
            <v>1997</v>
          </cell>
          <cell r="J1292">
            <v>0.13028109589041095</v>
          </cell>
        </row>
        <row r="1293">
          <cell r="I1293">
            <v>1998</v>
          </cell>
          <cell r="J1293">
            <v>0.13028273972602739</v>
          </cell>
        </row>
        <row r="1294">
          <cell r="I1294">
            <v>1999</v>
          </cell>
          <cell r="J1294">
            <v>0.13028438356164385</v>
          </cell>
        </row>
        <row r="1295">
          <cell r="I1295">
            <v>2000</v>
          </cell>
          <cell r="J1295">
            <v>0.13028602739726028</v>
          </cell>
        </row>
        <row r="1296">
          <cell r="I1296">
            <v>2001</v>
          </cell>
          <cell r="J1296">
            <v>0.13028767123287671</v>
          </cell>
        </row>
        <row r="1297">
          <cell r="I1297">
            <v>2002</v>
          </cell>
          <cell r="J1297">
            <v>0.13028931506849314</v>
          </cell>
        </row>
        <row r="1298">
          <cell r="I1298">
            <v>2003</v>
          </cell>
          <cell r="J1298">
            <v>0.13029095890410958</v>
          </cell>
        </row>
        <row r="1299">
          <cell r="I1299">
            <v>2004</v>
          </cell>
          <cell r="J1299">
            <v>0.13029260273972604</v>
          </cell>
        </row>
        <row r="1300">
          <cell r="I1300">
            <v>2005</v>
          </cell>
          <cell r="J1300">
            <v>0.13029424657534247</v>
          </cell>
        </row>
        <row r="1301">
          <cell r="I1301">
            <v>2006</v>
          </cell>
          <cell r="J1301">
            <v>0.1302958904109589</v>
          </cell>
        </row>
        <row r="1302">
          <cell r="I1302">
            <v>2007</v>
          </cell>
          <cell r="J1302">
            <v>0.13029753424657534</v>
          </cell>
        </row>
        <row r="1303">
          <cell r="I1303">
            <v>2008</v>
          </cell>
          <cell r="J1303">
            <v>0.13029917808219177</v>
          </cell>
        </row>
        <row r="1304">
          <cell r="I1304">
            <v>2009</v>
          </cell>
          <cell r="J1304">
            <v>0.13030082191780823</v>
          </cell>
        </row>
        <row r="1305">
          <cell r="I1305">
            <v>2010</v>
          </cell>
          <cell r="J1305">
            <v>0.13030246575342466</v>
          </cell>
        </row>
        <row r="1306">
          <cell r="I1306">
            <v>2011</v>
          </cell>
          <cell r="J1306">
            <v>0.13030410958904109</v>
          </cell>
        </row>
        <row r="1307">
          <cell r="I1307">
            <v>2012</v>
          </cell>
          <cell r="J1307">
            <v>0.13030575342465753</v>
          </cell>
        </row>
        <row r="1308">
          <cell r="I1308">
            <v>2013</v>
          </cell>
          <cell r="J1308">
            <v>0.13030739726027396</v>
          </cell>
        </row>
        <row r="1309">
          <cell r="I1309">
            <v>2014</v>
          </cell>
          <cell r="J1309">
            <v>0.13030904109589042</v>
          </cell>
        </row>
        <row r="1310">
          <cell r="I1310">
            <v>2015</v>
          </cell>
          <cell r="J1310">
            <v>0.13031068493150685</v>
          </cell>
        </row>
        <row r="1311">
          <cell r="I1311">
            <v>2016</v>
          </cell>
          <cell r="J1311">
            <v>0.13031232876712329</v>
          </cell>
        </row>
        <row r="1312">
          <cell r="I1312">
            <v>2017</v>
          </cell>
          <cell r="J1312">
            <v>0.13031397260273972</v>
          </cell>
        </row>
        <row r="1313">
          <cell r="I1313">
            <v>2018</v>
          </cell>
          <cell r="J1313">
            <v>0.13031561643835615</v>
          </cell>
        </row>
        <row r="1314">
          <cell r="I1314">
            <v>2019</v>
          </cell>
          <cell r="J1314">
            <v>0.13031726027397261</v>
          </cell>
        </row>
        <row r="1315">
          <cell r="I1315">
            <v>2020</v>
          </cell>
          <cell r="J1315">
            <v>0.13031890410958905</v>
          </cell>
        </row>
        <row r="1316">
          <cell r="I1316">
            <v>2021</v>
          </cell>
          <cell r="J1316">
            <v>0.13032054794520548</v>
          </cell>
        </row>
        <row r="1317">
          <cell r="I1317">
            <v>2022</v>
          </cell>
          <cell r="J1317">
            <v>0.13032219178082191</v>
          </cell>
        </row>
        <row r="1318">
          <cell r="I1318">
            <v>2023</v>
          </cell>
          <cell r="J1318">
            <v>0.13032383561643834</v>
          </cell>
        </row>
        <row r="1319">
          <cell r="I1319">
            <v>2024</v>
          </cell>
          <cell r="J1319">
            <v>0.1303254794520548</v>
          </cell>
        </row>
        <row r="1320">
          <cell r="I1320">
            <v>2025</v>
          </cell>
          <cell r="J1320">
            <v>0.13032712328767124</v>
          </cell>
        </row>
        <row r="1321">
          <cell r="I1321">
            <v>2026</v>
          </cell>
          <cell r="J1321">
            <v>0.13032876712328767</v>
          </cell>
        </row>
        <row r="1322">
          <cell r="I1322">
            <v>2027</v>
          </cell>
          <cell r="J1322">
            <v>0.1303304109589041</v>
          </cell>
        </row>
        <row r="1323">
          <cell r="I1323">
            <v>2028</v>
          </cell>
          <cell r="J1323">
            <v>0.13033205479452054</v>
          </cell>
        </row>
        <row r="1324">
          <cell r="I1324">
            <v>2029</v>
          </cell>
          <cell r="J1324">
            <v>0.130333698630137</v>
          </cell>
        </row>
        <row r="1325">
          <cell r="I1325">
            <v>2030</v>
          </cell>
          <cell r="J1325">
            <v>0.13033534246575343</v>
          </cell>
        </row>
        <row r="1326">
          <cell r="I1326">
            <v>2031</v>
          </cell>
          <cell r="J1326">
            <v>0.13033698630136986</v>
          </cell>
        </row>
        <row r="1327">
          <cell r="I1327">
            <v>2032</v>
          </cell>
          <cell r="J1327">
            <v>0.13033863013698629</v>
          </cell>
        </row>
        <row r="1328">
          <cell r="I1328">
            <v>2033</v>
          </cell>
          <cell r="J1328">
            <v>0.13034027397260273</v>
          </cell>
        </row>
        <row r="1329">
          <cell r="I1329">
            <v>2034</v>
          </cell>
          <cell r="J1329">
            <v>0.13034191780821919</v>
          </cell>
        </row>
        <row r="1330">
          <cell r="I1330">
            <v>2035</v>
          </cell>
          <cell r="J1330">
            <v>0.13034356164383562</v>
          </cell>
        </row>
        <row r="1331">
          <cell r="I1331">
            <v>2036</v>
          </cell>
          <cell r="J1331">
            <v>0.13034520547945205</v>
          </cell>
        </row>
        <row r="1332">
          <cell r="I1332">
            <v>2037</v>
          </cell>
          <cell r="J1332">
            <v>0.13034684931506849</v>
          </cell>
        </row>
        <row r="1333">
          <cell r="I1333">
            <v>2038</v>
          </cell>
          <cell r="J1333">
            <v>0.13034849315068492</v>
          </cell>
        </row>
        <row r="1334">
          <cell r="I1334">
            <v>2039</v>
          </cell>
          <cell r="J1334">
            <v>0.13035013698630138</v>
          </cell>
        </row>
        <row r="1335">
          <cell r="I1335">
            <v>2040</v>
          </cell>
          <cell r="J1335">
            <v>0.13035178082191781</v>
          </cell>
        </row>
        <row r="1336">
          <cell r="I1336">
            <v>2041</v>
          </cell>
          <cell r="J1336">
            <v>0.13035342465753424</v>
          </cell>
        </row>
        <row r="1337">
          <cell r="I1337">
            <v>2042</v>
          </cell>
          <cell r="J1337">
            <v>0.13035506849315068</v>
          </cell>
        </row>
        <row r="1338">
          <cell r="I1338">
            <v>2043</v>
          </cell>
          <cell r="J1338">
            <v>0.13035671232876711</v>
          </cell>
        </row>
        <row r="1339">
          <cell r="I1339">
            <v>2044</v>
          </cell>
          <cell r="J1339">
            <v>0.13035835616438357</v>
          </cell>
        </row>
        <row r="1340">
          <cell r="I1340">
            <v>2045</v>
          </cell>
          <cell r="J1340">
            <v>0.13036</v>
          </cell>
        </row>
        <row r="1341">
          <cell r="I1341">
            <v>2046</v>
          </cell>
          <cell r="J1341">
            <v>0.13036164383561644</v>
          </cell>
        </row>
        <row r="1342">
          <cell r="I1342">
            <v>2047</v>
          </cell>
          <cell r="J1342">
            <v>0.13036328767123287</v>
          </cell>
        </row>
        <row r="1343">
          <cell r="I1343">
            <v>2048</v>
          </cell>
          <cell r="J1343">
            <v>0.1303649315068493</v>
          </cell>
        </row>
        <row r="1344">
          <cell r="I1344">
            <v>2049</v>
          </cell>
          <cell r="J1344">
            <v>0.13036657534246576</v>
          </cell>
        </row>
        <row r="1345">
          <cell r="I1345">
            <v>2050</v>
          </cell>
          <cell r="J1345">
            <v>0.1303682191780822</v>
          </cell>
        </row>
        <row r="1346">
          <cell r="I1346">
            <v>2051</v>
          </cell>
          <cell r="J1346">
            <v>0.13036986301369863</v>
          </cell>
        </row>
        <row r="1347">
          <cell r="I1347">
            <v>2052</v>
          </cell>
          <cell r="J1347">
            <v>0.13037150684931506</v>
          </cell>
        </row>
        <row r="1348">
          <cell r="I1348">
            <v>2053</v>
          </cell>
          <cell r="J1348">
            <v>0.13037315068493149</v>
          </cell>
        </row>
        <row r="1349">
          <cell r="I1349">
            <v>2054</v>
          </cell>
          <cell r="J1349">
            <v>0.13037479452054795</v>
          </cell>
        </row>
        <row r="1350">
          <cell r="I1350">
            <v>2055</v>
          </cell>
          <cell r="J1350">
            <v>0.13037643835616439</v>
          </cell>
        </row>
        <row r="1351">
          <cell r="I1351">
            <v>2056</v>
          </cell>
          <cell r="J1351">
            <v>0.13037808219178082</v>
          </cell>
        </row>
        <row r="1352">
          <cell r="I1352">
            <v>2057</v>
          </cell>
          <cell r="J1352">
            <v>0.13037972602739725</v>
          </cell>
        </row>
        <row r="1353">
          <cell r="I1353">
            <v>2058</v>
          </cell>
          <cell r="J1353">
            <v>0.13038136986301369</v>
          </cell>
        </row>
        <row r="1354">
          <cell r="I1354">
            <v>2059</v>
          </cell>
          <cell r="J1354">
            <v>0.13038301369863015</v>
          </cell>
        </row>
        <row r="1355">
          <cell r="I1355">
            <v>2060</v>
          </cell>
          <cell r="J1355">
            <v>0.13038465753424658</v>
          </cell>
        </row>
        <row r="1356">
          <cell r="I1356">
            <v>2061</v>
          </cell>
          <cell r="J1356">
            <v>0.13038630136986301</v>
          </cell>
        </row>
        <row r="1357">
          <cell r="I1357">
            <v>2062</v>
          </cell>
          <cell r="J1357">
            <v>0.13038794520547944</v>
          </cell>
        </row>
        <row r="1358">
          <cell r="I1358">
            <v>2063</v>
          </cell>
          <cell r="J1358">
            <v>0.13038958904109588</v>
          </cell>
        </row>
        <row r="1359">
          <cell r="I1359">
            <v>2064</v>
          </cell>
          <cell r="J1359">
            <v>0.13039123287671234</v>
          </cell>
        </row>
        <row r="1360">
          <cell r="I1360">
            <v>2065</v>
          </cell>
          <cell r="J1360">
            <v>0.13039287671232877</v>
          </cell>
        </row>
        <row r="1361">
          <cell r="I1361">
            <v>2066</v>
          </cell>
          <cell r="J1361">
            <v>0.1303945205479452</v>
          </cell>
        </row>
        <row r="1362">
          <cell r="I1362">
            <v>2067</v>
          </cell>
          <cell r="J1362">
            <v>0.13039616438356164</v>
          </cell>
        </row>
        <row r="1363">
          <cell r="I1363">
            <v>2068</v>
          </cell>
          <cell r="J1363">
            <v>0.13039780821917807</v>
          </cell>
        </row>
        <row r="1364">
          <cell r="I1364">
            <v>2069</v>
          </cell>
          <cell r="J1364">
            <v>0.13039945205479453</v>
          </cell>
        </row>
        <row r="1365">
          <cell r="I1365">
            <v>2070</v>
          </cell>
          <cell r="J1365">
            <v>0.13040109589041096</v>
          </cell>
        </row>
        <row r="1366">
          <cell r="I1366">
            <v>2071</v>
          </cell>
          <cell r="J1366">
            <v>0.13040273972602739</v>
          </cell>
        </row>
        <row r="1367">
          <cell r="I1367">
            <v>2072</v>
          </cell>
          <cell r="J1367">
            <v>0.13040438356164383</v>
          </cell>
        </row>
        <row r="1368">
          <cell r="I1368">
            <v>2073</v>
          </cell>
          <cell r="J1368">
            <v>0.13040602739726026</v>
          </cell>
        </row>
        <row r="1369">
          <cell r="I1369">
            <v>2074</v>
          </cell>
          <cell r="J1369">
            <v>0.13040767123287672</v>
          </cell>
        </row>
        <row r="1370">
          <cell r="I1370">
            <v>2075</v>
          </cell>
          <cell r="J1370">
            <v>0.13040931506849315</v>
          </cell>
        </row>
        <row r="1371">
          <cell r="I1371">
            <v>2076</v>
          </cell>
          <cell r="J1371">
            <v>0.13041095890410959</v>
          </cell>
        </row>
        <row r="1372">
          <cell r="I1372">
            <v>2077</v>
          </cell>
          <cell r="J1372">
            <v>0.13041260273972602</v>
          </cell>
        </row>
        <row r="1373">
          <cell r="I1373">
            <v>2078</v>
          </cell>
          <cell r="J1373">
            <v>0.13041424657534245</v>
          </cell>
        </row>
        <row r="1374">
          <cell r="I1374">
            <v>2079</v>
          </cell>
          <cell r="J1374">
            <v>0.13041589041095891</v>
          </cell>
        </row>
        <row r="1375">
          <cell r="I1375">
            <v>2080</v>
          </cell>
          <cell r="J1375">
            <v>0.13041753424657535</v>
          </cell>
        </row>
        <row r="1376">
          <cell r="I1376">
            <v>2081</v>
          </cell>
          <cell r="J1376">
            <v>0.13041917808219178</v>
          </cell>
        </row>
        <row r="1377">
          <cell r="I1377">
            <v>2082</v>
          </cell>
          <cell r="J1377">
            <v>0.13042082191780821</v>
          </cell>
        </row>
        <row r="1378">
          <cell r="I1378">
            <v>2083</v>
          </cell>
          <cell r="J1378">
            <v>0.13042246575342464</v>
          </cell>
        </row>
        <row r="1379">
          <cell r="I1379">
            <v>2084</v>
          </cell>
          <cell r="J1379">
            <v>0.1304241095890411</v>
          </cell>
        </row>
        <row r="1380">
          <cell r="I1380">
            <v>2085</v>
          </cell>
          <cell r="J1380">
            <v>0.13042575342465754</v>
          </cell>
        </row>
        <row r="1381">
          <cell r="I1381">
            <v>2086</v>
          </cell>
          <cell r="J1381">
            <v>0.13042739726027397</v>
          </cell>
        </row>
        <row r="1382">
          <cell r="I1382">
            <v>2087</v>
          </cell>
          <cell r="J1382">
            <v>0.1304290410958904</v>
          </cell>
        </row>
        <row r="1383">
          <cell r="I1383">
            <v>2088</v>
          </cell>
          <cell r="J1383">
            <v>0.13043068493150684</v>
          </cell>
        </row>
        <row r="1384">
          <cell r="I1384">
            <v>2089</v>
          </cell>
          <cell r="J1384">
            <v>0.1304323287671233</v>
          </cell>
        </row>
        <row r="1385">
          <cell r="I1385">
            <v>2090</v>
          </cell>
          <cell r="J1385">
            <v>0.13043397260273973</v>
          </cell>
        </row>
        <row r="1386">
          <cell r="I1386">
            <v>2091</v>
          </cell>
          <cell r="J1386">
            <v>0.13043561643835616</v>
          </cell>
        </row>
        <row r="1387">
          <cell r="I1387">
            <v>2092</v>
          </cell>
          <cell r="J1387">
            <v>0.13043726027397259</v>
          </cell>
        </row>
        <row r="1388">
          <cell r="I1388">
            <v>2093</v>
          </cell>
          <cell r="J1388">
            <v>0.13043890410958903</v>
          </cell>
        </row>
        <row r="1389">
          <cell r="I1389">
            <v>2094</v>
          </cell>
          <cell r="J1389">
            <v>0.13044054794520549</v>
          </cell>
        </row>
        <row r="1390">
          <cell r="I1390">
            <v>2095</v>
          </cell>
          <cell r="J1390">
            <v>0.13044219178082192</v>
          </cell>
        </row>
        <row r="1391">
          <cell r="I1391">
            <v>2096</v>
          </cell>
          <cell r="J1391">
            <v>0.13044383561643835</v>
          </cell>
        </row>
        <row r="1392">
          <cell r="I1392">
            <v>2097</v>
          </cell>
          <cell r="J1392">
            <v>0.13044547945205479</v>
          </cell>
        </row>
        <row r="1393">
          <cell r="I1393">
            <v>2098</v>
          </cell>
          <cell r="J1393">
            <v>0.13044712328767122</v>
          </cell>
        </row>
        <row r="1394">
          <cell r="I1394">
            <v>2099</v>
          </cell>
          <cell r="J1394">
            <v>0.13044876712328768</v>
          </cell>
        </row>
        <row r="1395">
          <cell r="I1395">
            <v>2100</v>
          </cell>
          <cell r="J1395">
            <v>0.13045041095890411</v>
          </cell>
        </row>
        <row r="1396">
          <cell r="I1396">
            <v>2101</v>
          </cell>
          <cell r="J1396">
            <v>0.13045205479452054</v>
          </cell>
        </row>
        <row r="1397">
          <cell r="I1397">
            <v>2102</v>
          </cell>
          <cell r="J1397">
            <v>0.13045369863013698</v>
          </cell>
        </row>
        <row r="1398">
          <cell r="I1398">
            <v>2103</v>
          </cell>
          <cell r="J1398">
            <v>0.13045534246575341</v>
          </cell>
        </row>
        <row r="1399">
          <cell r="I1399">
            <v>2104</v>
          </cell>
          <cell r="J1399">
            <v>0.13045698630136987</v>
          </cell>
        </row>
        <row r="1400">
          <cell r="I1400">
            <v>2105</v>
          </cell>
          <cell r="J1400">
            <v>0.1304586301369863</v>
          </cell>
        </row>
        <row r="1401">
          <cell r="I1401">
            <v>2106</v>
          </cell>
          <cell r="J1401">
            <v>0.13046027397260274</v>
          </cell>
        </row>
        <row r="1402">
          <cell r="I1402">
            <v>2107</v>
          </cell>
          <cell r="J1402">
            <v>0.13046191780821917</v>
          </cell>
        </row>
        <row r="1403">
          <cell r="I1403">
            <v>2108</v>
          </cell>
          <cell r="J1403">
            <v>0.1304635616438356</v>
          </cell>
        </row>
        <row r="1404">
          <cell r="I1404">
            <v>2109</v>
          </cell>
          <cell r="J1404">
            <v>0.13046520547945206</v>
          </cell>
        </row>
        <row r="1405">
          <cell r="I1405">
            <v>2110</v>
          </cell>
          <cell r="J1405">
            <v>0.13046684931506849</v>
          </cell>
        </row>
        <row r="1406">
          <cell r="I1406">
            <v>2111</v>
          </cell>
          <cell r="J1406">
            <v>0.13046849315068493</v>
          </cell>
        </row>
        <row r="1407">
          <cell r="I1407">
            <v>2112</v>
          </cell>
          <cell r="J1407">
            <v>0.13047013698630136</v>
          </cell>
        </row>
        <row r="1408">
          <cell r="I1408">
            <v>2113</v>
          </cell>
          <cell r="J1408">
            <v>0.13047178082191779</v>
          </cell>
        </row>
        <row r="1409">
          <cell r="I1409">
            <v>2114</v>
          </cell>
          <cell r="J1409">
            <v>0.13047342465753425</v>
          </cell>
        </row>
        <row r="1410">
          <cell r="I1410">
            <v>2115</v>
          </cell>
          <cell r="J1410">
            <v>0.13047506849315069</v>
          </cell>
        </row>
        <row r="1411">
          <cell r="I1411">
            <v>2116</v>
          </cell>
          <cell r="J1411">
            <v>0.13047671232876712</v>
          </cell>
        </row>
        <row r="1412">
          <cell r="I1412">
            <v>2117</v>
          </cell>
          <cell r="J1412">
            <v>0.13047835616438355</v>
          </cell>
        </row>
        <row r="1413">
          <cell r="I1413">
            <v>2118</v>
          </cell>
          <cell r="J1413">
            <v>0.13047999999999998</v>
          </cell>
        </row>
        <row r="1414">
          <cell r="I1414">
            <v>2119</v>
          </cell>
          <cell r="J1414">
            <v>0.13048164383561645</v>
          </cell>
        </row>
        <row r="1415">
          <cell r="I1415">
            <v>2120</v>
          </cell>
          <cell r="J1415">
            <v>0.13048328767123288</v>
          </cell>
        </row>
        <row r="1416">
          <cell r="I1416">
            <v>2121</v>
          </cell>
          <cell r="J1416">
            <v>0.13048493150684931</v>
          </cell>
        </row>
        <row r="1417">
          <cell r="I1417">
            <v>2122</v>
          </cell>
          <cell r="J1417">
            <v>0.13048657534246574</v>
          </cell>
        </row>
        <row r="1418">
          <cell r="I1418">
            <v>2123</v>
          </cell>
          <cell r="J1418">
            <v>0.13048821917808218</v>
          </cell>
        </row>
        <row r="1419">
          <cell r="I1419">
            <v>2124</v>
          </cell>
          <cell r="J1419">
            <v>0.13048986301369864</v>
          </cell>
        </row>
        <row r="1420">
          <cell r="I1420">
            <v>2125</v>
          </cell>
          <cell r="J1420">
            <v>0.13049150684931507</v>
          </cell>
        </row>
        <row r="1421">
          <cell r="I1421">
            <v>2126</v>
          </cell>
          <cell r="J1421">
            <v>0.1304931506849315</v>
          </cell>
        </row>
        <row r="1422">
          <cell r="I1422">
            <v>2127</v>
          </cell>
          <cell r="J1422">
            <v>0.13049479452054794</v>
          </cell>
        </row>
        <row r="1423">
          <cell r="I1423">
            <v>2128</v>
          </cell>
          <cell r="J1423">
            <v>0.13049643835616437</v>
          </cell>
        </row>
        <row r="1424">
          <cell r="I1424">
            <v>2129</v>
          </cell>
          <cell r="J1424">
            <v>0.13049808219178083</v>
          </cell>
        </row>
        <row r="1425">
          <cell r="I1425">
            <v>2130</v>
          </cell>
          <cell r="J1425">
            <v>0.13049972602739726</v>
          </cell>
        </row>
        <row r="1426">
          <cell r="I1426">
            <v>2131</v>
          </cell>
          <cell r="J1426">
            <v>0.13050136986301369</v>
          </cell>
        </row>
        <row r="1427">
          <cell r="I1427">
            <v>2132</v>
          </cell>
          <cell r="J1427">
            <v>0.13050301369863013</v>
          </cell>
        </row>
        <row r="1428">
          <cell r="I1428">
            <v>2133</v>
          </cell>
          <cell r="J1428">
            <v>0.13050465753424656</v>
          </cell>
        </row>
        <row r="1429">
          <cell r="I1429">
            <v>2134</v>
          </cell>
          <cell r="J1429">
            <v>0.13050630136986302</v>
          </cell>
        </row>
        <row r="1430">
          <cell r="I1430">
            <v>2135</v>
          </cell>
          <cell r="J1430">
            <v>0.13050794520547945</v>
          </cell>
        </row>
        <row r="1431">
          <cell r="I1431">
            <v>2136</v>
          </cell>
          <cell r="J1431">
            <v>0.13050958904109589</v>
          </cell>
        </row>
        <row r="1432">
          <cell r="I1432">
            <v>2137</v>
          </cell>
          <cell r="J1432">
            <v>0.13051123287671232</v>
          </cell>
        </row>
        <row r="1433">
          <cell r="I1433">
            <v>2138</v>
          </cell>
          <cell r="J1433">
            <v>0.13051287671232875</v>
          </cell>
        </row>
        <row r="1434">
          <cell r="I1434">
            <v>2139</v>
          </cell>
          <cell r="J1434">
            <v>0.13051452054794521</v>
          </cell>
        </row>
        <row r="1435">
          <cell r="I1435">
            <v>2140</v>
          </cell>
          <cell r="J1435">
            <v>0.13051616438356164</v>
          </cell>
        </row>
        <row r="1436">
          <cell r="I1436">
            <v>2141</v>
          </cell>
          <cell r="J1436">
            <v>0.13051780821917808</v>
          </cell>
        </row>
        <row r="1437">
          <cell r="I1437">
            <v>2142</v>
          </cell>
          <cell r="J1437">
            <v>0.13051945205479451</v>
          </cell>
        </row>
        <row r="1438">
          <cell r="I1438">
            <v>2143</v>
          </cell>
          <cell r="J1438">
            <v>0.13052109589041094</v>
          </cell>
        </row>
        <row r="1439">
          <cell r="I1439">
            <v>2144</v>
          </cell>
          <cell r="J1439">
            <v>0.1305227397260274</v>
          </cell>
        </row>
        <row r="1440">
          <cell r="I1440">
            <v>2145</v>
          </cell>
          <cell r="J1440">
            <v>0.13052438356164384</v>
          </cell>
        </row>
        <row r="1441">
          <cell r="I1441">
            <v>2146</v>
          </cell>
          <cell r="J1441">
            <v>0.13052602739726027</v>
          </cell>
        </row>
        <row r="1442">
          <cell r="I1442">
            <v>2147</v>
          </cell>
          <cell r="J1442">
            <v>0.1305276712328767</v>
          </cell>
        </row>
        <row r="1443">
          <cell r="I1443">
            <v>2148</v>
          </cell>
          <cell r="J1443">
            <v>0.13052931506849313</v>
          </cell>
        </row>
        <row r="1444">
          <cell r="I1444">
            <v>2149</v>
          </cell>
          <cell r="J1444">
            <v>0.1305309589041096</v>
          </cell>
        </row>
        <row r="1445">
          <cell r="I1445">
            <v>2150</v>
          </cell>
          <cell r="J1445">
            <v>0.13053260273972603</v>
          </cell>
        </row>
        <row r="1446">
          <cell r="I1446">
            <v>2151</v>
          </cell>
          <cell r="J1446">
            <v>0.13053424657534246</v>
          </cell>
        </row>
        <row r="1447">
          <cell r="I1447">
            <v>2152</v>
          </cell>
          <cell r="J1447">
            <v>0.13053589041095889</v>
          </cell>
        </row>
        <row r="1448">
          <cell r="I1448">
            <v>2153</v>
          </cell>
          <cell r="J1448">
            <v>0.13053753424657533</v>
          </cell>
        </row>
        <row r="1449">
          <cell r="I1449">
            <v>2154</v>
          </cell>
          <cell r="J1449">
            <v>0.13053917808219179</v>
          </cell>
        </row>
        <row r="1450">
          <cell r="I1450">
            <v>2155</v>
          </cell>
          <cell r="J1450">
            <v>0.13054082191780822</v>
          </cell>
        </row>
        <row r="1451">
          <cell r="I1451">
            <v>2156</v>
          </cell>
          <cell r="J1451">
            <v>0.13054246575342465</v>
          </cell>
        </row>
        <row r="1452">
          <cell r="I1452">
            <v>2157</v>
          </cell>
          <cell r="J1452">
            <v>0.13054410958904109</v>
          </cell>
        </row>
        <row r="1453">
          <cell r="I1453">
            <v>2158</v>
          </cell>
          <cell r="J1453">
            <v>0.13054575342465752</v>
          </cell>
        </row>
        <row r="1454">
          <cell r="I1454">
            <v>2159</v>
          </cell>
          <cell r="J1454">
            <v>0.13054739726027398</v>
          </cell>
        </row>
        <row r="1455">
          <cell r="I1455">
            <v>2160</v>
          </cell>
          <cell r="J1455">
            <v>0.13054904109589041</v>
          </cell>
        </row>
        <row r="1456">
          <cell r="I1456">
            <v>2161</v>
          </cell>
          <cell r="J1456">
            <v>0.13055068493150684</v>
          </cell>
        </row>
        <row r="1457">
          <cell r="I1457">
            <v>2162</v>
          </cell>
          <cell r="J1457">
            <v>0.13055232876712328</v>
          </cell>
        </row>
        <row r="1458">
          <cell r="I1458">
            <v>2163</v>
          </cell>
          <cell r="J1458">
            <v>0.13055397260273971</v>
          </cell>
        </row>
        <row r="1459">
          <cell r="I1459">
            <v>2164</v>
          </cell>
          <cell r="J1459">
            <v>0.13055561643835617</v>
          </cell>
        </row>
        <row r="1460">
          <cell r="I1460">
            <v>2165</v>
          </cell>
          <cell r="J1460">
            <v>0.1305572602739726</v>
          </cell>
        </row>
        <row r="1461">
          <cell r="I1461">
            <v>2166</v>
          </cell>
          <cell r="J1461">
            <v>0.13055890410958904</v>
          </cell>
        </row>
        <row r="1462">
          <cell r="I1462">
            <v>2167</v>
          </cell>
          <cell r="J1462">
            <v>0.13056054794520547</v>
          </cell>
        </row>
        <row r="1463">
          <cell r="I1463">
            <v>2168</v>
          </cell>
          <cell r="J1463">
            <v>0.1305621917808219</v>
          </cell>
        </row>
        <row r="1464">
          <cell r="I1464">
            <v>2169</v>
          </cell>
          <cell r="J1464">
            <v>0.13056383561643836</v>
          </cell>
        </row>
        <row r="1465">
          <cell r="I1465">
            <v>2170</v>
          </cell>
          <cell r="J1465">
            <v>0.13056547945205479</v>
          </cell>
        </row>
        <row r="1466">
          <cell r="I1466">
            <v>2171</v>
          </cell>
          <cell r="J1466">
            <v>0.13056712328767123</v>
          </cell>
        </row>
        <row r="1467">
          <cell r="I1467">
            <v>2172</v>
          </cell>
          <cell r="J1467">
            <v>0.13056876712328766</v>
          </cell>
        </row>
        <row r="1468">
          <cell r="I1468">
            <v>2173</v>
          </cell>
          <cell r="J1468">
            <v>0.13057041095890409</v>
          </cell>
        </row>
        <row r="1469">
          <cell r="I1469">
            <v>2174</v>
          </cell>
          <cell r="J1469">
            <v>0.13057205479452055</v>
          </cell>
        </row>
        <row r="1470">
          <cell r="I1470">
            <v>2175</v>
          </cell>
          <cell r="J1470">
            <v>0.13057369863013699</v>
          </cell>
        </row>
        <row r="1471">
          <cell r="I1471">
            <v>2176</v>
          </cell>
          <cell r="J1471">
            <v>0.13057534246575342</v>
          </cell>
        </row>
        <row r="1472">
          <cell r="I1472">
            <v>2177</v>
          </cell>
          <cell r="J1472">
            <v>0.13057698630136985</v>
          </cell>
        </row>
        <row r="1473">
          <cell r="I1473">
            <v>2178</v>
          </cell>
          <cell r="J1473">
            <v>0.13057863013698628</v>
          </cell>
        </row>
        <row r="1474">
          <cell r="I1474">
            <v>2179</v>
          </cell>
          <cell r="J1474">
            <v>0.13058027397260275</v>
          </cell>
        </row>
        <row r="1475">
          <cell r="I1475">
            <v>2180</v>
          </cell>
          <cell r="J1475">
            <v>0.13058191780821918</v>
          </cell>
        </row>
        <row r="1476">
          <cell r="I1476">
            <v>2181</v>
          </cell>
          <cell r="J1476">
            <v>0.13058356164383561</v>
          </cell>
        </row>
        <row r="1477">
          <cell r="I1477">
            <v>2182</v>
          </cell>
          <cell r="J1477">
            <v>0.13058520547945204</v>
          </cell>
        </row>
        <row r="1478">
          <cell r="I1478">
            <v>2183</v>
          </cell>
          <cell r="J1478">
            <v>0.13058684931506848</v>
          </cell>
        </row>
        <row r="1479">
          <cell r="I1479">
            <v>2184</v>
          </cell>
          <cell r="J1479">
            <v>0.13058849315068494</v>
          </cell>
        </row>
        <row r="1480">
          <cell r="I1480">
            <v>2185</v>
          </cell>
          <cell r="J1480">
            <v>0.13059013698630137</v>
          </cell>
        </row>
        <row r="1481">
          <cell r="I1481">
            <v>2186</v>
          </cell>
          <cell r="J1481">
            <v>0.1305917808219178</v>
          </cell>
        </row>
        <row r="1482">
          <cell r="I1482">
            <v>2187</v>
          </cell>
          <cell r="J1482">
            <v>0.13059342465753424</v>
          </cell>
        </row>
        <row r="1483">
          <cell r="I1483">
            <v>2188</v>
          </cell>
          <cell r="J1483">
            <v>0.13059506849315067</v>
          </cell>
        </row>
        <row r="1484">
          <cell r="I1484">
            <v>2189</v>
          </cell>
          <cell r="J1484">
            <v>0.13059671232876713</v>
          </cell>
        </row>
        <row r="1485">
          <cell r="I1485">
            <v>2190</v>
          </cell>
          <cell r="J1485">
            <v>0.13059835616438356</v>
          </cell>
        </row>
        <row r="1486">
          <cell r="I1486">
            <v>2191</v>
          </cell>
          <cell r="J1486">
            <v>0.13059999999999999</v>
          </cell>
        </row>
        <row r="1487">
          <cell r="I1487">
            <v>2192</v>
          </cell>
          <cell r="J1487">
            <v>0.13060191780821917</v>
          </cell>
        </row>
        <row r="1488">
          <cell r="I1488">
            <v>2193</v>
          </cell>
          <cell r="J1488">
            <v>0.13060383561643835</v>
          </cell>
        </row>
        <row r="1489">
          <cell r="I1489">
            <v>2194</v>
          </cell>
          <cell r="J1489">
            <v>0.13060575342465752</v>
          </cell>
        </row>
        <row r="1490">
          <cell r="I1490">
            <v>2195</v>
          </cell>
          <cell r="J1490">
            <v>0.1306076712328767</v>
          </cell>
        </row>
        <row r="1491">
          <cell r="I1491">
            <v>2196</v>
          </cell>
          <cell r="J1491">
            <v>0.13060958904109587</v>
          </cell>
        </row>
        <row r="1492">
          <cell r="I1492">
            <v>2197</v>
          </cell>
          <cell r="J1492">
            <v>0.13061150684931505</v>
          </cell>
        </row>
        <row r="1493">
          <cell r="I1493">
            <v>2198</v>
          </cell>
          <cell r="J1493">
            <v>0.13061342465753423</v>
          </cell>
        </row>
        <row r="1494">
          <cell r="I1494">
            <v>2199</v>
          </cell>
          <cell r="J1494">
            <v>0.13061534246575343</v>
          </cell>
        </row>
        <row r="1495">
          <cell r="I1495">
            <v>2200</v>
          </cell>
          <cell r="J1495">
            <v>0.13061726027397261</v>
          </cell>
        </row>
        <row r="1496">
          <cell r="I1496">
            <v>2201</v>
          </cell>
          <cell r="J1496">
            <v>0.13061917808219178</v>
          </cell>
        </row>
        <row r="1497">
          <cell r="I1497">
            <v>2202</v>
          </cell>
          <cell r="J1497">
            <v>0.13062109589041096</v>
          </cell>
        </row>
        <row r="1498">
          <cell r="I1498">
            <v>2203</v>
          </cell>
          <cell r="J1498">
            <v>0.13062301369863014</v>
          </cell>
        </row>
        <row r="1499">
          <cell r="I1499">
            <v>2204</v>
          </cell>
          <cell r="J1499">
            <v>0.13062493150684931</v>
          </cell>
        </row>
        <row r="1500">
          <cell r="I1500">
            <v>2205</v>
          </cell>
          <cell r="J1500">
            <v>0.13062684931506849</v>
          </cell>
        </row>
        <row r="1501">
          <cell r="I1501">
            <v>2206</v>
          </cell>
          <cell r="J1501">
            <v>0.13062876712328766</v>
          </cell>
        </row>
        <row r="1502">
          <cell r="I1502">
            <v>2207</v>
          </cell>
          <cell r="J1502">
            <v>0.13063068493150684</v>
          </cell>
        </row>
        <row r="1503">
          <cell r="I1503">
            <v>2208</v>
          </cell>
          <cell r="J1503">
            <v>0.13063260273972602</v>
          </cell>
        </row>
        <row r="1504">
          <cell r="I1504">
            <v>2209</v>
          </cell>
          <cell r="J1504">
            <v>0.13063452054794519</v>
          </cell>
        </row>
        <row r="1505">
          <cell r="I1505">
            <v>2210</v>
          </cell>
          <cell r="J1505">
            <v>0.13063643835616437</v>
          </cell>
        </row>
        <row r="1506">
          <cell r="I1506">
            <v>2211</v>
          </cell>
          <cell r="J1506">
            <v>0.13063835616438355</v>
          </cell>
        </row>
        <row r="1507">
          <cell r="I1507">
            <v>2212</v>
          </cell>
          <cell r="J1507">
            <v>0.13064027397260272</v>
          </cell>
        </row>
        <row r="1508">
          <cell r="I1508">
            <v>2213</v>
          </cell>
          <cell r="J1508">
            <v>0.13064219178082193</v>
          </cell>
        </row>
        <row r="1509">
          <cell r="I1509">
            <v>2214</v>
          </cell>
          <cell r="J1509">
            <v>0.1306441095890411</v>
          </cell>
        </row>
        <row r="1510">
          <cell r="I1510">
            <v>2215</v>
          </cell>
          <cell r="J1510">
            <v>0.13064602739726028</v>
          </cell>
        </row>
        <row r="1511">
          <cell r="I1511">
            <v>2216</v>
          </cell>
          <cell r="J1511">
            <v>0.13064794520547945</v>
          </cell>
        </row>
        <row r="1512">
          <cell r="I1512">
            <v>2217</v>
          </cell>
          <cell r="J1512">
            <v>0.13064986301369863</v>
          </cell>
        </row>
        <row r="1513">
          <cell r="I1513">
            <v>2218</v>
          </cell>
          <cell r="J1513">
            <v>0.13065178082191781</v>
          </cell>
        </row>
        <row r="1514">
          <cell r="I1514">
            <v>2219</v>
          </cell>
          <cell r="J1514">
            <v>0.13065369863013698</v>
          </cell>
        </row>
        <row r="1515">
          <cell r="I1515">
            <v>2220</v>
          </cell>
          <cell r="J1515">
            <v>0.13065561643835616</v>
          </cell>
        </row>
        <row r="1516">
          <cell r="I1516">
            <v>2221</v>
          </cell>
          <cell r="J1516">
            <v>0.13065753424657534</v>
          </cell>
        </row>
        <row r="1517">
          <cell r="I1517">
            <v>2222</v>
          </cell>
          <cell r="J1517">
            <v>0.13065945205479451</v>
          </cell>
        </row>
        <row r="1518">
          <cell r="I1518">
            <v>2223</v>
          </cell>
          <cell r="J1518">
            <v>0.13066136986301369</v>
          </cell>
        </row>
        <row r="1519">
          <cell r="I1519">
            <v>2224</v>
          </cell>
          <cell r="J1519">
            <v>0.13066328767123286</v>
          </cell>
        </row>
        <row r="1520">
          <cell r="I1520">
            <v>2225</v>
          </cell>
          <cell r="J1520">
            <v>0.13066520547945204</v>
          </cell>
        </row>
        <row r="1521">
          <cell r="I1521">
            <v>2226</v>
          </cell>
          <cell r="J1521">
            <v>0.13066712328767122</v>
          </cell>
        </row>
        <row r="1522">
          <cell r="I1522">
            <v>2227</v>
          </cell>
          <cell r="J1522">
            <v>0.13066904109589039</v>
          </cell>
        </row>
        <row r="1523">
          <cell r="I1523">
            <v>2228</v>
          </cell>
          <cell r="J1523">
            <v>0.1306709589041096</v>
          </cell>
        </row>
        <row r="1524">
          <cell r="I1524">
            <v>2229</v>
          </cell>
          <cell r="J1524">
            <v>0.13067287671232877</v>
          </cell>
        </row>
        <row r="1525">
          <cell r="I1525">
            <v>2230</v>
          </cell>
          <cell r="J1525">
            <v>0.13067479452054795</v>
          </cell>
        </row>
        <row r="1526">
          <cell r="I1526">
            <v>2231</v>
          </cell>
          <cell r="J1526">
            <v>0.13067671232876713</v>
          </cell>
        </row>
        <row r="1527">
          <cell r="I1527">
            <v>2232</v>
          </cell>
          <cell r="J1527">
            <v>0.1306786301369863</v>
          </cell>
        </row>
        <row r="1528">
          <cell r="I1528">
            <v>2233</v>
          </cell>
          <cell r="J1528">
            <v>0.13068054794520548</v>
          </cell>
        </row>
        <row r="1529">
          <cell r="I1529">
            <v>2234</v>
          </cell>
          <cell r="J1529">
            <v>0.13068246575342465</v>
          </cell>
        </row>
        <row r="1530">
          <cell r="I1530">
            <v>2235</v>
          </cell>
          <cell r="J1530">
            <v>0.13068438356164383</v>
          </cell>
        </row>
        <row r="1531">
          <cell r="I1531">
            <v>2236</v>
          </cell>
          <cell r="J1531">
            <v>0.13068630136986301</v>
          </cell>
        </row>
        <row r="1532">
          <cell r="I1532">
            <v>2237</v>
          </cell>
          <cell r="J1532">
            <v>0.13068821917808218</v>
          </cell>
        </row>
        <row r="1533">
          <cell r="I1533">
            <v>2238</v>
          </cell>
          <cell r="J1533">
            <v>0.13069013698630136</v>
          </cell>
        </row>
        <row r="1534">
          <cell r="I1534">
            <v>2239</v>
          </cell>
          <cell r="J1534">
            <v>0.13069205479452053</v>
          </cell>
        </row>
        <row r="1535">
          <cell r="I1535">
            <v>2240</v>
          </cell>
          <cell r="J1535">
            <v>0.13069397260273971</v>
          </cell>
        </row>
        <row r="1536">
          <cell r="I1536">
            <v>2241</v>
          </cell>
          <cell r="J1536">
            <v>0.13069589041095889</v>
          </cell>
        </row>
        <row r="1537">
          <cell r="I1537">
            <v>2242</v>
          </cell>
          <cell r="J1537">
            <v>0.13069780821917806</v>
          </cell>
        </row>
        <row r="1538">
          <cell r="I1538">
            <v>2243</v>
          </cell>
          <cell r="J1538">
            <v>0.13069972602739727</v>
          </cell>
        </row>
        <row r="1539">
          <cell r="I1539">
            <v>2244</v>
          </cell>
          <cell r="J1539">
            <v>0.13070164383561644</v>
          </cell>
        </row>
        <row r="1540">
          <cell r="I1540">
            <v>2245</v>
          </cell>
          <cell r="J1540">
            <v>0.13070356164383562</v>
          </cell>
        </row>
        <row r="1541">
          <cell r="I1541">
            <v>2246</v>
          </cell>
          <cell r="J1541">
            <v>0.1307054794520548</v>
          </cell>
        </row>
        <row r="1542">
          <cell r="I1542">
            <v>2247</v>
          </cell>
          <cell r="J1542">
            <v>0.13070739726027397</v>
          </cell>
        </row>
        <row r="1543">
          <cell r="I1543">
            <v>2248</v>
          </cell>
          <cell r="J1543">
            <v>0.13070931506849315</v>
          </cell>
        </row>
        <row r="1544">
          <cell r="I1544">
            <v>2249</v>
          </cell>
          <cell r="J1544">
            <v>0.13071123287671232</v>
          </cell>
        </row>
        <row r="1545">
          <cell r="I1545">
            <v>2250</v>
          </cell>
          <cell r="J1545">
            <v>0.1307131506849315</v>
          </cell>
        </row>
        <row r="1546">
          <cell r="I1546">
            <v>2251</v>
          </cell>
          <cell r="J1546">
            <v>0.13071506849315068</v>
          </cell>
        </row>
        <row r="1547">
          <cell r="I1547">
            <v>2252</v>
          </cell>
          <cell r="J1547">
            <v>0.13071698630136985</v>
          </cell>
        </row>
        <row r="1548">
          <cell r="I1548">
            <v>2253</v>
          </cell>
          <cell r="J1548">
            <v>0.13071890410958903</v>
          </cell>
        </row>
        <row r="1549">
          <cell r="I1549">
            <v>2254</v>
          </cell>
          <cell r="J1549">
            <v>0.13072082191780821</v>
          </cell>
        </row>
        <row r="1550">
          <cell r="I1550">
            <v>2255</v>
          </cell>
          <cell r="J1550">
            <v>0.13072273972602738</v>
          </cell>
        </row>
        <row r="1551">
          <cell r="I1551">
            <v>2256</v>
          </cell>
          <cell r="J1551">
            <v>0.13072465753424656</v>
          </cell>
        </row>
        <row r="1552">
          <cell r="I1552">
            <v>2257</v>
          </cell>
          <cell r="J1552">
            <v>0.13072657534246576</v>
          </cell>
        </row>
        <row r="1553">
          <cell r="I1553">
            <v>2258</v>
          </cell>
          <cell r="J1553">
            <v>0.13072849315068494</v>
          </cell>
        </row>
        <row r="1554">
          <cell r="I1554">
            <v>2259</v>
          </cell>
          <cell r="J1554">
            <v>0.13073041095890411</v>
          </cell>
        </row>
        <row r="1555">
          <cell r="I1555">
            <v>2260</v>
          </cell>
          <cell r="J1555">
            <v>0.13073232876712329</v>
          </cell>
        </row>
        <row r="1556">
          <cell r="I1556">
            <v>2261</v>
          </cell>
          <cell r="J1556">
            <v>0.13073424657534247</v>
          </cell>
        </row>
        <row r="1557">
          <cell r="I1557">
            <v>2262</v>
          </cell>
          <cell r="J1557">
            <v>0.13073616438356164</v>
          </cell>
        </row>
        <row r="1558">
          <cell r="I1558">
            <v>2263</v>
          </cell>
          <cell r="J1558">
            <v>0.13073808219178082</v>
          </cell>
        </row>
        <row r="1559">
          <cell r="I1559">
            <v>2264</v>
          </cell>
          <cell r="J1559">
            <v>0.13074</v>
          </cell>
        </row>
        <row r="1560">
          <cell r="I1560">
            <v>2265</v>
          </cell>
          <cell r="J1560">
            <v>0.13074191780821917</v>
          </cell>
        </row>
        <row r="1561">
          <cell r="I1561">
            <v>2266</v>
          </cell>
          <cell r="J1561">
            <v>0.13074383561643835</v>
          </cell>
        </row>
        <row r="1562">
          <cell r="I1562">
            <v>2267</v>
          </cell>
          <cell r="J1562">
            <v>0.13074575342465752</v>
          </cell>
        </row>
        <row r="1563">
          <cell r="I1563">
            <v>2268</v>
          </cell>
          <cell r="J1563">
            <v>0.1307476712328767</v>
          </cell>
        </row>
        <row r="1564">
          <cell r="I1564">
            <v>2269</v>
          </cell>
          <cell r="J1564">
            <v>0.13074958904109588</v>
          </cell>
        </row>
        <row r="1565">
          <cell r="I1565">
            <v>2270</v>
          </cell>
          <cell r="J1565">
            <v>0.13075150684931505</v>
          </cell>
        </row>
        <row r="1566">
          <cell r="I1566">
            <v>2271</v>
          </cell>
          <cell r="J1566">
            <v>0.13075342465753423</v>
          </cell>
        </row>
        <row r="1567">
          <cell r="I1567">
            <v>2272</v>
          </cell>
          <cell r="J1567">
            <v>0.13075534246575343</v>
          </cell>
        </row>
        <row r="1568">
          <cell r="I1568">
            <v>2273</v>
          </cell>
          <cell r="J1568">
            <v>0.13075726027397261</v>
          </cell>
        </row>
        <row r="1569">
          <cell r="I1569">
            <v>2274</v>
          </cell>
          <cell r="J1569">
            <v>0.13075917808219178</v>
          </cell>
        </row>
        <row r="1570">
          <cell r="I1570">
            <v>2275</v>
          </cell>
          <cell r="J1570">
            <v>0.13076109589041096</v>
          </cell>
        </row>
        <row r="1571">
          <cell r="I1571">
            <v>2276</v>
          </cell>
          <cell r="J1571">
            <v>0.13076301369863014</v>
          </cell>
        </row>
        <row r="1572">
          <cell r="I1572">
            <v>2277</v>
          </cell>
          <cell r="J1572">
            <v>0.13076493150684931</v>
          </cell>
        </row>
        <row r="1573">
          <cell r="I1573">
            <v>2278</v>
          </cell>
          <cell r="J1573">
            <v>0.13076684931506849</v>
          </cell>
        </row>
        <row r="1574">
          <cell r="I1574">
            <v>2279</v>
          </cell>
          <cell r="J1574">
            <v>0.13076876712328767</v>
          </cell>
        </row>
        <row r="1575">
          <cell r="I1575">
            <v>2280</v>
          </cell>
          <cell r="J1575">
            <v>0.13077068493150684</v>
          </cell>
        </row>
        <row r="1576">
          <cell r="I1576">
            <v>2281</v>
          </cell>
          <cell r="J1576">
            <v>0.13077260273972602</v>
          </cell>
        </row>
        <row r="1577">
          <cell r="I1577">
            <v>2282</v>
          </cell>
          <cell r="J1577">
            <v>0.13077452054794519</v>
          </cell>
        </row>
        <row r="1578">
          <cell r="I1578">
            <v>2283</v>
          </cell>
          <cell r="J1578">
            <v>0.13077643835616437</v>
          </cell>
        </row>
        <row r="1579">
          <cell r="I1579">
            <v>2284</v>
          </cell>
          <cell r="J1579">
            <v>0.13077835616438355</v>
          </cell>
        </row>
        <row r="1580">
          <cell r="I1580">
            <v>2285</v>
          </cell>
          <cell r="J1580">
            <v>0.13078027397260272</v>
          </cell>
        </row>
        <row r="1581">
          <cell r="I1581">
            <v>2286</v>
          </cell>
          <cell r="J1581">
            <v>0.13078219178082193</v>
          </cell>
        </row>
        <row r="1582">
          <cell r="I1582">
            <v>2287</v>
          </cell>
          <cell r="J1582">
            <v>0.1307841095890411</v>
          </cell>
        </row>
        <row r="1583">
          <cell r="I1583">
            <v>2288</v>
          </cell>
          <cell r="J1583">
            <v>0.13078602739726028</v>
          </cell>
        </row>
        <row r="1584">
          <cell r="I1584">
            <v>2289</v>
          </cell>
          <cell r="J1584">
            <v>0.13078794520547946</v>
          </cell>
        </row>
        <row r="1585">
          <cell r="I1585">
            <v>2290</v>
          </cell>
          <cell r="J1585">
            <v>0.13078986301369863</v>
          </cell>
        </row>
        <row r="1586">
          <cell r="I1586">
            <v>2291</v>
          </cell>
          <cell r="J1586">
            <v>0.13079178082191781</v>
          </cell>
        </row>
        <row r="1587">
          <cell r="I1587">
            <v>2292</v>
          </cell>
          <cell r="J1587">
            <v>0.13079369863013698</v>
          </cell>
        </row>
        <row r="1588">
          <cell r="I1588">
            <v>2293</v>
          </cell>
          <cell r="J1588">
            <v>0.13079561643835616</v>
          </cell>
        </row>
        <row r="1589">
          <cell r="I1589">
            <v>2294</v>
          </cell>
          <cell r="J1589">
            <v>0.13079753424657534</v>
          </cell>
        </row>
        <row r="1590">
          <cell r="I1590">
            <v>2295</v>
          </cell>
          <cell r="J1590">
            <v>0.13079945205479451</v>
          </cell>
        </row>
        <row r="1591">
          <cell r="I1591">
            <v>2296</v>
          </cell>
          <cell r="J1591">
            <v>0.13080136986301369</v>
          </cell>
        </row>
        <row r="1592">
          <cell r="I1592">
            <v>2297</v>
          </cell>
          <cell r="J1592">
            <v>0.13080328767123287</v>
          </cell>
        </row>
        <row r="1593">
          <cell r="I1593">
            <v>2298</v>
          </cell>
          <cell r="J1593">
            <v>0.13080520547945204</v>
          </cell>
        </row>
        <row r="1594">
          <cell r="I1594">
            <v>2299</v>
          </cell>
          <cell r="J1594">
            <v>0.13080712328767122</v>
          </cell>
        </row>
        <row r="1595">
          <cell r="I1595">
            <v>2300</v>
          </cell>
          <cell r="J1595">
            <v>0.13080904109589039</v>
          </cell>
        </row>
        <row r="1596">
          <cell r="I1596">
            <v>2301</v>
          </cell>
          <cell r="J1596">
            <v>0.1308109589041096</v>
          </cell>
        </row>
        <row r="1597">
          <cell r="I1597">
            <v>2302</v>
          </cell>
          <cell r="J1597">
            <v>0.13081287671232877</v>
          </cell>
        </row>
        <row r="1598">
          <cell r="I1598">
            <v>2303</v>
          </cell>
          <cell r="J1598">
            <v>0.13081479452054795</v>
          </cell>
        </row>
        <row r="1599">
          <cell r="I1599">
            <v>2304</v>
          </cell>
          <cell r="J1599">
            <v>0.13081671232876713</v>
          </cell>
        </row>
        <row r="1600">
          <cell r="I1600">
            <v>2305</v>
          </cell>
          <cell r="J1600">
            <v>0.1308186301369863</v>
          </cell>
        </row>
        <row r="1601">
          <cell r="I1601">
            <v>2306</v>
          </cell>
          <cell r="J1601">
            <v>0.13082054794520548</v>
          </cell>
        </row>
        <row r="1602">
          <cell r="I1602">
            <v>2307</v>
          </cell>
          <cell r="J1602">
            <v>0.13082246575342465</v>
          </cell>
        </row>
        <row r="1603">
          <cell r="I1603">
            <v>2308</v>
          </cell>
          <cell r="J1603">
            <v>0.13082438356164383</v>
          </cell>
        </row>
        <row r="1604">
          <cell r="I1604">
            <v>2309</v>
          </cell>
          <cell r="J1604">
            <v>0.13082630136986301</v>
          </cell>
        </row>
        <row r="1605">
          <cell r="I1605">
            <v>2310</v>
          </cell>
          <cell r="J1605">
            <v>0.13082821917808218</v>
          </cell>
        </row>
        <row r="1606">
          <cell r="I1606">
            <v>2311</v>
          </cell>
          <cell r="J1606">
            <v>0.13083013698630136</v>
          </cell>
        </row>
        <row r="1607">
          <cell r="I1607">
            <v>2312</v>
          </cell>
          <cell r="J1607">
            <v>0.13083205479452054</v>
          </cell>
        </row>
        <row r="1608">
          <cell r="I1608">
            <v>2313</v>
          </cell>
          <cell r="J1608">
            <v>0.13083397260273971</v>
          </cell>
        </row>
        <row r="1609">
          <cell r="I1609">
            <v>2314</v>
          </cell>
          <cell r="J1609">
            <v>0.13083589041095889</v>
          </cell>
        </row>
        <row r="1610">
          <cell r="I1610">
            <v>2315</v>
          </cell>
          <cell r="J1610">
            <v>0.13083780821917806</v>
          </cell>
        </row>
        <row r="1611">
          <cell r="I1611">
            <v>2316</v>
          </cell>
          <cell r="J1611">
            <v>0.13083972602739727</v>
          </cell>
        </row>
        <row r="1612">
          <cell r="I1612">
            <v>2317</v>
          </cell>
          <cell r="J1612">
            <v>0.13084164383561644</v>
          </cell>
        </row>
        <row r="1613">
          <cell r="I1613">
            <v>2318</v>
          </cell>
          <cell r="J1613">
            <v>0.13084356164383562</v>
          </cell>
        </row>
        <row r="1614">
          <cell r="I1614">
            <v>2319</v>
          </cell>
          <cell r="J1614">
            <v>0.1308454794520548</v>
          </cell>
        </row>
        <row r="1615">
          <cell r="I1615">
            <v>2320</v>
          </cell>
          <cell r="J1615">
            <v>0.13084739726027397</v>
          </cell>
        </row>
        <row r="1616">
          <cell r="I1616">
            <v>2321</v>
          </cell>
          <cell r="J1616">
            <v>0.13084931506849315</v>
          </cell>
        </row>
        <row r="1617">
          <cell r="I1617">
            <v>2322</v>
          </cell>
          <cell r="J1617">
            <v>0.13085123287671233</v>
          </cell>
        </row>
        <row r="1618">
          <cell r="I1618">
            <v>2323</v>
          </cell>
          <cell r="J1618">
            <v>0.1308531506849315</v>
          </cell>
        </row>
        <row r="1619">
          <cell r="I1619">
            <v>2324</v>
          </cell>
          <cell r="J1619">
            <v>0.13085506849315068</v>
          </cell>
        </row>
        <row r="1620">
          <cell r="I1620">
            <v>2325</v>
          </cell>
          <cell r="J1620">
            <v>0.13085698630136985</v>
          </cell>
        </row>
        <row r="1621">
          <cell r="I1621">
            <v>2326</v>
          </cell>
          <cell r="J1621">
            <v>0.13085890410958903</v>
          </cell>
        </row>
        <row r="1622">
          <cell r="I1622">
            <v>2327</v>
          </cell>
          <cell r="J1622">
            <v>0.13086082191780821</v>
          </cell>
        </row>
        <row r="1623">
          <cell r="I1623">
            <v>2328</v>
          </cell>
          <cell r="J1623">
            <v>0.13086273972602738</v>
          </cell>
        </row>
        <row r="1624">
          <cell r="I1624">
            <v>2329</v>
          </cell>
          <cell r="J1624">
            <v>0.13086465753424656</v>
          </cell>
        </row>
        <row r="1625">
          <cell r="I1625">
            <v>2330</v>
          </cell>
          <cell r="J1625">
            <v>0.13086657534246576</v>
          </cell>
        </row>
        <row r="1626">
          <cell r="I1626">
            <v>2331</v>
          </cell>
          <cell r="J1626">
            <v>0.13086849315068494</v>
          </cell>
        </row>
        <row r="1627">
          <cell r="I1627">
            <v>2332</v>
          </cell>
          <cell r="J1627">
            <v>0.13087041095890412</v>
          </cell>
        </row>
        <row r="1628">
          <cell r="I1628">
            <v>2333</v>
          </cell>
          <cell r="J1628">
            <v>0.13087232876712329</v>
          </cell>
        </row>
        <row r="1629">
          <cell r="I1629">
            <v>2334</v>
          </cell>
          <cell r="J1629">
            <v>0.13087424657534247</v>
          </cell>
        </row>
        <row r="1630">
          <cell r="I1630">
            <v>2335</v>
          </cell>
          <cell r="J1630">
            <v>0.13087616438356164</v>
          </cell>
        </row>
        <row r="1631">
          <cell r="I1631">
            <v>2336</v>
          </cell>
          <cell r="J1631">
            <v>0.13087808219178082</v>
          </cell>
        </row>
        <row r="1632">
          <cell r="I1632">
            <v>2337</v>
          </cell>
          <cell r="J1632">
            <v>0.13088</v>
          </cell>
        </row>
        <row r="1633">
          <cell r="I1633">
            <v>2338</v>
          </cell>
          <cell r="J1633">
            <v>0.13088191780821917</v>
          </cell>
        </row>
        <row r="1634">
          <cell r="I1634">
            <v>2339</v>
          </cell>
          <cell r="J1634">
            <v>0.13088383561643835</v>
          </cell>
        </row>
        <row r="1635">
          <cell r="I1635">
            <v>2340</v>
          </cell>
          <cell r="J1635">
            <v>0.13088575342465752</v>
          </cell>
        </row>
        <row r="1636">
          <cell r="I1636">
            <v>2341</v>
          </cell>
          <cell r="J1636">
            <v>0.1308876712328767</v>
          </cell>
        </row>
        <row r="1637">
          <cell r="I1637">
            <v>2342</v>
          </cell>
          <cell r="J1637">
            <v>0.13088958904109588</v>
          </cell>
        </row>
        <row r="1638">
          <cell r="I1638">
            <v>2343</v>
          </cell>
          <cell r="J1638">
            <v>0.13089150684931505</v>
          </cell>
        </row>
        <row r="1639">
          <cell r="I1639">
            <v>2344</v>
          </cell>
          <cell r="J1639">
            <v>0.13089342465753423</v>
          </cell>
        </row>
        <row r="1640">
          <cell r="I1640">
            <v>2345</v>
          </cell>
          <cell r="J1640">
            <v>0.13089534246575343</v>
          </cell>
        </row>
        <row r="1641">
          <cell r="I1641">
            <v>2346</v>
          </cell>
          <cell r="J1641">
            <v>0.13089726027397261</v>
          </cell>
        </row>
        <row r="1642">
          <cell r="I1642">
            <v>2347</v>
          </cell>
          <cell r="J1642">
            <v>0.13089917808219179</v>
          </cell>
        </row>
        <row r="1643">
          <cell r="I1643">
            <v>2348</v>
          </cell>
          <cell r="J1643">
            <v>0.13090109589041096</v>
          </cell>
        </row>
        <row r="1644">
          <cell r="I1644">
            <v>2349</v>
          </cell>
          <cell r="J1644">
            <v>0.13090301369863014</v>
          </cell>
        </row>
        <row r="1645">
          <cell r="I1645">
            <v>2350</v>
          </cell>
          <cell r="J1645">
            <v>0.13090493150684931</v>
          </cell>
        </row>
        <row r="1646">
          <cell r="I1646">
            <v>2351</v>
          </cell>
          <cell r="J1646">
            <v>0.13090684931506849</v>
          </cell>
        </row>
        <row r="1647">
          <cell r="I1647">
            <v>2352</v>
          </cell>
          <cell r="J1647">
            <v>0.13090876712328767</v>
          </cell>
        </row>
        <row r="1648">
          <cell r="I1648">
            <v>2353</v>
          </cell>
          <cell r="J1648">
            <v>0.13091068493150684</v>
          </cell>
        </row>
        <row r="1649">
          <cell r="I1649">
            <v>2354</v>
          </cell>
          <cell r="J1649">
            <v>0.13091260273972602</v>
          </cell>
        </row>
        <row r="1650">
          <cell r="I1650">
            <v>2355</v>
          </cell>
          <cell r="J1650">
            <v>0.1309145205479452</v>
          </cell>
        </row>
        <row r="1651">
          <cell r="I1651">
            <v>2356</v>
          </cell>
          <cell r="J1651">
            <v>0.13091643835616437</v>
          </cell>
        </row>
        <row r="1652">
          <cell r="I1652">
            <v>2357</v>
          </cell>
          <cell r="J1652">
            <v>0.13091835616438355</v>
          </cell>
        </row>
        <row r="1653">
          <cell r="I1653">
            <v>2358</v>
          </cell>
          <cell r="J1653">
            <v>0.13092027397260272</v>
          </cell>
        </row>
        <row r="1654">
          <cell r="I1654">
            <v>2359</v>
          </cell>
          <cell r="J1654">
            <v>0.13092219178082193</v>
          </cell>
        </row>
        <row r="1655">
          <cell r="I1655">
            <v>2360</v>
          </cell>
          <cell r="J1655">
            <v>0.1309241095890411</v>
          </cell>
        </row>
        <row r="1656">
          <cell r="I1656">
            <v>2361</v>
          </cell>
          <cell r="J1656">
            <v>0.13092602739726028</v>
          </cell>
        </row>
        <row r="1657">
          <cell r="I1657">
            <v>2362</v>
          </cell>
          <cell r="J1657">
            <v>0.13092794520547946</v>
          </cell>
        </row>
        <row r="1658">
          <cell r="I1658">
            <v>2363</v>
          </cell>
          <cell r="J1658">
            <v>0.13092986301369863</v>
          </cell>
        </row>
        <row r="1659">
          <cell r="I1659">
            <v>2364</v>
          </cell>
          <cell r="J1659">
            <v>0.13093178082191781</v>
          </cell>
        </row>
        <row r="1660">
          <cell r="I1660">
            <v>2365</v>
          </cell>
          <cell r="J1660">
            <v>0.13093369863013699</v>
          </cell>
        </row>
        <row r="1661">
          <cell r="I1661">
            <v>2366</v>
          </cell>
          <cell r="J1661">
            <v>0.13093561643835616</v>
          </cell>
        </row>
        <row r="1662">
          <cell r="I1662">
            <v>2367</v>
          </cell>
          <cell r="J1662">
            <v>0.13093753424657534</v>
          </cell>
        </row>
        <row r="1663">
          <cell r="I1663">
            <v>2368</v>
          </cell>
          <cell r="J1663">
            <v>0.13093945205479451</v>
          </cell>
        </row>
        <row r="1664">
          <cell r="I1664">
            <v>2369</v>
          </cell>
          <cell r="J1664">
            <v>0.13094136986301369</v>
          </cell>
        </row>
        <row r="1665">
          <cell r="I1665">
            <v>2370</v>
          </cell>
          <cell r="J1665">
            <v>0.13094328767123287</v>
          </cell>
        </row>
        <row r="1666">
          <cell r="I1666">
            <v>2371</v>
          </cell>
          <cell r="J1666">
            <v>0.13094520547945204</v>
          </cell>
        </row>
        <row r="1667">
          <cell r="I1667">
            <v>2372</v>
          </cell>
          <cell r="J1667">
            <v>0.13094712328767122</v>
          </cell>
        </row>
        <row r="1668">
          <cell r="I1668">
            <v>2373</v>
          </cell>
          <cell r="J1668">
            <v>0.13094904109589039</v>
          </cell>
        </row>
        <row r="1669">
          <cell r="I1669">
            <v>2374</v>
          </cell>
          <cell r="J1669">
            <v>0.1309509589041096</v>
          </cell>
        </row>
        <row r="1670">
          <cell r="I1670">
            <v>2375</v>
          </cell>
          <cell r="J1670">
            <v>0.13095287671232878</v>
          </cell>
        </row>
        <row r="1671">
          <cell r="I1671">
            <v>2376</v>
          </cell>
          <cell r="J1671">
            <v>0.13095479452054795</v>
          </cell>
        </row>
        <row r="1672">
          <cell r="I1672">
            <v>2377</v>
          </cell>
          <cell r="J1672">
            <v>0.13095671232876713</v>
          </cell>
        </row>
        <row r="1673">
          <cell r="I1673">
            <v>2378</v>
          </cell>
          <cell r="J1673">
            <v>0.1309586301369863</v>
          </cell>
        </row>
        <row r="1674">
          <cell r="I1674">
            <v>2379</v>
          </cell>
          <cell r="J1674">
            <v>0.13096054794520548</v>
          </cell>
        </row>
        <row r="1675">
          <cell r="I1675">
            <v>2380</v>
          </cell>
          <cell r="J1675">
            <v>0.13096246575342466</v>
          </cell>
        </row>
        <row r="1676">
          <cell r="I1676">
            <v>2381</v>
          </cell>
          <cell r="J1676">
            <v>0.13096438356164383</v>
          </cell>
        </row>
        <row r="1677">
          <cell r="I1677">
            <v>2382</v>
          </cell>
          <cell r="J1677">
            <v>0.13096630136986301</v>
          </cell>
        </row>
        <row r="1678">
          <cell r="I1678">
            <v>2383</v>
          </cell>
          <cell r="J1678">
            <v>0.13096821917808218</v>
          </cell>
        </row>
        <row r="1679">
          <cell r="I1679">
            <v>2384</v>
          </cell>
          <cell r="J1679">
            <v>0.13097013698630136</v>
          </cell>
        </row>
        <row r="1680">
          <cell r="I1680">
            <v>2385</v>
          </cell>
          <cell r="J1680">
            <v>0.13097205479452054</v>
          </cell>
        </row>
        <row r="1681">
          <cell r="I1681">
            <v>2386</v>
          </cell>
          <cell r="J1681">
            <v>0.13097397260273971</v>
          </cell>
        </row>
        <row r="1682">
          <cell r="I1682">
            <v>2387</v>
          </cell>
          <cell r="J1682">
            <v>0.13097589041095889</v>
          </cell>
        </row>
        <row r="1683">
          <cell r="I1683">
            <v>2388</v>
          </cell>
          <cell r="J1683">
            <v>0.13097780821917807</v>
          </cell>
        </row>
        <row r="1684">
          <cell r="I1684">
            <v>2389</v>
          </cell>
          <cell r="J1684">
            <v>0.13097972602739727</v>
          </cell>
        </row>
        <row r="1685">
          <cell r="I1685">
            <v>2390</v>
          </cell>
          <cell r="J1685">
            <v>0.13098164383561645</v>
          </cell>
        </row>
        <row r="1686">
          <cell r="I1686">
            <v>2391</v>
          </cell>
          <cell r="J1686">
            <v>0.13098356164383562</v>
          </cell>
        </row>
        <row r="1687">
          <cell r="I1687">
            <v>2392</v>
          </cell>
          <cell r="J1687">
            <v>0.1309854794520548</v>
          </cell>
        </row>
        <row r="1688">
          <cell r="I1688">
            <v>2393</v>
          </cell>
          <cell r="J1688">
            <v>0.13098739726027397</v>
          </cell>
        </row>
        <row r="1689">
          <cell r="I1689">
            <v>2394</v>
          </cell>
          <cell r="J1689">
            <v>0.13098931506849315</v>
          </cell>
        </row>
        <row r="1690">
          <cell r="I1690">
            <v>2395</v>
          </cell>
          <cell r="J1690">
            <v>0.13099123287671233</v>
          </cell>
        </row>
        <row r="1691">
          <cell r="I1691">
            <v>2396</v>
          </cell>
          <cell r="J1691">
            <v>0.1309931506849315</v>
          </cell>
        </row>
        <row r="1692">
          <cell r="I1692">
            <v>2397</v>
          </cell>
          <cell r="J1692">
            <v>0.13099506849315068</v>
          </cell>
        </row>
        <row r="1693">
          <cell r="I1693">
            <v>2398</v>
          </cell>
          <cell r="J1693">
            <v>0.13099698630136986</v>
          </cell>
        </row>
        <row r="1694">
          <cell r="I1694">
            <v>2399</v>
          </cell>
          <cell r="J1694">
            <v>0.13099890410958903</v>
          </cell>
        </row>
        <row r="1695">
          <cell r="I1695">
            <v>2400</v>
          </cell>
          <cell r="J1695">
            <v>0.13100082191780821</v>
          </cell>
        </row>
        <row r="1696">
          <cell r="I1696">
            <v>2401</v>
          </cell>
          <cell r="J1696">
            <v>0.13100273972602738</v>
          </cell>
        </row>
        <row r="1697">
          <cell r="I1697">
            <v>2402</v>
          </cell>
          <cell r="J1697">
            <v>0.13100465753424656</v>
          </cell>
        </row>
        <row r="1698">
          <cell r="I1698">
            <v>2403</v>
          </cell>
          <cell r="J1698">
            <v>0.13100657534246576</v>
          </cell>
        </row>
        <row r="1699">
          <cell r="I1699">
            <v>2404</v>
          </cell>
          <cell r="J1699">
            <v>0.13100849315068494</v>
          </cell>
        </row>
        <row r="1700">
          <cell r="I1700">
            <v>2405</v>
          </cell>
          <cell r="J1700">
            <v>0.13101041095890412</v>
          </cell>
        </row>
        <row r="1701">
          <cell r="I1701">
            <v>2406</v>
          </cell>
          <cell r="J1701">
            <v>0.13101232876712329</v>
          </cell>
        </row>
        <row r="1702">
          <cell r="I1702">
            <v>2407</v>
          </cell>
          <cell r="J1702">
            <v>0.13101424657534247</v>
          </cell>
        </row>
        <row r="1703">
          <cell r="I1703">
            <v>2408</v>
          </cell>
          <cell r="J1703">
            <v>0.13101616438356165</v>
          </cell>
        </row>
        <row r="1704">
          <cell r="I1704">
            <v>2409</v>
          </cell>
          <cell r="J1704">
            <v>0.13101808219178082</v>
          </cell>
        </row>
        <row r="1705">
          <cell r="I1705">
            <v>2410</v>
          </cell>
          <cell r="J1705">
            <v>0.13102</v>
          </cell>
        </row>
        <row r="1706">
          <cell r="I1706">
            <v>2411</v>
          </cell>
          <cell r="J1706">
            <v>0.13102191780821917</v>
          </cell>
        </row>
        <row r="1707">
          <cell r="I1707">
            <v>2412</v>
          </cell>
          <cell r="J1707">
            <v>0.13102383561643835</v>
          </cell>
        </row>
        <row r="1708">
          <cell r="I1708">
            <v>2413</v>
          </cell>
          <cell r="J1708">
            <v>0.13102575342465753</v>
          </cell>
        </row>
        <row r="1709">
          <cell r="I1709">
            <v>2414</v>
          </cell>
          <cell r="J1709">
            <v>0.1310276712328767</v>
          </cell>
        </row>
        <row r="1710">
          <cell r="I1710">
            <v>2415</v>
          </cell>
          <cell r="J1710">
            <v>0.13102958904109588</v>
          </cell>
        </row>
        <row r="1711">
          <cell r="I1711">
            <v>2416</v>
          </cell>
          <cell r="J1711">
            <v>0.13103150684931505</v>
          </cell>
        </row>
        <row r="1712">
          <cell r="I1712">
            <v>2417</v>
          </cell>
          <cell r="J1712">
            <v>0.13103342465753423</v>
          </cell>
        </row>
        <row r="1713">
          <cell r="I1713">
            <v>2418</v>
          </cell>
          <cell r="J1713">
            <v>0.13103534246575343</v>
          </cell>
        </row>
        <row r="1714">
          <cell r="I1714">
            <v>2419</v>
          </cell>
          <cell r="J1714">
            <v>0.13103726027397261</v>
          </cell>
        </row>
        <row r="1715">
          <cell r="I1715">
            <v>2420</v>
          </cell>
          <cell r="J1715">
            <v>0.13103917808219179</v>
          </cell>
        </row>
        <row r="1716">
          <cell r="I1716">
            <v>2421</v>
          </cell>
          <cell r="J1716">
            <v>0.13104109589041096</v>
          </cell>
        </row>
        <row r="1717">
          <cell r="I1717">
            <v>2422</v>
          </cell>
          <cell r="J1717">
            <v>0.13104301369863014</v>
          </cell>
        </row>
        <row r="1718">
          <cell r="I1718">
            <v>2423</v>
          </cell>
          <cell r="J1718">
            <v>0.13104493150684932</v>
          </cell>
        </row>
        <row r="1719">
          <cell r="I1719">
            <v>2424</v>
          </cell>
          <cell r="J1719">
            <v>0.13104684931506849</v>
          </cell>
        </row>
        <row r="1720">
          <cell r="I1720">
            <v>2425</v>
          </cell>
          <cell r="J1720">
            <v>0.13104876712328767</v>
          </cell>
        </row>
        <row r="1721">
          <cell r="I1721">
            <v>2426</v>
          </cell>
          <cell r="J1721">
            <v>0.13105068493150684</v>
          </cell>
        </row>
        <row r="1722">
          <cell r="I1722">
            <v>2427</v>
          </cell>
          <cell r="J1722">
            <v>0.13105260273972602</v>
          </cell>
        </row>
        <row r="1723">
          <cell r="I1723">
            <v>2428</v>
          </cell>
          <cell r="J1723">
            <v>0.1310545205479452</v>
          </cell>
        </row>
        <row r="1724">
          <cell r="I1724">
            <v>2429</v>
          </cell>
          <cell r="J1724">
            <v>0.13105643835616437</v>
          </cell>
        </row>
        <row r="1725">
          <cell r="I1725">
            <v>2430</v>
          </cell>
          <cell r="J1725">
            <v>0.13105835616438355</v>
          </cell>
        </row>
        <row r="1726">
          <cell r="I1726">
            <v>2431</v>
          </cell>
          <cell r="J1726">
            <v>0.13106027397260273</v>
          </cell>
        </row>
        <row r="1727">
          <cell r="I1727">
            <v>2432</v>
          </cell>
          <cell r="J1727">
            <v>0.13106219178082193</v>
          </cell>
        </row>
        <row r="1728">
          <cell r="I1728">
            <v>2433</v>
          </cell>
          <cell r="J1728">
            <v>0.13106410958904111</v>
          </cell>
        </row>
        <row r="1729">
          <cell r="I1729">
            <v>2434</v>
          </cell>
          <cell r="J1729">
            <v>0.13106602739726028</v>
          </cell>
        </row>
        <row r="1730">
          <cell r="I1730">
            <v>2435</v>
          </cell>
          <cell r="J1730">
            <v>0.13106794520547946</v>
          </cell>
        </row>
        <row r="1731">
          <cell r="I1731">
            <v>2436</v>
          </cell>
          <cell r="J1731">
            <v>0.13106986301369863</v>
          </cell>
        </row>
        <row r="1732">
          <cell r="I1732">
            <v>2437</v>
          </cell>
          <cell r="J1732">
            <v>0.13107178082191781</v>
          </cell>
        </row>
        <row r="1733">
          <cell r="I1733">
            <v>2438</v>
          </cell>
          <cell r="J1733">
            <v>0.13107369863013699</v>
          </cell>
        </row>
        <row r="1734">
          <cell r="I1734">
            <v>2439</v>
          </cell>
          <cell r="J1734">
            <v>0.13107561643835616</v>
          </cell>
        </row>
        <row r="1735">
          <cell r="I1735">
            <v>2440</v>
          </cell>
          <cell r="J1735">
            <v>0.13107753424657534</v>
          </cell>
        </row>
        <row r="1736">
          <cell r="I1736">
            <v>2441</v>
          </cell>
          <cell r="J1736">
            <v>0.13107945205479452</v>
          </cell>
        </row>
        <row r="1737">
          <cell r="I1737">
            <v>2442</v>
          </cell>
          <cell r="J1737">
            <v>0.13108136986301369</v>
          </cell>
        </row>
        <row r="1738">
          <cell r="I1738">
            <v>2443</v>
          </cell>
          <cell r="J1738">
            <v>0.13108328767123287</v>
          </cell>
        </row>
        <row r="1739">
          <cell r="I1739">
            <v>2444</v>
          </cell>
          <cell r="J1739">
            <v>0.13108520547945204</v>
          </cell>
        </row>
        <row r="1740">
          <cell r="I1740">
            <v>2445</v>
          </cell>
          <cell r="J1740">
            <v>0.13108712328767122</v>
          </cell>
        </row>
        <row r="1741">
          <cell r="I1741">
            <v>2446</v>
          </cell>
          <cell r="J1741">
            <v>0.1310890410958904</v>
          </cell>
        </row>
        <row r="1742">
          <cell r="I1742">
            <v>2447</v>
          </cell>
          <cell r="J1742">
            <v>0.1310909589041096</v>
          </cell>
        </row>
        <row r="1743">
          <cell r="I1743">
            <v>2448</v>
          </cell>
          <cell r="J1743">
            <v>0.13109287671232878</v>
          </cell>
        </row>
        <row r="1744">
          <cell r="I1744">
            <v>2449</v>
          </cell>
          <cell r="J1744">
            <v>0.13109479452054795</v>
          </cell>
        </row>
        <row r="1745">
          <cell r="I1745">
            <v>2450</v>
          </cell>
          <cell r="J1745">
            <v>0.13109671232876713</v>
          </cell>
        </row>
        <row r="1746">
          <cell r="I1746">
            <v>2451</v>
          </cell>
          <cell r="J1746">
            <v>0.1310986301369863</v>
          </cell>
        </row>
        <row r="1747">
          <cell r="I1747">
            <v>2452</v>
          </cell>
          <cell r="J1747">
            <v>0.13110054794520548</v>
          </cell>
        </row>
        <row r="1748">
          <cell r="I1748">
            <v>2453</v>
          </cell>
          <cell r="J1748">
            <v>0.13110246575342466</v>
          </cell>
        </row>
        <row r="1749">
          <cell r="I1749">
            <v>2454</v>
          </cell>
          <cell r="J1749">
            <v>0.13110438356164383</v>
          </cell>
        </row>
        <row r="1750">
          <cell r="I1750">
            <v>2455</v>
          </cell>
          <cell r="J1750">
            <v>0.13110630136986301</v>
          </cell>
        </row>
        <row r="1751">
          <cell r="I1751">
            <v>2456</v>
          </cell>
          <cell r="J1751">
            <v>0.13110821917808219</v>
          </cell>
        </row>
        <row r="1752">
          <cell r="I1752">
            <v>2457</v>
          </cell>
          <cell r="J1752">
            <v>0.13111013698630136</v>
          </cell>
        </row>
        <row r="1753">
          <cell r="I1753">
            <v>2458</v>
          </cell>
          <cell r="J1753">
            <v>0.13111205479452054</v>
          </cell>
        </row>
        <row r="1754">
          <cell r="I1754">
            <v>2459</v>
          </cell>
          <cell r="J1754">
            <v>0.13111397260273971</v>
          </cell>
        </row>
        <row r="1755">
          <cell r="I1755">
            <v>2460</v>
          </cell>
          <cell r="J1755">
            <v>0.13111589041095889</v>
          </cell>
        </row>
        <row r="1756">
          <cell r="I1756">
            <v>2461</v>
          </cell>
          <cell r="J1756">
            <v>0.13111780821917807</v>
          </cell>
        </row>
        <row r="1757">
          <cell r="I1757">
            <v>2462</v>
          </cell>
          <cell r="J1757">
            <v>0.13111972602739727</v>
          </cell>
        </row>
        <row r="1758">
          <cell r="I1758">
            <v>2463</v>
          </cell>
          <cell r="J1758">
            <v>0.13112164383561645</v>
          </cell>
        </row>
        <row r="1759">
          <cell r="I1759">
            <v>2464</v>
          </cell>
          <cell r="J1759">
            <v>0.13112356164383562</v>
          </cell>
        </row>
        <row r="1760">
          <cell r="I1760">
            <v>2465</v>
          </cell>
          <cell r="J1760">
            <v>0.1311254794520548</v>
          </cell>
        </row>
        <row r="1761">
          <cell r="I1761">
            <v>2466</v>
          </cell>
          <cell r="J1761">
            <v>0.13112739726027398</v>
          </cell>
        </row>
        <row r="1762">
          <cell r="I1762">
            <v>2467</v>
          </cell>
          <cell r="J1762">
            <v>0.13112931506849315</v>
          </cell>
        </row>
        <row r="1763">
          <cell r="I1763">
            <v>2468</v>
          </cell>
          <cell r="J1763">
            <v>0.13113123287671233</v>
          </cell>
        </row>
        <row r="1764">
          <cell r="I1764">
            <v>2469</v>
          </cell>
          <cell r="J1764">
            <v>0.1311331506849315</v>
          </cell>
        </row>
        <row r="1765">
          <cell r="I1765">
            <v>2470</v>
          </cell>
          <cell r="J1765">
            <v>0.13113506849315068</v>
          </cell>
        </row>
        <row r="1766">
          <cell r="I1766">
            <v>2471</v>
          </cell>
          <cell r="J1766">
            <v>0.13113698630136986</v>
          </cell>
        </row>
        <row r="1767">
          <cell r="I1767">
            <v>2472</v>
          </cell>
          <cell r="J1767">
            <v>0.13113890410958903</v>
          </cell>
        </row>
        <row r="1768">
          <cell r="I1768">
            <v>2473</v>
          </cell>
          <cell r="J1768">
            <v>0.13114082191780821</v>
          </cell>
        </row>
        <row r="1769">
          <cell r="I1769">
            <v>2474</v>
          </cell>
          <cell r="J1769">
            <v>0.13114273972602739</v>
          </cell>
        </row>
        <row r="1770">
          <cell r="I1770">
            <v>2475</v>
          </cell>
          <cell r="J1770">
            <v>0.13114465753424656</v>
          </cell>
        </row>
        <row r="1771">
          <cell r="I1771">
            <v>2476</v>
          </cell>
          <cell r="J1771">
            <v>0.13114657534246577</v>
          </cell>
        </row>
        <row r="1772">
          <cell r="I1772">
            <v>2477</v>
          </cell>
          <cell r="J1772">
            <v>0.13114849315068494</v>
          </cell>
        </row>
        <row r="1773">
          <cell r="I1773">
            <v>2478</v>
          </cell>
          <cell r="J1773">
            <v>0.13115041095890412</v>
          </cell>
        </row>
        <row r="1774">
          <cell r="I1774">
            <v>2479</v>
          </cell>
          <cell r="J1774">
            <v>0.13115232876712329</v>
          </cell>
        </row>
        <row r="1775">
          <cell r="I1775">
            <v>2480</v>
          </cell>
          <cell r="J1775">
            <v>0.13115424657534247</v>
          </cell>
        </row>
        <row r="1776">
          <cell r="I1776">
            <v>2481</v>
          </cell>
          <cell r="J1776">
            <v>0.13115616438356165</v>
          </cell>
        </row>
        <row r="1777">
          <cell r="I1777">
            <v>2482</v>
          </cell>
          <cell r="J1777">
            <v>0.13115808219178082</v>
          </cell>
        </row>
        <row r="1778">
          <cell r="I1778">
            <v>2483</v>
          </cell>
          <cell r="J1778">
            <v>0.13116</v>
          </cell>
        </row>
        <row r="1779">
          <cell r="I1779">
            <v>2484</v>
          </cell>
          <cell r="J1779">
            <v>0.13116191780821918</v>
          </cell>
        </row>
        <row r="1780">
          <cell r="I1780">
            <v>2485</v>
          </cell>
          <cell r="J1780">
            <v>0.13116383561643835</v>
          </cell>
        </row>
        <row r="1781">
          <cell r="I1781">
            <v>2486</v>
          </cell>
          <cell r="J1781">
            <v>0.13116575342465753</v>
          </cell>
        </row>
        <row r="1782">
          <cell r="I1782">
            <v>2487</v>
          </cell>
          <cell r="J1782">
            <v>0.1311676712328767</v>
          </cell>
        </row>
        <row r="1783">
          <cell r="I1783">
            <v>2488</v>
          </cell>
          <cell r="J1783">
            <v>0.13116958904109588</v>
          </cell>
        </row>
        <row r="1784">
          <cell r="I1784">
            <v>2489</v>
          </cell>
          <cell r="J1784">
            <v>0.13117150684931506</v>
          </cell>
        </row>
        <row r="1785">
          <cell r="I1785">
            <v>2490</v>
          </cell>
          <cell r="J1785">
            <v>0.13117342465753423</v>
          </cell>
        </row>
        <row r="1786">
          <cell r="I1786">
            <v>2491</v>
          </cell>
          <cell r="J1786">
            <v>0.13117534246575344</v>
          </cell>
        </row>
        <row r="1787">
          <cell r="I1787">
            <v>2492</v>
          </cell>
          <cell r="J1787">
            <v>0.13117726027397261</v>
          </cell>
        </row>
        <row r="1788">
          <cell r="I1788">
            <v>2493</v>
          </cell>
          <cell r="J1788">
            <v>0.13117917808219179</v>
          </cell>
        </row>
        <row r="1789">
          <cell r="I1789">
            <v>2494</v>
          </cell>
          <cell r="J1789">
            <v>0.13118109589041096</v>
          </cell>
        </row>
        <row r="1790">
          <cell r="I1790">
            <v>2495</v>
          </cell>
          <cell r="J1790">
            <v>0.13118301369863014</v>
          </cell>
        </row>
        <row r="1791">
          <cell r="I1791">
            <v>2496</v>
          </cell>
          <cell r="J1791">
            <v>0.13118493150684932</v>
          </cell>
        </row>
        <row r="1792">
          <cell r="I1792">
            <v>2497</v>
          </cell>
          <cell r="J1792">
            <v>0.13118684931506849</v>
          </cell>
        </row>
        <row r="1793">
          <cell r="I1793">
            <v>2498</v>
          </cell>
          <cell r="J1793">
            <v>0.13118876712328767</v>
          </cell>
        </row>
        <row r="1794">
          <cell r="I1794">
            <v>2499</v>
          </cell>
          <cell r="J1794">
            <v>0.13119068493150685</v>
          </cell>
        </row>
        <row r="1795">
          <cell r="I1795">
            <v>2500</v>
          </cell>
          <cell r="J1795">
            <v>0.13119260273972602</v>
          </cell>
        </row>
        <row r="1796">
          <cell r="I1796">
            <v>2501</v>
          </cell>
          <cell r="J1796">
            <v>0.1311945205479452</v>
          </cell>
        </row>
        <row r="1797">
          <cell r="I1797">
            <v>2502</v>
          </cell>
          <cell r="J1797">
            <v>0.13119643835616437</v>
          </cell>
        </row>
        <row r="1798">
          <cell r="I1798">
            <v>2503</v>
          </cell>
          <cell r="J1798">
            <v>0.13119835616438355</v>
          </cell>
        </row>
        <row r="1799">
          <cell r="I1799">
            <v>2504</v>
          </cell>
          <cell r="J1799">
            <v>0.13120027397260273</v>
          </cell>
        </row>
        <row r="1800">
          <cell r="I1800">
            <v>2505</v>
          </cell>
          <cell r="J1800">
            <v>0.13120219178082193</v>
          </cell>
        </row>
        <row r="1801">
          <cell r="I1801">
            <v>2506</v>
          </cell>
          <cell r="J1801">
            <v>0.13120410958904111</v>
          </cell>
        </row>
        <row r="1802">
          <cell r="I1802">
            <v>2507</v>
          </cell>
          <cell r="J1802">
            <v>0.13120602739726028</v>
          </cell>
        </row>
        <row r="1803">
          <cell r="I1803">
            <v>2508</v>
          </cell>
          <cell r="J1803">
            <v>0.13120794520547946</v>
          </cell>
        </row>
        <row r="1804">
          <cell r="I1804">
            <v>2509</v>
          </cell>
          <cell r="J1804">
            <v>0.13120986301369864</v>
          </cell>
        </row>
        <row r="1805">
          <cell r="I1805">
            <v>2510</v>
          </cell>
          <cell r="J1805">
            <v>0.13121178082191781</v>
          </cell>
        </row>
        <row r="1806">
          <cell r="I1806">
            <v>2511</v>
          </cell>
          <cell r="J1806">
            <v>0.13121369863013699</v>
          </cell>
        </row>
        <row r="1807">
          <cell r="I1807">
            <v>2512</v>
          </cell>
          <cell r="J1807">
            <v>0.13121561643835616</v>
          </cell>
        </row>
        <row r="1808">
          <cell r="I1808">
            <v>2513</v>
          </cell>
          <cell r="J1808">
            <v>0.13121753424657534</v>
          </cell>
        </row>
        <row r="1809">
          <cell r="I1809">
            <v>2514</v>
          </cell>
          <cell r="J1809">
            <v>0.13121945205479452</v>
          </cell>
        </row>
        <row r="1810">
          <cell r="I1810">
            <v>2515</v>
          </cell>
          <cell r="J1810">
            <v>0.13122136986301369</v>
          </cell>
        </row>
        <row r="1811">
          <cell r="I1811">
            <v>2516</v>
          </cell>
          <cell r="J1811">
            <v>0.13122328767123287</v>
          </cell>
        </row>
        <row r="1812">
          <cell r="I1812">
            <v>2517</v>
          </cell>
          <cell r="J1812">
            <v>0.13122520547945205</v>
          </cell>
        </row>
        <row r="1813">
          <cell r="I1813">
            <v>2518</v>
          </cell>
          <cell r="J1813">
            <v>0.13122712328767122</v>
          </cell>
        </row>
        <row r="1814">
          <cell r="I1814">
            <v>2519</v>
          </cell>
          <cell r="J1814">
            <v>0.1312290410958904</v>
          </cell>
        </row>
        <row r="1815">
          <cell r="I1815">
            <v>2520</v>
          </cell>
          <cell r="J1815">
            <v>0.1312309589041096</v>
          </cell>
        </row>
        <row r="1816">
          <cell r="I1816">
            <v>2521</v>
          </cell>
          <cell r="J1816">
            <v>0.13123287671232878</v>
          </cell>
        </row>
        <row r="1817">
          <cell r="I1817">
            <v>2522</v>
          </cell>
          <cell r="J1817">
            <v>0.13123479452054795</v>
          </cell>
        </row>
        <row r="1818">
          <cell r="I1818">
            <v>2523</v>
          </cell>
          <cell r="J1818">
            <v>0.13123671232876713</v>
          </cell>
        </row>
        <row r="1819">
          <cell r="I1819">
            <v>2524</v>
          </cell>
          <cell r="J1819">
            <v>0.13123863013698631</v>
          </cell>
        </row>
        <row r="1820">
          <cell r="I1820">
            <v>2525</v>
          </cell>
          <cell r="J1820">
            <v>0.13124054794520548</v>
          </cell>
        </row>
        <row r="1821">
          <cell r="I1821">
            <v>2526</v>
          </cell>
          <cell r="J1821">
            <v>0.13124246575342466</v>
          </cell>
        </row>
        <row r="1822">
          <cell r="I1822">
            <v>2527</v>
          </cell>
          <cell r="J1822">
            <v>0.13124438356164383</v>
          </cell>
        </row>
        <row r="1823">
          <cell r="I1823">
            <v>2528</v>
          </cell>
          <cell r="J1823">
            <v>0.13124630136986301</v>
          </cell>
        </row>
        <row r="1824">
          <cell r="I1824">
            <v>2529</v>
          </cell>
          <cell r="J1824">
            <v>0.13124821917808219</v>
          </cell>
        </row>
        <row r="1825">
          <cell r="I1825">
            <v>2530</v>
          </cell>
          <cell r="J1825">
            <v>0.13125013698630136</v>
          </cell>
        </row>
        <row r="1826">
          <cell r="I1826">
            <v>2531</v>
          </cell>
          <cell r="J1826">
            <v>0.13125205479452054</v>
          </cell>
        </row>
        <row r="1827">
          <cell r="I1827">
            <v>2532</v>
          </cell>
          <cell r="J1827">
            <v>0.13125397260273972</v>
          </cell>
        </row>
        <row r="1828">
          <cell r="I1828">
            <v>2533</v>
          </cell>
          <cell r="J1828">
            <v>0.13125589041095889</v>
          </cell>
        </row>
        <row r="1829">
          <cell r="I1829">
            <v>2534</v>
          </cell>
          <cell r="J1829">
            <v>0.13125780821917807</v>
          </cell>
        </row>
        <row r="1830">
          <cell r="I1830">
            <v>2535</v>
          </cell>
          <cell r="J1830">
            <v>0.13125972602739727</v>
          </cell>
        </row>
        <row r="1831">
          <cell r="I1831">
            <v>2536</v>
          </cell>
          <cell r="J1831">
            <v>0.13126164383561645</v>
          </cell>
        </row>
        <row r="1832">
          <cell r="I1832">
            <v>2537</v>
          </cell>
          <cell r="J1832">
            <v>0.13126356164383562</v>
          </cell>
        </row>
        <row r="1833">
          <cell r="I1833">
            <v>2538</v>
          </cell>
          <cell r="J1833">
            <v>0.1312654794520548</v>
          </cell>
        </row>
        <row r="1834">
          <cell r="I1834">
            <v>2539</v>
          </cell>
          <cell r="J1834">
            <v>0.13126739726027398</v>
          </cell>
        </row>
        <row r="1835">
          <cell r="I1835">
            <v>2540</v>
          </cell>
          <cell r="J1835">
            <v>0.13126931506849315</v>
          </cell>
        </row>
        <row r="1836">
          <cell r="I1836">
            <v>2541</v>
          </cell>
          <cell r="J1836">
            <v>0.13127123287671233</v>
          </cell>
        </row>
        <row r="1837">
          <cell r="I1837">
            <v>2542</v>
          </cell>
          <cell r="J1837">
            <v>0.13127315068493151</v>
          </cell>
        </row>
        <row r="1838">
          <cell r="I1838">
            <v>2543</v>
          </cell>
          <cell r="J1838">
            <v>0.13127506849315068</v>
          </cell>
        </row>
        <row r="1839">
          <cell r="I1839">
            <v>2544</v>
          </cell>
          <cell r="J1839">
            <v>0.13127698630136986</v>
          </cell>
        </row>
        <row r="1840">
          <cell r="I1840">
            <v>2545</v>
          </cell>
          <cell r="J1840">
            <v>0.13127890410958903</v>
          </cell>
        </row>
        <row r="1841">
          <cell r="I1841">
            <v>2546</v>
          </cell>
          <cell r="J1841">
            <v>0.13128082191780821</v>
          </cell>
        </row>
        <row r="1842">
          <cell r="I1842">
            <v>2547</v>
          </cell>
          <cell r="J1842">
            <v>0.13128273972602739</v>
          </cell>
        </row>
        <row r="1843">
          <cell r="I1843">
            <v>2548</v>
          </cell>
          <cell r="J1843">
            <v>0.13128465753424656</v>
          </cell>
        </row>
        <row r="1844">
          <cell r="I1844">
            <v>2549</v>
          </cell>
          <cell r="J1844">
            <v>0.13128657534246577</v>
          </cell>
        </row>
        <row r="1845">
          <cell r="I1845">
            <v>2550</v>
          </cell>
          <cell r="J1845">
            <v>0.13128849315068494</v>
          </cell>
        </row>
        <row r="1846">
          <cell r="I1846">
            <v>2551</v>
          </cell>
          <cell r="J1846">
            <v>0.13129041095890412</v>
          </cell>
        </row>
        <row r="1847">
          <cell r="I1847">
            <v>2552</v>
          </cell>
          <cell r="J1847">
            <v>0.1312923287671233</v>
          </cell>
        </row>
        <row r="1848">
          <cell r="I1848">
            <v>2553</v>
          </cell>
          <cell r="J1848">
            <v>0.13129424657534247</v>
          </cell>
        </row>
        <row r="1849">
          <cell r="I1849">
            <v>2554</v>
          </cell>
          <cell r="J1849">
            <v>0.13129616438356165</v>
          </cell>
        </row>
        <row r="1850">
          <cell r="I1850">
            <v>2555</v>
          </cell>
          <cell r="J1850">
            <v>0.13129808219178082</v>
          </cell>
        </row>
        <row r="1851">
          <cell r="I1851">
            <v>2556</v>
          </cell>
          <cell r="J1851">
            <v>0.1313</v>
          </cell>
        </row>
        <row r="1852">
          <cell r="I1852">
            <v>2557</v>
          </cell>
          <cell r="J1852">
            <v>0.1313</v>
          </cell>
        </row>
        <row r="1853">
          <cell r="I1853">
            <v>2558</v>
          </cell>
          <cell r="J1853">
            <v>0.13130136986301369</v>
          </cell>
        </row>
        <row r="1854">
          <cell r="I1854">
            <v>2559</v>
          </cell>
          <cell r="J1854">
            <v>0.13130273972602741</v>
          </cell>
        </row>
        <row r="1855">
          <cell r="I1855">
            <v>2560</v>
          </cell>
          <cell r="J1855">
            <v>0.1313041095890411</v>
          </cell>
        </row>
        <row r="1856">
          <cell r="I1856">
            <v>2561</v>
          </cell>
          <cell r="J1856">
            <v>0.13130547945205479</v>
          </cell>
        </row>
        <row r="1857">
          <cell r="I1857">
            <v>2562</v>
          </cell>
          <cell r="J1857">
            <v>0.1313068493150685</v>
          </cell>
        </row>
        <row r="1858">
          <cell r="I1858">
            <v>2563</v>
          </cell>
          <cell r="J1858">
            <v>0.13130821917808219</v>
          </cell>
        </row>
        <row r="1859">
          <cell r="I1859">
            <v>2564</v>
          </cell>
          <cell r="J1859">
            <v>0.13130958904109588</v>
          </cell>
        </row>
        <row r="1860">
          <cell r="I1860">
            <v>2565</v>
          </cell>
          <cell r="J1860">
            <v>0.1313109589041096</v>
          </cell>
        </row>
        <row r="1861">
          <cell r="I1861">
            <v>2566</v>
          </cell>
          <cell r="J1861">
            <v>0.13131232876712329</v>
          </cell>
        </row>
        <row r="1862">
          <cell r="I1862">
            <v>2567</v>
          </cell>
          <cell r="J1862">
            <v>0.13131369863013698</v>
          </cell>
        </row>
        <row r="1863">
          <cell r="I1863">
            <v>2568</v>
          </cell>
          <cell r="J1863">
            <v>0.13131506849315069</v>
          </cell>
        </row>
        <row r="1864">
          <cell r="I1864">
            <v>2569</v>
          </cell>
          <cell r="J1864">
            <v>0.13131643835616438</v>
          </cell>
        </row>
        <row r="1865">
          <cell r="I1865">
            <v>2570</v>
          </cell>
          <cell r="J1865">
            <v>0.13131780821917807</v>
          </cell>
        </row>
        <row r="1866">
          <cell r="I1866">
            <v>2571</v>
          </cell>
          <cell r="J1866">
            <v>0.13131917808219179</v>
          </cell>
        </row>
        <row r="1867">
          <cell r="I1867">
            <v>2572</v>
          </cell>
          <cell r="J1867">
            <v>0.13132054794520548</v>
          </cell>
        </row>
        <row r="1868">
          <cell r="I1868">
            <v>2573</v>
          </cell>
          <cell r="J1868">
            <v>0.13132191780821917</v>
          </cell>
        </row>
        <row r="1869">
          <cell r="I1869">
            <v>2574</v>
          </cell>
          <cell r="J1869">
            <v>0.13132328767123289</v>
          </cell>
        </row>
        <row r="1870">
          <cell r="I1870">
            <v>2575</v>
          </cell>
          <cell r="J1870">
            <v>0.13132465753424657</v>
          </cell>
        </row>
        <row r="1871">
          <cell r="I1871">
            <v>2576</v>
          </cell>
          <cell r="J1871">
            <v>0.13132602739726026</v>
          </cell>
        </row>
        <row r="1872">
          <cell r="I1872">
            <v>2577</v>
          </cell>
          <cell r="J1872">
            <v>0.13132739726027398</v>
          </cell>
        </row>
        <row r="1873">
          <cell r="I1873">
            <v>2578</v>
          </cell>
          <cell r="J1873">
            <v>0.13132876712328767</v>
          </cell>
        </row>
        <row r="1874">
          <cell r="I1874">
            <v>2579</v>
          </cell>
          <cell r="J1874">
            <v>0.13133013698630136</v>
          </cell>
        </row>
        <row r="1875">
          <cell r="I1875">
            <v>2580</v>
          </cell>
          <cell r="J1875">
            <v>0.13133150684931508</v>
          </cell>
        </row>
        <row r="1876">
          <cell r="I1876">
            <v>2581</v>
          </cell>
          <cell r="J1876">
            <v>0.13133287671232877</v>
          </cell>
        </row>
        <row r="1877">
          <cell r="I1877">
            <v>2582</v>
          </cell>
          <cell r="J1877">
            <v>0.13133424657534246</v>
          </cell>
        </row>
        <row r="1878">
          <cell r="I1878">
            <v>2583</v>
          </cell>
          <cell r="J1878">
            <v>0.13133561643835617</v>
          </cell>
        </row>
        <row r="1879">
          <cell r="I1879">
            <v>2584</v>
          </cell>
          <cell r="J1879">
            <v>0.13133698630136986</v>
          </cell>
        </row>
        <row r="1880">
          <cell r="I1880">
            <v>2585</v>
          </cell>
          <cell r="J1880">
            <v>0.13133835616438355</v>
          </cell>
        </row>
        <row r="1881">
          <cell r="I1881">
            <v>2586</v>
          </cell>
          <cell r="J1881">
            <v>0.13133972602739727</v>
          </cell>
        </row>
        <row r="1882">
          <cell r="I1882">
            <v>2587</v>
          </cell>
          <cell r="J1882">
            <v>0.13134109589041096</v>
          </cell>
        </row>
        <row r="1883">
          <cell r="I1883">
            <v>2588</v>
          </cell>
          <cell r="J1883">
            <v>0.13134246575342465</v>
          </cell>
        </row>
        <row r="1884">
          <cell r="I1884">
            <v>2589</v>
          </cell>
          <cell r="J1884">
            <v>0.13134383561643836</v>
          </cell>
        </row>
        <row r="1885">
          <cell r="I1885">
            <v>2590</v>
          </cell>
          <cell r="J1885">
            <v>0.13134520547945205</v>
          </cell>
        </row>
        <row r="1886">
          <cell r="I1886">
            <v>2591</v>
          </cell>
          <cell r="J1886">
            <v>0.13134657534246574</v>
          </cell>
        </row>
        <row r="1887">
          <cell r="I1887">
            <v>2592</v>
          </cell>
          <cell r="J1887">
            <v>0.13134794520547946</v>
          </cell>
        </row>
        <row r="1888">
          <cell r="I1888">
            <v>2593</v>
          </cell>
          <cell r="J1888">
            <v>0.13134931506849315</v>
          </cell>
        </row>
        <row r="1889">
          <cell r="I1889">
            <v>2594</v>
          </cell>
          <cell r="J1889">
            <v>0.13135068493150684</v>
          </cell>
        </row>
        <row r="1890">
          <cell r="I1890">
            <v>2595</v>
          </cell>
          <cell r="J1890">
            <v>0.13135205479452056</v>
          </cell>
        </row>
        <row r="1891">
          <cell r="I1891">
            <v>2596</v>
          </cell>
          <cell r="J1891">
            <v>0.13135342465753425</v>
          </cell>
        </row>
        <row r="1892">
          <cell r="I1892">
            <v>2597</v>
          </cell>
          <cell r="J1892">
            <v>0.13135479452054794</v>
          </cell>
        </row>
        <row r="1893">
          <cell r="I1893">
            <v>2598</v>
          </cell>
          <cell r="J1893">
            <v>0.13135616438356165</v>
          </cell>
        </row>
        <row r="1894">
          <cell r="I1894">
            <v>2599</v>
          </cell>
          <cell r="J1894">
            <v>0.13135753424657534</v>
          </cell>
        </row>
        <row r="1895">
          <cell r="I1895">
            <v>2600</v>
          </cell>
          <cell r="J1895">
            <v>0.13135890410958903</v>
          </cell>
        </row>
        <row r="1896">
          <cell r="I1896">
            <v>2601</v>
          </cell>
          <cell r="J1896">
            <v>0.13136027397260275</v>
          </cell>
        </row>
        <row r="1897">
          <cell r="I1897">
            <v>2602</v>
          </cell>
          <cell r="J1897">
            <v>0.13136164383561644</v>
          </cell>
        </row>
        <row r="1898">
          <cell r="I1898">
            <v>2603</v>
          </cell>
          <cell r="J1898">
            <v>0.13136301369863013</v>
          </cell>
        </row>
        <row r="1899">
          <cell r="I1899">
            <v>2604</v>
          </cell>
          <cell r="J1899">
            <v>0.13136438356164384</v>
          </cell>
        </row>
        <row r="1900">
          <cell r="I1900">
            <v>2605</v>
          </cell>
          <cell r="J1900">
            <v>0.13136575342465753</v>
          </cell>
        </row>
        <row r="1901">
          <cell r="I1901">
            <v>2606</v>
          </cell>
          <cell r="J1901">
            <v>0.13136712328767122</v>
          </cell>
        </row>
        <row r="1902">
          <cell r="I1902">
            <v>2607</v>
          </cell>
          <cell r="J1902">
            <v>0.13136849315068494</v>
          </cell>
        </row>
        <row r="1903">
          <cell r="I1903">
            <v>2608</v>
          </cell>
          <cell r="J1903">
            <v>0.13136986301369863</v>
          </cell>
        </row>
        <row r="1904">
          <cell r="I1904">
            <v>2609</v>
          </cell>
          <cell r="J1904">
            <v>0.13137123287671232</v>
          </cell>
        </row>
        <row r="1905">
          <cell r="I1905">
            <v>2610</v>
          </cell>
          <cell r="J1905">
            <v>0.13137260273972604</v>
          </cell>
        </row>
        <row r="1906">
          <cell r="I1906">
            <v>2611</v>
          </cell>
          <cell r="J1906">
            <v>0.13137397260273972</v>
          </cell>
        </row>
        <row r="1907">
          <cell r="I1907">
            <v>2612</v>
          </cell>
          <cell r="J1907">
            <v>0.13137534246575341</v>
          </cell>
        </row>
        <row r="1908">
          <cell r="I1908">
            <v>2613</v>
          </cell>
          <cell r="J1908">
            <v>0.13137671232876713</v>
          </cell>
        </row>
        <row r="1909">
          <cell r="I1909">
            <v>2614</v>
          </cell>
          <cell r="J1909">
            <v>0.13137808219178082</v>
          </cell>
        </row>
        <row r="1910">
          <cell r="I1910">
            <v>2615</v>
          </cell>
          <cell r="J1910">
            <v>0.13137945205479451</v>
          </cell>
        </row>
        <row r="1911">
          <cell r="I1911">
            <v>2616</v>
          </cell>
          <cell r="J1911">
            <v>0.13138082191780823</v>
          </cell>
        </row>
        <row r="1912">
          <cell r="I1912">
            <v>2617</v>
          </cell>
          <cell r="J1912">
            <v>0.13138219178082192</v>
          </cell>
        </row>
        <row r="1913">
          <cell r="I1913">
            <v>2618</v>
          </cell>
          <cell r="J1913">
            <v>0.13138356164383561</v>
          </cell>
        </row>
        <row r="1914">
          <cell r="I1914">
            <v>2619</v>
          </cell>
          <cell r="J1914">
            <v>0.13138493150684932</v>
          </cell>
        </row>
        <row r="1915">
          <cell r="I1915">
            <v>2620</v>
          </cell>
          <cell r="J1915">
            <v>0.13138630136986301</v>
          </cell>
        </row>
        <row r="1916">
          <cell r="I1916">
            <v>2621</v>
          </cell>
          <cell r="J1916">
            <v>0.1313876712328767</v>
          </cell>
        </row>
        <row r="1917">
          <cell r="I1917">
            <v>2622</v>
          </cell>
          <cell r="J1917">
            <v>0.13138904109589042</v>
          </cell>
        </row>
        <row r="1918">
          <cell r="I1918">
            <v>2623</v>
          </cell>
          <cell r="J1918">
            <v>0.13139041095890411</v>
          </cell>
        </row>
        <row r="1919">
          <cell r="I1919">
            <v>2624</v>
          </cell>
          <cell r="J1919">
            <v>0.1313917808219178</v>
          </cell>
        </row>
        <row r="1920">
          <cell r="I1920">
            <v>2625</v>
          </cell>
          <cell r="J1920">
            <v>0.13139315068493151</v>
          </cell>
        </row>
        <row r="1921">
          <cell r="I1921">
            <v>2626</v>
          </cell>
          <cell r="J1921">
            <v>0.1313945205479452</v>
          </cell>
        </row>
        <row r="1922">
          <cell r="I1922">
            <v>2627</v>
          </cell>
          <cell r="J1922">
            <v>0.13139589041095889</v>
          </cell>
        </row>
        <row r="1923">
          <cell r="I1923">
            <v>2628</v>
          </cell>
          <cell r="J1923">
            <v>0.13139726027397261</v>
          </cell>
        </row>
        <row r="1924">
          <cell r="I1924">
            <v>2629</v>
          </cell>
          <cell r="J1924">
            <v>0.1313986301369863</v>
          </cell>
        </row>
        <row r="1925">
          <cell r="I1925">
            <v>2630</v>
          </cell>
          <cell r="J1925">
            <v>0.13139999999999999</v>
          </cell>
        </row>
        <row r="1926">
          <cell r="I1926">
            <v>2631</v>
          </cell>
          <cell r="J1926">
            <v>0.13140136986301371</v>
          </cell>
        </row>
        <row r="1927">
          <cell r="I1927">
            <v>2632</v>
          </cell>
          <cell r="J1927">
            <v>0.1314027397260274</v>
          </cell>
        </row>
        <row r="1928">
          <cell r="I1928">
            <v>2633</v>
          </cell>
          <cell r="J1928">
            <v>0.13140410958904108</v>
          </cell>
        </row>
        <row r="1929">
          <cell r="I1929">
            <v>2634</v>
          </cell>
          <cell r="J1929">
            <v>0.1314054794520548</v>
          </cell>
        </row>
        <row r="1930">
          <cell r="I1930">
            <v>2635</v>
          </cell>
          <cell r="J1930">
            <v>0.13140684931506849</v>
          </cell>
        </row>
        <row r="1931">
          <cell r="I1931">
            <v>2636</v>
          </cell>
          <cell r="J1931">
            <v>0.13140821917808218</v>
          </cell>
        </row>
        <row r="1932">
          <cell r="I1932">
            <v>2637</v>
          </cell>
          <cell r="J1932">
            <v>0.1314095890410959</v>
          </cell>
        </row>
        <row r="1933">
          <cell r="I1933">
            <v>2638</v>
          </cell>
          <cell r="J1933">
            <v>0.13141095890410959</v>
          </cell>
        </row>
        <row r="1934">
          <cell r="I1934">
            <v>2639</v>
          </cell>
          <cell r="J1934">
            <v>0.13141232876712328</v>
          </cell>
        </row>
        <row r="1935">
          <cell r="I1935">
            <v>2640</v>
          </cell>
          <cell r="J1935">
            <v>0.13141369863013699</v>
          </cell>
        </row>
        <row r="1936">
          <cell r="I1936">
            <v>2641</v>
          </cell>
          <cell r="J1936">
            <v>0.13141506849315068</v>
          </cell>
        </row>
        <row r="1937">
          <cell r="I1937">
            <v>2642</v>
          </cell>
          <cell r="J1937">
            <v>0.13141643835616437</v>
          </cell>
        </row>
        <row r="1938">
          <cell r="I1938">
            <v>2643</v>
          </cell>
          <cell r="J1938">
            <v>0.13141780821917809</v>
          </cell>
        </row>
        <row r="1939">
          <cell r="I1939">
            <v>2644</v>
          </cell>
          <cell r="J1939">
            <v>0.13141917808219178</v>
          </cell>
        </row>
        <row r="1940">
          <cell r="I1940">
            <v>2645</v>
          </cell>
          <cell r="J1940">
            <v>0.13142054794520547</v>
          </cell>
        </row>
        <row r="1941">
          <cell r="I1941">
            <v>2646</v>
          </cell>
          <cell r="J1941">
            <v>0.13142191780821919</v>
          </cell>
        </row>
        <row r="1942">
          <cell r="I1942">
            <v>2647</v>
          </cell>
          <cell r="J1942">
            <v>0.13142328767123287</v>
          </cell>
        </row>
        <row r="1943">
          <cell r="I1943">
            <v>2648</v>
          </cell>
          <cell r="J1943">
            <v>0.13142465753424656</v>
          </cell>
        </row>
        <row r="1944">
          <cell r="I1944">
            <v>2649</v>
          </cell>
          <cell r="J1944">
            <v>0.13142602739726028</v>
          </cell>
        </row>
        <row r="1945">
          <cell r="I1945">
            <v>2650</v>
          </cell>
          <cell r="J1945">
            <v>0.13142739726027397</v>
          </cell>
        </row>
        <row r="1946">
          <cell r="I1946">
            <v>2651</v>
          </cell>
          <cell r="J1946">
            <v>0.13142876712328766</v>
          </cell>
        </row>
        <row r="1947">
          <cell r="I1947">
            <v>2652</v>
          </cell>
          <cell r="J1947">
            <v>0.13143013698630138</v>
          </cell>
        </row>
        <row r="1948">
          <cell r="I1948">
            <v>2653</v>
          </cell>
          <cell r="J1948">
            <v>0.13143150684931507</v>
          </cell>
        </row>
        <row r="1949">
          <cell r="I1949">
            <v>2654</v>
          </cell>
          <cell r="J1949">
            <v>0.13143287671232876</v>
          </cell>
        </row>
        <row r="1950">
          <cell r="I1950">
            <v>2655</v>
          </cell>
          <cell r="J1950">
            <v>0.13143424657534247</v>
          </cell>
        </row>
        <row r="1951">
          <cell r="I1951">
            <v>2656</v>
          </cell>
          <cell r="J1951">
            <v>0.13143561643835616</v>
          </cell>
        </row>
        <row r="1952">
          <cell r="I1952">
            <v>2657</v>
          </cell>
          <cell r="J1952">
            <v>0.13143698630136985</v>
          </cell>
        </row>
        <row r="1953">
          <cell r="I1953">
            <v>2658</v>
          </cell>
          <cell r="J1953">
            <v>0.13143835616438357</v>
          </cell>
        </row>
        <row r="1954">
          <cell r="I1954">
            <v>2659</v>
          </cell>
          <cell r="J1954">
            <v>0.13143972602739726</v>
          </cell>
        </row>
        <row r="1955">
          <cell r="I1955">
            <v>2660</v>
          </cell>
          <cell r="J1955">
            <v>0.13144109589041095</v>
          </cell>
        </row>
        <row r="1956">
          <cell r="I1956">
            <v>2661</v>
          </cell>
          <cell r="J1956">
            <v>0.13144246575342466</v>
          </cell>
        </row>
        <row r="1957">
          <cell r="I1957">
            <v>2662</v>
          </cell>
          <cell r="J1957">
            <v>0.13144383561643835</v>
          </cell>
        </row>
        <row r="1958">
          <cell r="I1958">
            <v>2663</v>
          </cell>
          <cell r="J1958">
            <v>0.13144520547945204</v>
          </cell>
        </row>
        <row r="1959">
          <cell r="I1959">
            <v>2664</v>
          </cell>
          <cell r="J1959">
            <v>0.13144657534246576</v>
          </cell>
        </row>
        <row r="1960">
          <cell r="I1960">
            <v>2665</v>
          </cell>
          <cell r="J1960">
            <v>0.13144794520547945</v>
          </cell>
        </row>
        <row r="1961">
          <cell r="I1961">
            <v>2666</v>
          </cell>
          <cell r="J1961">
            <v>0.13144931506849314</v>
          </cell>
        </row>
        <row r="1962">
          <cell r="I1962">
            <v>2667</v>
          </cell>
          <cell r="J1962">
            <v>0.13145068493150686</v>
          </cell>
        </row>
        <row r="1963">
          <cell r="I1963">
            <v>2668</v>
          </cell>
          <cell r="J1963">
            <v>0.13145205479452055</v>
          </cell>
        </row>
        <row r="1964">
          <cell r="I1964">
            <v>2669</v>
          </cell>
          <cell r="J1964">
            <v>0.13145342465753423</v>
          </cell>
        </row>
        <row r="1965">
          <cell r="I1965">
            <v>2670</v>
          </cell>
          <cell r="J1965">
            <v>0.13145479452054795</v>
          </cell>
        </row>
        <row r="1966">
          <cell r="I1966">
            <v>2671</v>
          </cell>
          <cell r="J1966">
            <v>0.13145616438356164</v>
          </cell>
        </row>
        <row r="1967">
          <cell r="I1967">
            <v>2672</v>
          </cell>
          <cell r="J1967">
            <v>0.13145753424657533</v>
          </cell>
        </row>
        <row r="1968">
          <cell r="I1968">
            <v>2673</v>
          </cell>
          <cell r="J1968">
            <v>0.13145890410958905</v>
          </cell>
        </row>
        <row r="1969">
          <cell r="I1969">
            <v>2674</v>
          </cell>
          <cell r="J1969">
            <v>0.13146027397260274</v>
          </cell>
        </row>
        <row r="1970">
          <cell r="I1970">
            <v>2675</v>
          </cell>
          <cell r="J1970">
            <v>0.13146164383561643</v>
          </cell>
        </row>
        <row r="1971">
          <cell r="I1971">
            <v>2676</v>
          </cell>
          <cell r="J1971">
            <v>0.13146301369863014</v>
          </cell>
        </row>
        <row r="1972">
          <cell r="I1972">
            <v>2677</v>
          </cell>
          <cell r="J1972">
            <v>0.13146438356164383</v>
          </cell>
        </row>
        <row r="1973">
          <cell r="I1973">
            <v>2678</v>
          </cell>
          <cell r="J1973">
            <v>0.13146575342465752</v>
          </cell>
        </row>
        <row r="1974">
          <cell r="I1974">
            <v>2679</v>
          </cell>
          <cell r="J1974">
            <v>0.13146712328767124</v>
          </cell>
        </row>
        <row r="1975">
          <cell r="I1975">
            <v>2680</v>
          </cell>
          <cell r="J1975">
            <v>0.13146849315068493</v>
          </cell>
        </row>
        <row r="1976">
          <cell r="I1976">
            <v>2681</v>
          </cell>
          <cell r="J1976">
            <v>0.13146986301369862</v>
          </cell>
        </row>
        <row r="1977">
          <cell r="I1977">
            <v>2682</v>
          </cell>
          <cell r="J1977">
            <v>0.13147123287671234</v>
          </cell>
        </row>
        <row r="1978">
          <cell r="I1978">
            <v>2683</v>
          </cell>
          <cell r="J1978">
            <v>0.13147260273972602</v>
          </cell>
        </row>
        <row r="1979">
          <cell r="I1979">
            <v>2684</v>
          </cell>
          <cell r="J1979">
            <v>0.13147397260273971</v>
          </cell>
        </row>
        <row r="1980">
          <cell r="I1980">
            <v>2685</v>
          </cell>
          <cell r="J1980">
            <v>0.13147534246575343</v>
          </cell>
        </row>
        <row r="1981">
          <cell r="I1981">
            <v>2686</v>
          </cell>
          <cell r="J1981">
            <v>0.13147671232876712</v>
          </cell>
        </row>
        <row r="1982">
          <cell r="I1982">
            <v>2687</v>
          </cell>
          <cell r="J1982">
            <v>0.13147808219178081</v>
          </cell>
        </row>
        <row r="1983">
          <cell r="I1983">
            <v>2688</v>
          </cell>
          <cell r="J1983">
            <v>0.13147945205479453</v>
          </cell>
        </row>
        <row r="1984">
          <cell r="I1984">
            <v>2689</v>
          </cell>
          <cell r="J1984">
            <v>0.13148082191780822</v>
          </cell>
        </row>
        <row r="1985">
          <cell r="I1985">
            <v>2690</v>
          </cell>
          <cell r="J1985">
            <v>0.13148219178082191</v>
          </cell>
        </row>
        <row r="1986">
          <cell r="I1986">
            <v>2691</v>
          </cell>
          <cell r="J1986">
            <v>0.13148356164383562</v>
          </cell>
        </row>
        <row r="1987">
          <cell r="I1987">
            <v>2692</v>
          </cell>
          <cell r="J1987">
            <v>0.13148493150684931</v>
          </cell>
        </row>
        <row r="1988">
          <cell r="I1988">
            <v>2693</v>
          </cell>
          <cell r="J1988">
            <v>0.131486301369863</v>
          </cell>
        </row>
        <row r="1989">
          <cell r="I1989">
            <v>2694</v>
          </cell>
          <cell r="J1989">
            <v>0.13148767123287672</v>
          </cell>
        </row>
        <row r="1990">
          <cell r="I1990">
            <v>2695</v>
          </cell>
          <cell r="J1990">
            <v>0.13148904109589041</v>
          </cell>
        </row>
        <row r="1991">
          <cell r="I1991">
            <v>2696</v>
          </cell>
          <cell r="J1991">
            <v>0.1314904109589041</v>
          </cell>
        </row>
        <row r="1992">
          <cell r="I1992">
            <v>2697</v>
          </cell>
          <cell r="J1992">
            <v>0.13149178082191781</v>
          </cell>
        </row>
        <row r="1993">
          <cell r="I1993">
            <v>2698</v>
          </cell>
          <cell r="J1993">
            <v>0.1314931506849315</v>
          </cell>
        </row>
        <row r="1994">
          <cell r="I1994">
            <v>2699</v>
          </cell>
          <cell r="J1994">
            <v>0.13149452054794519</v>
          </cell>
        </row>
        <row r="1995">
          <cell r="I1995">
            <v>2700</v>
          </cell>
          <cell r="J1995">
            <v>0.13149589041095891</v>
          </cell>
        </row>
        <row r="1996">
          <cell r="I1996">
            <v>2701</v>
          </cell>
          <cell r="J1996">
            <v>0.1314972602739726</v>
          </cell>
        </row>
        <row r="1997">
          <cell r="I1997">
            <v>2702</v>
          </cell>
          <cell r="J1997">
            <v>0.13149863013698629</v>
          </cell>
        </row>
        <row r="1998">
          <cell r="I1998">
            <v>2703</v>
          </cell>
          <cell r="J1998">
            <v>0.13150000000000001</v>
          </cell>
        </row>
        <row r="1999">
          <cell r="I1999">
            <v>2704</v>
          </cell>
          <cell r="J1999">
            <v>0.1315013698630137</v>
          </cell>
        </row>
        <row r="2000">
          <cell r="I2000">
            <v>2705</v>
          </cell>
          <cell r="J2000">
            <v>0.13150273972602738</v>
          </cell>
        </row>
        <row r="2001">
          <cell r="I2001">
            <v>2706</v>
          </cell>
          <cell r="J2001">
            <v>0.1315041095890411</v>
          </cell>
        </row>
        <row r="2002">
          <cell r="I2002">
            <v>2707</v>
          </cell>
          <cell r="J2002">
            <v>0.13150547945205479</v>
          </cell>
        </row>
        <row r="2003">
          <cell r="I2003">
            <v>2708</v>
          </cell>
          <cell r="J2003">
            <v>0.13150684931506848</v>
          </cell>
        </row>
        <row r="2004">
          <cell r="I2004">
            <v>2709</v>
          </cell>
          <cell r="J2004">
            <v>0.1315082191780822</v>
          </cell>
        </row>
        <row r="2005">
          <cell r="I2005">
            <v>2710</v>
          </cell>
          <cell r="J2005">
            <v>0.13150958904109589</v>
          </cell>
        </row>
        <row r="2006">
          <cell r="I2006">
            <v>2711</v>
          </cell>
          <cell r="J2006">
            <v>0.13151095890410958</v>
          </cell>
        </row>
        <row r="2007">
          <cell r="I2007">
            <v>2712</v>
          </cell>
          <cell r="J2007">
            <v>0.13151232876712329</v>
          </cell>
        </row>
        <row r="2008">
          <cell r="I2008">
            <v>2713</v>
          </cell>
          <cell r="J2008">
            <v>0.13151369863013698</v>
          </cell>
        </row>
        <row r="2009">
          <cell r="I2009">
            <v>2714</v>
          </cell>
          <cell r="J2009">
            <v>0.13151506849315067</v>
          </cell>
        </row>
        <row r="2010">
          <cell r="I2010">
            <v>2715</v>
          </cell>
          <cell r="J2010">
            <v>0.13151643835616439</v>
          </cell>
        </row>
        <row r="2011">
          <cell r="I2011">
            <v>2716</v>
          </cell>
          <cell r="J2011">
            <v>0.13151780821917808</v>
          </cell>
        </row>
        <row r="2012">
          <cell r="I2012">
            <v>2717</v>
          </cell>
          <cell r="J2012">
            <v>0.13151917808219177</v>
          </cell>
        </row>
        <row r="2013">
          <cell r="I2013">
            <v>2718</v>
          </cell>
          <cell r="J2013">
            <v>0.13152054794520548</v>
          </cell>
        </row>
        <row r="2014">
          <cell r="I2014">
            <v>2719</v>
          </cell>
          <cell r="J2014">
            <v>0.13152191780821917</v>
          </cell>
        </row>
        <row r="2015">
          <cell r="I2015">
            <v>2720</v>
          </cell>
          <cell r="J2015">
            <v>0.13152328767123286</v>
          </cell>
        </row>
        <row r="2016">
          <cell r="I2016">
            <v>2721</v>
          </cell>
          <cell r="J2016">
            <v>0.13152465753424658</v>
          </cell>
        </row>
        <row r="2017">
          <cell r="I2017">
            <v>2722</v>
          </cell>
          <cell r="J2017">
            <v>0.13152602739726027</v>
          </cell>
        </row>
        <row r="2018">
          <cell r="I2018">
            <v>2723</v>
          </cell>
          <cell r="J2018">
            <v>0.13152739726027396</v>
          </cell>
        </row>
        <row r="2019">
          <cell r="I2019">
            <v>2724</v>
          </cell>
          <cell r="J2019">
            <v>0.13152876712328768</v>
          </cell>
        </row>
        <row r="2020">
          <cell r="I2020">
            <v>2725</v>
          </cell>
          <cell r="J2020">
            <v>0.13153013698630137</v>
          </cell>
        </row>
        <row r="2021">
          <cell r="I2021">
            <v>2726</v>
          </cell>
          <cell r="J2021">
            <v>0.13153150684931506</v>
          </cell>
        </row>
        <row r="2022">
          <cell r="I2022">
            <v>2727</v>
          </cell>
          <cell r="J2022">
            <v>0.13153287671232877</v>
          </cell>
        </row>
        <row r="2023">
          <cell r="I2023">
            <v>2728</v>
          </cell>
          <cell r="J2023">
            <v>0.13153424657534246</v>
          </cell>
        </row>
        <row r="2024">
          <cell r="I2024">
            <v>2729</v>
          </cell>
          <cell r="J2024">
            <v>0.13153561643835615</v>
          </cell>
        </row>
        <row r="2025">
          <cell r="I2025">
            <v>2730</v>
          </cell>
          <cell r="J2025">
            <v>0.13153698630136987</v>
          </cell>
        </row>
        <row r="2026">
          <cell r="I2026">
            <v>2731</v>
          </cell>
          <cell r="J2026">
            <v>0.13153835616438356</v>
          </cell>
        </row>
        <row r="2027">
          <cell r="I2027">
            <v>2732</v>
          </cell>
          <cell r="J2027">
            <v>0.13153972602739725</v>
          </cell>
        </row>
        <row r="2028">
          <cell r="I2028">
            <v>2733</v>
          </cell>
          <cell r="J2028">
            <v>0.13154109589041096</v>
          </cell>
        </row>
        <row r="2029">
          <cell r="I2029">
            <v>2734</v>
          </cell>
          <cell r="J2029">
            <v>0.13154246575342465</v>
          </cell>
        </row>
        <row r="2030">
          <cell r="I2030">
            <v>2735</v>
          </cell>
          <cell r="J2030">
            <v>0.13154383561643834</v>
          </cell>
        </row>
        <row r="2031">
          <cell r="I2031">
            <v>2736</v>
          </cell>
          <cell r="J2031">
            <v>0.13154520547945206</v>
          </cell>
        </row>
        <row r="2032">
          <cell r="I2032">
            <v>2737</v>
          </cell>
          <cell r="J2032">
            <v>0.13154657534246575</v>
          </cell>
        </row>
        <row r="2033">
          <cell r="I2033">
            <v>2738</v>
          </cell>
          <cell r="J2033">
            <v>0.13154794520547944</v>
          </cell>
        </row>
        <row r="2034">
          <cell r="I2034">
            <v>2739</v>
          </cell>
          <cell r="J2034">
            <v>0.13154931506849316</v>
          </cell>
        </row>
        <row r="2035">
          <cell r="I2035">
            <v>2740</v>
          </cell>
          <cell r="J2035">
            <v>0.13155068493150684</v>
          </cell>
        </row>
        <row r="2036">
          <cell r="I2036">
            <v>2741</v>
          </cell>
          <cell r="J2036">
            <v>0.13155205479452056</v>
          </cell>
        </row>
        <row r="2037">
          <cell r="I2037">
            <v>2742</v>
          </cell>
          <cell r="J2037">
            <v>0.13155342465753425</v>
          </cell>
        </row>
        <row r="2038">
          <cell r="I2038">
            <v>2743</v>
          </cell>
          <cell r="J2038">
            <v>0.13155479452054794</v>
          </cell>
        </row>
        <row r="2039">
          <cell r="I2039">
            <v>2744</v>
          </cell>
          <cell r="J2039">
            <v>0.13155616438356166</v>
          </cell>
        </row>
        <row r="2040">
          <cell r="I2040">
            <v>2745</v>
          </cell>
          <cell r="J2040">
            <v>0.13155753424657535</v>
          </cell>
        </row>
        <row r="2041">
          <cell r="I2041">
            <v>2746</v>
          </cell>
          <cell r="J2041">
            <v>0.13155890410958904</v>
          </cell>
        </row>
        <row r="2042">
          <cell r="I2042">
            <v>2747</v>
          </cell>
          <cell r="J2042">
            <v>0.13156027397260275</v>
          </cell>
        </row>
        <row r="2043">
          <cell r="I2043">
            <v>2748</v>
          </cell>
          <cell r="J2043">
            <v>0.13156164383561644</v>
          </cell>
        </row>
        <row r="2044">
          <cell r="I2044">
            <v>2749</v>
          </cell>
          <cell r="J2044">
            <v>0.13156301369863013</v>
          </cell>
        </row>
        <row r="2045">
          <cell r="I2045">
            <v>2750</v>
          </cell>
          <cell r="J2045">
            <v>0.13156438356164385</v>
          </cell>
        </row>
        <row r="2046">
          <cell r="I2046">
            <v>2751</v>
          </cell>
          <cell r="J2046">
            <v>0.13156575342465754</v>
          </cell>
        </row>
        <row r="2047">
          <cell r="I2047">
            <v>2752</v>
          </cell>
          <cell r="J2047">
            <v>0.13156712328767123</v>
          </cell>
        </row>
        <row r="2048">
          <cell r="I2048">
            <v>2753</v>
          </cell>
          <cell r="J2048">
            <v>0.13156849315068495</v>
          </cell>
        </row>
        <row r="2049">
          <cell r="I2049">
            <v>2754</v>
          </cell>
          <cell r="J2049">
            <v>0.13156986301369863</v>
          </cell>
        </row>
        <row r="2050">
          <cell r="I2050">
            <v>2755</v>
          </cell>
          <cell r="J2050">
            <v>0.13157123287671232</v>
          </cell>
        </row>
        <row r="2051">
          <cell r="I2051">
            <v>2756</v>
          </cell>
          <cell r="J2051">
            <v>0.13157260273972604</v>
          </cell>
        </row>
        <row r="2052">
          <cell r="I2052">
            <v>2757</v>
          </cell>
          <cell r="J2052">
            <v>0.13157397260273973</v>
          </cell>
        </row>
        <row r="2053">
          <cell r="I2053">
            <v>2758</v>
          </cell>
          <cell r="J2053">
            <v>0.13157534246575342</v>
          </cell>
        </row>
        <row r="2054">
          <cell r="I2054">
            <v>2759</v>
          </cell>
          <cell r="J2054">
            <v>0.13157671232876714</v>
          </cell>
        </row>
        <row r="2055">
          <cell r="I2055">
            <v>2760</v>
          </cell>
          <cell r="J2055">
            <v>0.13157808219178083</v>
          </cell>
        </row>
        <row r="2056">
          <cell r="I2056">
            <v>2761</v>
          </cell>
          <cell r="J2056">
            <v>0.13157945205479452</v>
          </cell>
        </row>
        <row r="2057">
          <cell r="I2057">
            <v>2762</v>
          </cell>
          <cell r="J2057">
            <v>0.13158082191780823</v>
          </cell>
        </row>
        <row r="2058">
          <cell r="I2058">
            <v>2763</v>
          </cell>
          <cell r="J2058">
            <v>0.13158219178082192</v>
          </cell>
        </row>
        <row r="2059">
          <cell r="I2059">
            <v>2764</v>
          </cell>
          <cell r="J2059">
            <v>0.13158356164383561</v>
          </cell>
        </row>
        <row r="2060">
          <cell r="I2060">
            <v>2765</v>
          </cell>
          <cell r="J2060">
            <v>0.13158493150684933</v>
          </cell>
        </row>
        <row r="2061">
          <cell r="I2061">
            <v>2766</v>
          </cell>
          <cell r="J2061">
            <v>0.13158630136986302</v>
          </cell>
        </row>
        <row r="2062">
          <cell r="I2062">
            <v>2767</v>
          </cell>
          <cell r="J2062">
            <v>0.13158767123287671</v>
          </cell>
        </row>
        <row r="2063">
          <cell r="I2063">
            <v>2768</v>
          </cell>
          <cell r="J2063">
            <v>0.13158904109589042</v>
          </cell>
        </row>
        <row r="2064">
          <cell r="I2064">
            <v>2769</v>
          </cell>
          <cell r="J2064">
            <v>0.13159041095890411</v>
          </cell>
        </row>
        <row r="2065">
          <cell r="I2065">
            <v>2770</v>
          </cell>
          <cell r="J2065">
            <v>0.1315917808219178</v>
          </cell>
        </row>
        <row r="2066">
          <cell r="I2066">
            <v>2771</v>
          </cell>
          <cell r="J2066">
            <v>0.13159315068493152</v>
          </cell>
        </row>
        <row r="2067">
          <cell r="I2067">
            <v>2772</v>
          </cell>
          <cell r="J2067">
            <v>0.13159452054794521</v>
          </cell>
        </row>
        <row r="2068">
          <cell r="I2068">
            <v>2773</v>
          </cell>
          <cell r="J2068">
            <v>0.1315958904109589</v>
          </cell>
        </row>
        <row r="2069">
          <cell r="I2069">
            <v>2774</v>
          </cell>
          <cell r="J2069">
            <v>0.13159726027397262</v>
          </cell>
        </row>
        <row r="2070">
          <cell r="I2070">
            <v>2775</v>
          </cell>
          <cell r="J2070">
            <v>0.13159863013698631</v>
          </cell>
        </row>
        <row r="2071">
          <cell r="I2071">
            <v>2776</v>
          </cell>
          <cell r="J2071">
            <v>0.13159999999999999</v>
          </cell>
        </row>
        <row r="2072">
          <cell r="I2072">
            <v>2777</v>
          </cell>
          <cell r="J2072">
            <v>0.13160136986301371</v>
          </cell>
        </row>
        <row r="2073">
          <cell r="I2073">
            <v>2778</v>
          </cell>
          <cell r="J2073">
            <v>0.1316027397260274</v>
          </cell>
        </row>
        <row r="2074">
          <cell r="I2074">
            <v>2779</v>
          </cell>
          <cell r="J2074">
            <v>0.13160410958904109</v>
          </cell>
        </row>
        <row r="2075">
          <cell r="I2075">
            <v>2780</v>
          </cell>
          <cell r="J2075">
            <v>0.13160547945205481</v>
          </cell>
        </row>
        <row r="2076">
          <cell r="I2076">
            <v>2781</v>
          </cell>
          <cell r="J2076">
            <v>0.1316068493150685</v>
          </cell>
        </row>
        <row r="2077">
          <cell r="I2077">
            <v>2782</v>
          </cell>
          <cell r="J2077">
            <v>0.13160821917808219</v>
          </cell>
        </row>
        <row r="2078">
          <cell r="I2078">
            <v>2783</v>
          </cell>
          <cell r="J2078">
            <v>0.1316095890410959</v>
          </cell>
        </row>
        <row r="2079">
          <cell r="I2079">
            <v>2784</v>
          </cell>
          <cell r="J2079">
            <v>0.13161095890410959</v>
          </cell>
        </row>
        <row r="2080">
          <cell r="I2080">
            <v>2785</v>
          </cell>
          <cell r="J2080">
            <v>0.13161232876712328</v>
          </cell>
        </row>
        <row r="2081">
          <cell r="I2081">
            <v>2786</v>
          </cell>
          <cell r="J2081">
            <v>0.131613698630137</v>
          </cell>
        </row>
        <row r="2082">
          <cell r="I2082">
            <v>2787</v>
          </cell>
          <cell r="J2082">
            <v>0.13161506849315069</v>
          </cell>
        </row>
        <row r="2083">
          <cell r="I2083">
            <v>2788</v>
          </cell>
          <cell r="J2083">
            <v>0.13161643835616438</v>
          </cell>
        </row>
        <row r="2084">
          <cell r="I2084">
            <v>2789</v>
          </cell>
          <cell r="J2084">
            <v>0.1316178082191781</v>
          </cell>
        </row>
        <row r="2085">
          <cell r="I2085">
            <v>2790</v>
          </cell>
          <cell r="J2085">
            <v>0.13161917808219178</v>
          </cell>
        </row>
        <row r="2086">
          <cell r="I2086">
            <v>2791</v>
          </cell>
          <cell r="J2086">
            <v>0.13162054794520547</v>
          </cell>
        </row>
        <row r="2087">
          <cell r="I2087">
            <v>2792</v>
          </cell>
          <cell r="J2087">
            <v>0.13162191780821919</v>
          </cell>
        </row>
        <row r="2088">
          <cell r="I2088">
            <v>2793</v>
          </cell>
          <cell r="J2088">
            <v>0.13162328767123288</v>
          </cell>
        </row>
        <row r="2089">
          <cell r="I2089">
            <v>2794</v>
          </cell>
          <cell r="J2089">
            <v>0.13162465753424657</v>
          </cell>
        </row>
        <row r="2090">
          <cell r="I2090">
            <v>2795</v>
          </cell>
          <cell r="J2090">
            <v>0.13162602739726029</v>
          </cell>
        </row>
        <row r="2091">
          <cell r="I2091">
            <v>2796</v>
          </cell>
          <cell r="J2091">
            <v>0.13162739726027398</v>
          </cell>
        </row>
        <row r="2092">
          <cell r="I2092">
            <v>2797</v>
          </cell>
          <cell r="J2092">
            <v>0.13162876712328767</v>
          </cell>
        </row>
        <row r="2093">
          <cell r="I2093">
            <v>2798</v>
          </cell>
          <cell r="J2093">
            <v>0.13163013698630138</v>
          </cell>
        </row>
        <row r="2094">
          <cell r="I2094">
            <v>2799</v>
          </cell>
          <cell r="J2094">
            <v>0.13163150684931507</v>
          </cell>
        </row>
        <row r="2095">
          <cell r="I2095">
            <v>2800</v>
          </cell>
          <cell r="J2095">
            <v>0.13163287671232876</v>
          </cell>
        </row>
        <row r="2096">
          <cell r="I2096">
            <v>2801</v>
          </cell>
          <cell r="J2096">
            <v>0.13163424657534248</v>
          </cell>
        </row>
        <row r="2097">
          <cell r="I2097">
            <v>2802</v>
          </cell>
          <cell r="J2097">
            <v>0.13163561643835617</v>
          </cell>
        </row>
        <row r="2098">
          <cell r="I2098">
            <v>2803</v>
          </cell>
          <cell r="J2098">
            <v>0.13163698630136986</v>
          </cell>
        </row>
        <row r="2099">
          <cell r="I2099">
            <v>2804</v>
          </cell>
          <cell r="J2099">
            <v>0.13163835616438357</v>
          </cell>
        </row>
        <row r="2100">
          <cell r="I2100">
            <v>2805</v>
          </cell>
          <cell r="J2100">
            <v>0.13163972602739726</v>
          </cell>
        </row>
        <row r="2101">
          <cell r="I2101">
            <v>2806</v>
          </cell>
          <cell r="J2101">
            <v>0.13164109589041095</v>
          </cell>
        </row>
        <row r="2102">
          <cell r="I2102">
            <v>2807</v>
          </cell>
          <cell r="J2102">
            <v>0.13164246575342467</v>
          </cell>
        </row>
        <row r="2103">
          <cell r="I2103">
            <v>2808</v>
          </cell>
          <cell r="J2103">
            <v>0.13164383561643836</v>
          </cell>
        </row>
        <row r="2104">
          <cell r="I2104">
            <v>2809</v>
          </cell>
          <cell r="J2104">
            <v>0.13164520547945205</v>
          </cell>
        </row>
        <row r="2105">
          <cell r="I2105">
            <v>2810</v>
          </cell>
          <cell r="J2105">
            <v>0.13164657534246577</v>
          </cell>
        </row>
        <row r="2106">
          <cell r="I2106">
            <v>2811</v>
          </cell>
          <cell r="J2106">
            <v>0.13164794520547946</v>
          </cell>
        </row>
        <row r="2107">
          <cell r="I2107">
            <v>2812</v>
          </cell>
          <cell r="J2107">
            <v>0.13164931506849314</v>
          </cell>
        </row>
        <row r="2108">
          <cell r="I2108">
            <v>2813</v>
          </cell>
          <cell r="J2108">
            <v>0.13165068493150686</v>
          </cell>
        </row>
        <row r="2109">
          <cell r="I2109">
            <v>2814</v>
          </cell>
          <cell r="J2109">
            <v>0.13165205479452055</v>
          </cell>
        </row>
        <row r="2110">
          <cell r="I2110">
            <v>2815</v>
          </cell>
          <cell r="J2110">
            <v>0.13165342465753424</v>
          </cell>
        </row>
        <row r="2111">
          <cell r="I2111">
            <v>2816</v>
          </cell>
          <cell r="J2111">
            <v>0.13165479452054796</v>
          </cell>
        </row>
        <row r="2112">
          <cell r="I2112">
            <v>2817</v>
          </cell>
          <cell r="J2112">
            <v>0.13165616438356165</v>
          </cell>
        </row>
        <row r="2113">
          <cell r="I2113">
            <v>2818</v>
          </cell>
          <cell r="J2113">
            <v>0.13165753424657534</v>
          </cell>
        </row>
        <row r="2114">
          <cell r="I2114">
            <v>2819</v>
          </cell>
          <cell r="J2114">
            <v>0.13165890410958905</v>
          </cell>
        </row>
        <row r="2115">
          <cell r="I2115">
            <v>2820</v>
          </cell>
          <cell r="J2115">
            <v>0.13166027397260274</v>
          </cell>
        </row>
        <row r="2116">
          <cell r="I2116">
            <v>2821</v>
          </cell>
          <cell r="J2116">
            <v>0.13166164383561643</v>
          </cell>
        </row>
        <row r="2117">
          <cell r="I2117">
            <v>2822</v>
          </cell>
          <cell r="J2117">
            <v>0.13166301369863015</v>
          </cell>
        </row>
        <row r="2118">
          <cell r="I2118">
            <v>2823</v>
          </cell>
          <cell r="J2118">
            <v>0.13166438356164384</v>
          </cell>
        </row>
        <row r="2119">
          <cell r="I2119">
            <v>2824</v>
          </cell>
          <cell r="J2119">
            <v>0.13166575342465753</v>
          </cell>
        </row>
        <row r="2120">
          <cell r="I2120">
            <v>2825</v>
          </cell>
          <cell r="J2120">
            <v>0.13166712328767124</v>
          </cell>
        </row>
        <row r="2121">
          <cell r="I2121">
            <v>2826</v>
          </cell>
          <cell r="J2121">
            <v>0.13166849315068493</v>
          </cell>
        </row>
        <row r="2122">
          <cell r="I2122">
            <v>2827</v>
          </cell>
          <cell r="J2122">
            <v>0.13166986301369862</v>
          </cell>
        </row>
        <row r="2123">
          <cell r="I2123">
            <v>2828</v>
          </cell>
          <cell r="J2123">
            <v>0.13167123287671234</v>
          </cell>
        </row>
        <row r="2124">
          <cell r="I2124">
            <v>2829</v>
          </cell>
          <cell r="J2124">
            <v>0.13167260273972603</v>
          </cell>
        </row>
        <row r="2125">
          <cell r="I2125">
            <v>2830</v>
          </cell>
          <cell r="J2125">
            <v>0.13167397260273972</v>
          </cell>
        </row>
        <row r="2126">
          <cell r="I2126">
            <v>2831</v>
          </cell>
          <cell r="J2126">
            <v>0.13167534246575344</v>
          </cell>
        </row>
        <row r="2127">
          <cell r="I2127">
            <v>2832</v>
          </cell>
          <cell r="J2127">
            <v>0.13167671232876713</v>
          </cell>
        </row>
        <row r="2128">
          <cell r="I2128">
            <v>2833</v>
          </cell>
          <cell r="J2128">
            <v>0.13167808219178082</v>
          </cell>
        </row>
        <row r="2129">
          <cell r="I2129">
            <v>2834</v>
          </cell>
          <cell r="J2129">
            <v>0.13167945205479453</v>
          </cell>
        </row>
        <row r="2130">
          <cell r="I2130">
            <v>2835</v>
          </cell>
          <cell r="J2130">
            <v>0.13168082191780822</v>
          </cell>
        </row>
        <row r="2131">
          <cell r="I2131">
            <v>2836</v>
          </cell>
          <cell r="J2131">
            <v>0.13168219178082191</v>
          </cell>
        </row>
        <row r="2132">
          <cell r="I2132">
            <v>2837</v>
          </cell>
          <cell r="J2132">
            <v>0.13168356164383563</v>
          </cell>
        </row>
        <row r="2133">
          <cell r="I2133">
            <v>2838</v>
          </cell>
          <cell r="J2133">
            <v>0.13168493150684932</v>
          </cell>
        </row>
        <row r="2134">
          <cell r="I2134">
            <v>2839</v>
          </cell>
          <cell r="J2134">
            <v>0.13168630136986301</v>
          </cell>
        </row>
        <row r="2135">
          <cell r="I2135">
            <v>2840</v>
          </cell>
          <cell r="J2135">
            <v>0.13168767123287672</v>
          </cell>
        </row>
        <row r="2136">
          <cell r="I2136">
            <v>2841</v>
          </cell>
          <cell r="J2136">
            <v>0.13168904109589041</v>
          </cell>
        </row>
        <row r="2137">
          <cell r="I2137">
            <v>2842</v>
          </cell>
          <cell r="J2137">
            <v>0.1316904109589041</v>
          </cell>
        </row>
        <row r="2138">
          <cell r="I2138">
            <v>2843</v>
          </cell>
          <cell r="J2138">
            <v>0.13169178082191782</v>
          </cell>
        </row>
        <row r="2139">
          <cell r="I2139">
            <v>2844</v>
          </cell>
          <cell r="J2139">
            <v>0.13169315068493151</v>
          </cell>
        </row>
        <row r="2140">
          <cell r="I2140">
            <v>2845</v>
          </cell>
          <cell r="J2140">
            <v>0.1316945205479452</v>
          </cell>
        </row>
        <row r="2141">
          <cell r="I2141">
            <v>2846</v>
          </cell>
          <cell r="J2141">
            <v>0.13169589041095892</v>
          </cell>
        </row>
        <row r="2142">
          <cell r="I2142">
            <v>2847</v>
          </cell>
          <cell r="J2142">
            <v>0.13169726027397261</v>
          </cell>
        </row>
        <row r="2143">
          <cell r="I2143">
            <v>2848</v>
          </cell>
          <cell r="J2143">
            <v>0.13169863013698629</v>
          </cell>
        </row>
        <row r="2144">
          <cell r="I2144">
            <v>2849</v>
          </cell>
          <cell r="J2144">
            <v>0.13170000000000001</v>
          </cell>
        </row>
        <row r="2145">
          <cell r="I2145">
            <v>2850</v>
          </cell>
          <cell r="J2145">
            <v>0.1317013698630137</v>
          </cell>
        </row>
        <row r="2146">
          <cell r="I2146">
            <v>2851</v>
          </cell>
          <cell r="J2146">
            <v>0.13170273972602739</v>
          </cell>
        </row>
        <row r="2147">
          <cell r="I2147">
            <v>2852</v>
          </cell>
          <cell r="J2147">
            <v>0.13170410958904111</v>
          </cell>
        </row>
        <row r="2148">
          <cell r="I2148">
            <v>2853</v>
          </cell>
          <cell r="J2148">
            <v>0.1317054794520548</v>
          </cell>
        </row>
        <row r="2149">
          <cell r="I2149">
            <v>2854</v>
          </cell>
          <cell r="J2149">
            <v>0.13170684931506849</v>
          </cell>
        </row>
        <row r="2150">
          <cell r="I2150">
            <v>2855</v>
          </cell>
          <cell r="J2150">
            <v>0.1317082191780822</v>
          </cell>
        </row>
        <row r="2151">
          <cell r="I2151">
            <v>2856</v>
          </cell>
          <cell r="J2151">
            <v>0.13170958904109589</v>
          </cell>
        </row>
        <row r="2152">
          <cell r="I2152">
            <v>2857</v>
          </cell>
          <cell r="J2152">
            <v>0.13171095890410958</v>
          </cell>
        </row>
        <row r="2153">
          <cell r="I2153">
            <v>2858</v>
          </cell>
          <cell r="J2153">
            <v>0.1317123287671233</v>
          </cell>
        </row>
        <row r="2154">
          <cell r="I2154">
            <v>2859</v>
          </cell>
          <cell r="J2154">
            <v>0.13171369863013699</v>
          </cell>
        </row>
        <row r="2155">
          <cell r="I2155">
            <v>2860</v>
          </cell>
          <cell r="J2155">
            <v>0.13171506849315068</v>
          </cell>
        </row>
        <row r="2156">
          <cell r="I2156">
            <v>2861</v>
          </cell>
          <cell r="J2156">
            <v>0.13171643835616439</v>
          </cell>
        </row>
        <row r="2157">
          <cell r="I2157">
            <v>2862</v>
          </cell>
          <cell r="J2157">
            <v>0.13171780821917808</v>
          </cell>
        </row>
        <row r="2158">
          <cell r="I2158">
            <v>2863</v>
          </cell>
          <cell r="J2158">
            <v>0.13171917808219177</v>
          </cell>
        </row>
        <row r="2159">
          <cell r="I2159">
            <v>2864</v>
          </cell>
          <cell r="J2159">
            <v>0.13172054794520549</v>
          </cell>
        </row>
        <row r="2160">
          <cell r="I2160">
            <v>2865</v>
          </cell>
          <cell r="J2160">
            <v>0.13172191780821918</v>
          </cell>
        </row>
        <row r="2161">
          <cell r="I2161">
            <v>2866</v>
          </cell>
          <cell r="J2161">
            <v>0.13172328767123287</v>
          </cell>
        </row>
        <row r="2162">
          <cell r="I2162">
            <v>2867</v>
          </cell>
          <cell r="J2162">
            <v>0.13172465753424659</v>
          </cell>
        </row>
        <row r="2163">
          <cell r="I2163">
            <v>2868</v>
          </cell>
          <cell r="J2163">
            <v>0.13172602739726028</v>
          </cell>
        </row>
        <row r="2164">
          <cell r="I2164">
            <v>2869</v>
          </cell>
          <cell r="J2164">
            <v>0.13172739726027397</v>
          </cell>
        </row>
        <row r="2165">
          <cell r="I2165">
            <v>2870</v>
          </cell>
          <cell r="J2165">
            <v>0.13172876712328768</v>
          </cell>
        </row>
        <row r="2166">
          <cell r="I2166">
            <v>2871</v>
          </cell>
          <cell r="J2166">
            <v>0.13173013698630137</v>
          </cell>
        </row>
        <row r="2167">
          <cell r="I2167">
            <v>2872</v>
          </cell>
          <cell r="J2167">
            <v>0.13173150684931506</v>
          </cell>
        </row>
        <row r="2168">
          <cell r="I2168">
            <v>2873</v>
          </cell>
          <cell r="J2168">
            <v>0.13173287671232878</v>
          </cell>
        </row>
        <row r="2169">
          <cell r="I2169">
            <v>2874</v>
          </cell>
          <cell r="J2169">
            <v>0.13173424657534247</v>
          </cell>
        </row>
        <row r="2170">
          <cell r="I2170">
            <v>2875</v>
          </cell>
          <cell r="J2170">
            <v>0.13173561643835616</v>
          </cell>
        </row>
        <row r="2171">
          <cell r="I2171">
            <v>2876</v>
          </cell>
          <cell r="J2171">
            <v>0.13173698630136987</v>
          </cell>
        </row>
        <row r="2172">
          <cell r="I2172">
            <v>2877</v>
          </cell>
          <cell r="J2172">
            <v>0.13173835616438356</v>
          </cell>
        </row>
        <row r="2173">
          <cell r="I2173">
            <v>2878</v>
          </cell>
          <cell r="J2173">
            <v>0.13173972602739725</v>
          </cell>
        </row>
        <row r="2174">
          <cell r="I2174">
            <v>2879</v>
          </cell>
          <cell r="J2174">
            <v>0.13174109589041097</v>
          </cell>
        </row>
        <row r="2175">
          <cell r="I2175">
            <v>2880</v>
          </cell>
          <cell r="J2175">
            <v>0.13174246575342466</v>
          </cell>
        </row>
        <row r="2176">
          <cell r="I2176">
            <v>2881</v>
          </cell>
          <cell r="J2176">
            <v>0.13174383561643835</v>
          </cell>
        </row>
        <row r="2177">
          <cell r="I2177">
            <v>2882</v>
          </cell>
          <cell r="J2177">
            <v>0.13174520547945207</v>
          </cell>
        </row>
        <row r="2178">
          <cell r="I2178">
            <v>2883</v>
          </cell>
          <cell r="J2178">
            <v>0.13174657534246575</v>
          </cell>
        </row>
        <row r="2179">
          <cell r="I2179">
            <v>2884</v>
          </cell>
          <cell r="J2179">
            <v>0.13174794520547944</v>
          </cell>
        </row>
        <row r="2180">
          <cell r="I2180">
            <v>2885</v>
          </cell>
          <cell r="J2180">
            <v>0.13174931506849316</v>
          </cell>
        </row>
        <row r="2181">
          <cell r="I2181">
            <v>2886</v>
          </cell>
          <cell r="J2181">
            <v>0.13175068493150685</v>
          </cell>
        </row>
        <row r="2182">
          <cell r="I2182">
            <v>2887</v>
          </cell>
          <cell r="J2182">
            <v>0.13175205479452054</v>
          </cell>
        </row>
        <row r="2183">
          <cell r="I2183">
            <v>2888</v>
          </cell>
          <cell r="J2183">
            <v>0.13175342465753426</v>
          </cell>
        </row>
        <row r="2184">
          <cell r="I2184">
            <v>2889</v>
          </cell>
          <cell r="J2184">
            <v>0.13175479452054795</v>
          </cell>
        </row>
        <row r="2185">
          <cell r="I2185">
            <v>2890</v>
          </cell>
          <cell r="J2185">
            <v>0.13175616438356164</v>
          </cell>
        </row>
        <row r="2186">
          <cell r="I2186">
            <v>2891</v>
          </cell>
          <cell r="J2186">
            <v>0.13175753424657535</v>
          </cell>
        </row>
        <row r="2187">
          <cell r="I2187">
            <v>2892</v>
          </cell>
          <cell r="J2187">
            <v>0.13175890410958904</v>
          </cell>
        </row>
        <row r="2188">
          <cell r="I2188">
            <v>2893</v>
          </cell>
          <cell r="J2188">
            <v>0.13176027397260273</v>
          </cell>
        </row>
        <row r="2189">
          <cell r="I2189">
            <v>2894</v>
          </cell>
          <cell r="J2189">
            <v>0.13176164383561645</v>
          </cell>
        </row>
        <row r="2190">
          <cell r="I2190">
            <v>2895</v>
          </cell>
          <cell r="J2190">
            <v>0.13176301369863014</v>
          </cell>
        </row>
        <row r="2191">
          <cell r="I2191">
            <v>2896</v>
          </cell>
          <cell r="J2191">
            <v>0.13176438356164383</v>
          </cell>
        </row>
        <row r="2192">
          <cell r="I2192">
            <v>2897</v>
          </cell>
          <cell r="J2192">
            <v>0.13176575342465754</v>
          </cell>
        </row>
        <row r="2193">
          <cell r="I2193">
            <v>2898</v>
          </cell>
          <cell r="J2193">
            <v>0.13176712328767123</v>
          </cell>
        </row>
        <row r="2194">
          <cell r="I2194">
            <v>2899</v>
          </cell>
          <cell r="J2194">
            <v>0.13176849315068492</v>
          </cell>
        </row>
        <row r="2195">
          <cell r="I2195">
            <v>2900</v>
          </cell>
          <cell r="J2195">
            <v>0.13176986301369864</v>
          </cell>
        </row>
        <row r="2196">
          <cell r="I2196">
            <v>2901</v>
          </cell>
          <cell r="J2196">
            <v>0.13177123287671233</v>
          </cell>
        </row>
        <row r="2197">
          <cell r="I2197">
            <v>2902</v>
          </cell>
          <cell r="J2197">
            <v>0.13177260273972602</v>
          </cell>
        </row>
        <row r="2198">
          <cell r="I2198">
            <v>2903</v>
          </cell>
          <cell r="J2198">
            <v>0.13177397260273974</v>
          </cell>
        </row>
        <row r="2199">
          <cell r="I2199">
            <v>2904</v>
          </cell>
          <cell r="J2199">
            <v>0.13177534246575343</v>
          </cell>
        </row>
        <row r="2200">
          <cell r="I2200">
            <v>2905</v>
          </cell>
          <cell r="J2200">
            <v>0.13177671232876711</v>
          </cell>
        </row>
        <row r="2201">
          <cell r="I2201">
            <v>2906</v>
          </cell>
          <cell r="J2201">
            <v>0.13177808219178083</v>
          </cell>
        </row>
        <row r="2202">
          <cell r="I2202">
            <v>2907</v>
          </cell>
          <cell r="J2202">
            <v>0.13177945205479452</v>
          </cell>
        </row>
        <row r="2203">
          <cell r="I2203">
            <v>2908</v>
          </cell>
          <cell r="J2203">
            <v>0.13178082191780821</v>
          </cell>
        </row>
        <row r="2204">
          <cell r="I2204">
            <v>2909</v>
          </cell>
          <cell r="J2204">
            <v>0.13178219178082193</v>
          </cell>
        </row>
        <row r="2205">
          <cell r="I2205">
            <v>2910</v>
          </cell>
          <cell r="J2205">
            <v>0.13178356164383562</v>
          </cell>
        </row>
        <row r="2206">
          <cell r="I2206">
            <v>2911</v>
          </cell>
          <cell r="J2206">
            <v>0.13178493150684931</v>
          </cell>
        </row>
        <row r="2207">
          <cell r="I2207">
            <v>2912</v>
          </cell>
          <cell r="J2207">
            <v>0.13178630136986302</v>
          </cell>
        </row>
        <row r="2208">
          <cell r="I2208">
            <v>2913</v>
          </cell>
          <cell r="J2208">
            <v>0.13178767123287671</v>
          </cell>
        </row>
        <row r="2209">
          <cell r="I2209">
            <v>2914</v>
          </cell>
          <cell r="J2209">
            <v>0.1317890410958904</v>
          </cell>
        </row>
        <row r="2210">
          <cell r="I2210">
            <v>2915</v>
          </cell>
          <cell r="J2210">
            <v>0.13179041095890412</v>
          </cell>
        </row>
        <row r="2211">
          <cell r="I2211">
            <v>2916</v>
          </cell>
          <cell r="J2211">
            <v>0.13179178082191781</v>
          </cell>
        </row>
        <row r="2212">
          <cell r="I2212">
            <v>2917</v>
          </cell>
          <cell r="J2212">
            <v>0.1317931506849315</v>
          </cell>
        </row>
        <row r="2213">
          <cell r="I2213">
            <v>2918</v>
          </cell>
          <cell r="J2213">
            <v>0.13179452054794522</v>
          </cell>
        </row>
        <row r="2214">
          <cell r="I2214">
            <v>2919</v>
          </cell>
          <cell r="J2214">
            <v>0.1317958904109589</v>
          </cell>
        </row>
        <row r="2215">
          <cell r="I2215">
            <v>2920</v>
          </cell>
          <cell r="J2215">
            <v>0.13179726027397259</v>
          </cell>
        </row>
        <row r="2216">
          <cell r="I2216">
            <v>2921</v>
          </cell>
          <cell r="J2216">
            <v>0.13179863013698631</v>
          </cell>
        </row>
        <row r="2217">
          <cell r="I2217">
            <v>2922</v>
          </cell>
          <cell r="J2217">
            <v>0.1318</v>
          </cell>
        </row>
        <row r="2218">
          <cell r="I2218">
            <v>2923</v>
          </cell>
          <cell r="J2218">
            <v>0.13180136986301369</v>
          </cell>
        </row>
        <row r="2219">
          <cell r="I2219">
            <v>2924</v>
          </cell>
          <cell r="J2219">
            <v>0.13180273972602741</v>
          </cell>
        </row>
        <row r="2220">
          <cell r="I2220">
            <v>2925</v>
          </cell>
          <cell r="J2220">
            <v>0.1318041095890411</v>
          </cell>
        </row>
        <row r="2221">
          <cell r="I2221">
            <v>2926</v>
          </cell>
          <cell r="J2221">
            <v>0.13180547945205479</v>
          </cell>
        </row>
        <row r="2222">
          <cell r="I2222">
            <v>2927</v>
          </cell>
          <cell r="J2222">
            <v>0.1318068493150685</v>
          </cell>
        </row>
        <row r="2223">
          <cell r="I2223">
            <v>2928</v>
          </cell>
          <cell r="J2223">
            <v>0.13180821917808219</v>
          </cell>
        </row>
        <row r="2224">
          <cell r="I2224">
            <v>2929</v>
          </cell>
          <cell r="J2224">
            <v>0.13180958904109588</v>
          </cell>
        </row>
        <row r="2225">
          <cell r="I2225">
            <v>2930</v>
          </cell>
          <cell r="J2225">
            <v>0.1318109589041096</v>
          </cell>
        </row>
        <row r="2226">
          <cell r="I2226">
            <v>2931</v>
          </cell>
          <cell r="J2226">
            <v>0.13181232876712329</v>
          </cell>
        </row>
        <row r="2227">
          <cell r="I2227">
            <v>2932</v>
          </cell>
          <cell r="J2227">
            <v>0.13181369863013698</v>
          </cell>
        </row>
        <row r="2228">
          <cell r="I2228">
            <v>2933</v>
          </cell>
          <cell r="J2228">
            <v>0.13181506849315069</v>
          </cell>
        </row>
        <row r="2229">
          <cell r="I2229">
            <v>2934</v>
          </cell>
          <cell r="J2229">
            <v>0.13181643835616438</v>
          </cell>
        </row>
        <row r="2230">
          <cell r="I2230">
            <v>2935</v>
          </cell>
          <cell r="J2230">
            <v>0.13181780821917807</v>
          </cell>
        </row>
        <row r="2231">
          <cell r="I2231">
            <v>2936</v>
          </cell>
          <cell r="J2231">
            <v>0.13181917808219179</v>
          </cell>
        </row>
        <row r="2232">
          <cell r="I2232">
            <v>2937</v>
          </cell>
          <cell r="J2232">
            <v>0.13182054794520548</v>
          </cell>
        </row>
        <row r="2233">
          <cell r="I2233">
            <v>2938</v>
          </cell>
          <cell r="J2233">
            <v>0.13182191780821917</v>
          </cell>
        </row>
        <row r="2234">
          <cell r="I2234">
            <v>2939</v>
          </cell>
          <cell r="J2234">
            <v>0.13182328767123289</v>
          </cell>
        </row>
        <row r="2235">
          <cell r="I2235">
            <v>2940</v>
          </cell>
          <cell r="J2235">
            <v>0.13182465753424658</v>
          </cell>
        </row>
        <row r="2236">
          <cell r="I2236">
            <v>2941</v>
          </cell>
          <cell r="J2236">
            <v>0.13182602739726026</v>
          </cell>
        </row>
        <row r="2237">
          <cell r="I2237">
            <v>2942</v>
          </cell>
          <cell r="J2237">
            <v>0.13182739726027398</v>
          </cell>
        </row>
        <row r="2238">
          <cell r="I2238">
            <v>2943</v>
          </cell>
          <cell r="J2238">
            <v>0.13182876712328767</v>
          </cell>
        </row>
        <row r="2239">
          <cell r="I2239">
            <v>2944</v>
          </cell>
          <cell r="J2239">
            <v>0.13183013698630136</v>
          </cell>
        </row>
        <row r="2240">
          <cell r="I2240">
            <v>2945</v>
          </cell>
          <cell r="J2240">
            <v>0.13183150684931508</v>
          </cell>
        </row>
        <row r="2241">
          <cell r="I2241">
            <v>2946</v>
          </cell>
          <cell r="J2241">
            <v>0.13183287671232877</v>
          </cell>
        </row>
        <row r="2242">
          <cell r="I2242">
            <v>2947</v>
          </cell>
          <cell r="J2242">
            <v>0.13183424657534246</v>
          </cell>
        </row>
        <row r="2243">
          <cell r="I2243">
            <v>2948</v>
          </cell>
          <cell r="J2243">
            <v>0.13183561643835617</v>
          </cell>
        </row>
        <row r="2244">
          <cell r="I2244">
            <v>2949</v>
          </cell>
          <cell r="J2244">
            <v>0.13183698630136986</v>
          </cell>
        </row>
        <row r="2245">
          <cell r="I2245">
            <v>2950</v>
          </cell>
          <cell r="J2245">
            <v>0.13183835616438355</v>
          </cell>
        </row>
        <row r="2246">
          <cell r="I2246">
            <v>2951</v>
          </cell>
          <cell r="J2246">
            <v>0.13183972602739727</v>
          </cell>
        </row>
        <row r="2247">
          <cell r="I2247">
            <v>2952</v>
          </cell>
          <cell r="J2247">
            <v>0.13184109589041096</v>
          </cell>
        </row>
        <row r="2248">
          <cell r="I2248">
            <v>2953</v>
          </cell>
          <cell r="J2248">
            <v>0.13184246575342465</v>
          </cell>
        </row>
        <row r="2249">
          <cell r="I2249">
            <v>2954</v>
          </cell>
          <cell r="J2249">
            <v>0.13184383561643837</v>
          </cell>
        </row>
        <row r="2250">
          <cell r="I2250">
            <v>2955</v>
          </cell>
          <cell r="J2250">
            <v>0.13184520547945205</v>
          </cell>
        </row>
        <row r="2251">
          <cell r="I2251">
            <v>2956</v>
          </cell>
          <cell r="J2251">
            <v>0.13184657534246574</v>
          </cell>
        </row>
        <row r="2252">
          <cell r="I2252">
            <v>2957</v>
          </cell>
          <cell r="J2252">
            <v>0.13184794520547946</v>
          </cell>
        </row>
        <row r="2253">
          <cell r="I2253">
            <v>2958</v>
          </cell>
          <cell r="J2253">
            <v>0.13184931506849315</v>
          </cell>
        </row>
        <row r="2254">
          <cell r="I2254">
            <v>2959</v>
          </cell>
          <cell r="J2254">
            <v>0.13185068493150684</v>
          </cell>
        </row>
        <row r="2255">
          <cell r="I2255">
            <v>2960</v>
          </cell>
          <cell r="J2255">
            <v>0.13185205479452056</v>
          </cell>
        </row>
        <row r="2256">
          <cell r="I2256">
            <v>2961</v>
          </cell>
          <cell r="J2256">
            <v>0.13185342465753425</v>
          </cell>
        </row>
        <row r="2257">
          <cell r="I2257">
            <v>2962</v>
          </cell>
          <cell r="J2257">
            <v>0.13185479452054794</v>
          </cell>
        </row>
        <row r="2258">
          <cell r="I2258">
            <v>2963</v>
          </cell>
          <cell r="J2258">
            <v>0.13185616438356165</v>
          </cell>
        </row>
        <row r="2259">
          <cell r="I2259">
            <v>2964</v>
          </cell>
          <cell r="J2259">
            <v>0.13185753424657534</v>
          </cell>
        </row>
        <row r="2260">
          <cell r="I2260">
            <v>2965</v>
          </cell>
          <cell r="J2260">
            <v>0.13185890410958903</v>
          </cell>
        </row>
        <row r="2261">
          <cell r="I2261">
            <v>2966</v>
          </cell>
          <cell r="J2261">
            <v>0.13186027397260275</v>
          </cell>
        </row>
        <row r="2262">
          <cell r="I2262">
            <v>2967</v>
          </cell>
          <cell r="J2262">
            <v>0.13186164383561644</v>
          </cell>
        </row>
        <row r="2263">
          <cell r="I2263">
            <v>2968</v>
          </cell>
          <cell r="J2263">
            <v>0.13186301369863013</v>
          </cell>
        </row>
        <row r="2264">
          <cell r="I2264">
            <v>2969</v>
          </cell>
          <cell r="J2264">
            <v>0.13186438356164384</v>
          </cell>
        </row>
        <row r="2265">
          <cell r="I2265">
            <v>2970</v>
          </cell>
          <cell r="J2265">
            <v>0.13186575342465753</v>
          </cell>
        </row>
        <row r="2266">
          <cell r="I2266">
            <v>2971</v>
          </cell>
          <cell r="J2266">
            <v>0.13186712328767122</v>
          </cell>
        </row>
        <row r="2267">
          <cell r="I2267">
            <v>2972</v>
          </cell>
          <cell r="J2267">
            <v>0.13186849315068494</v>
          </cell>
        </row>
        <row r="2268">
          <cell r="I2268">
            <v>2973</v>
          </cell>
          <cell r="J2268">
            <v>0.13186986301369863</v>
          </cell>
        </row>
        <row r="2269">
          <cell r="I2269">
            <v>2974</v>
          </cell>
          <cell r="J2269">
            <v>0.13187123287671232</v>
          </cell>
        </row>
        <row r="2270">
          <cell r="I2270">
            <v>2975</v>
          </cell>
          <cell r="J2270">
            <v>0.13187260273972604</v>
          </cell>
        </row>
        <row r="2271">
          <cell r="I2271">
            <v>2976</v>
          </cell>
          <cell r="J2271">
            <v>0.13187397260273973</v>
          </cell>
        </row>
        <row r="2272">
          <cell r="I2272">
            <v>2977</v>
          </cell>
          <cell r="J2272">
            <v>0.13187534246575341</v>
          </cell>
        </row>
        <row r="2273">
          <cell r="I2273">
            <v>2978</v>
          </cell>
          <cell r="J2273">
            <v>0.13187671232876713</v>
          </cell>
        </row>
        <row r="2274">
          <cell r="I2274">
            <v>2979</v>
          </cell>
          <cell r="J2274">
            <v>0.13187808219178082</v>
          </cell>
        </row>
        <row r="2275">
          <cell r="I2275">
            <v>2980</v>
          </cell>
          <cell r="J2275">
            <v>0.13187945205479451</v>
          </cell>
        </row>
        <row r="2276">
          <cell r="I2276">
            <v>2981</v>
          </cell>
          <cell r="J2276">
            <v>0.13188082191780823</v>
          </cell>
        </row>
        <row r="2277">
          <cell r="I2277">
            <v>2982</v>
          </cell>
          <cell r="J2277">
            <v>0.13188219178082192</v>
          </cell>
        </row>
        <row r="2278">
          <cell r="I2278">
            <v>2983</v>
          </cell>
          <cell r="J2278">
            <v>0.13188356164383561</v>
          </cell>
        </row>
        <row r="2279">
          <cell r="I2279">
            <v>2984</v>
          </cell>
          <cell r="J2279">
            <v>0.13188493150684932</v>
          </cell>
        </row>
        <row r="2280">
          <cell r="I2280">
            <v>2985</v>
          </cell>
          <cell r="J2280">
            <v>0.13188630136986301</v>
          </cell>
        </row>
        <row r="2281">
          <cell r="I2281">
            <v>2986</v>
          </cell>
          <cell r="J2281">
            <v>0.1318876712328767</v>
          </cell>
        </row>
        <row r="2282">
          <cell r="I2282">
            <v>2987</v>
          </cell>
          <cell r="J2282">
            <v>0.13188904109589042</v>
          </cell>
        </row>
        <row r="2283">
          <cell r="I2283">
            <v>2988</v>
          </cell>
          <cell r="J2283">
            <v>0.13189041095890411</v>
          </cell>
        </row>
        <row r="2284">
          <cell r="I2284">
            <v>2989</v>
          </cell>
          <cell r="J2284">
            <v>0.1318917808219178</v>
          </cell>
        </row>
        <row r="2285">
          <cell r="I2285">
            <v>2990</v>
          </cell>
          <cell r="J2285">
            <v>0.13189315068493151</v>
          </cell>
        </row>
        <row r="2286">
          <cell r="I2286">
            <v>2991</v>
          </cell>
          <cell r="J2286">
            <v>0.1318945205479452</v>
          </cell>
        </row>
        <row r="2287">
          <cell r="I2287">
            <v>2992</v>
          </cell>
          <cell r="J2287">
            <v>0.13189589041095889</v>
          </cell>
        </row>
        <row r="2288">
          <cell r="I2288">
            <v>2993</v>
          </cell>
          <cell r="J2288">
            <v>0.13189726027397261</v>
          </cell>
        </row>
        <row r="2289">
          <cell r="I2289">
            <v>2994</v>
          </cell>
          <cell r="J2289">
            <v>0.1318986301369863</v>
          </cell>
        </row>
        <row r="2290">
          <cell r="I2290">
            <v>2995</v>
          </cell>
          <cell r="J2290">
            <v>0.13189999999999999</v>
          </cell>
        </row>
        <row r="2291">
          <cell r="I2291">
            <v>2996</v>
          </cell>
          <cell r="J2291">
            <v>0.13190136986301371</v>
          </cell>
        </row>
        <row r="2292">
          <cell r="I2292">
            <v>2997</v>
          </cell>
          <cell r="J2292">
            <v>0.1319027397260274</v>
          </cell>
        </row>
        <row r="2293">
          <cell r="I2293">
            <v>2998</v>
          </cell>
          <cell r="J2293">
            <v>0.13190410958904109</v>
          </cell>
        </row>
        <row r="2294">
          <cell r="I2294">
            <v>2999</v>
          </cell>
          <cell r="J2294">
            <v>0.1319054794520548</v>
          </cell>
        </row>
        <row r="2295">
          <cell r="I2295">
            <v>3000</v>
          </cell>
          <cell r="J2295">
            <v>0.13190684931506849</v>
          </cell>
        </row>
        <row r="2296">
          <cell r="I2296">
            <v>3001</v>
          </cell>
          <cell r="J2296">
            <v>0.13190821917808218</v>
          </cell>
        </row>
        <row r="2297">
          <cell r="I2297">
            <v>3002</v>
          </cell>
          <cell r="J2297">
            <v>0.1319095890410959</v>
          </cell>
        </row>
        <row r="2298">
          <cell r="I2298">
            <v>3003</v>
          </cell>
          <cell r="J2298">
            <v>0.13191095890410959</v>
          </cell>
        </row>
        <row r="2299">
          <cell r="I2299">
            <v>3004</v>
          </cell>
          <cell r="J2299">
            <v>0.13191232876712328</v>
          </cell>
        </row>
        <row r="2300">
          <cell r="I2300">
            <v>3005</v>
          </cell>
          <cell r="J2300">
            <v>0.13191369863013699</v>
          </cell>
        </row>
        <row r="2301">
          <cell r="I2301">
            <v>3006</v>
          </cell>
          <cell r="J2301">
            <v>0.13191506849315068</v>
          </cell>
        </row>
        <row r="2302">
          <cell r="I2302">
            <v>3007</v>
          </cell>
          <cell r="J2302">
            <v>0.13191643835616437</v>
          </cell>
        </row>
        <row r="2303">
          <cell r="I2303">
            <v>3008</v>
          </cell>
          <cell r="J2303">
            <v>0.13191780821917809</v>
          </cell>
        </row>
        <row r="2304">
          <cell r="I2304">
            <v>3009</v>
          </cell>
          <cell r="J2304">
            <v>0.13191917808219178</v>
          </cell>
        </row>
        <row r="2305">
          <cell r="I2305">
            <v>3010</v>
          </cell>
          <cell r="J2305">
            <v>0.13192054794520547</v>
          </cell>
        </row>
        <row r="2306">
          <cell r="I2306">
            <v>3011</v>
          </cell>
          <cell r="J2306">
            <v>0.13192191780821919</v>
          </cell>
        </row>
        <row r="2307">
          <cell r="I2307">
            <v>3012</v>
          </cell>
          <cell r="J2307">
            <v>0.13192328767123288</v>
          </cell>
        </row>
        <row r="2308">
          <cell r="I2308">
            <v>3013</v>
          </cell>
          <cell r="J2308">
            <v>0.13192465753424656</v>
          </cell>
        </row>
        <row r="2309">
          <cell r="I2309">
            <v>3014</v>
          </cell>
          <cell r="J2309">
            <v>0.13192602739726028</v>
          </cell>
        </row>
        <row r="2310">
          <cell r="I2310">
            <v>3015</v>
          </cell>
          <cell r="J2310">
            <v>0.13192739726027397</v>
          </cell>
        </row>
        <row r="2311">
          <cell r="I2311">
            <v>3016</v>
          </cell>
          <cell r="J2311">
            <v>0.13192876712328766</v>
          </cell>
        </row>
        <row r="2312">
          <cell r="I2312">
            <v>3017</v>
          </cell>
          <cell r="J2312">
            <v>0.13193013698630138</v>
          </cell>
        </row>
        <row r="2313">
          <cell r="I2313">
            <v>3018</v>
          </cell>
          <cell r="J2313">
            <v>0.13193150684931507</v>
          </cell>
        </row>
        <row r="2314">
          <cell r="I2314">
            <v>3019</v>
          </cell>
          <cell r="J2314">
            <v>0.13193287671232876</v>
          </cell>
        </row>
        <row r="2315">
          <cell r="I2315">
            <v>3020</v>
          </cell>
          <cell r="J2315">
            <v>0.13193424657534247</v>
          </cell>
        </row>
        <row r="2316">
          <cell r="I2316">
            <v>3021</v>
          </cell>
          <cell r="J2316">
            <v>0.13193561643835616</v>
          </cell>
        </row>
        <row r="2317">
          <cell r="I2317">
            <v>3022</v>
          </cell>
          <cell r="J2317">
            <v>0.13193698630136985</v>
          </cell>
        </row>
        <row r="2318">
          <cell r="I2318">
            <v>3023</v>
          </cell>
          <cell r="J2318">
            <v>0.13193835616438357</v>
          </cell>
        </row>
        <row r="2319">
          <cell r="I2319">
            <v>3024</v>
          </cell>
          <cell r="J2319">
            <v>0.13193972602739726</v>
          </cell>
        </row>
        <row r="2320">
          <cell r="I2320">
            <v>3025</v>
          </cell>
          <cell r="J2320">
            <v>0.13194109589041095</v>
          </cell>
        </row>
        <row r="2321">
          <cell r="I2321">
            <v>3026</v>
          </cell>
          <cell r="J2321">
            <v>0.13194246575342466</v>
          </cell>
        </row>
        <row r="2322">
          <cell r="I2322">
            <v>3027</v>
          </cell>
          <cell r="J2322">
            <v>0.13194383561643835</v>
          </cell>
        </row>
        <row r="2323">
          <cell r="I2323">
            <v>3028</v>
          </cell>
          <cell r="J2323">
            <v>0.13194520547945204</v>
          </cell>
        </row>
        <row r="2324">
          <cell r="I2324">
            <v>3029</v>
          </cell>
          <cell r="J2324">
            <v>0.13194657534246576</v>
          </cell>
        </row>
        <row r="2325">
          <cell r="I2325">
            <v>3030</v>
          </cell>
          <cell r="J2325">
            <v>0.13194794520547945</v>
          </cell>
        </row>
        <row r="2326">
          <cell r="I2326">
            <v>3031</v>
          </cell>
          <cell r="J2326">
            <v>0.13194931506849314</v>
          </cell>
        </row>
        <row r="2327">
          <cell r="I2327">
            <v>3032</v>
          </cell>
          <cell r="J2327">
            <v>0.13195068493150686</v>
          </cell>
        </row>
        <row r="2328">
          <cell r="I2328">
            <v>3033</v>
          </cell>
          <cell r="J2328">
            <v>0.13195205479452055</v>
          </cell>
        </row>
        <row r="2329">
          <cell r="I2329">
            <v>3034</v>
          </cell>
          <cell r="J2329">
            <v>0.13195342465753424</v>
          </cell>
        </row>
        <row r="2330">
          <cell r="I2330">
            <v>3035</v>
          </cell>
          <cell r="J2330">
            <v>0.13195479452054795</v>
          </cell>
        </row>
        <row r="2331">
          <cell r="I2331">
            <v>3036</v>
          </cell>
          <cell r="J2331">
            <v>0.13195616438356164</v>
          </cell>
        </row>
        <row r="2332">
          <cell r="I2332">
            <v>3037</v>
          </cell>
          <cell r="J2332">
            <v>0.13195753424657533</v>
          </cell>
        </row>
        <row r="2333">
          <cell r="I2333">
            <v>3038</v>
          </cell>
          <cell r="J2333">
            <v>0.13195890410958905</v>
          </cell>
        </row>
        <row r="2334">
          <cell r="I2334">
            <v>3039</v>
          </cell>
          <cell r="J2334">
            <v>0.13196027397260274</v>
          </cell>
        </row>
        <row r="2335">
          <cell r="I2335">
            <v>3040</v>
          </cell>
          <cell r="J2335">
            <v>0.13196164383561643</v>
          </cell>
        </row>
        <row r="2336">
          <cell r="I2336">
            <v>3041</v>
          </cell>
          <cell r="J2336">
            <v>0.13196301369863014</v>
          </cell>
        </row>
        <row r="2337">
          <cell r="I2337">
            <v>3042</v>
          </cell>
          <cell r="J2337">
            <v>0.13196438356164383</v>
          </cell>
        </row>
        <row r="2338">
          <cell r="I2338">
            <v>3043</v>
          </cell>
          <cell r="J2338">
            <v>0.13196575342465752</v>
          </cell>
        </row>
        <row r="2339">
          <cell r="I2339">
            <v>3044</v>
          </cell>
          <cell r="J2339">
            <v>0.13196712328767124</v>
          </cell>
        </row>
        <row r="2340">
          <cell r="I2340">
            <v>3045</v>
          </cell>
          <cell r="J2340">
            <v>0.13196849315068493</v>
          </cell>
        </row>
        <row r="2341">
          <cell r="I2341">
            <v>3046</v>
          </cell>
          <cell r="J2341">
            <v>0.13196986301369862</v>
          </cell>
        </row>
        <row r="2342">
          <cell r="I2342">
            <v>3047</v>
          </cell>
          <cell r="J2342">
            <v>0.13197123287671234</v>
          </cell>
        </row>
        <row r="2343">
          <cell r="I2343">
            <v>3048</v>
          </cell>
          <cell r="J2343">
            <v>0.13197260273972602</v>
          </cell>
        </row>
        <row r="2344">
          <cell r="I2344">
            <v>3049</v>
          </cell>
          <cell r="J2344">
            <v>0.13197397260273971</v>
          </cell>
        </row>
        <row r="2345">
          <cell r="I2345">
            <v>3050</v>
          </cell>
          <cell r="J2345">
            <v>0.13197534246575343</v>
          </cell>
        </row>
        <row r="2346">
          <cell r="I2346">
            <v>3051</v>
          </cell>
          <cell r="J2346">
            <v>0.13197671232876712</v>
          </cell>
        </row>
        <row r="2347">
          <cell r="I2347">
            <v>3052</v>
          </cell>
          <cell r="J2347">
            <v>0.13197808219178081</v>
          </cell>
        </row>
        <row r="2348">
          <cell r="I2348">
            <v>3053</v>
          </cell>
          <cell r="J2348">
            <v>0.13197945205479453</v>
          </cell>
        </row>
        <row r="2349">
          <cell r="I2349">
            <v>3054</v>
          </cell>
          <cell r="J2349">
            <v>0.13198082191780822</v>
          </cell>
        </row>
        <row r="2350">
          <cell r="I2350">
            <v>3055</v>
          </cell>
          <cell r="J2350">
            <v>0.13198219178082191</v>
          </cell>
        </row>
        <row r="2351">
          <cell r="I2351">
            <v>3056</v>
          </cell>
          <cell r="J2351">
            <v>0.13198356164383562</v>
          </cell>
        </row>
        <row r="2352">
          <cell r="I2352">
            <v>3057</v>
          </cell>
          <cell r="J2352">
            <v>0.13198493150684931</v>
          </cell>
        </row>
        <row r="2353">
          <cell r="I2353">
            <v>3058</v>
          </cell>
          <cell r="J2353">
            <v>0.131986301369863</v>
          </cell>
        </row>
        <row r="2354">
          <cell r="I2354">
            <v>3059</v>
          </cell>
          <cell r="J2354">
            <v>0.13198767123287672</v>
          </cell>
        </row>
        <row r="2355">
          <cell r="I2355">
            <v>3060</v>
          </cell>
          <cell r="J2355">
            <v>0.13198904109589041</v>
          </cell>
        </row>
        <row r="2356">
          <cell r="I2356">
            <v>3061</v>
          </cell>
          <cell r="J2356">
            <v>0.1319904109589041</v>
          </cell>
        </row>
        <row r="2357">
          <cell r="I2357">
            <v>3062</v>
          </cell>
          <cell r="J2357">
            <v>0.13199178082191781</v>
          </cell>
        </row>
        <row r="2358">
          <cell r="I2358">
            <v>3063</v>
          </cell>
          <cell r="J2358">
            <v>0.1319931506849315</v>
          </cell>
        </row>
        <row r="2359">
          <cell r="I2359">
            <v>3064</v>
          </cell>
          <cell r="J2359">
            <v>0.13199452054794519</v>
          </cell>
        </row>
        <row r="2360">
          <cell r="I2360">
            <v>3065</v>
          </cell>
          <cell r="J2360">
            <v>0.13199589041095891</v>
          </cell>
        </row>
        <row r="2361">
          <cell r="I2361">
            <v>3066</v>
          </cell>
          <cell r="J2361">
            <v>0.1319972602739726</v>
          </cell>
        </row>
        <row r="2362">
          <cell r="I2362">
            <v>3067</v>
          </cell>
          <cell r="J2362">
            <v>0.13199863013698629</v>
          </cell>
        </row>
        <row r="2363">
          <cell r="I2363">
            <v>3068</v>
          </cell>
          <cell r="J2363">
            <v>0.13200000000000001</v>
          </cell>
        </row>
        <row r="2364">
          <cell r="I2364">
            <v>3069</v>
          </cell>
          <cell r="J2364">
            <v>0.1320013698630137</v>
          </cell>
        </row>
        <row r="2365">
          <cell r="I2365">
            <v>3070</v>
          </cell>
          <cell r="J2365">
            <v>0.13200273972602738</v>
          </cell>
        </row>
        <row r="2366">
          <cell r="I2366">
            <v>3071</v>
          </cell>
          <cell r="J2366">
            <v>0.1320041095890411</v>
          </cell>
        </row>
        <row r="2367">
          <cell r="I2367">
            <v>3072</v>
          </cell>
          <cell r="J2367">
            <v>0.13200547945205479</v>
          </cell>
        </row>
        <row r="2368">
          <cell r="I2368">
            <v>3073</v>
          </cell>
          <cell r="J2368">
            <v>0.13200684931506848</v>
          </cell>
        </row>
        <row r="2369">
          <cell r="I2369">
            <v>3074</v>
          </cell>
          <cell r="J2369">
            <v>0.1320082191780822</v>
          </cell>
        </row>
        <row r="2370">
          <cell r="I2370">
            <v>3075</v>
          </cell>
          <cell r="J2370">
            <v>0.13200958904109589</v>
          </cell>
        </row>
        <row r="2371">
          <cell r="I2371">
            <v>3076</v>
          </cell>
          <cell r="J2371">
            <v>0.13201095890410958</v>
          </cell>
        </row>
        <row r="2372">
          <cell r="I2372">
            <v>3077</v>
          </cell>
          <cell r="J2372">
            <v>0.13201232876712329</v>
          </cell>
        </row>
        <row r="2373">
          <cell r="I2373">
            <v>3078</v>
          </cell>
          <cell r="J2373">
            <v>0.13201369863013698</v>
          </cell>
        </row>
        <row r="2374">
          <cell r="I2374">
            <v>3079</v>
          </cell>
          <cell r="J2374">
            <v>0.13201506849315067</v>
          </cell>
        </row>
        <row r="2375">
          <cell r="I2375">
            <v>3080</v>
          </cell>
          <cell r="J2375">
            <v>0.13201643835616439</v>
          </cell>
        </row>
        <row r="2376">
          <cell r="I2376">
            <v>3081</v>
          </cell>
          <cell r="J2376">
            <v>0.13201780821917808</v>
          </cell>
        </row>
        <row r="2377">
          <cell r="I2377">
            <v>3082</v>
          </cell>
          <cell r="J2377">
            <v>0.13201917808219177</v>
          </cell>
        </row>
        <row r="2378">
          <cell r="I2378">
            <v>3083</v>
          </cell>
          <cell r="J2378">
            <v>0.13202054794520549</v>
          </cell>
        </row>
        <row r="2379">
          <cell r="I2379">
            <v>3084</v>
          </cell>
          <cell r="J2379">
            <v>0.13202191780821917</v>
          </cell>
        </row>
        <row r="2380">
          <cell r="I2380">
            <v>3085</v>
          </cell>
          <cell r="J2380">
            <v>0.13202328767123286</v>
          </cell>
        </row>
        <row r="2381">
          <cell r="I2381">
            <v>3086</v>
          </cell>
          <cell r="J2381">
            <v>0.13202465753424658</v>
          </cell>
        </row>
        <row r="2382">
          <cell r="I2382">
            <v>3087</v>
          </cell>
          <cell r="J2382">
            <v>0.13202602739726027</v>
          </cell>
        </row>
        <row r="2383">
          <cell r="I2383">
            <v>3088</v>
          </cell>
          <cell r="J2383">
            <v>0.13202739726027396</v>
          </cell>
        </row>
        <row r="2384">
          <cell r="I2384">
            <v>3089</v>
          </cell>
          <cell r="J2384">
            <v>0.13202876712328768</v>
          </cell>
        </row>
        <row r="2385">
          <cell r="I2385">
            <v>3090</v>
          </cell>
          <cell r="J2385">
            <v>0.13203013698630137</v>
          </cell>
        </row>
        <row r="2386">
          <cell r="I2386">
            <v>3091</v>
          </cell>
          <cell r="J2386">
            <v>0.13203150684931506</v>
          </cell>
        </row>
        <row r="2387">
          <cell r="I2387">
            <v>3092</v>
          </cell>
          <cell r="J2387">
            <v>0.13203287671232877</v>
          </cell>
        </row>
        <row r="2388">
          <cell r="I2388">
            <v>3093</v>
          </cell>
          <cell r="J2388">
            <v>0.13203424657534246</v>
          </cell>
        </row>
        <row r="2389">
          <cell r="I2389">
            <v>3094</v>
          </cell>
          <cell r="J2389">
            <v>0.13203561643835615</v>
          </cell>
        </row>
        <row r="2390">
          <cell r="I2390">
            <v>3095</v>
          </cell>
          <cell r="J2390">
            <v>0.13203698630136987</v>
          </cell>
        </row>
        <row r="2391">
          <cell r="I2391">
            <v>3096</v>
          </cell>
          <cell r="J2391">
            <v>0.13203835616438356</v>
          </cell>
        </row>
        <row r="2392">
          <cell r="I2392">
            <v>3097</v>
          </cell>
          <cell r="J2392">
            <v>0.13203972602739725</v>
          </cell>
        </row>
        <row r="2393">
          <cell r="I2393">
            <v>3098</v>
          </cell>
          <cell r="J2393">
            <v>0.13204109589041096</v>
          </cell>
        </row>
        <row r="2394">
          <cell r="I2394">
            <v>3099</v>
          </cell>
          <cell r="J2394">
            <v>0.13204246575342465</v>
          </cell>
        </row>
        <row r="2395">
          <cell r="I2395">
            <v>3100</v>
          </cell>
          <cell r="J2395">
            <v>0.13204383561643834</v>
          </cell>
        </row>
        <row r="2396">
          <cell r="I2396">
            <v>3101</v>
          </cell>
          <cell r="J2396">
            <v>0.13204520547945206</v>
          </cell>
        </row>
        <row r="2397">
          <cell r="I2397">
            <v>3102</v>
          </cell>
          <cell r="J2397">
            <v>0.13204657534246575</v>
          </cell>
        </row>
        <row r="2398">
          <cell r="I2398">
            <v>3103</v>
          </cell>
          <cell r="J2398">
            <v>0.13204794520547944</v>
          </cell>
        </row>
        <row r="2399">
          <cell r="I2399">
            <v>3104</v>
          </cell>
          <cell r="J2399">
            <v>0.13204931506849316</v>
          </cell>
        </row>
        <row r="2400">
          <cell r="I2400">
            <v>3105</v>
          </cell>
          <cell r="J2400">
            <v>0.13205068493150685</v>
          </cell>
        </row>
        <row r="2401">
          <cell r="I2401">
            <v>3106</v>
          </cell>
          <cell r="J2401">
            <v>0.13205205479452053</v>
          </cell>
        </row>
        <row r="2402">
          <cell r="I2402">
            <v>3107</v>
          </cell>
          <cell r="J2402">
            <v>0.13205342465753425</v>
          </cell>
        </row>
        <row r="2403">
          <cell r="I2403">
            <v>3108</v>
          </cell>
          <cell r="J2403">
            <v>0.13205479452054794</v>
          </cell>
        </row>
        <row r="2404">
          <cell r="I2404">
            <v>3109</v>
          </cell>
          <cell r="J2404">
            <v>0.13205616438356166</v>
          </cell>
        </row>
        <row r="2405">
          <cell r="I2405">
            <v>3110</v>
          </cell>
          <cell r="J2405">
            <v>0.13205753424657535</v>
          </cell>
        </row>
        <row r="2406">
          <cell r="I2406">
            <v>3111</v>
          </cell>
          <cell r="J2406">
            <v>0.13205890410958904</v>
          </cell>
        </row>
        <row r="2407">
          <cell r="I2407">
            <v>3112</v>
          </cell>
          <cell r="J2407">
            <v>0.13206027397260275</v>
          </cell>
        </row>
        <row r="2408">
          <cell r="I2408">
            <v>3113</v>
          </cell>
          <cell r="J2408">
            <v>0.13206164383561644</v>
          </cell>
        </row>
        <row r="2409">
          <cell r="I2409">
            <v>3114</v>
          </cell>
          <cell r="J2409">
            <v>0.13206301369863013</v>
          </cell>
        </row>
        <row r="2410">
          <cell r="I2410">
            <v>3115</v>
          </cell>
          <cell r="J2410">
            <v>0.13206438356164385</v>
          </cell>
        </row>
        <row r="2411">
          <cell r="I2411">
            <v>3116</v>
          </cell>
          <cell r="J2411">
            <v>0.13206575342465754</v>
          </cell>
        </row>
        <row r="2412">
          <cell r="I2412">
            <v>3117</v>
          </cell>
          <cell r="J2412">
            <v>0.13206712328767123</v>
          </cell>
        </row>
        <row r="2413">
          <cell r="I2413">
            <v>3118</v>
          </cell>
          <cell r="J2413">
            <v>0.13206849315068495</v>
          </cell>
        </row>
        <row r="2414">
          <cell r="I2414">
            <v>3119</v>
          </cell>
          <cell r="J2414">
            <v>0.13206986301369864</v>
          </cell>
        </row>
        <row r="2415">
          <cell r="I2415">
            <v>3120</v>
          </cell>
          <cell r="J2415">
            <v>0.13207123287671232</v>
          </cell>
        </row>
        <row r="2416">
          <cell r="I2416">
            <v>3121</v>
          </cell>
          <cell r="J2416">
            <v>0.13207260273972604</v>
          </cell>
        </row>
        <row r="2417">
          <cell r="I2417">
            <v>3122</v>
          </cell>
          <cell r="J2417">
            <v>0.13207397260273973</v>
          </cell>
        </row>
        <row r="2418">
          <cell r="I2418">
            <v>3123</v>
          </cell>
          <cell r="J2418">
            <v>0.13207534246575342</v>
          </cell>
        </row>
        <row r="2419">
          <cell r="I2419">
            <v>3124</v>
          </cell>
          <cell r="J2419">
            <v>0.13207671232876714</v>
          </cell>
        </row>
        <row r="2420">
          <cell r="I2420">
            <v>3125</v>
          </cell>
          <cell r="J2420">
            <v>0.13207808219178083</v>
          </cell>
        </row>
        <row r="2421">
          <cell r="I2421">
            <v>3126</v>
          </cell>
          <cell r="J2421">
            <v>0.13207945205479452</v>
          </cell>
        </row>
        <row r="2422">
          <cell r="I2422">
            <v>3127</v>
          </cell>
          <cell r="J2422">
            <v>0.13208082191780823</v>
          </cell>
        </row>
        <row r="2423">
          <cell r="I2423">
            <v>3128</v>
          </cell>
          <cell r="J2423">
            <v>0.13208219178082192</v>
          </cell>
        </row>
        <row r="2424">
          <cell r="I2424">
            <v>3129</v>
          </cell>
          <cell r="J2424">
            <v>0.13208356164383561</v>
          </cell>
        </row>
        <row r="2425">
          <cell r="I2425">
            <v>3130</v>
          </cell>
          <cell r="J2425">
            <v>0.13208493150684933</v>
          </cell>
        </row>
        <row r="2426">
          <cell r="I2426">
            <v>3131</v>
          </cell>
          <cell r="J2426">
            <v>0.13208630136986302</v>
          </cell>
        </row>
        <row r="2427">
          <cell r="I2427">
            <v>3132</v>
          </cell>
          <cell r="J2427">
            <v>0.13208767123287671</v>
          </cell>
        </row>
        <row r="2428">
          <cell r="I2428">
            <v>3133</v>
          </cell>
          <cell r="J2428">
            <v>0.13208904109589042</v>
          </cell>
        </row>
        <row r="2429">
          <cell r="I2429">
            <v>3134</v>
          </cell>
          <cell r="J2429">
            <v>0.13209041095890411</v>
          </cell>
        </row>
        <row r="2430">
          <cell r="I2430">
            <v>3135</v>
          </cell>
          <cell r="J2430">
            <v>0.1320917808219178</v>
          </cell>
        </row>
        <row r="2431">
          <cell r="I2431">
            <v>3136</v>
          </cell>
          <cell r="J2431">
            <v>0.13209315068493152</v>
          </cell>
        </row>
        <row r="2432">
          <cell r="I2432">
            <v>3137</v>
          </cell>
          <cell r="J2432">
            <v>0.13209452054794521</v>
          </cell>
        </row>
        <row r="2433">
          <cell r="I2433">
            <v>3138</v>
          </cell>
          <cell r="J2433">
            <v>0.1320958904109589</v>
          </cell>
        </row>
        <row r="2434">
          <cell r="I2434">
            <v>3139</v>
          </cell>
          <cell r="J2434">
            <v>0.13209726027397262</v>
          </cell>
        </row>
        <row r="2435">
          <cell r="I2435">
            <v>3140</v>
          </cell>
          <cell r="J2435">
            <v>0.13209863013698631</v>
          </cell>
        </row>
        <row r="2436">
          <cell r="I2436">
            <v>3141</v>
          </cell>
          <cell r="J2436">
            <v>0.1321</v>
          </cell>
        </row>
        <row r="2437">
          <cell r="I2437">
            <v>3142</v>
          </cell>
          <cell r="J2437">
            <v>0.13210136986301371</v>
          </cell>
        </row>
        <row r="2438">
          <cell r="I2438">
            <v>3143</v>
          </cell>
          <cell r="J2438">
            <v>0.1321027397260274</v>
          </cell>
        </row>
        <row r="2439">
          <cell r="I2439">
            <v>3144</v>
          </cell>
          <cell r="J2439">
            <v>0.13210410958904109</v>
          </cell>
        </row>
        <row r="2440">
          <cell r="I2440">
            <v>3145</v>
          </cell>
          <cell r="J2440">
            <v>0.13210547945205481</v>
          </cell>
        </row>
        <row r="2441">
          <cell r="I2441">
            <v>3146</v>
          </cell>
          <cell r="J2441">
            <v>0.1321068493150685</v>
          </cell>
        </row>
        <row r="2442">
          <cell r="I2442">
            <v>3147</v>
          </cell>
          <cell r="J2442">
            <v>0.13210821917808219</v>
          </cell>
        </row>
        <row r="2443">
          <cell r="I2443">
            <v>3148</v>
          </cell>
          <cell r="J2443">
            <v>0.1321095890410959</v>
          </cell>
        </row>
        <row r="2444">
          <cell r="I2444">
            <v>3149</v>
          </cell>
          <cell r="J2444">
            <v>0.13211095890410959</v>
          </cell>
        </row>
        <row r="2445">
          <cell r="I2445">
            <v>3150</v>
          </cell>
          <cell r="J2445">
            <v>0.13211232876712328</v>
          </cell>
        </row>
        <row r="2446">
          <cell r="I2446">
            <v>3151</v>
          </cell>
          <cell r="J2446">
            <v>0.132113698630137</v>
          </cell>
        </row>
        <row r="2447">
          <cell r="I2447">
            <v>3152</v>
          </cell>
          <cell r="J2447">
            <v>0.13211506849315069</v>
          </cell>
        </row>
        <row r="2448">
          <cell r="I2448">
            <v>3153</v>
          </cell>
          <cell r="J2448">
            <v>0.13211643835616438</v>
          </cell>
        </row>
        <row r="2449">
          <cell r="I2449">
            <v>3154</v>
          </cell>
          <cell r="J2449">
            <v>0.1321178082191781</v>
          </cell>
        </row>
        <row r="2450">
          <cell r="I2450">
            <v>3155</v>
          </cell>
          <cell r="J2450">
            <v>0.13211917808219178</v>
          </cell>
        </row>
        <row r="2451">
          <cell r="I2451">
            <v>3156</v>
          </cell>
          <cell r="J2451">
            <v>0.13212054794520547</v>
          </cell>
        </row>
        <row r="2452">
          <cell r="I2452">
            <v>3157</v>
          </cell>
          <cell r="J2452">
            <v>0.13212191780821919</v>
          </cell>
        </row>
        <row r="2453">
          <cell r="I2453">
            <v>3158</v>
          </cell>
          <cell r="J2453">
            <v>0.13212328767123288</v>
          </cell>
        </row>
        <row r="2454">
          <cell r="I2454">
            <v>3159</v>
          </cell>
          <cell r="J2454">
            <v>0.13212465753424657</v>
          </cell>
        </row>
        <row r="2455">
          <cell r="I2455">
            <v>3160</v>
          </cell>
          <cell r="J2455">
            <v>0.13212602739726029</v>
          </cell>
        </row>
        <row r="2456">
          <cell r="I2456">
            <v>3161</v>
          </cell>
          <cell r="J2456">
            <v>0.13212739726027398</v>
          </cell>
        </row>
        <row r="2457">
          <cell r="I2457">
            <v>3162</v>
          </cell>
          <cell r="J2457">
            <v>0.13212876712328767</v>
          </cell>
        </row>
        <row r="2458">
          <cell r="I2458">
            <v>3163</v>
          </cell>
          <cell r="J2458">
            <v>0.13213013698630138</v>
          </cell>
        </row>
        <row r="2459">
          <cell r="I2459">
            <v>3164</v>
          </cell>
          <cell r="J2459">
            <v>0.13213150684931507</v>
          </cell>
        </row>
        <row r="2460">
          <cell r="I2460">
            <v>3165</v>
          </cell>
          <cell r="J2460">
            <v>0.13213287671232876</v>
          </cell>
        </row>
        <row r="2461">
          <cell r="I2461">
            <v>3166</v>
          </cell>
          <cell r="J2461">
            <v>0.13213424657534248</v>
          </cell>
        </row>
        <row r="2462">
          <cell r="I2462">
            <v>3167</v>
          </cell>
          <cell r="J2462">
            <v>0.13213561643835617</v>
          </cell>
        </row>
        <row r="2463">
          <cell r="I2463">
            <v>3168</v>
          </cell>
          <cell r="J2463">
            <v>0.13213698630136986</v>
          </cell>
        </row>
        <row r="2464">
          <cell r="I2464">
            <v>3169</v>
          </cell>
          <cell r="J2464">
            <v>0.13213835616438357</v>
          </cell>
        </row>
        <row r="2465">
          <cell r="I2465">
            <v>3170</v>
          </cell>
          <cell r="J2465">
            <v>0.13213972602739726</v>
          </cell>
        </row>
        <row r="2466">
          <cell r="I2466">
            <v>3171</v>
          </cell>
          <cell r="J2466">
            <v>0.13214109589041095</v>
          </cell>
        </row>
        <row r="2467">
          <cell r="I2467">
            <v>3172</v>
          </cell>
          <cell r="J2467">
            <v>0.13214246575342467</v>
          </cell>
        </row>
        <row r="2468">
          <cell r="I2468">
            <v>3173</v>
          </cell>
          <cell r="J2468">
            <v>0.13214383561643836</v>
          </cell>
        </row>
        <row r="2469">
          <cell r="I2469">
            <v>3174</v>
          </cell>
          <cell r="J2469">
            <v>0.13214520547945205</v>
          </cell>
        </row>
        <row r="2470">
          <cell r="I2470">
            <v>3175</v>
          </cell>
          <cell r="J2470">
            <v>0.13214657534246577</v>
          </cell>
        </row>
        <row r="2471">
          <cell r="I2471">
            <v>3176</v>
          </cell>
          <cell r="J2471">
            <v>0.13214794520547946</v>
          </cell>
        </row>
        <row r="2472">
          <cell r="I2472">
            <v>3177</v>
          </cell>
          <cell r="J2472">
            <v>0.13214931506849315</v>
          </cell>
        </row>
        <row r="2473">
          <cell r="I2473">
            <v>3178</v>
          </cell>
          <cell r="J2473">
            <v>0.13215068493150686</v>
          </cell>
        </row>
        <row r="2474">
          <cell r="I2474">
            <v>3179</v>
          </cell>
          <cell r="J2474">
            <v>0.13215205479452055</v>
          </cell>
        </row>
        <row r="2475">
          <cell r="I2475">
            <v>3180</v>
          </cell>
          <cell r="J2475">
            <v>0.13215342465753424</v>
          </cell>
        </row>
        <row r="2476">
          <cell r="I2476">
            <v>3181</v>
          </cell>
          <cell r="J2476">
            <v>0.13215479452054796</v>
          </cell>
        </row>
        <row r="2477">
          <cell r="I2477">
            <v>3182</v>
          </cell>
          <cell r="J2477">
            <v>0.13215616438356165</v>
          </cell>
        </row>
        <row r="2478">
          <cell r="I2478">
            <v>3183</v>
          </cell>
          <cell r="J2478">
            <v>0.13215753424657534</v>
          </cell>
        </row>
        <row r="2479">
          <cell r="I2479">
            <v>3184</v>
          </cell>
          <cell r="J2479">
            <v>0.13215890410958905</v>
          </cell>
        </row>
        <row r="2480">
          <cell r="I2480">
            <v>3185</v>
          </cell>
          <cell r="J2480">
            <v>0.13216027397260274</v>
          </cell>
        </row>
        <row r="2481">
          <cell r="I2481">
            <v>3186</v>
          </cell>
          <cell r="J2481">
            <v>0.13216164383561643</v>
          </cell>
        </row>
        <row r="2482">
          <cell r="I2482">
            <v>3187</v>
          </cell>
          <cell r="J2482">
            <v>0.13216301369863015</v>
          </cell>
        </row>
        <row r="2483">
          <cell r="I2483">
            <v>3188</v>
          </cell>
          <cell r="J2483">
            <v>0.13216438356164384</v>
          </cell>
        </row>
        <row r="2484">
          <cell r="I2484">
            <v>3189</v>
          </cell>
          <cell r="J2484">
            <v>0.13216575342465753</v>
          </cell>
        </row>
        <row r="2485">
          <cell r="I2485">
            <v>3190</v>
          </cell>
          <cell r="J2485">
            <v>0.13216712328767125</v>
          </cell>
        </row>
        <row r="2486">
          <cell r="I2486">
            <v>3191</v>
          </cell>
          <cell r="J2486">
            <v>0.13216849315068493</v>
          </cell>
        </row>
        <row r="2487">
          <cell r="I2487">
            <v>3192</v>
          </cell>
          <cell r="J2487">
            <v>0.13216986301369862</v>
          </cell>
        </row>
        <row r="2488">
          <cell r="I2488">
            <v>3193</v>
          </cell>
          <cell r="J2488">
            <v>0.13217123287671234</v>
          </cell>
        </row>
        <row r="2489">
          <cell r="I2489">
            <v>3194</v>
          </cell>
          <cell r="J2489">
            <v>0.13217260273972603</v>
          </cell>
        </row>
        <row r="2490">
          <cell r="I2490">
            <v>3195</v>
          </cell>
          <cell r="J2490">
            <v>0.13217397260273972</v>
          </cell>
        </row>
        <row r="2491">
          <cell r="I2491">
            <v>3196</v>
          </cell>
          <cell r="J2491">
            <v>0.13217534246575344</v>
          </cell>
        </row>
        <row r="2492">
          <cell r="I2492">
            <v>3197</v>
          </cell>
          <cell r="J2492">
            <v>0.13217671232876713</v>
          </cell>
        </row>
        <row r="2493">
          <cell r="I2493">
            <v>3198</v>
          </cell>
          <cell r="J2493">
            <v>0.13217808219178082</v>
          </cell>
        </row>
        <row r="2494">
          <cell r="I2494">
            <v>3199</v>
          </cell>
          <cell r="J2494">
            <v>0.13217945205479453</v>
          </cell>
        </row>
        <row r="2495">
          <cell r="I2495">
            <v>3200</v>
          </cell>
          <cell r="J2495">
            <v>0.13218082191780822</v>
          </cell>
        </row>
        <row r="2496">
          <cell r="I2496">
            <v>3201</v>
          </cell>
          <cell r="J2496">
            <v>0.13218219178082191</v>
          </cell>
        </row>
        <row r="2497">
          <cell r="I2497">
            <v>3202</v>
          </cell>
          <cell r="J2497">
            <v>0.13218356164383563</v>
          </cell>
        </row>
        <row r="2498">
          <cell r="I2498">
            <v>3203</v>
          </cell>
          <cell r="J2498">
            <v>0.13218493150684932</v>
          </cell>
        </row>
        <row r="2499">
          <cell r="I2499">
            <v>3204</v>
          </cell>
          <cell r="J2499">
            <v>0.13218630136986301</v>
          </cell>
        </row>
        <row r="2500">
          <cell r="I2500">
            <v>3205</v>
          </cell>
          <cell r="J2500">
            <v>0.13218767123287672</v>
          </cell>
        </row>
        <row r="2501">
          <cell r="I2501">
            <v>3206</v>
          </cell>
          <cell r="J2501">
            <v>0.13218904109589041</v>
          </cell>
        </row>
        <row r="2502">
          <cell r="I2502">
            <v>3207</v>
          </cell>
          <cell r="J2502">
            <v>0.1321904109589041</v>
          </cell>
        </row>
        <row r="2503">
          <cell r="I2503">
            <v>3208</v>
          </cell>
          <cell r="J2503">
            <v>0.13219178082191782</v>
          </cell>
        </row>
        <row r="2504">
          <cell r="I2504">
            <v>3209</v>
          </cell>
          <cell r="J2504">
            <v>0.13219315068493151</v>
          </cell>
        </row>
        <row r="2505">
          <cell r="I2505">
            <v>3210</v>
          </cell>
          <cell r="J2505">
            <v>0.1321945205479452</v>
          </cell>
        </row>
        <row r="2506">
          <cell r="I2506">
            <v>3211</v>
          </cell>
          <cell r="J2506">
            <v>0.13219589041095892</v>
          </cell>
        </row>
        <row r="2507">
          <cell r="I2507">
            <v>3212</v>
          </cell>
          <cell r="J2507">
            <v>0.13219726027397261</v>
          </cell>
        </row>
        <row r="2508">
          <cell r="I2508">
            <v>3213</v>
          </cell>
          <cell r="J2508">
            <v>0.13219863013698629</v>
          </cell>
        </row>
        <row r="2509">
          <cell r="I2509">
            <v>3214</v>
          </cell>
          <cell r="J2509">
            <v>0.13220000000000001</v>
          </cell>
        </row>
        <row r="2510">
          <cell r="I2510">
            <v>3215</v>
          </cell>
          <cell r="J2510">
            <v>0.1322013698630137</v>
          </cell>
        </row>
        <row r="2511">
          <cell r="I2511">
            <v>3216</v>
          </cell>
          <cell r="J2511">
            <v>0.13220273972602739</v>
          </cell>
        </row>
        <row r="2512">
          <cell r="I2512">
            <v>3217</v>
          </cell>
          <cell r="J2512">
            <v>0.13220410958904111</v>
          </cell>
        </row>
        <row r="2513">
          <cell r="I2513">
            <v>3218</v>
          </cell>
          <cell r="J2513">
            <v>0.1322054794520548</v>
          </cell>
        </row>
        <row r="2514">
          <cell r="I2514">
            <v>3219</v>
          </cell>
          <cell r="J2514">
            <v>0.13220684931506849</v>
          </cell>
        </row>
        <row r="2515">
          <cell r="I2515">
            <v>3220</v>
          </cell>
          <cell r="J2515">
            <v>0.1322082191780822</v>
          </cell>
        </row>
        <row r="2516">
          <cell r="I2516">
            <v>3221</v>
          </cell>
          <cell r="J2516">
            <v>0.13220958904109589</v>
          </cell>
        </row>
        <row r="2517">
          <cell r="I2517">
            <v>3222</v>
          </cell>
          <cell r="J2517">
            <v>0.13221095890410958</v>
          </cell>
        </row>
        <row r="2518">
          <cell r="I2518">
            <v>3223</v>
          </cell>
          <cell r="J2518">
            <v>0.1322123287671233</v>
          </cell>
        </row>
        <row r="2519">
          <cell r="I2519">
            <v>3224</v>
          </cell>
          <cell r="J2519">
            <v>0.13221369863013699</v>
          </cell>
        </row>
        <row r="2520">
          <cell r="I2520">
            <v>3225</v>
          </cell>
          <cell r="J2520">
            <v>0.13221506849315068</v>
          </cell>
        </row>
        <row r="2521">
          <cell r="I2521">
            <v>3226</v>
          </cell>
          <cell r="J2521">
            <v>0.1322164383561644</v>
          </cell>
        </row>
        <row r="2522">
          <cell r="I2522">
            <v>3227</v>
          </cell>
          <cell r="J2522">
            <v>0.13221780821917808</v>
          </cell>
        </row>
        <row r="2523">
          <cell r="I2523">
            <v>3228</v>
          </cell>
          <cell r="J2523">
            <v>0.13221917808219177</v>
          </cell>
        </row>
        <row r="2524">
          <cell r="I2524">
            <v>3229</v>
          </cell>
          <cell r="J2524">
            <v>0.13222054794520549</v>
          </cell>
        </row>
        <row r="2525">
          <cell r="I2525">
            <v>3230</v>
          </cell>
          <cell r="J2525">
            <v>0.13222191780821918</v>
          </cell>
        </row>
        <row r="2526">
          <cell r="I2526">
            <v>3231</v>
          </cell>
          <cell r="J2526">
            <v>0.13222328767123287</v>
          </cell>
        </row>
        <row r="2527">
          <cell r="I2527">
            <v>3232</v>
          </cell>
          <cell r="J2527">
            <v>0.13222465753424659</v>
          </cell>
        </row>
        <row r="2528">
          <cell r="I2528">
            <v>3233</v>
          </cell>
          <cell r="J2528">
            <v>0.13222602739726028</v>
          </cell>
        </row>
        <row r="2529">
          <cell r="I2529">
            <v>3234</v>
          </cell>
          <cell r="J2529">
            <v>0.13222739726027397</v>
          </cell>
        </row>
        <row r="2530">
          <cell r="I2530">
            <v>3235</v>
          </cell>
          <cell r="J2530">
            <v>0.13222876712328768</v>
          </cell>
        </row>
        <row r="2531">
          <cell r="I2531">
            <v>3236</v>
          </cell>
          <cell r="J2531">
            <v>0.13223013698630137</v>
          </cell>
        </row>
        <row r="2532">
          <cell r="I2532">
            <v>3237</v>
          </cell>
          <cell r="J2532">
            <v>0.13223150684931506</v>
          </cell>
        </row>
        <row r="2533">
          <cell r="I2533">
            <v>3238</v>
          </cell>
          <cell r="J2533">
            <v>0.13223287671232878</v>
          </cell>
        </row>
        <row r="2534">
          <cell r="I2534">
            <v>3239</v>
          </cell>
          <cell r="J2534">
            <v>0.13223424657534247</v>
          </cell>
        </row>
        <row r="2535">
          <cell r="I2535">
            <v>3240</v>
          </cell>
          <cell r="J2535">
            <v>0.13223561643835616</v>
          </cell>
        </row>
        <row r="2536">
          <cell r="I2536">
            <v>3241</v>
          </cell>
          <cell r="J2536">
            <v>0.13223698630136987</v>
          </cell>
        </row>
        <row r="2537">
          <cell r="I2537">
            <v>3242</v>
          </cell>
          <cell r="J2537">
            <v>0.13223835616438356</v>
          </cell>
        </row>
        <row r="2538">
          <cell r="I2538">
            <v>3243</v>
          </cell>
          <cell r="J2538">
            <v>0.13223972602739725</v>
          </cell>
        </row>
        <row r="2539">
          <cell r="I2539">
            <v>3244</v>
          </cell>
          <cell r="J2539">
            <v>0.13224109589041097</v>
          </cell>
        </row>
        <row r="2540">
          <cell r="I2540">
            <v>3245</v>
          </cell>
          <cell r="J2540">
            <v>0.13224246575342466</v>
          </cell>
        </row>
        <row r="2541">
          <cell r="I2541">
            <v>3246</v>
          </cell>
          <cell r="J2541">
            <v>0.13224383561643835</v>
          </cell>
        </row>
        <row r="2542">
          <cell r="I2542">
            <v>3247</v>
          </cell>
          <cell r="J2542">
            <v>0.13224520547945207</v>
          </cell>
        </row>
        <row r="2543">
          <cell r="I2543">
            <v>3248</v>
          </cell>
          <cell r="J2543">
            <v>0.13224657534246576</v>
          </cell>
        </row>
        <row r="2544">
          <cell r="I2544">
            <v>3249</v>
          </cell>
          <cell r="J2544">
            <v>0.13224794520547944</v>
          </cell>
        </row>
        <row r="2545">
          <cell r="I2545">
            <v>3250</v>
          </cell>
          <cell r="J2545">
            <v>0.13224931506849316</v>
          </cell>
        </row>
        <row r="2546">
          <cell r="I2546">
            <v>3251</v>
          </cell>
          <cell r="J2546">
            <v>0.13225068493150685</v>
          </cell>
        </row>
        <row r="2547">
          <cell r="I2547">
            <v>3252</v>
          </cell>
          <cell r="J2547">
            <v>0.13225205479452054</v>
          </cell>
        </row>
        <row r="2548">
          <cell r="I2548">
            <v>3253</v>
          </cell>
          <cell r="J2548">
            <v>0.13225342465753426</v>
          </cell>
        </row>
        <row r="2549">
          <cell r="I2549">
            <v>3254</v>
          </cell>
          <cell r="J2549">
            <v>0.13225479452054795</v>
          </cell>
        </row>
        <row r="2550">
          <cell r="I2550">
            <v>3255</v>
          </cell>
          <cell r="J2550">
            <v>0.13225616438356164</v>
          </cell>
        </row>
        <row r="2551">
          <cell r="I2551">
            <v>3256</v>
          </cell>
          <cell r="J2551">
            <v>0.13225753424657535</v>
          </cell>
        </row>
        <row r="2552">
          <cell r="I2552">
            <v>3257</v>
          </cell>
          <cell r="J2552">
            <v>0.13225890410958904</v>
          </cell>
        </row>
        <row r="2553">
          <cell r="I2553">
            <v>3258</v>
          </cell>
          <cell r="J2553">
            <v>0.13226027397260273</v>
          </cell>
        </row>
        <row r="2554">
          <cell r="I2554">
            <v>3259</v>
          </cell>
          <cell r="J2554">
            <v>0.13226164383561645</v>
          </cell>
        </row>
        <row r="2555">
          <cell r="I2555">
            <v>3260</v>
          </cell>
          <cell r="J2555">
            <v>0.13226301369863014</v>
          </cell>
        </row>
        <row r="2556">
          <cell r="I2556">
            <v>3261</v>
          </cell>
          <cell r="J2556">
            <v>0.13226438356164383</v>
          </cell>
        </row>
        <row r="2557">
          <cell r="I2557">
            <v>3262</v>
          </cell>
          <cell r="J2557">
            <v>0.13226575342465755</v>
          </cell>
        </row>
        <row r="2558">
          <cell r="I2558">
            <v>3263</v>
          </cell>
          <cell r="J2558">
            <v>0.13226712328767123</v>
          </cell>
        </row>
        <row r="2559">
          <cell r="I2559">
            <v>3264</v>
          </cell>
          <cell r="J2559">
            <v>0.13226849315068492</v>
          </cell>
        </row>
        <row r="2560">
          <cell r="I2560">
            <v>3265</v>
          </cell>
          <cell r="J2560">
            <v>0.13226986301369864</v>
          </cell>
        </row>
        <row r="2561">
          <cell r="I2561">
            <v>3266</v>
          </cell>
          <cell r="J2561">
            <v>0.13227123287671233</v>
          </cell>
        </row>
        <row r="2562">
          <cell r="I2562">
            <v>3267</v>
          </cell>
          <cell r="J2562">
            <v>0.13227260273972602</v>
          </cell>
        </row>
        <row r="2563">
          <cell r="I2563">
            <v>3268</v>
          </cell>
          <cell r="J2563">
            <v>0.13227397260273974</v>
          </cell>
        </row>
        <row r="2564">
          <cell r="I2564">
            <v>3269</v>
          </cell>
          <cell r="J2564">
            <v>0.13227534246575343</v>
          </cell>
        </row>
        <row r="2565">
          <cell r="I2565">
            <v>3270</v>
          </cell>
          <cell r="J2565">
            <v>0.13227671232876712</v>
          </cell>
        </row>
        <row r="2566">
          <cell r="I2566">
            <v>3271</v>
          </cell>
          <cell r="J2566">
            <v>0.13227808219178083</v>
          </cell>
        </row>
        <row r="2567">
          <cell r="I2567">
            <v>3272</v>
          </cell>
          <cell r="J2567">
            <v>0.13227945205479452</v>
          </cell>
        </row>
        <row r="2568">
          <cell r="I2568">
            <v>3273</v>
          </cell>
          <cell r="J2568">
            <v>0.13228082191780821</v>
          </cell>
        </row>
        <row r="2569">
          <cell r="I2569">
            <v>3274</v>
          </cell>
          <cell r="J2569">
            <v>0.13228219178082193</v>
          </cell>
        </row>
        <row r="2570">
          <cell r="I2570">
            <v>3275</v>
          </cell>
          <cell r="J2570">
            <v>0.13228356164383562</v>
          </cell>
        </row>
        <row r="2571">
          <cell r="I2571">
            <v>3276</v>
          </cell>
          <cell r="J2571">
            <v>0.13228493150684931</v>
          </cell>
        </row>
        <row r="2572">
          <cell r="I2572">
            <v>3277</v>
          </cell>
          <cell r="J2572">
            <v>0.13228630136986302</v>
          </cell>
        </row>
        <row r="2573">
          <cell r="I2573">
            <v>3278</v>
          </cell>
          <cell r="J2573">
            <v>0.13228767123287671</v>
          </cell>
        </row>
        <row r="2574">
          <cell r="I2574">
            <v>3279</v>
          </cell>
          <cell r="J2574">
            <v>0.1322890410958904</v>
          </cell>
        </row>
        <row r="2575">
          <cell r="I2575">
            <v>3280</v>
          </cell>
          <cell r="J2575">
            <v>0.13229041095890412</v>
          </cell>
        </row>
        <row r="2576">
          <cell r="I2576">
            <v>3281</v>
          </cell>
          <cell r="J2576">
            <v>0.13229178082191781</v>
          </cell>
        </row>
        <row r="2577">
          <cell r="I2577">
            <v>3282</v>
          </cell>
          <cell r="J2577">
            <v>0.1322931506849315</v>
          </cell>
        </row>
        <row r="2578">
          <cell r="I2578">
            <v>3283</v>
          </cell>
          <cell r="J2578">
            <v>0.13229452054794522</v>
          </cell>
        </row>
        <row r="2579">
          <cell r="I2579">
            <v>3284</v>
          </cell>
          <cell r="J2579">
            <v>0.13229589041095891</v>
          </cell>
        </row>
        <row r="2580">
          <cell r="I2580">
            <v>3285</v>
          </cell>
          <cell r="J2580">
            <v>0.13229726027397259</v>
          </cell>
        </row>
        <row r="2581">
          <cell r="I2581">
            <v>3286</v>
          </cell>
          <cell r="J2581">
            <v>0.13229863013698631</v>
          </cell>
        </row>
        <row r="2582">
          <cell r="I2582">
            <v>3287</v>
          </cell>
          <cell r="J2582">
            <v>0.1323</v>
          </cell>
        </row>
        <row r="2583">
          <cell r="I2583">
            <v>3288</v>
          </cell>
          <cell r="J2583">
            <v>0.13230164383561643</v>
          </cell>
        </row>
        <row r="2584">
          <cell r="I2584">
            <v>3289</v>
          </cell>
          <cell r="J2584">
            <v>0.13230328767123287</v>
          </cell>
        </row>
        <row r="2585">
          <cell r="I2585">
            <v>3290</v>
          </cell>
          <cell r="J2585">
            <v>0.13230493150684933</v>
          </cell>
        </row>
        <row r="2586">
          <cell r="I2586">
            <v>3291</v>
          </cell>
          <cell r="J2586">
            <v>0.13230657534246576</v>
          </cell>
        </row>
        <row r="2587">
          <cell r="I2587">
            <v>3292</v>
          </cell>
          <cell r="J2587">
            <v>0.13230821917808219</v>
          </cell>
        </row>
        <row r="2588">
          <cell r="I2588">
            <v>3293</v>
          </cell>
          <cell r="J2588">
            <v>0.13230986301369863</v>
          </cell>
        </row>
        <row r="2589">
          <cell r="I2589">
            <v>3294</v>
          </cell>
          <cell r="J2589">
            <v>0.13231150684931506</v>
          </cell>
        </row>
        <row r="2590">
          <cell r="I2590">
            <v>3295</v>
          </cell>
          <cell r="J2590">
            <v>0.13231315068493152</v>
          </cell>
        </row>
        <row r="2591">
          <cell r="I2591">
            <v>3296</v>
          </cell>
          <cell r="J2591">
            <v>0.13231479452054795</v>
          </cell>
        </row>
        <row r="2592">
          <cell r="I2592">
            <v>3297</v>
          </cell>
          <cell r="J2592">
            <v>0.13231643835616438</v>
          </cell>
        </row>
        <row r="2593">
          <cell r="I2593">
            <v>3298</v>
          </cell>
          <cell r="J2593">
            <v>0.13231808219178082</v>
          </cell>
        </row>
        <row r="2594">
          <cell r="I2594">
            <v>3299</v>
          </cell>
          <cell r="J2594">
            <v>0.13231972602739725</v>
          </cell>
        </row>
        <row r="2595">
          <cell r="I2595">
            <v>3300</v>
          </cell>
          <cell r="J2595">
            <v>0.13232136986301371</v>
          </cell>
        </row>
        <row r="2596">
          <cell r="I2596">
            <v>3301</v>
          </cell>
          <cell r="J2596">
            <v>0.13232301369863014</v>
          </cell>
        </row>
        <row r="2597">
          <cell r="I2597">
            <v>3302</v>
          </cell>
          <cell r="J2597">
            <v>0.13232465753424658</v>
          </cell>
        </row>
        <row r="2598">
          <cell r="I2598">
            <v>3303</v>
          </cell>
          <cell r="J2598">
            <v>0.13232630136986301</v>
          </cell>
        </row>
        <row r="2599">
          <cell r="I2599">
            <v>3304</v>
          </cell>
          <cell r="J2599">
            <v>0.13232794520547944</v>
          </cell>
        </row>
        <row r="2600">
          <cell r="I2600">
            <v>3305</v>
          </cell>
          <cell r="J2600">
            <v>0.1323295890410959</v>
          </cell>
        </row>
        <row r="2601">
          <cell r="I2601">
            <v>3306</v>
          </cell>
          <cell r="J2601">
            <v>0.13233123287671233</v>
          </cell>
        </row>
        <row r="2602">
          <cell r="I2602">
            <v>3307</v>
          </cell>
          <cell r="J2602">
            <v>0.13233287671232877</v>
          </cell>
        </row>
        <row r="2603">
          <cell r="I2603">
            <v>3308</v>
          </cell>
          <cell r="J2603">
            <v>0.1323345205479452</v>
          </cell>
        </row>
        <row r="2604">
          <cell r="I2604">
            <v>3309</v>
          </cell>
          <cell r="J2604">
            <v>0.13233616438356163</v>
          </cell>
        </row>
        <row r="2605">
          <cell r="I2605">
            <v>3310</v>
          </cell>
          <cell r="J2605">
            <v>0.13233780821917809</v>
          </cell>
        </row>
        <row r="2606">
          <cell r="I2606">
            <v>3311</v>
          </cell>
          <cell r="J2606">
            <v>0.13233945205479453</v>
          </cell>
        </row>
        <row r="2607">
          <cell r="I2607">
            <v>3312</v>
          </cell>
          <cell r="J2607">
            <v>0.13234109589041096</v>
          </cell>
        </row>
        <row r="2608">
          <cell r="I2608">
            <v>3313</v>
          </cell>
          <cell r="J2608">
            <v>0.13234273972602739</v>
          </cell>
        </row>
        <row r="2609">
          <cell r="I2609">
            <v>3314</v>
          </cell>
          <cell r="J2609">
            <v>0.13234438356164382</v>
          </cell>
        </row>
        <row r="2610">
          <cell r="I2610">
            <v>3315</v>
          </cell>
          <cell r="J2610">
            <v>0.13234602739726029</v>
          </cell>
        </row>
        <row r="2611">
          <cell r="I2611">
            <v>3316</v>
          </cell>
          <cell r="J2611">
            <v>0.13234767123287672</v>
          </cell>
        </row>
        <row r="2612">
          <cell r="I2612">
            <v>3317</v>
          </cell>
          <cell r="J2612">
            <v>0.13234931506849315</v>
          </cell>
        </row>
        <row r="2613">
          <cell r="I2613">
            <v>3318</v>
          </cell>
          <cell r="J2613">
            <v>0.13235095890410958</v>
          </cell>
        </row>
        <row r="2614">
          <cell r="I2614">
            <v>3319</v>
          </cell>
          <cell r="J2614">
            <v>0.13235260273972602</v>
          </cell>
        </row>
        <row r="2615">
          <cell r="I2615">
            <v>3320</v>
          </cell>
          <cell r="J2615">
            <v>0.13235424657534248</v>
          </cell>
        </row>
        <row r="2616">
          <cell r="I2616">
            <v>3321</v>
          </cell>
          <cell r="J2616">
            <v>0.13235589041095891</v>
          </cell>
        </row>
        <row r="2617">
          <cell r="I2617">
            <v>3322</v>
          </cell>
          <cell r="J2617">
            <v>0.13235753424657534</v>
          </cell>
        </row>
        <row r="2618">
          <cell r="I2618">
            <v>3323</v>
          </cell>
          <cell r="J2618">
            <v>0.13235917808219178</v>
          </cell>
        </row>
        <row r="2619">
          <cell r="I2619">
            <v>3324</v>
          </cell>
          <cell r="J2619">
            <v>0.13236082191780821</v>
          </cell>
        </row>
        <row r="2620">
          <cell r="I2620">
            <v>3325</v>
          </cell>
          <cell r="J2620">
            <v>0.13236246575342467</v>
          </cell>
        </row>
        <row r="2621">
          <cell r="I2621">
            <v>3326</v>
          </cell>
          <cell r="J2621">
            <v>0.1323641095890411</v>
          </cell>
        </row>
        <row r="2622">
          <cell r="I2622">
            <v>3327</v>
          </cell>
          <cell r="J2622">
            <v>0.13236575342465753</v>
          </cell>
        </row>
        <row r="2623">
          <cell r="I2623">
            <v>3328</v>
          </cell>
          <cell r="J2623">
            <v>0.13236739726027397</v>
          </cell>
        </row>
        <row r="2624">
          <cell r="I2624">
            <v>3329</v>
          </cell>
          <cell r="J2624">
            <v>0.1323690410958904</v>
          </cell>
        </row>
        <row r="2625">
          <cell r="I2625">
            <v>3330</v>
          </cell>
          <cell r="J2625">
            <v>0.13237068493150686</v>
          </cell>
        </row>
        <row r="2626">
          <cell r="I2626">
            <v>3331</v>
          </cell>
          <cell r="J2626">
            <v>0.13237232876712329</v>
          </cell>
        </row>
        <row r="2627">
          <cell r="I2627">
            <v>3332</v>
          </cell>
          <cell r="J2627">
            <v>0.13237397260273973</v>
          </cell>
        </row>
        <row r="2628">
          <cell r="I2628">
            <v>3333</v>
          </cell>
          <cell r="J2628">
            <v>0.13237561643835616</v>
          </cell>
        </row>
        <row r="2629">
          <cell r="I2629">
            <v>3334</v>
          </cell>
          <cell r="J2629">
            <v>0.13237726027397259</v>
          </cell>
        </row>
        <row r="2630">
          <cell r="I2630">
            <v>3335</v>
          </cell>
          <cell r="J2630">
            <v>0.13237890410958905</v>
          </cell>
        </row>
        <row r="2631">
          <cell r="I2631">
            <v>3336</v>
          </cell>
          <cell r="J2631">
            <v>0.13238054794520548</v>
          </cell>
        </row>
        <row r="2632">
          <cell r="I2632">
            <v>3337</v>
          </cell>
          <cell r="J2632">
            <v>0.13238219178082192</v>
          </cell>
        </row>
        <row r="2633">
          <cell r="I2633">
            <v>3338</v>
          </cell>
          <cell r="J2633">
            <v>0.13238383561643835</v>
          </cell>
        </row>
        <row r="2634">
          <cell r="I2634">
            <v>3339</v>
          </cell>
          <cell r="J2634">
            <v>0.13238547945205478</v>
          </cell>
        </row>
        <row r="2635">
          <cell r="I2635">
            <v>3340</v>
          </cell>
          <cell r="J2635">
            <v>0.13238712328767124</v>
          </cell>
        </row>
        <row r="2636">
          <cell r="I2636">
            <v>3341</v>
          </cell>
          <cell r="J2636">
            <v>0.13238876712328768</v>
          </cell>
        </row>
        <row r="2637">
          <cell r="I2637">
            <v>3342</v>
          </cell>
          <cell r="J2637">
            <v>0.13239041095890411</v>
          </cell>
        </row>
        <row r="2638">
          <cell r="I2638">
            <v>3343</v>
          </cell>
          <cell r="J2638">
            <v>0.13239205479452054</v>
          </cell>
        </row>
        <row r="2639">
          <cell r="I2639">
            <v>3344</v>
          </cell>
          <cell r="J2639">
            <v>0.13239369863013697</v>
          </cell>
        </row>
        <row r="2640">
          <cell r="I2640">
            <v>3345</v>
          </cell>
          <cell r="J2640">
            <v>0.13239534246575344</v>
          </cell>
        </row>
        <row r="2641">
          <cell r="I2641">
            <v>3346</v>
          </cell>
          <cell r="J2641">
            <v>0.13239698630136987</v>
          </cell>
        </row>
        <row r="2642">
          <cell r="I2642">
            <v>3347</v>
          </cell>
          <cell r="J2642">
            <v>0.1323986301369863</v>
          </cell>
        </row>
        <row r="2643">
          <cell r="I2643">
            <v>3348</v>
          </cell>
          <cell r="J2643">
            <v>0.13240027397260273</v>
          </cell>
        </row>
        <row r="2644">
          <cell r="I2644">
            <v>3349</v>
          </cell>
          <cell r="J2644">
            <v>0.13240191780821917</v>
          </cell>
        </row>
        <row r="2645">
          <cell r="I2645">
            <v>3350</v>
          </cell>
          <cell r="J2645">
            <v>0.13240356164383563</v>
          </cell>
        </row>
        <row r="2646">
          <cell r="I2646">
            <v>3351</v>
          </cell>
          <cell r="J2646">
            <v>0.13240520547945206</v>
          </cell>
        </row>
        <row r="2647">
          <cell r="I2647">
            <v>3352</v>
          </cell>
          <cell r="J2647">
            <v>0.13240684931506849</v>
          </cell>
        </row>
        <row r="2648">
          <cell r="I2648">
            <v>3353</v>
          </cell>
          <cell r="J2648">
            <v>0.13240849315068492</v>
          </cell>
        </row>
        <row r="2649">
          <cell r="I2649">
            <v>3354</v>
          </cell>
          <cell r="J2649">
            <v>0.13241013698630136</v>
          </cell>
        </row>
        <row r="2650">
          <cell r="I2650">
            <v>3355</v>
          </cell>
          <cell r="J2650">
            <v>0.13241178082191782</v>
          </cell>
        </row>
        <row r="2651">
          <cell r="I2651">
            <v>3356</v>
          </cell>
          <cell r="J2651">
            <v>0.13241342465753425</v>
          </cell>
        </row>
        <row r="2652">
          <cell r="I2652">
            <v>3357</v>
          </cell>
          <cell r="J2652">
            <v>0.13241506849315068</v>
          </cell>
        </row>
        <row r="2653">
          <cell r="I2653">
            <v>3358</v>
          </cell>
          <cell r="J2653">
            <v>0.13241671232876712</v>
          </cell>
        </row>
        <row r="2654">
          <cell r="I2654">
            <v>3359</v>
          </cell>
          <cell r="J2654">
            <v>0.13241835616438355</v>
          </cell>
        </row>
        <row r="2655">
          <cell r="I2655">
            <v>3360</v>
          </cell>
          <cell r="J2655">
            <v>0.13242000000000001</v>
          </cell>
        </row>
        <row r="2656">
          <cell r="I2656">
            <v>3361</v>
          </cell>
          <cell r="J2656">
            <v>0.13242164383561644</v>
          </cell>
        </row>
        <row r="2657">
          <cell r="I2657">
            <v>3362</v>
          </cell>
          <cell r="J2657">
            <v>0.13242328767123288</v>
          </cell>
        </row>
        <row r="2658">
          <cell r="I2658">
            <v>3363</v>
          </cell>
          <cell r="J2658">
            <v>0.13242493150684931</v>
          </cell>
        </row>
        <row r="2659">
          <cell r="I2659">
            <v>3364</v>
          </cell>
          <cell r="J2659">
            <v>0.13242657534246574</v>
          </cell>
        </row>
        <row r="2660">
          <cell r="I2660">
            <v>3365</v>
          </cell>
          <cell r="J2660">
            <v>0.1324282191780822</v>
          </cell>
        </row>
        <row r="2661">
          <cell r="I2661">
            <v>3366</v>
          </cell>
          <cell r="J2661">
            <v>0.13242986301369863</v>
          </cell>
        </row>
        <row r="2662">
          <cell r="I2662">
            <v>3367</v>
          </cell>
          <cell r="J2662">
            <v>0.13243150684931507</v>
          </cell>
        </row>
        <row r="2663">
          <cell r="I2663">
            <v>3368</v>
          </cell>
          <cell r="J2663">
            <v>0.1324331506849315</v>
          </cell>
        </row>
        <row r="2664">
          <cell r="I2664">
            <v>3369</v>
          </cell>
          <cell r="J2664">
            <v>0.13243479452054793</v>
          </cell>
        </row>
        <row r="2665">
          <cell r="I2665">
            <v>3370</v>
          </cell>
          <cell r="J2665">
            <v>0.13243643835616439</v>
          </cell>
        </row>
        <row r="2666">
          <cell r="I2666">
            <v>3371</v>
          </cell>
          <cell r="J2666">
            <v>0.13243808219178083</v>
          </cell>
        </row>
        <row r="2667">
          <cell r="I2667">
            <v>3372</v>
          </cell>
          <cell r="J2667">
            <v>0.13243972602739726</v>
          </cell>
        </row>
        <row r="2668">
          <cell r="I2668">
            <v>3373</v>
          </cell>
          <cell r="J2668">
            <v>0.13244136986301369</v>
          </cell>
        </row>
        <row r="2669">
          <cell r="I2669">
            <v>3374</v>
          </cell>
          <cell r="J2669">
            <v>0.13244301369863012</v>
          </cell>
        </row>
        <row r="2670">
          <cell r="I2670">
            <v>3375</v>
          </cell>
          <cell r="J2670">
            <v>0.13244465753424658</v>
          </cell>
        </row>
        <row r="2671">
          <cell r="I2671">
            <v>3376</v>
          </cell>
          <cell r="J2671">
            <v>0.13244630136986302</v>
          </cell>
        </row>
        <row r="2672">
          <cell r="I2672">
            <v>3377</v>
          </cell>
          <cell r="J2672">
            <v>0.13244794520547945</v>
          </cell>
        </row>
        <row r="2673">
          <cell r="I2673">
            <v>3378</v>
          </cell>
          <cell r="J2673">
            <v>0.13244958904109588</v>
          </cell>
        </row>
        <row r="2674">
          <cell r="I2674">
            <v>3379</v>
          </cell>
          <cell r="J2674">
            <v>0.13245123287671232</v>
          </cell>
        </row>
        <row r="2675">
          <cell r="I2675">
            <v>3380</v>
          </cell>
          <cell r="J2675">
            <v>0.13245287671232878</v>
          </cell>
        </row>
        <row r="2676">
          <cell r="I2676">
            <v>3381</v>
          </cell>
          <cell r="J2676">
            <v>0.13245452054794521</v>
          </cell>
        </row>
        <row r="2677">
          <cell r="I2677">
            <v>3382</v>
          </cell>
          <cell r="J2677">
            <v>0.13245616438356164</v>
          </cell>
        </row>
        <row r="2678">
          <cell r="I2678">
            <v>3383</v>
          </cell>
          <cell r="J2678">
            <v>0.13245780821917807</v>
          </cell>
        </row>
        <row r="2679">
          <cell r="I2679">
            <v>3384</v>
          </cell>
          <cell r="J2679">
            <v>0.13245945205479451</v>
          </cell>
        </row>
        <row r="2680">
          <cell r="I2680">
            <v>3385</v>
          </cell>
          <cell r="J2680">
            <v>0.13246109589041097</v>
          </cell>
        </row>
        <row r="2681">
          <cell r="I2681">
            <v>3386</v>
          </cell>
          <cell r="J2681">
            <v>0.1324627397260274</v>
          </cell>
        </row>
        <row r="2682">
          <cell r="I2682">
            <v>3387</v>
          </cell>
          <cell r="J2682">
            <v>0.13246438356164383</v>
          </cell>
        </row>
        <row r="2683">
          <cell r="I2683">
            <v>3388</v>
          </cell>
          <cell r="J2683">
            <v>0.13246602739726027</v>
          </cell>
        </row>
        <row r="2684">
          <cell r="I2684">
            <v>3389</v>
          </cell>
          <cell r="J2684">
            <v>0.1324676712328767</v>
          </cell>
        </row>
        <row r="2685">
          <cell r="I2685">
            <v>3390</v>
          </cell>
          <cell r="J2685">
            <v>0.13246931506849316</v>
          </cell>
        </row>
        <row r="2686">
          <cell r="I2686">
            <v>3391</v>
          </cell>
          <cell r="J2686">
            <v>0.13247095890410959</v>
          </cell>
        </row>
        <row r="2687">
          <cell r="I2687">
            <v>3392</v>
          </cell>
          <cell r="J2687">
            <v>0.13247260273972603</v>
          </cell>
        </row>
        <row r="2688">
          <cell r="I2688">
            <v>3393</v>
          </cell>
          <cell r="J2688">
            <v>0.13247424657534246</v>
          </cell>
        </row>
        <row r="2689">
          <cell r="I2689">
            <v>3394</v>
          </cell>
          <cell r="J2689">
            <v>0.13247589041095889</v>
          </cell>
        </row>
        <row r="2690">
          <cell r="I2690">
            <v>3395</v>
          </cell>
          <cell r="J2690">
            <v>0.13247753424657535</v>
          </cell>
        </row>
        <row r="2691">
          <cell r="I2691">
            <v>3396</v>
          </cell>
          <cell r="J2691">
            <v>0.13247917808219178</v>
          </cell>
        </row>
        <row r="2692">
          <cell r="I2692">
            <v>3397</v>
          </cell>
          <cell r="J2692">
            <v>0.13248082191780822</v>
          </cell>
        </row>
        <row r="2693">
          <cell r="I2693">
            <v>3398</v>
          </cell>
          <cell r="J2693">
            <v>0.13248246575342465</v>
          </cell>
        </row>
        <row r="2694">
          <cell r="I2694">
            <v>3399</v>
          </cell>
          <cell r="J2694">
            <v>0.13248410958904108</v>
          </cell>
        </row>
        <row r="2695">
          <cell r="I2695">
            <v>3400</v>
          </cell>
          <cell r="J2695">
            <v>0.13248575342465754</v>
          </cell>
        </row>
        <row r="2696">
          <cell r="I2696">
            <v>3401</v>
          </cell>
          <cell r="J2696">
            <v>0.13248739726027398</v>
          </cell>
        </row>
        <row r="2697">
          <cell r="I2697">
            <v>3402</v>
          </cell>
          <cell r="J2697">
            <v>0.13248904109589041</v>
          </cell>
        </row>
        <row r="2698">
          <cell r="I2698">
            <v>3403</v>
          </cell>
          <cell r="J2698">
            <v>0.13249068493150684</v>
          </cell>
        </row>
        <row r="2699">
          <cell r="I2699">
            <v>3404</v>
          </cell>
          <cell r="J2699">
            <v>0.13249232876712327</v>
          </cell>
        </row>
        <row r="2700">
          <cell r="I2700">
            <v>3405</v>
          </cell>
          <cell r="J2700">
            <v>0.13249397260273973</v>
          </cell>
        </row>
        <row r="2701">
          <cell r="I2701">
            <v>3406</v>
          </cell>
          <cell r="J2701">
            <v>0.13249561643835617</v>
          </cell>
        </row>
        <row r="2702">
          <cell r="I2702">
            <v>3407</v>
          </cell>
          <cell r="J2702">
            <v>0.1324972602739726</v>
          </cell>
        </row>
        <row r="2703">
          <cell r="I2703">
            <v>3408</v>
          </cell>
          <cell r="J2703">
            <v>0.13249890410958903</v>
          </cell>
        </row>
        <row r="2704">
          <cell r="I2704">
            <v>3409</v>
          </cell>
          <cell r="J2704">
            <v>0.13250054794520547</v>
          </cell>
        </row>
        <row r="2705">
          <cell r="I2705">
            <v>3410</v>
          </cell>
          <cell r="J2705">
            <v>0.13250219178082193</v>
          </cell>
        </row>
        <row r="2706">
          <cell r="I2706">
            <v>3411</v>
          </cell>
          <cell r="J2706">
            <v>0.13250383561643836</v>
          </cell>
        </row>
        <row r="2707">
          <cell r="I2707">
            <v>3412</v>
          </cell>
          <cell r="J2707">
            <v>0.13250547945205479</v>
          </cell>
        </row>
        <row r="2708">
          <cell r="I2708">
            <v>3413</v>
          </cell>
          <cell r="J2708">
            <v>0.13250712328767122</v>
          </cell>
        </row>
        <row r="2709">
          <cell r="I2709">
            <v>3414</v>
          </cell>
          <cell r="J2709">
            <v>0.13250876712328766</v>
          </cell>
        </row>
        <row r="2710">
          <cell r="I2710">
            <v>3415</v>
          </cell>
          <cell r="J2710">
            <v>0.13251041095890412</v>
          </cell>
        </row>
        <row r="2711">
          <cell r="I2711">
            <v>3416</v>
          </cell>
          <cell r="J2711">
            <v>0.13251205479452055</v>
          </cell>
        </row>
        <row r="2712">
          <cell r="I2712">
            <v>3417</v>
          </cell>
          <cell r="J2712">
            <v>0.13251369863013698</v>
          </cell>
        </row>
        <row r="2713">
          <cell r="I2713">
            <v>3418</v>
          </cell>
          <cell r="J2713">
            <v>0.13251534246575342</v>
          </cell>
        </row>
        <row r="2714">
          <cell r="I2714">
            <v>3419</v>
          </cell>
          <cell r="J2714">
            <v>0.13251698630136985</v>
          </cell>
        </row>
        <row r="2715">
          <cell r="I2715">
            <v>3420</v>
          </cell>
          <cell r="J2715">
            <v>0.13251863013698631</v>
          </cell>
        </row>
        <row r="2716">
          <cell r="I2716">
            <v>3421</v>
          </cell>
          <cell r="J2716">
            <v>0.13252027397260274</v>
          </cell>
        </row>
        <row r="2717">
          <cell r="I2717">
            <v>3422</v>
          </cell>
          <cell r="J2717">
            <v>0.13252191780821918</v>
          </cell>
        </row>
        <row r="2718">
          <cell r="I2718">
            <v>3423</v>
          </cell>
          <cell r="J2718">
            <v>0.13252356164383561</v>
          </cell>
        </row>
        <row r="2719">
          <cell r="I2719">
            <v>3424</v>
          </cell>
          <cell r="J2719">
            <v>0.13252520547945204</v>
          </cell>
        </row>
        <row r="2720">
          <cell r="I2720">
            <v>3425</v>
          </cell>
          <cell r="J2720">
            <v>0.1325268493150685</v>
          </cell>
        </row>
        <row r="2721">
          <cell r="I2721">
            <v>3426</v>
          </cell>
          <cell r="J2721">
            <v>0.13252849315068493</v>
          </cell>
        </row>
        <row r="2722">
          <cell r="I2722">
            <v>3427</v>
          </cell>
          <cell r="J2722">
            <v>0.13253013698630137</v>
          </cell>
        </row>
        <row r="2723">
          <cell r="I2723">
            <v>3428</v>
          </cell>
          <cell r="J2723">
            <v>0.1325317808219178</v>
          </cell>
        </row>
        <row r="2724">
          <cell r="I2724">
            <v>3429</v>
          </cell>
          <cell r="J2724">
            <v>0.13253342465753423</v>
          </cell>
        </row>
        <row r="2725">
          <cell r="I2725">
            <v>3430</v>
          </cell>
          <cell r="J2725">
            <v>0.13253506849315069</v>
          </cell>
        </row>
        <row r="2726">
          <cell r="I2726">
            <v>3431</v>
          </cell>
          <cell r="J2726">
            <v>0.13253671232876713</v>
          </cell>
        </row>
        <row r="2727">
          <cell r="I2727">
            <v>3432</v>
          </cell>
          <cell r="J2727">
            <v>0.13253835616438356</v>
          </cell>
        </row>
        <row r="2728">
          <cell r="I2728">
            <v>3433</v>
          </cell>
          <cell r="J2728">
            <v>0.13253999999999999</v>
          </cell>
        </row>
        <row r="2729">
          <cell r="I2729">
            <v>3434</v>
          </cell>
          <cell r="J2729">
            <v>0.13254164383561642</v>
          </cell>
        </row>
        <row r="2730">
          <cell r="I2730">
            <v>3435</v>
          </cell>
          <cell r="J2730">
            <v>0.13254328767123288</v>
          </cell>
        </row>
        <row r="2731">
          <cell r="I2731">
            <v>3436</v>
          </cell>
          <cell r="J2731">
            <v>0.13254493150684932</v>
          </cell>
        </row>
        <row r="2732">
          <cell r="I2732">
            <v>3437</v>
          </cell>
          <cell r="J2732">
            <v>0.13254657534246575</v>
          </cell>
        </row>
        <row r="2733">
          <cell r="I2733">
            <v>3438</v>
          </cell>
          <cell r="J2733">
            <v>0.13254821917808218</v>
          </cell>
        </row>
        <row r="2734">
          <cell r="I2734">
            <v>3439</v>
          </cell>
          <cell r="J2734">
            <v>0.13254986301369862</v>
          </cell>
        </row>
        <row r="2735">
          <cell r="I2735">
            <v>3440</v>
          </cell>
          <cell r="J2735">
            <v>0.13255150684931508</v>
          </cell>
        </row>
        <row r="2736">
          <cell r="I2736">
            <v>3441</v>
          </cell>
          <cell r="J2736">
            <v>0.13255315068493151</v>
          </cell>
        </row>
        <row r="2737">
          <cell r="I2737">
            <v>3442</v>
          </cell>
          <cell r="J2737">
            <v>0.13255479452054794</v>
          </cell>
        </row>
        <row r="2738">
          <cell r="I2738">
            <v>3443</v>
          </cell>
          <cell r="J2738">
            <v>0.13255643835616437</v>
          </cell>
        </row>
        <row r="2739">
          <cell r="I2739">
            <v>3444</v>
          </cell>
          <cell r="J2739">
            <v>0.13255808219178081</v>
          </cell>
        </row>
        <row r="2740">
          <cell r="I2740">
            <v>3445</v>
          </cell>
          <cell r="J2740">
            <v>0.13255972602739727</v>
          </cell>
        </row>
        <row r="2741">
          <cell r="I2741">
            <v>3446</v>
          </cell>
          <cell r="J2741">
            <v>0.1325613698630137</v>
          </cell>
        </row>
        <row r="2742">
          <cell r="I2742">
            <v>3447</v>
          </cell>
          <cell r="J2742">
            <v>0.13256301369863013</v>
          </cell>
        </row>
        <row r="2743">
          <cell r="I2743">
            <v>3448</v>
          </cell>
          <cell r="J2743">
            <v>0.13256465753424657</v>
          </cell>
        </row>
        <row r="2744">
          <cell r="I2744">
            <v>3449</v>
          </cell>
          <cell r="J2744">
            <v>0.132566301369863</v>
          </cell>
        </row>
        <row r="2745">
          <cell r="I2745">
            <v>3450</v>
          </cell>
          <cell r="J2745">
            <v>0.13256794520547946</v>
          </cell>
        </row>
        <row r="2746">
          <cell r="I2746">
            <v>3451</v>
          </cell>
          <cell r="J2746">
            <v>0.13256958904109589</v>
          </cell>
        </row>
        <row r="2747">
          <cell r="I2747">
            <v>3452</v>
          </cell>
          <cell r="J2747">
            <v>0.13257123287671232</v>
          </cell>
        </row>
        <row r="2748">
          <cell r="I2748">
            <v>3453</v>
          </cell>
          <cell r="J2748">
            <v>0.13257287671232876</v>
          </cell>
        </row>
        <row r="2749">
          <cell r="I2749">
            <v>3454</v>
          </cell>
          <cell r="J2749">
            <v>0.13257452054794519</v>
          </cell>
        </row>
        <row r="2750">
          <cell r="I2750">
            <v>3455</v>
          </cell>
          <cell r="J2750">
            <v>0.13257616438356165</v>
          </cell>
        </row>
        <row r="2751">
          <cell r="I2751">
            <v>3456</v>
          </cell>
          <cell r="J2751">
            <v>0.13257780821917808</v>
          </cell>
        </row>
        <row r="2752">
          <cell r="I2752">
            <v>3457</v>
          </cell>
          <cell r="J2752">
            <v>0.13257945205479452</v>
          </cell>
        </row>
        <row r="2753">
          <cell r="I2753">
            <v>3458</v>
          </cell>
          <cell r="J2753">
            <v>0.13258109589041095</v>
          </cell>
        </row>
        <row r="2754">
          <cell r="I2754">
            <v>3459</v>
          </cell>
          <cell r="J2754">
            <v>0.13258273972602738</v>
          </cell>
        </row>
        <row r="2755">
          <cell r="I2755">
            <v>3460</v>
          </cell>
          <cell r="J2755">
            <v>0.13258438356164384</v>
          </cell>
        </row>
        <row r="2756">
          <cell r="I2756">
            <v>3461</v>
          </cell>
          <cell r="J2756">
            <v>0.13258602739726028</v>
          </cell>
        </row>
        <row r="2757">
          <cell r="I2757">
            <v>3462</v>
          </cell>
          <cell r="J2757">
            <v>0.13258767123287671</v>
          </cell>
        </row>
        <row r="2758">
          <cell r="I2758">
            <v>3463</v>
          </cell>
          <cell r="J2758">
            <v>0.13258931506849314</v>
          </cell>
        </row>
        <row r="2759">
          <cell r="I2759">
            <v>3464</v>
          </cell>
          <cell r="J2759">
            <v>0.13259095890410957</v>
          </cell>
        </row>
        <row r="2760">
          <cell r="I2760">
            <v>3465</v>
          </cell>
          <cell r="J2760">
            <v>0.13259260273972603</v>
          </cell>
        </row>
        <row r="2761">
          <cell r="I2761">
            <v>3466</v>
          </cell>
          <cell r="J2761">
            <v>0.13259424657534247</v>
          </cell>
        </row>
        <row r="2762">
          <cell r="I2762">
            <v>3467</v>
          </cell>
          <cell r="J2762">
            <v>0.1325958904109589</v>
          </cell>
        </row>
        <row r="2763">
          <cell r="I2763">
            <v>3468</v>
          </cell>
          <cell r="J2763">
            <v>0.13259753424657533</v>
          </cell>
        </row>
        <row r="2764">
          <cell r="I2764">
            <v>3469</v>
          </cell>
          <cell r="J2764">
            <v>0.13259917808219177</v>
          </cell>
        </row>
        <row r="2765">
          <cell r="I2765">
            <v>3470</v>
          </cell>
          <cell r="J2765">
            <v>0.13260082191780823</v>
          </cell>
        </row>
        <row r="2766">
          <cell r="I2766">
            <v>3471</v>
          </cell>
          <cell r="J2766">
            <v>0.13260246575342466</v>
          </cell>
        </row>
        <row r="2767">
          <cell r="I2767">
            <v>3472</v>
          </cell>
          <cell r="J2767">
            <v>0.13260410958904109</v>
          </cell>
        </row>
        <row r="2768">
          <cell r="I2768">
            <v>3473</v>
          </cell>
          <cell r="J2768">
            <v>0.13260575342465752</v>
          </cell>
        </row>
        <row r="2769">
          <cell r="I2769">
            <v>3474</v>
          </cell>
          <cell r="J2769">
            <v>0.13260739726027396</v>
          </cell>
        </row>
        <row r="2770">
          <cell r="I2770">
            <v>3475</v>
          </cell>
          <cell r="J2770">
            <v>0.13260904109589042</v>
          </cell>
        </row>
        <row r="2771">
          <cell r="I2771">
            <v>3476</v>
          </cell>
          <cell r="J2771">
            <v>0.13261068493150685</v>
          </cell>
        </row>
        <row r="2772">
          <cell r="I2772">
            <v>3477</v>
          </cell>
          <cell r="J2772">
            <v>0.13261232876712328</v>
          </cell>
        </row>
        <row r="2773">
          <cell r="I2773">
            <v>3478</v>
          </cell>
          <cell r="J2773">
            <v>0.13261397260273972</v>
          </cell>
        </row>
        <row r="2774">
          <cell r="I2774">
            <v>3479</v>
          </cell>
          <cell r="J2774">
            <v>0.13261561643835615</v>
          </cell>
        </row>
        <row r="2775">
          <cell r="I2775">
            <v>3480</v>
          </cell>
          <cell r="J2775">
            <v>0.13261726027397261</v>
          </cell>
        </row>
        <row r="2776">
          <cell r="I2776">
            <v>3481</v>
          </cell>
          <cell r="J2776">
            <v>0.13261890410958904</v>
          </cell>
        </row>
        <row r="2777">
          <cell r="I2777">
            <v>3482</v>
          </cell>
          <cell r="J2777">
            <v>0.13262054794520547</v>
          </cell>
        </row>
        <row r="2778">
          <cell r="I2778">
            <v>3483</v>
          </cell>
          <cell r="J2778">
            <v>0.13262219178082191</v>
          </cell>
        </row>
        <row r="2779">
          <cell r="I2779">
            <v>3484</v>
          </cell>
          <cell r="J2779">
            <v>0.13262383561643834</v>
          </cell>
        </row>
        <row r="2780">
          <cell r="I2780">
            <v>3485</v>
          </cell>
          <cell r="J2780">
            <v>0.1326254794520548</v>
          </cell>
        </row>
        <row r="2781">
          <cell r="I2781">
            <v>3486</v>
          </cell>
          <cell r="J2781">
            <v>0.13262712328767123</v>
          </cell>
        </row>
        <row r="2782">
          <cell r="I2782">
            <v>3487</v>
          </cell>
          <cell r="J2782">
            <v>0.13262876712328767</v>
          </cell>
        </row>
        <row r="2783">
          <cell r="I2783">
            <v>3488</v>
          </cell>
          <cell r="J2783">
            <v>0.1326304109589041</v>
          </cell>
        </row>
        <row r="2784">
          <cell r="I2784">
            <v>3489</v>
          </cell>
          <cell r="J2784">
            <v>0.13263205479452053</v>
          </cell>
        </row>
        <row r="2785">
          <cell r="I2785">
            <v>3490</v>
          </cell>
          <cell r="J2785">
            <v>0.13263369863013699</v>
          </cell>
        </row>
        <row r="2786">
          <cell r="I2786">
            <v>3491</v>
          </cell>
          <cell r="J2786">
            <v>0.13263534246575343</v>
          </cell>
        </row>
        <row r="2787">
          <cell r="I2787">
            <v>3492</v>
          </cell>
          <cell r="J2787">
            <v>0.13263698630136986</v>
          </cell>
        </row>
        <row r="2788">
          <cell r="I2788">
            <v>3493</v>
          </cell>
          <cell r="J2788">
            <v>0.13263863013698629</v>
          </cell>
        </row>
        <row r="2789">
          <cell r="I2789">
            <v>3494</v>
          </cell>
          <cell r="J2789">
            <v>0.13264027397260272</v>
          </cell>
        </row>
        <row r="2790">
          <cell r="I2790">
            <v>3495</v>
          </cell>
          <cell r="J2790">
            <v>0.13264191780821918</v>
          </cell>
        </row>
        <row r="2791">
          <cell r="I2791">
            <v>3496</v>
          </cell>
          <cell r="J2791">
            <v>0.13264356164383562</v>
          </cell>
        </row>
        <row r="2792">
          <cell r="I2792">
            <v>3497</v>
          </cell>
          <cell r="J2792">
            <v>0.13264520547945205</v>
          </cell>
        </row>
        <row r="2793">
          <cell r="I2793">
            <v>3498</v>
          </cell>
          <cell r="J2793">
            <v>0.13264684931506848</v>
          </cell>
        </row>
        <row r="2794">
          <cell r="I2794">
            <v>3499</v>
          </cell>
          <cell r="J2794">
            <v>0.13264849315068492</v>
          </cell>
        </row>
        <row r="2795">
          <cell r="I2795">
            <v>3500</v>
          </cell>
          <cell r="J2795">
            <v>0.13265013698630138</v>
          </cell>
        </row>
        <row r="2796">
          <cell r="I2796">
            <v>3501</v>
          </cell>
          <cell r="J2796">
            <v>0.13265178082191781</v>
          </cell>
        </row>
        <row r="2797">
          <cell r="I2797">
            <v>3502</v>
          </cell>
          <cell r="J2797">
            <v>0.13265342465753424</v>
          </cell>
        </row>
        <row r="2798">
          <cell r="I2798">
            <v>3503</v>
          </cell>
          <cell r="J2798">
            <v>0.13265506849315067</v>
          </cell>
        </row>
        <row r="2799">
          <cell r="I2799">
            <v>3504</v>
          </cell>
          <cell r="J2799">
            <v>0.13265671232876711</v>
          </cell>
        </row>
        <row r="2800">
          <cell r="I2800">
            <v>3505</v>
          </cell>
          <cell r="J2800">
            <v>0.13265835616438357</v>
          </cell>
        </row>
        <row r="2801">
          <cell r="I2801">
            <v>3506</v>
          </cell>
          <cell r="J2801">
            <v>0.13266</v>
          </cell>
        </row>
        <row r="2802">
          <cell r="I2802">
            <v>3507</v>
          </cell>
          <cell r="J2802">
            <v>0.13266164383561643</v>
          </cell>
        </row>
        <row r="2803">
          <cell r="I2803">
            <v>3508</v>
          </cell>
          <cell r="J2803">
            <v>0.13266328767123287</v>
          </cell>
        </row>
        <row r="2804">
          <cell r="I2804">
            <v>3509</v>
          </cell>
          <cell r="J2804">
            <v>0.1326649315068493</v>
          </cell>
        </row>
        <row r="2805">
          <cell r="I2805">
            <v>3510</v>
          </cell>
          <cell r="J2805">
            <v>0.13266657534246576</v>
          </cell>
        </row>
        <row r="2806">
          <cell r="I2806">
            <v>3511</v>
          </cell>
          <cell r="J2806">
            <v>0.13266821917808219</v>
          </cell>
        </row>
        <row r="2807">
          <cell r="I2807">
            <v>3512</v>
          </cell>
          <cell r="J2807">
            <v>0.13266986301369862</v>
          </cell>
        </row>
        <row r="2808">
          <cell r="I2808">
            <v>3513</v>
          </cell>
          <cell r="J2808">
            <v>0.13267150684931506</v>
          </cell>
        </row>
        <row r="2809">
          <cell r="I2809">
            <v>3514</v>
          </cell>
          <cell r="J2809">
            <v>0.13267315068493149</v>
          </cell>
        </row>
        <row r="2810">
          <cell r="I2810">
            <v>3515</v>
          </cell>
          <cell r="J2810">
            <v>0.13267479452054795</v>
          </cell>
        </row>
        <row r="2811">
          <cell r="I2811">
            <v>3516</v>
          </cell>
          <cell r="J2811">
            <v>0.13267643835616438</v>
          </cell>
        </row>
        <row r="2812">
          <cell r="I2812">
            <v>3517</v>
          </cell>
          <cell r="J2812">
            <v>0.13267808219178082</v>
          </cell>
        </row>
        <row r="2813">
          <cell r="I2813">
            <v>3518</v>
          </cell>
          <cell r="J2813">
            <v>0.13267972602739725</v>
          </cell>
        </row>
        <row r="2814">
          <cell r="I2814">
            <v>3519</v>
          </cell>
          <cell r="J2814">
            <v>0.13268136986301368</v>
          </cell>
        </row>
        <row r="2815">
          <cell r="I2815">
            <v>3520</v>
          </cell>
          <cell r="J2815">
            <v>0.13268301369863014</v>
          </cell>
        </row>
        <row r="2816">
          <cell r="I2816">
            <v>3521</v>
          </cell>
          <cell r="J2816">
            <v>0.13268465753424658</v>
          </cell>
        </row>
        <row r="2817">
          <cell r="I2817">
            <v>3522</v>
          </cell>
          <cell r="J2817">
            <v>0.13268630136986301</v>
          </cell>
        </row>
        <row r="2818">
          <cell r="I2818">
            <v>3523</v>
          </cell>
          <cell r="J2818">
            <v>0.13268794520547944</v>
          </cell>
        </row>
        <row r="2819">
          <cell r="I2819">
            <v>3524</v>
          </cell>
          <cell r="J2819">
            <v>0.13268958904109587</v>
          </cell>
        </row>
        <row r="2820">
          <cell r="I2820">
            <v>3525</v>
          </cell>
          <cell r="J2820">
            <v>0.13269123287671233</v>
          </cell>
        </row>
        <row r="2821">
          <cell r="I2821">
            <v>3526</v>
          </cell>
          <cell r="J2821">
            <v>0.13269287671232877</v>
          </cell>
        </row>
        <row r="2822">
          <cell r="I2822">
            <v>3527</v>
          </cell>
          <cell r="J2822">
            <v>0.1326945205479452</v>
          </cell>
        </row>
        <row r="2823">
          <cell r="I2823">
            <v>3528</v>
          </cell>
          <cell r="J2823">
            <v>0.13269616438356163</v>
          </cell>
        </row>
        <row r="2824">
          <cell r="I2824">
            <v>3529</v>
          </cell>
          <cell r="J2824">
            <v>0.13269780821917807</v>
          </cell>
        </row>
        <row r="2825">
          <cell r="I2825">
            <v>3530</v>
          </cell>
          <cell r="J2825">
            <v>0.13269945205479453</v>
          </cell>
        </row>
        <row r="2826">
          <cell r="I2826">
            <v>3531</v>
          </cell>
          <cell r="J2826">
            <v>0.13270109589041096</v>
          </cell>
        </row>
        <row r="2827">
          <cell r="I2827">
            <v>3532</v>
          </cell>
          <cell r="J2827">
            <v>0.13270273972602739</v>
          </cell>
        </row>
        <row r="2828">
          <cell r="I2828">
            <v>3533</v>
          </cell>
          <cell r="J2828">
            <v>0.13270438356164382</v>
          </cell>
        </row>
        <row r="2829">
          <cell r="I2829">
            <v>3534</v>
          </cell>
          <cell r="J2829">
            <v>0.13270602739726026</v>
          </cell>
        </row>
        <row r="2830">
          <cell r="I2830">
            <v>3535</v>
          </cell>
          <cell r="J2830">
            <v>0.13270767123287672</v>
          </cell>
        </row>
        <row r="2831">
          <cell r="I2831">
            <v>3536</v>
          </cell>
          <cell r="J2831">
            <v>0.13270931506849315</v>
          </cell>
        </row>
        <row r="2832">
          <cell r="I2832">
            <v>3537</v>
          </cell>
          <cell r="J2832">
            <v>0.13271095890410958</v>
          </cell>
        </row>
        <row r="2833">
          <cell r="I2833">
            <v>3538</v>
          </cell>
          <cell r="J2833">
            <v>0.13271260273972602</v>
          </cell>
        </row>
        <row r="2834">
          <cell r="I2834">
            <v>3539</v>
          </cell>
          <cell r="J2834">
            <v>0.13271424657534245</v>
          </cell>
        </row>
        <row r="2835">
          <cell r="I2835">
            <v>3540</v>
          </cell>
          <cell r="J2835">
            <v>0.13271589041095891</v>
          </cell>
        </row>
        <row r="2836">
          <cell r="I2836">
            <v>3541</v>
          </cell>
          <cell r="J2836">
            <v>0.13271753424657534</v>
          </cell>
        </row>
        <row r="2837">
          <cell r="I2837">
            <v>3542</v>
          </cell>
          <cell r="J2837">
            <v>0.13271917808219177</v>
          </cell>
        </row>
        <row r="2838">
          <cell r="I2838">
            <v>3543</v>
          </cell>
          <cell r="J2838">
            <v>0.13272082191780821</v>
          </cell>
        </row>
        <row r="2839">
          <cell r="I2839">
            <v>3544</v>
          </cell>
          <cell r="J2839">
            <v>0.13272246575342464</v>
          </cell>
        </row>
        <row r="2840">
          <cell r="I2840">
            <v>3545</v>
          </cell>
          <cell r="J2840">
            <v>0.1327241095890411</v>
          </cell>
        </row>
        <row r="2841">
          <cell r="I2841">
            <v>3546</v>
          </cell>
          <cell r="J2841">
            <v>0.13272575342465753</v>
          </cell>
        </row>
        <row r="2842">
          <cell r="I2842">
            <v>3547</v>
          </cell>
          <cell r="J2842">
            <v>0.13272739726027397</v>
          </cell>
        </row>
        <row r="2843">
          <cell r="I2843">
            <v>3548</v>
          </cell>
          <cell r="J2843">
            <v>0.1327290410958904</v>
          </cell>
        </row>
        <row r="2844">
          <cell r="I2844">
            <v>3549</v>
          </cell>
          <cell r="J2844">
            <v>0.13273068493150683</v>
          </cell>
        </row>
        <row r="2845">
          <cell r="I2845">
            <v>3550</v>
          </cell>
          <cell r="J2845">
            <v>0.13273232876712329</v>
          </cell>
        </row>
        <row r="2846">
          <cell r="I2846">
            <v>3551</v>
          </cell>
          <cell r="J2846">
            <v>0.13273397260273972</v>
          </cell>
        </row>
        <row r="2847">
          <cell r="I2847">
            <v>3552</v>
          </cell>
          <cell r="J2847">
            <v>0.13273561643835616</v>
          </cell>
        </row>
        <row r="2848">
          <cell r="I2848">
            <v>3553</v>
          </cell>
          <cell r="J2848">
            <v>0.13273726027397259</v>
          </cell>
        </row>
        <row r="2849">
          <cell r="I2849">
            <v>3554</v>
          </cell>
          <cell r="J2849">
            <v>0.13273890410958902</v>
          </cell>
        </row>
        <row r="2850">
          <cell r="I2850">
            <v>3555</v>
          </cell>
          <cell r="J2850">
            <v>0.13274054794520548</v>
          </cell>
        </row>
        <row r="2851">
          <cell r="I2851">
            <v>3556</v>
          </cell>
          <cell r="J2851">
            <v>0.13274219178082192</v>
          </cell>
        </row>
        <row r="2852">
          <cell r="I2852">
            <v>3557</v>
          </cell>
          <cell r="J2852">
            <v>0.13274383561643835</v>
          </cell>
        </row>
        <row r="2853">
          <cell r="I2853">
            <v>3558</v>
          </cell>
          <cell r="J2853">
            <v>0.13274547945205478</v>
          </cell>
        </row>
        <row r="2854">
          <cell r="I2854">
            <v>3559</v>
          </cell>
          <cell r="J2854">
            <v>0.13274712328767121</v>
          </cell>
        </row>
        <row r="2855">
          <cell r="I2855">
            <v>3560</v>
          </cell>
          <cell r="J2855">
            <v>0.13274876712328768</v>
          </cell>
        </row>
        <row r="2856">
          <cell r="I2856">
            <v>3561</v>
          </cell>
          <cell r="J2856">
            <v>0.13275041095890411</v>
          </cell>
        </row>
        <row r="2857">
          <cell r="I2857">
            <v>3562</v>
          </cell>
          <cell r="J2857">
            <v>0.13275205479452054</v>
          </cell>
        </row>
        <row r="2858">
          <cell r="I2858">
            <v>3563</v>
          </cell>
          <cell r="J2858">
            <v>0.13275369863013697</v>
          </cell>
        </row>
        <row r="2859">
          <cell r="I2859">
            <v>3564</v>
          </cell>
          <cell r="J2859">
            <v>0.13275534246575341</v>
          </cell>
        </row>
        <row r="2860">
          <cell r="I2860">
            <v>3565</v>
          </cell>
          <cell r="J2860">
            <v>0.13275698630136987</v>
          </cell>
        </row>
        <row r="2861">
          <cell r="I2861">
            <v>3566</v>
          </cell>
          <cell r="J2861">
            <v>0.1327586301369863</v>
          </cell>
        </row>
        <row r="2862">
          <cell r="I2862">
            <v>3567</v>
          </cell>
          <cell r="J2862">
            <v>0.13276027397260273</v>
          </cell>
        </row>
        <row r="2863">
          <cell r="I2863">
            <v>3568</v>
          </cell>
          <cell r="J2863">
            <v>0.13276191780821917</v>
          </cell>
        </row>
        <row r="2864">
          <cell r="I2864">
            <v>3569</v>
          </cell>
          <cell r="J2864">
            <v>0.1327635616438356</v>
          </cell>
        </row>
        <row r="2865">
          <cell r="I2865">
            <v>3570</v>
          </cell>
          <cell r="J2865">
            <v>0.13276520547945206</v>
          </cell>
        </row>
        <row r="2866">
          <cell r="I2866">
            <v>3571</v>
          </cell>
          <cell r="J2866">
            <v>0.13276684931506849</v>
          </cell>
        </row>
        <row r="2867">
          <cell r="I2867">
            <v>3572</v>
          </cell>
          <cell r="J2867">
            <v>0.13276849315068492</v>
          </cell>
        </row>
        <row r="2868">
          <cell r="I2868">
            <v>3573</v>
          </cell>
          <cell r="J2868">
            <v>0.13277013698630136</v>
          </cell>
        </row>
        <row r="2869">
          <cell r="I2869">
            <v>3574</v>
          </cell>
          <cell r="J2869">
            <v>0.13277178082191779</v>
          </cell>
        </row>
        <row r="2870">
          <cell r="I2870">
            <v>3575</v>
          </cell>
          <cell r="J2870">
            <v>0.13277342465753425</v>
          </cell>
        </row>
        <row r="2871">
          <cell r="I2871">
            <v>3576</v>
          </cell>
          <cell r="J2871">
            <v>0.13277506849315068</v>
          </cell>
        </row>
        <row r="2872">
          <cell r="I2872">
            <v>3577</v>
          </cell>
          <cell r="J2872">
            <v>0.13277671232876712</v>
          </cell>
        </row>
        <row r="2873">
          <cell r="I2873">
            <v>3578</v>
          </cell>
          <cell r="J2873">
            <v>0.13277835616438355</v>
          </cell>
        </row>
        <row r="2874">
          <cell r="I2874">
            <v>3579</v>
          </cell>
          <cell r="J2874">
            <v>0.13277999999999998</v>
          </cell>
        </row>
        <row r="2875">
          <cell r="I2875">
            <v>3580</v>
          </cell>
          <cell r="J2875">
            <v>0.13278164383561644</v>
          </cell>
        </row>
        <row r="2876">
          <cell r="I2876">
            <v>3581</v>
          </cell>
          <cell r="J2876">
            <v>0.13278328767123287</v>
          </cell>
        </row>
        <row r="2877">
          <cell r="I2877">
            <v>3582</v>
          </cell>
          <cell r="J2877">
            <v>0.13278493150684931</v>
          </cell>
        </row>
        <row r="2878">
          <cell r="I2878">
            <v>3583</v>
          </cell>
          <cell r="J2878">
            <v>0.13278657534246574</v>
          </cell>
        </row>
        <row r="2879">
          <cell r="I2879">
            <v>3584</v>
          </cell>
          <cell r="J2879">
            <v>0.13278821917808217</v>
          </cell>
        </row>
        <row r="2880">
          <cell r="I2880">
            <v>3585</v>
          </cell>
          <cell r="J2880">
            <v>0.13278986301369863</v>
          </cell>
        </row>
        <row r="2881">
          <cell r="I2881">
            <v>3586</v>
          </cell>
          <cell r="J2881">
            <v>0.13279150684931507</v>
          </cell>
        </row>
        <row r="2882">
          <cell r="I2882">
            <v>3587</v>
          </cell>
          <cell r="J2882">
            <v>0.1327931506849315</v>
          </cell>
        </row>
        <row r="2883">
          <cell r="I2883">
            <v>3588</v>
          </cell>
          <cell r="J2883">
            <v>0.13279479452054793</v>
          </cell>
        </row>
        <row r="2884">
          <cell r="I2884">
            <v>3589</v>
          </cell>
          <cell r="J2884">
            <v>0.13279643835616436</v>
          </cell>
        </row>
        <row r="2885">
          <cell r="I2885">
            <v>3590</v>
          </cell>
          <cell r="J2885">
            <v>0.13279808219178083</v>
          </cell>
        </row>
        <row r="2886">
          <cell r="I2886">
            <v>3591</v>
          </cell>
          <cell r="J2886">
            <v>0.13279972602739726</v>
          </cell>
        </row>
        <row r="2887">
          <cell r="I2887">
            <v>3592</v>
          </cell>
          <cell r="J2887">
            <v>0.13280136986301369</v>
          </cell>
        </row>
        <row r="2888">
          <cell r="I2888">
            <v>3593</v>
          </cell>
          <cell r="J2888">
            <v>0.13280301369863012</v>
          </cell>
        </row>
        <row r="2889">
          <cell r="I2889">
            <v>3594</v>
          </cell>
          <cell r="J2889">
            <v>0.13280465753424656</v>
          </cell>
        </row>
        <row r="2890">
          <cell r="I2890">
            <v>3595</v>
          </cell>
          <cell r="J2890">
            <v>0.13280630136986302</v>
          </cell>
        </row>
        <row r="2891">
          <cell r="I2891">
            <v>3596</v>
          </cell>
          <cell r="J2891">
            <v>0.13280794520547945</v>
          </cell>
        </row>
        <row r="2892">
          <cell r="I2892">
            <v>3597</v>
          </cell>
          <cell r="J2892">
            <v>0.13280958904109588</v>
          </cell>
        </row>
        <row r="2893">
          <cell r="I2893">
            <v>3598</v>
          </cell>
          <cell r="J2893">
            <v>0.13281123287671232</v>
          </cell>
        </row>
        <row r="2894">
          <cell r="I2894">
            <v>3599</v>
          </cell>
          <cell r="J2894">
            <v>0.13281287671232875</v>
          </cell>
        </row>
        <row r="2895">
          <cell r="I2895">
            <v>3600</v>
          </cell>
          <cell r="J2895">
            <v>0.13281452054794521</v>
          </cell>
        </row>
        <row r="2896">
          <cell r="I2896">
            <v>3601</v>
          </cell>
          <cell r="J2896">
            <v>0.13281616438356164</v>
          </cell>
        </row>
        <row r="2897">
          <cell r="I2897">
            <v>3602</v>
          </cell>
          <cell r="J2897">
            <v>0.13281780821917807</v>
          </cell>
        </row>
        <row r="2898">
          <cell r="I2898">
            <v>3603</v>
          </cell>
          <cell r="J2898">
            <v>0.13281945205479451</v>
          </cell>
        </row>
        <row r="2899">
          <cell r="I2899">
            <v>3604</v>
          </cell>
          <cell r="J2899">
            <v>0.13282109589041094</v>
          </cell>
        </row>
        <row r="2900">
          <cell r="I2900">
            <v>3605</v>
          </cell>
          <cell r="J2900">
            <v>0.1328227397260274</v>
          </cell>
        </row>
        <row r="2901">
          <cell r="I2901">
            <v>3606</v>
          </cell>
          <cell r="J2901">
            <v>0.13282438356164383</v>
          </cell>
        </row>
        <row r="2902">
          <cell r="I2902">
            <v>3607</v>
          </cell>
          <cell r="J2902">
            <v>0.13282602739726027</v>
          </cell>
        </row>
        <row r="2903">
          <cell r="I2903">
            <v>3608</v>
          </cell>
          <cell r="J2903">
            <v>0.1328276712328767</v>
          </cell>
        </row>
        <row r="2904">
          <cell r="I2904">
            <v>3609</v>
          </cell>
          <cell r="J2904">
            <v>0.13282931506849313</v>
          </cell>
        </row>
        <row r="2905">
          <cell r="I2905">
            <v>3610</v>
          </cell>
          <cell r="J2905">
            <v>0.13283095890410959</v>
          </cell>
        </row>
        <row r="2906">
          <cell r="I2906">
            <v>3611</v>
          </cell>
          <cell r="J2906">
            <v>0.13283260273972602</v>
          </cell>
        </row>
        <row r="2907">
          <cell r="I2907">
            <v>3612</v>
          </cell>
          <cell r="J2907">
            <v>0.13283424657534246</v>
          </cell>
        </row>
        <row r="2908">
          <cell r="I2908">
            <v>3613</v>
          </cell>
          <cell r="J2908">
            <v>0.13283589041095889</v>
          </cell>
        </row>
        <row r="2909">
          <cell r="I2909">
            <v>3614</v>
          </cell>
          <cell r="J2909">
            <v>0.13283753424657532</v>
          </cell>
        </row>
        <row r="2910">
          <cell r="I2910">
            <v>3615</v>
          </cell>
          <cell r="J2910">
            <v>0.13283917808219178</v>
          </cell>
        </row>
        <row r="2911">
          <cell r="I2911">
            <v>3616</v>
          </cell>
          <cell r="J2911">
            <v>0.13284082191780822</v>
          </cell>
        </row>
        <row r="2912">
          <cell r="I2912">
            <v>3617</v>
          </cell>
          <cell r="J2912">
            <v>0.13284246575342465</v>
          </cell>
        </row>
        <row r="2913">
          <cell r="I2913">
            <v>3618</v>
          </cell>
          <cell r="J2913">
            <v>0.13284410958904108</v>
          </cell>
        </row>
        <row r="2914">
          <cell r="I2914">
            <v>3619</v>
          </cell>
          <cell r="J2914">
            <v>0.13284575342465751</v>
          </cell>
        </row>
        <row r="2915">
          <cell r="I2915">
            <v>3620</v>
          </cell>
          <cell r="J2915">
            <v>0.13284739726027397</v>
          </cell>
        </row>
        <row r="2916">
          <cell r="I2916">
            <v>3621</v>
          </cell>
          <cell r="J2916">
            <v>0.13284904109589041</v>
          </cell>
        </row>
        <row r="2917">
          <cell r="I2917">
            <v>3622</v>
          </cell>
          <cell r="J2917">
            <v>0.13285068493150684</v>
          </cell>
        </row>
        <row r="2918">
          <cell r="I2918">
            <v>3623</v>
          </cell>
          <cell r="J2918">
            <v>0.13285232876712327</v>
          </cell>
        </row>
        <row r="2919">
          <cell r="I2919">
            <v>3624</v>
          </cell>
          <cell r="J2919">
            <v>0.13285397260273971</v>
          </cell>
        </row>
        <row r="2920">
          <cell r="I2920">
            <v>3625</v>
          </cell>
          <cell r="J2920">
            <v>0.13285561643835617</v>
          </cell>
        </row>
        <row r="2921">
          <cell r="I2921">
            <v>3626</v>
          </cell>
          <cell r="J2921">
            <v>0.1328572602739726</v>
          </cell>
        </row>
        <row r="2922">
          <cell r="I2922">
            <v>3627</v>
          </cell>
          <cell r="J2922">
            <v>0.13285890410958903</v>
          </cell>
        </row>
        <row r="2923">
          <cell r="I2923">
            <v>3628</v>
          </cell>
          <cell r="J2923">
            <v>0.13286054794520546</v>
          </cell>
        </row>
        <row r="2924">
          <cell r="I2924">
            <v>3629</v>
          </cell>
          <cell r="J2924">
            <v>0.1328621917808219</v>
          </cell>
        </row>
        <row r="2925">
          <cell r="I2925">
            <v>3630</v>
          </cell>
          <cell r="J2925">
            <v>0.13286383561643836</v>
          </cell>
        </row>
        <row r="2926">
          <cell r="I2926">
            <v>3631</v>
          </cell>
          <cell r="J2926">
            <v>0.13286547945205479</v>
          </cell>
        </row>
        <row r="2927">
          <cell r="I2927">
            <v>3632</v>
          </cell>
          <cell r="J2927">
            <v>0.13286712328767122</v>
          </cell>
        </row>
        <row r="2928">
          <cell r="I2928">
            <v>3633</v>
          </cell>
          <cell r="J2928">
            <v>0.13286876712328766</v>
          </cell>
        </row>
        <row r="2929">
          <cell r="I2929">
            <v>3634</v>
          </cell>
          <cell r="J2929">
            <v>0.13287041095890409</v>
          </cell>
        </row>
        <row r="2930">
          <cell r="I2930">
            <v>3635</v>
          </cell>
          <cell r="J2930">
            <v>0.13287205479452055</v>
          </cell>
        </row>
        <row r="2931">
          <cell r="I2931">
            <v>3636</v>
          </cell>
          <cell r="J2931">
            <v>0.13287369863013698</v>
          </cell>
        </row>
        <row r="2932">
          <cell r="I2932">
            <v>3637</v>
          </cell>
          <cell r="J2932">
            <v>0.13287534246575342</v>
          </cell>
        </row>
        <row r="2933">
          <cell r="I2933">
            <v>3638</v>
          </cell>
          <cell r="J2933">
            <v>0.13287698630136985</v>
          </cell>
        </row>
        <row r="2934">
          <cell r="I2934">
            <v>3639</v>
          </cell>
          <cell r="J2934">
            <v>0.13287863013698628</v>
          </cell>
        </row>
        <row r="2935">
          <cell r="I2935">
            <v>3640</v>
          </cell>
          <cell r="J2935">
            <v>0.13288027397260274</v>
          </cell>
        </row>
        <row r="2936">
          <cell r="I2936">
            <v>3641</v>
          </cell>
          <cell r="J2936">
            <v>0.13288191780821917</v>
          </cell>
        </row>
        <row r="2937">
          <cell r="I2937">
            <v>3642</v>
          </cell>
          <cell r="J2937">
            <v>0.13288356164383561</v>
          </cell>
        </row>
        <row r="2938">
          <cell r="I2938">
            <v>3643</v>
          </cell>
          <cell r="J2938">
            <v>0.13288520547945204</v>
          </cell>
        </row>
        <row r="2939">
          <cell r="I2939">
            <v>3644</v>
          </cell>
          <cell r="J2939">
            <v>0.13288684931506847</v>
          </cell>
        </row>
        <row r="2940">
          <cell r="I2940">
            <v>3645</v>
          </cell>
          <cell r="J2940">
            <v>0.13288849315068493</v>
          </cell>
        </row>
        <row r="2941">
          <cell r="I2941">
            <v>3646</v>
          </cell>
          <cell r="J2941">
            <v>0.13289013698630137</v>
          </cell>
        </row>
        <row r="2942">
          <cell r="I2942">
            <v>3647</v>
          </cell>
          <cell r="J2942">
            <v>0.1328917808219178</v>
          </cell>
        </row>
        <row r="2943">
          <cell r="I2943">
            <v>3648</v>
          </cell>
          <cell r="J2943">
            <v>0.13289342465753423</v>
          </cell>
        </row>
        <row r="2944">
          <cell r="I2944">
            <v>3649</v>
          </cell>
          <cell r="J2944">
            <v>0.13289506849315066</v>
          </cell>
        </row>
        <row r="2945">
          <cell r="I2945">
            <v>3650</v>
          </cell>
          <cell r="J2945">
            <v>0.13289671232876712</v>
          </cell>
        </row>
        <row r="2946">
          <cell r="I2946">
            <v>3651</v>
          </cell>
          <cell r="J2946">
            <v>0.13289835616438356</v>
          </cell>
        </row>
        <row r="2947">
          <cell r="I2947">
            <v>3652</v>
          </cell>
          <cell r="J2947">
            <v>0.13289999999999999</v>
          </cell>
        </row>
        <row r="2948">
          <cell r="I2948">
            <v>3653</v>
          </cell>
          <cell r="J2948">
            <v>0.1329026805251641</v>
          </cell>
        </row>
        <row r="2949">
          <cell r="I2949">
            <v>3654</v>
          </cell>
          <cell r="J2949">
            <v>0.13290536105032821</v>
          </cell>
        </row>
        <row r="2950">
          <cell r="I2950">
            <v>3655</v>
          </cell>
          <cell r="J2950">
            <v>0.13290804157549233</v>
          </cell>
        </row>
        <row r="2951">
          <cell r="I2951">
            <v>3656</v>
          </cell>
          <cell r="J2951">
            <v>0.13291072210065644</v>
          </cell>
        </row>
        <row r="2952">
          <cell r="I2952">
            <v>3657</v>
          </cell>
          <cell r="J2952">
            <v>0.13291340262582055</v>
          </cell>
        </row>
        <row r="2953">
          <cell r="I2953">
            <v>3658</v>
          </cell>
          <cell r="J2953">
            <v>0.13291608315098466</v>
          </cell>
        </row>
        <row r="2954">
          <cell r="I2954">
            <v>3659</v>
          </cell>
          <cell r="J2954">
            <v>0.1329187636761488</v>
          </cell>
        </row>
        <row r="2955">
          <cell r="I2955">
            <v>3660</v>
          </cell>
          <cell r="J2955">
            <v>0.13292144420131291</v>
          </cell>
        </row>
        <row r="2956">
          <cell r="I2956">
            <v>3661</v>
          </cell>
          <cell r="J2956">
            <v>0.13292412472647702</v>
          </cell>
        </row>
        <row r="2957">
          <cell r="I2957">
            <v>3662</v>
          </cell>
          <cell r="J2957">
            <v>0.13292680525164113</v>
          </cell>
        </row>
        <row r="2958">
          <cell r="I2958">
            <v>3663</v>
          </cell>
          <cell r="J2958">
            <v>0.13292948577680525</v>
          </cell>
        </row>
        <row r="2959">
          <cell r="I2959">
            <v>3664</v>
          </cell>
          <cell r="J2959">
            <v>0.13293216630196936</v>
          </cell>
        </row>
        <row r="2960">
          <cell r="I2960">
            <v>3665</v>
          </cell>
          <cell r="J2960">
            <v>0.13293484682713347</v>
          </cell>
        </row>
        <row r="2961">
          <cell r="I2961">
            <v>3666</v>
          </cell>
          <cell r="J2961">
            <v>0.13293752735229758</v>
          </cell>
        </row>
        <row r="2962">
          <cell r="I2962">
            <v>3667</v>
          </cell>
          <cell r="J2962">
            <v>0.13294020787746169</v>
          </cell>
        </row>
        <row r="2963">
          <cell r="I2963">
            <v>3668</v>
          </cell>
          <cell r="J2963">
            <v>0.1329428884026258</v>
          </cell>
        </row>
        <row r="2964">
          <cell r="I2964">
            <v>3669</v>
          </cell>
          <cell r="J2964">
            <v>0.13294556892778991</v>
          </cell>
        </row>
        <row r="2965">
          <cell r="I2965">
            <v>3670</v>
          </cell>
          <cell r="J2965">
            <v>0.13294824945295403</v>
          </cell>
        </row>
        <row r="2966">
          <cell r="I2966">
            <v>3671</v>
          </cell>
          <cell r="J2966">
            <v>0.13295092997811817</v>
          </cell>
        </row>
        <row r="2967">
          <cell r="I2967">
            <v>3672</v>
          </cell>
          <cell r="J2967">
            <v>0.13295361050328228</v>
          </cell>
        </row>
        <row r="2968">
          <cell r="I2968">
            <v>3673</v>
          </cell>
          <cell r="J2968">
            <v>0.13295629102844639</v>
          </cell>
        </row>
        <row r="2969">
          <cell r="I2969">
            <v>3674</v>
          </cell>
          <cell r="J2969">
            <v>0.1329589715536105</v>
          </cell>
        </row>
        <row r="2970">
          <cell r="I2970">
            <v>3675</v>
          </cell>
          <cell r="J2970">
            <v>0.13296165207877461</v>
          </cell>
        </row>
        <row r="2971">
          <cell r="I2971">
            <v>3676</v>
          </cell>
          <cell r="J2971">
            <v>0.13296433260393872</v>
          </cell>
        </row>
        <row r="2972">
          <cell r="I2972">
            <v>3677</v>
          </cell>
          <cell r="J2972">
            <v>0.13296701312910283</v>
          </cell>
        </row>
        <row r="2973">
          <cell r="I2973">
            <v>3678</v>
          </cell>
          <cell r="J2973">
            <v>0.13296969365426695</v>
          </cell>
        </row>
        <row r="2974">
          <cell r="I2974">
            <v>3679</v>
          </cell>
          <cell r="J2974">
            <v>0.13297237417943106</v>
          </cell>
        </row>
        <row r="2975">
          <cell r="I2975">
            <v>3680</v>
          </cell>
          <cell r="J2975">
            <v>0.13297505470459517</v>
          </cell>
        </row>
        <row r="2976">
          <cell r="I2976">
            <v>3681</v>
          </cell>
          <cell r="J2976">
            <v>0.13297773522975928</v>
          </cell>
        </row>
        <row r="2977">
          <cell r="I2977">
            <v>3682</v>
          </cell>
          <cell r="J2977">
            <v>0.13298041575492339</v>
          </cell>
        </row>
        <row r="2978">
          <cell r="I2978">
            <v>3683</v>
          </cell>
          <cell r="J2978">
            <v>0.13298309628008753</v>
          </cell>
        </row>
        <row r="2979">
          <cell r="I2979">
            <v>3684</v>
          </cell>
          <cell r="J2979">
            <v>0.13298577680525164</v>
          </cell>
        </row>
        <row r="2980">
          <cell r="I2980">
            <v>3685</v>
          </cell>
          <cell r="J2980">
            <v>0.13298845733041575</v>
          </cell>
        </row>
        <row r="2981">
          <cell r="I2981">
            <v>3686</v>
          </cell>
          <cell r="J2981">
            <v>0.13299113785557987</v>
          </cell>
        </row>
        <row r="2982">
          <cell r="I2982">
            <v>3687</v>
          </cell>
          <cell r="J2982">
            <v>0.13299381838074398</v>
          </cell>
        </row>
        <row r="2983">
          <cell r="I2983">
            <v>3688</v>
          </cell>
          <cell r="J2983">
            <v>0.13299649890590809</v>
          </cell>
        </row>
        <row r="2984">
          <cell r="I2984">
            <v>3689</v>
          </cell>
          <cell r="J2984">
            <v>0.1329991794310722</v>
          </cell>
        </row>
        <row r="2985">
          <cell r="I2985">
            <v>3690</v>
          </cell>
          <cell r="J2985">
            <v>0.13300185995623631</v>
          </cell>
        </row>
        <row r="2986">
          <cell r="I2986">
            <v>3691</v>
          </cell>
          <cell r="J2986">
            <v>0.13300454048140042</v>
          </cell>
        </row>
        <row r="2987">
          <cell r="I2987">
            <v>3692</v>
          </cell>
          <cell r="J2987">
            <v>0.13300722100656454</v>
          </cell>
        </row>
        <row r="2988">
          <cell r="I2988">
            <v>3693</v>
          </cell>
          <cell r="J2988">
            <v>0.13300990153172865</v>
          </cell>
        </row>
        <row r="2989">
          <cell r="I2989">
            <v>3694</v>
          </cell>
          <cell r="J2989">
            <v>0.13301258205689276</v>
          </cell>
        </row>
        <row r="2990">
          <cell r="I2990">
            <v>3695</v>
          </cell>
          <cell r="J2990">
            <v>0.13301526258205687</v>
          </cell>
        </row>
        <row r="2991">
          <cell r="I2991">
            <v>3696</v>
          </cell>
          <cell r="J2991">
            <v>0.13301794310722101</v>
          </cell>
        </row>
        <row r="2992">
          <cell r="I2992">
            <v>3697</v>
          </cell>
          <cell r="J2992">
            <v>0.13302062363238512</v>
          </cell>
        </row>
        <row r="2993">
          <cell r="I2993">
            <v>3698</v>
          </cell>
          <cell r="J2993">
            <v>0.13302330415754923</v>
          </cell>
        </row>
        <row r="2994">
          <cell r="I2994">
            <v>3699</v>
          </cell>
          <cell r="J2994">
            <v>0.13302598468271334</v>
          </cell>
        </row>
        <row r="2995">
          <cell r="I2995">
            <v>3700</v>
          </cell>
          <cell r="J2995">
            <v>0.13302866520787746</v>
          </cell>
        </row>
        <row r="2996">
          <cell r="I2996">
            <v>3701</v>
          </cell>
          <cell r="J2996">
            <v>0.13303134573304157</v>
          </cell>
        </row>
        <row r="2997">
          <cell r="I2997">
            <v>3702</v>
          </cell>
          <cell r="J2997">
            <v>0.13303402625820568</v>
          </cell>
        </row>
        <row r="2998">
          <cell r="I2998">
            <v>3703</v>
          </cell>
          <cell r="J2998">
            <v>0.13303670678336979</v>
          </cell>
        </row>
        <row r="2999">
          <cell r="I2999">
            <v>3704</v>
          </cell>
          <cell r="J2999">
            <v>0.1330393873085339</v>
          </cell>
        </row>
        <row r="3000">
          <cell r="I3000">
            <v>3705</v>
          </cell>
          <cell r="J3000">
            <v>0.13304206783369801</v>
          </cell>
        </row>
        <row r="3001">
          <cell r="I3001">
            <v>3706</v>
          </cell>
          <cell r="J3001">
            <v>0.13304474835886212</v>
          </cell>
        </row>
        <row r="3002">
          <cell r="I3002">
            <v>3707</v>
          </cell>
          <cell r="J3002">
            <v>0.13304742888402624</v>
          </cell>
        </row>
        <row r="3003">
          <cell r="I3003">
            <v>3708</v>
          </cell>
          <cell r="J3003">
            <v>0.13305010940919038</v>
          </cell>
        </row>
        <row r="3004">
          <cell r="I3004">
            <v>3709</v>
          </cell>
          <cell r="J3004">
            <v>0.13305278993435449</v>
          </cell>
        </row>
        <row r="3005">
          <cell r="I3005">
            <v>3710</v>
          </cell>
          <cell r="J3005">
            <v>0.1330554704595186</v>
          </cell>
        </row>
        <row r="3006">
          <cell r="I3006">
            <v>3711</v>
          </cell>
          <cell r="J3006">
            <v>0.13305815098468271</v>
          </cell>
        </row>
        <row r="3007">
          <cell r="I3007">
            <v>3712</v>
          </cell>
          <cell r="J3007">
            <v>0.13306083150984682</v>
          </cell>
        </row>
        <row r="3008">
          <cell r="I3008">
            <v>3713</v>
          </cell>
          <cell r="J3008">
            <v>0.13306351203501093</v>
          </cell>
        </row>
        <row r="3009">
          <cell r="I3009">
            <v>3714</v>
          </cell>
          <cell r="J3009">
            <v>0.13306619256017505</v>
          </cell>
        </row>
        <row r="3010">
          <cell r="I3010">
            <v>3715</v>
          </cell>
          <cell r="J3010">
            <v>0.13306887308533916</v>
          </cell>
        </row>
        <row r="3011">
          <cell r="I3011">
            <v>3716</v>
          </cell>
          <cell r="J3011">
            <v>0.13307155361050327</v>
          </cell>
        </row>
        <row r="3012">
          <cell r="I3012">
            <v>3717</v>
          </cell>
          <cell r="J3012">
            <v>0.13307423413566738</v>
          </cell>
        </row>
        <row r="3013">
          <cell r="I3013">
            <v>3718</v>
          </cell>
          <cell r="J3013">
            <v>0.13307691466083149</v>
          </cell>
        </row>
        <row r="3014">
          <cell r="I3014">
            <v>3719</v>
          </cell>
          <cell r="J3014">
            <v>0.1330795951859956</v>
          </cell>
        </row>
        <row r="3015">
          <cell r="I3015">
            <v>3720</v>
          </cell>
          <cell r="J3015">
            <v>0.13308227571115974</v>
          </cell>
        </row>
        <row r="3016">
          <cell r="I3016">
            <v>3721</v>
          </cell>
          <cell r="J3016">
            <v>0.13308495623632385</v>
          </cell>
        </row>
        <row r="3017">
          <cell r="I3017">
            <v>3722</v>
          </cell>
          <cell r="J3017">
            <v>0.13308763676148797</v>
          </cell>
        </row>
        <row r="3018">
          <cell r="I3018">
            <v>3723</v>
          </cell>
          <cell r="J3018">
            <v>0.13309031728665208</v>
          </cell>
        </row>
        <row r="3019">
          <cell r="I3019">
            <v>3724</v>
          </cell>
          <cell r="J3019">
            <v>0.13309299781181619</v>
          </cell>
        </row>
        <row r="3020">
          <cell r="I3020">
            <v>3725</v>
          </cell>
          <cell r="J3020">
            <v>0.1330956783369803</v>
          </cell>
        </row>
        <row r="3021">
          <cell r="I3021">
            <v>3726</v>
          </cell>
          <cell r="J3021">
            <v>0.13309835886214441</v>
          </cell>
        </row>
        <row r="3022">
          <cell r="I3022">
            <v>3727</v>
          </cell>
          <cell r="J3022">
            <v>0.13310103938730852</v>
          </cell>
        </row>
        <row r="3023">
          <cell r="I3023">
            <v>3728</v>
          </cell>
          <cell r="J3023">
            <v>0.13310371991247263</v>
          </cell>
        </row>
        <row r="3024">
          <cell r="I3024">
            <v>3729</v>
          </cell>
          <cell r="J3024">
            <v>0.13310640043763675</v>
          </cell>
        </row>
        <row r="3025">
          <cell r="I3025">
            <v>3730</v>
          </cell>
          <cell r="J3025">
            <v>0.13310908096280086</v>
          </cell>
        </row>
        <row r="3026">
          <cell r="I3026">
            <v>3731</v>
          </cell>
          <cell r="J3026">
            <v>0.13311176148796497</v>
          </cell>
        </row>
        <row r="3027">
          <cell r="I3027">
            <v>3732</v>
          </cell>
          <cell r="J3027">
            <v>0.13311444201312908</v>
          </cell>
        </row>
        <row r="3028">
          <cell r="I3028">
            <v>3733</v>
          </cell>
          <cell r="J3028">
            <v>0.13311712253829322</v>
          </cell>
        </row>
        <row r="3029">
          <cell r="I3029">
            <v>3734</v>
          </cell>
          <cell r="J3029">
            <v>0.13311980306345733</v>
          </cell>
        </row>
        <row r="3030">
          <cell r="I3030">
            <v>3735</v>
          </cell>
          <cell r="J3030">
            <v>0.13312248358862144</v>
          </cell>
        </row>
        <row r="3031">
          <cell r="I3031">
            <v>3736</v>
          </cell>
          <cell r="J3031">
            <v>0.13312516411378555</v>
          </cell>
        </row>
        <row r="3032">
          <cell r="I3032">
            <v>3737</v>
          </cell>
          <cell r="J3032">
            <v>0.13312784463894967</v>
          </cell>
        </row>
        <row r="3033">
          <cell r="I3033">
            <v>3738</v>
          </cell>
          <cell r="J3033">
            <v>0.13313052516411378</v>
          </cell>
        </row>
        <row r="3034">
          <cell r="I3034">
            <v>3739</v>
          </cell>
          <cell r="J3034">
            <v>0.13313320568927789</v>
          </cell>
        </row>
        <row r="3035">
          <cell r="I3035">
            <v>3740</v>
          </cell>
          <cell r="J3035">
            <v>0.133135886214442</v>
          </cell>
        </row>
        <row r="3036">
          <cell r="I3036">
            <v>3741</v>
          </cell>
          <cell r="J3036">
            <v>0.13313856673960611</v>
          </cell>
        </row>
        <row r="3037">
          <cell r="I3037">
            <v>3742</v>
          </cell>
          <cell r="J3037">
            <v>0.13314124726477022</v>
          </cell>
        </row>
        <row r="3038">
          <cell r="I3038">
            <v>3743</v>
          </cell>
          <cell r="J3038">
            <v>0.13314392778993434</v>
          </cell>
        </row>
        <row r="3039">
          <cell r="I3039">
            <v>3744</v>
          </cell>
          <cell r="J3039">
            <v>0.13314660831509845</v>
          </cell>
        </row>
        <row r="3040">
          <cell r="I3040">
            <v>3745</v>
          </cell>
          <cell r="J3040">
            <v>0.13314928884026259</v>
          </cell>
        </row>
        <row r="3041">
          <cell r="I3041">
            <v>3746</v>
          </cell>
          <cell r="J3041">
            <v>0.1331519693654267</v>
          </cell>
        </row>
        <row r="3042">
          <cell r="I3042">
            <v>3747</v>
          </cell>
          <cell r="J3042">
            <v>0.13315464989059081</v>
          </cell>
        </row>
        <row r="3043">
          <cell r="I3043">
            <v>3748</v>
          </cell>
          <cell r="J3043">
            <v>0.13315733041575492</v>
          </cell>
        </row>
        <row r="3044">
          <cell r="I3044">
            <v>3749</v>
          </cell>
          <cell r="J3044">
            <v>0.13316001094091903</v>
          </cell>
        </row>
        <row r="3045">
          <cell r="I3045">
            <v>3750</v>
          </cell>
          <cell r="J3045">
            <v>0.13316269146608314</v>
          </cell>
        </row>
        <row r="3046">
          <cell r="I3046">
            <v>3751</v>
          </cell>
          <cell r="J3046">
            <v>0.13316537199124726</v>
          </cell>
        </row>
        <row r="3047">
          <cell r="I3047">
            <v>3752</v>
          </cell>
          <cell r="J3047">
            <v>0.13316805251641137</v>
          </cell>
        </row>
        <row r="3048">
          <cell r="I3048">
            <v>3753</v>
          </cell>
          <cell r="J3048">
            <v>0.13317073304157548</v>
          </cell>
        </row>
        <row r="3049">
          <cell r="I3049">
            <v>3754</v>
          </cell>
          <cell r="J3049">
            <v>0.13317341356673959</v>
          </cell>
        </row>
        <row r="3050">
          <cell r="I3050">
            <v>3755</v>
          </cell>
          <cell r="J3050">
            <v>0.1331760940919037</v>
          </cell>
        </row>
        <row r="3051">
          <cell r="I3051">
            <v>3756</v>
          </cell>
          <cell r="J3051">
            <v>0.13317877461706781</v>
          </cell>
        </row>
        <row r="3052">
          <cell r="I3052">
            <v>3757</v>
          </cell>
          <cell r="J3052">
            <v>0.13318145514223195</v>
          </cell>
        </row>
        <row r="3053">
          <cell r="I3053">
            <v>3758</v>
          </cell>
          <cell r="J3053">
            <v>0.13318413566739606</v>
          </cell>
        </row>
        <row r="3054">
          <cell r="I3054">
            <v>3759</v>
          </cell>
          <cell r="J3054">
            <v>0.13318681619256018</v>
          </cell>
        </row>
        <row r="3055">
          <cell r="I3055">
            <v>3760</v>
          </cell>
          <cell r="J3055">
            <v>0.13318949671772429</v>
          </cell>
        </row>
        <row r="3056">
          <cell r="I3056">
            <v>3761</v>
          </cell>
          <cell r="J3056">
            <v>0.1331921772428884</v>
          </cell>
        </row>
        <row r="3057">
          <cell r="I3057">
            <v>3762</v>
          </cell>
          <cell r="J3057">
            <v>0.13319485776805251</v>
          </cell>
        </row>
        <row r="3058">
          <cell r="I3058">
            <v>3763</v>
          </cell>
          <cell r="J3058">
            <v>0.13319753829321662</v>
          </cell>
        </row>
        <row r="3059">
          <cell r="I3059">
            <v>3764</v>
          </cell>
          <cell r="J3059">
            <v>0.13320021881838073</v>
          </cell>
        </row>
        <row r="3060">
          <cell r="I3060">
            <v>3765</v>
          </cell>
          <cell r="J3060">
            <v>0.13320289934354484</v>
          </cell>
        </row>
        <row r="3061">
          <cell r="I3061">
            <v>3766</v>
          </cell>
          <cell r="J3061">
            <v>0.13320557986870896</v>
          </cell>
        </row>
        <row r="3062">
          <cell r="I3062">
            <v>3767</v>
          </cell>
          <cell r="J3062">
            <v>0.13320826039387307</v>
          </cell>
        </row>
        <row r="3063">
          <cell r="I3063">
            <v>3768</v>
          </cell>
          <cell r="J3063">
            <v>0.13321094091903718</v>
          </cell>
        </row>
        <row r="3064">
          <cell r="I3064">
            <v>3769</v>
          </cell>
          <cell r="J3064">
            <v>0.13321362144420129</v>
          </cell>
        </row>
        <row r="3065">
          <cell r="I3065">
            <v>3770</v>
          </cell>
          <cell r="J3065">
            <v>0.13321630196936543</v>
          </cell>
        </row>
        <row r="3066">
          <cell r="I3066">
            <v>3771</v>
          </cell>
          <cell r="J3066">
            <v>0.13321898249452954</v>
          </cell>
        </row>
        <row r="3067">
          <cell r="I3067">
            <v>3772</v>
          </cell>
          <cell r="J3067">
            <v>0.13322166301969365</v>
          </cell>
        </row>
        <row r="3068">
          <cell r="I3068">
            <v>3773</v>
          </cell>
          <cell r="J3068">
            <v>0.13322434354485777</v>
          </cell>
        </row>
        <row r="3069">
          <cell r="I3069">
            <v>3774</v>
          </cell>
          <cell r="J3069">
            <v>0.13322702407002188</v>
          </cell>
        </row>
        <row r="3070">
          <cell r="I3070">
            <v>3775</v>
          </cell>
          <cell r="J3070">
            <v>0.13322970459518599</v>
          </cell>
        </row>
        <row r="3071">
          <cell r="I3071">
            <v>3776</v>
          </cell>
          <cell r="J3071">
            <v>0.1332323851203501</v>
          </cell>
        </row>
        <row r="3072">
          <cell r="I3072">
            <v>3777</v>
          </cell>
          <cell r="J3072">
            <v>0.13323506564551421</v>
          </cell>
        </row>
        <row r="3073">
          <cell r="I3073">
            <v>3778</v>
          </cell>
          <cell r="J3073">
            <v>0.13323774617067832</v>
          </cell>
        </row>
        <row r="3074">
          <cell r="I3074">
            <v>3779</v>
          </cell>
          <cell r="J3074">
            <v>0.13324042669584243</v>
          </cell>
        </row>
        <row r="3075">
          <cell r="I3075">
            <v>3780</v>
          </cell>
          <cell r="J3075">
            <v>0.13324310722100655</v>
          </cell>
        </row>
        <row r="3076">
          <cell r="I3076">
            <v>3781</v>
          </cell>
          <cell r="J3076">
            <v>0.13324578774617066</v>
          </cell>
        </row>
        <row r="3077">
          <cell r="I3077">
            <v>3782</v>
          </cell>
          <cell r="J3077">
            <v>0.1332484682713348</v>
          </cell>
        </row>
        <row r="3078">
          <cell r="I3078">
            <v>3783</v>
          </cell>
          <cell r="J3078">
            <v>0.13325114879649891</v>
          </cell>
        </row>
        <row r="3079">
          <cell r="I3079">
            <v>3784</v>
          </cell>
          <cell r="J3079">
            <v>0.13325382932166302</v>
          </cell>
        </row>
        <row r="3080">
          <cell r="I3080">
            <v>3785</v>
          </cell>
          <cell r="J3080">
            <v>0.13325650984682713</v>
          </cell>
        </row>
        <row r="3081">
          <cell r="I3081">
            <v>3786</v>
          </cell>
          <cell r="J3081">
            <v>0.13325919037199124</v>
          </cell>
        </row>
        <row r="3082">
          <cell r="I3082">
            <v>3787</v>
          </cell>
          <cell r="J3082">
            <v>0.13326187089715535</v>
          </cell>
        </row>
        <row r="3083">
          <cell r="I3083">
            <v>3788</v>
          </cell>
          <cell r="J3083">
            <v>0.13326455142231947</v>
          </cell>
        </row>
        <row r="3084">
          <cell r="I3084">
            <v>3789</v>
          </cell>
          <cell r="J3084">
            <v>0.13326723194748358</v>
          </cell>
        </row>
        <row r="3085">
          <cell r="I3085">
            <v>3790</v>
          </cell>
          <cell r="J3085">
            <v>0.13326991247264769</v>
          </cell>
        </row>
        <row r="3086">
          <cell r="I3086">
            <v>3791</v>
          </cell>
          <cell r="J3086">
            <v>0.1332725929978118</v>
          </cell>
        </row>
        <row r="3087">
          <cell r="I3087">
            <v>3792</v>
          </cell>
          <cell r="J3087">
            <v>0.13327527352297591</v>
          </cell>
        </row>
        <row r="3088">
          <cell r="I3088">
            <v>3793</v>
          </cell>
          <cell r="J3088">
            <v>0.13327795404814002</v>
          </cell>
        </row>
        <row r="3089">
          <cell r="I3089">
            <v>3794</v>
          </cell>
          <cell r="J3089">
            <v>0.13328063457330414</v>
          </cell>
        </row>
        <row r="3090">
          <cell r="I3090">
            <v>3795</v>
          </cell>
          <cell r="J3090">
            <v>0.13328331509846827</v>
          </cell>
        </row>
        <row r="3091">
          <cell r="I3091">
            <v>3796</v>
          </cell>
          <cell r="J3091">
            <v>0.13328599562363239</v>
          </cell>
        </row>
        <row r="3092">
          <cell r="I3092">
            <v>3797</v>
          </cell>
          <cell r="J3092">
            <v>0.1332886761487965</v>
          </cell>
        </row>
        <row r="3093">
          <cell r="I3093">
            <v>3798</v>
          </cell>
          <cell r="J3093">
            <v>0.13329135667396061</v>
          </cell>
        </row>
        <row r="3094">
          <cell r="I3094">
            <v>3799</v>
          </cell>
          <cell r="J3094">
            <v>0.13329403719912472</v>
          </cell>
        </row>
        <row r="3095">
          <cell r="I3095">
            <v>3800</v>
          </cell>
          <cell r="J3095">
            <v>0.13329671772428883</v>
          </cell>
        </row>
        <row r="3096">
          <cell r="I3096">
            <v>3801</v>
          </cell>
          <cell r="J3096">
            <v>0.13329939824945294</v>
          </cell>
        </row>
        <row r="3097">
          <cell r="I3097">
            <v>3802</v>
          </cell>
          <cell r="J3097">
            <v>0.13330207877461706</v>
          </cell>
        </row>
        <row r="3098">
          <cell r="I3098">
            <v>3803</v>
          </cell>
          <cell r="J3098">
            <v>0.13330475929978117</v>
          </cell>
        </row>
        <row r="3099">
          <cell r="I3099">
            <v>3804</v>
          </cell>
          <cell r="J3099">
            <v>0.13330743982494528</v>
          </cell>
        </row>
        <row r="3100">
          <cell r="I3100">
            <v>3805</v>
          </cell>
          <cell r="J3100">
            <v>0.13331012035010939</v>
          </cell>
        </row>
        <row r="3101">
          <cell r="I3101">
            <v>3806</v>
          </cell>
          <cell r="J3101">
            <v>0.1333128008752735</v>
          </cell>
        </row>
        <row r="3102">
          <cell r="I3102">
            <v>3807</v>
          </cell>
          <cell r="J3102">
            <v>0.13331548140043764</v>
          </cell>
        </row>
        <row r="3103">
          <cell r="I3103">
            <v>3808</v>
          </cell>
          <cell r="J3103">
            <v>0.13331816192560175</v>
          </cell>
        </row>
        <row r="3104">
          <cell r="I3104">
            <v>3809</v>
          </cell>
          <cell r="J3104">
            <v>0.13332084245076586</v>
          </cell>
        </row>
        <row r="3105">
          <cell r="I3105">
            <v>3810</v>
          </cell>
          <cell r="J3105">
            <v>0.13332352297592998</v>
          </cell>
        </row>
        <row r="3106">
          <cell r="I3106">
            <v>3811</v>
          </cell>
          <cell r="J3106">
            <v>0.13332620350109409</v>
          </cell>
        </row>
        <row r="3107">
          <cell r="I3107">
            <v>3812</v>
          </cell>
          <cell r="J3107">
            <v>0.1333288840262582</v>
          </cell>
        </row>
        <row r="3108">
          <cell r="I3108">
            <v>3813</v>
          </cell>
          <cell r="J3108">
            <v>0.13333156455142231</v>
          </cell>
        </row>
        <row r="3109">
          <cell r="I3109">
            <v>3814</v>
          </cell>
          <cell r="J3109">
            <v>0.13333424507658642</v>
          </cell>
        </row>
        <row r="3110">
          <cell r="I3110">
            <v>3815</v>
          </cell>
          <cell r="J3110">
            <v>0.13333692560175053</v>
          </cell>
        </row>
        <row r="3111">
          <cell r="I3111">
            <v>3816</v>
          </cell>
          <cell r="J3111">
            <v>0.13333960612691464</v>
          </cell>
        </row>
        <row r="3112">
          <cell r="I3112">
            <v>3817</v>
          </cell>
          <cell r="J3112">
            <v>0.13334228665207876</v>
          </cell>
        </row>
        <row r="3113">
          <cell r="I3113">
            <v>3818</v>
          </cell>
          <cell r="J3113">
            <v>0.13334496717724287</v>
          </cell>
        </row>
        <row r="3114">
          <cell r="I3114">
            <v>3819</v>
          </cell>
          <cell r="J3114">
            <v>0.13334764770240701</v>
          </cell>
        </row>
        <row r="3115">
          <cell r="I3115">
            <v>3820</v>
          </cell>
          <cell r="J3115">
            <v>0.13335032822757112</v>
          </cell>
        </row>
        <row r="3116">
          <cell r="I3116">
            <v>3821</v>
          </cell>
          <cell r="J3116">
            <v>0.13335300875273523</v>
          </cell>
        </row>
        <row r="3117">
          <cell r="I3117">
            <v>3822</v>
          </cell>
          <cell r="J3117">
            <v>0.13335568927789934</v>
          </cell>
        </row>
        <row r="3118">
          <cell r="I3118">
            <v>3823</v>
          </cell>
          <cell r="J3118">
            <v>0.13335836980306345</v>
          </cell>
        </row>
        <row r="3119">
          <cell r="I3119">
            <v>3824</v>
          </cell>
          <cell r="J3119">
            <v>0.13336105032822756</v>
          </cell>
        </row>
        <row r="3120">
          <cell r="I3120">
            <v>3825</v>
          </cell>
          <cell r="J3120">
            <v>0.13336373085339168</v>
          </cell>
        </row>
        <row r="3121">
          <cell r="I3121">
            <v>3826</v>
          </cell>
          <cell r="J3121">
            <v>0.13336641137855579</v>
          </cell>
        </row>
        <row r="3122">
          <cell r="I3122">
            <v>3827</v>
          </cell>
          <cell r="J3122">
            <v>0.1333690919037199</v>
          </cell>
        </row>
        <row r="3123">
          <cell r="I3123">
            <v>3828</v>
          </cell>
          <cell r="J3123">
            <v>0.13337177242888401</v>
          </cell>
        </row>
        <row r="3124">
          <cell r="I3124">
            <v>3829</v>
          </cell>
          <cell r="J3124">
            <v>0.13337445295404812</v>
          </cell>
        </row>
        <row r="3125">
          <cell r="I3125">
            <v>3830</v>
          </cell>
          <cell r="J3125">
            <v>0.13337713347921223</v>
          </cell>
        </row>
        <row r="3126">
          <cell r="I3126">
            <v>3831</v>
          </cell>
          <cell r="J3126">
            <v>0.13337981400437635</v>
          </cell>
        </row>
        <row r="3127">
          <cell r="I3127">
            <v>3832</v>
          </cell>
          <cell r="J3127">
            <v>0.13338249452954049</v>
          </cell>
        </row>
        <row r="3128">
          <cell r="I3128">
            <v>3833</v>
          </cell>
          <cell r="J3128">
            <v>0.1333851750547046</v>
          </cell>
        </row>
        <row r="3129">
          <cell r="I3129">
            <v>3834</v>
          </cell>
          <cell r="J3129">
            <v>0.13338785557986871</v>
          </cell>
        </row>
        <row r="3130">
          <cell r="I3130">
            <v>3835</v>
          </cell>
          <cell r="J3130">
            <v>0.13339053610503282</v>
          </cell>
        </row>
        <row r="3131">
          <cell r="I3131">
            <v>3836</v>
          </cell>
          <cell r="J3131">
            <v>0.13339321663019693</v>
          </cell>
        </row>
        <row r="3132">
          <cell r="I3132">
            <v>3837</v>
          </cell>
          <cell r="J3132">
            <v>0.13339589715536104</v>
          </cell>
        </row>
        <row r="3133">
          <cell r="I3133">
            <v>3838</v>
          </cell>
          <cell r="J3133">
            <v>0.13339857768052515</v>
          </cell>
        </row>
        <row r="3134">
          <cell r="I3134">
            <v>3839</v>
          </cell>
          <cell r="J3134">
            <v>0.13340125820568927</v>
          </cell>
        </row>
        <row r="3135">
          <cell r="I3135">
            <v>3840</v>
          </cell>
          <cell r="J3135">
            <v>0.13340393873085338</v>
          </cell>
        </row>
        <row r="3136">
          <cell r="I3136">
            <v>3841</v>
          </cell>
          <cell r="J3136">
            <v>0.13340661925601749</v>
          </cell>
        </row>
        <row r="3137">
          <cell r="I3137">
            <v>3842</v>
          </cell>
          <cell r="J3137">
            <v>0.1334092997811816</v>
          </cell>
        </row>
        <row r="3138">
          <cell r="I3138">
            <v>3843</v>
          </cell>
          <cell r="J3138">
            <v>0.13341198030634571</v>
          </cell>
        </row>
        <row r="3139">
          <cell r="I3139">
            <v>3844</v>
          </cell>
          <cell r="J3139">
            <v>0.13341466083150985</v>
          </cell>
        </row>
        <row r="3140">
          <cell r="I3140">
            <v>3845</v>
          </cell>
          <cell r="J3140">
            <v>0.13341734135667396</v>
          </cell>
        </row>
        <row r="3141">
          <cell r="I3141">
            <v>3846</v>
          </cell>
          <cell r="J3141">
            <v>0.13342002188183807</v>
          </cell>
        </row>
        <row r="3142">
          <cell r="I3142">
            <v>3847</v>
          </cell>
          <cell r="J3142">
            <v>0.13342270240700219</v>
          </cell>
        </row>
        <row r="3143">
          <cell r="I3143">
            <v>3848</v>
          </cell>
          <cell r="J3143">
            <v>0.1334253829321663</v>
          </cell>
        </row>
        <row r="3144">
          <cell r="I3144">
            <v>3849</v>
          </cell>
          <cell r="J3144">
            <v>0.13342806345733041</v>
          </cell>
        </row>
        <row r="3145">
          <cell r="I3145">
            <v>3850</v>
          </cell>
          <cell r="J3145">
            <v>0.13343074398249452</v>
          </cell>
        </row>
        <row r="3146">
          <cell r="I3146">
            <v>3851</v>
          </cell>
          <cell r="J3146">
            <v>0.13343342450765863</v>
          </cell>
        </row>
        <row r="3147">
          <cell r="I3147">
            <v>3852</v>
          </cell>
          <cell r="J3147">
            <v>0.13343610503282274</v>
          </cell>
        </row>
        <row r="3148">
          <cell r="I3148">
            <v>3853</v>
          </cell>
          <cell r="J3148">
            <v>0.13343878555798686</v>
          </cell>
        </row>
        <row r="3149">
          <cell r="I3149">
            <v>3854</v>
          </cell>
          <cell r="J3149">
            <v>0.13344146608315097</v>
          </cell>
        </row>
        <row r="3150">
          <cell r="I3150">
            <v>3855</v>
          </cell>
          <cell r="J3150">
            <v>0.13344414660831508</v>
          </cell>
        </row>
        <row r="3151">
          <cell r="I3151">
            <v>3856</v>
          </cell>
          <cell r="J3151">
            <v>0.13344682713347922</v>
          </cell>
        </row>
        <row r="3152">
          <cell r="I3152">
            <v>3857</v>
          </cell>
          <cell r="J3152">
            <v>0.13344950765864333</v>
          </cell>
        </row>
        <row r="3153">
          <cell r="I3153">
            <v>3858</v>
          </cell>
          <cell r="J3153">
            <v>0.13345218818380744</v>
          </cell>
        </row>
        <row r="3154">
          <cell r="I3154">
            <v>3859</v>
          </cell>
          <cell r="J3154">
            <v>0.13345486870897155</v>
          </cell>
        </row>
        <row r="3155">
          <cell r="I3155">
            <v>3860</v>
          </cell>
          <cell r="J3155">
            <v>0.13345754923413566</v>
          </cell>
        </row>
        <row r="3156">
          <cell r="I3156">
            <v>3861</v>
          </cell>
          <cell r="J3156">
            <v>0.13346022975929978</v>
          </cell>
        </row>
        <row r="3157">
          <cell r="I3157">
            <v>3862</v>
          </cell>
          <cell r="J3157">
            <v>0.13346291028446389</v>
          </cell>
        </row>
        <row r="3158">
          <cell r="I3158">
            <v>3863</v>
          </cell>
          <cell r="J3158">
            <v>0.133465590809628</v>
          </cell>
        </row>
        <row r="3159">
          <cell r="I3159">
            <v>3864</v>
          </cell>
          <cell r="J3159">
            <v>0.13346827133479211</v>
          </cell>
        </row>
        <row r="3160">
          <cell r="I3160">
            <v>3865</v>
          </cell>
          <cell r="J3160">
            <v>0.13347095185995622</v>
          </cell>
        </row>
        <row r="3161">
          <cell r="I3161">
            <v>3866</v>
          </cell>
          <cell r="J3161">
            <v>0.13347363238512033</v>
          </cell>
        </row>
        <row r="3162">
          <cell r="I3162">
            <v>3867</v>
          </cell>
          <cell r="J3162">
            <v>0.13347631291028444</v>
          </cell>
        </row>
        <row r="3163">
          <cell r="I3163">
            <v>3868</v>
          </cell>
          <cell r="J3163">
            <v>0.13347899343544856</v>
          </cell>
        </row>
        <row r="3164">
          <cell r="I3164">
            <v>3869</v>
          </cell>
          <cell r="J3164">
            <v>0.1334816739606127</v>
          </cell>
        </row>
        <row r="3165">
          <cell r="I3165">
            <v>3870</v>
          </cell>
          <cell r="J3165">
            <v>0.13348435448577681</v>
          </cell>
        </row>
        <row r="3166">
          <cell r="I3166">
            <v>3871</v>
          </cell>
          <cell r="J3166">
            <v>0.13348703501094092</v>
          </cell>
        </row>
        <row r="3167">
          <cell r="I3167">
            <v>3872</v>
          </cell>
          <cell r="J3167">
            <v>0.13348971553610503</v>
          </cell>
        </row>
        <row r="3168">
          <cell r="I3168">
            <v>3873</v>
          </cell>
          <cell r="J3168">
            <v>0.13349239606126914</v>
          </cell>
        </row>
        <row r="3169">
          <cell r="I3169">
            <v>3874</v>
          </cell>
          <cell r="J3169">
            <v>0.13349507658643325</v>
          </cell>
        </row>
        <row r="3170">
          <cell r="I3170">
            <v>3875</v>
          </cell>
          <cell r="J3170">
            <v>0.13349775711159736</v>
          </cell>
        </row>
        <row r="3171">
          <cell r="I3171">
            <v>3876</v>
          </cell>
          <cell r="J3171">
            <v>0.13350043763676148</v>
          </cell>
        </row>
        <row r="3172">
          <cell r="I3172">
            <v>3877</v>
          </cell>
          <cell r="J3172">
            <v>0.13350311816192559</v>
          </cell>
        </row>
        <row r="3173">
          <cell r="I3173">
            <v>3878</v>
          </cell>
          <cell r="J3173">
            <v>0.1335057986870897</v>
          </cell>
        </row>
        <row r="3174">
          <cell r="I3174">
            <v>3879</v>
          </cell>
          <cell r="J3174">
            <v>0.13350847921225381</v>
          </cell>
        </row>
        <row r="3175">
          <cell r="I3175">
            <v>3880</v>
          </cell>
          <cell r="J3175">
            <v>0.13351115973741792</v>
          </cell>
        </row>
        <row r="3176">
          <cell r="I3176">
            <v>3881</v>
          </cell>
          <cell r="J3176">
            <v>0.13351384026258206</v>
          </cell>
        </row>
        <row r="3177">
          <cell r="I3177">
            <v>3882</v>
          </cell>
          <cell r="J3177">
            <v>0.13351652078774617</v>
          </cell>
        </row>
        <row r="3178">
          <cell r="I3178">
            <v>3883</v>
          </cell>
          <cell r="J3178">
            <v>0.13351920131291029</v>
          </cell>
        </row>
        <row r="3179">
          <cell r="I3179">
            <v>3884</v>
          </cell>
          <cell r="J3179">
            <v>0.1335218818380744</v>
          </cell>
        </row>
        <row r="3180">
          <cell r="I3180">
            <v>3885</v>
          </cell>
          <cell r="J3180">
            <v>0.13352456236323851</v>
          </cell>
        </row>
        <row r="3181">
          <cell r="I3181">
            <v>3886</v>
          </cell>
          <cell r="J3181">
            <v>0.13352724288840262</v>
          </cell>
        </row>
        <row r="3182">
          <cell r="I3182">
            <v>3887</v>
          </cell>
          <cell r="J3182">
            <v>0.13352992341356673</v>
          </cell>
        </row>
        <row r="3183">
          <cell r="I3183">
            <v>3888</v>
          </cell>
          <cell r="J3183">
            <v>0.13353260393873084</v>
          </cell>
        </row>
        <row r="3184">
          <cell r="I3184">
            <v>3889</v>
          </cell>
          <cell r="J3184">
            <v>0.13353528446389495</v>
          </cell>
        </row>
        <row r="3185">
          <cell r="I3185">
            <v>3890</v>
          </cell>
          <cell r="J3185">
            <v>0.13353796498905907</v>
          </cell>
        </row>
        <row r="3186">
          <cell r="I3186">
            <v>3891</v>
          </cell>
          <cell r="J3186">
            <v>0.13354064551422318</v>
          </cell>
        </row>
        <row r="3187">
          <cell r="I3187">
            <v>3892</v>
          </cell>
          <cell r="J3187">
            <v>0.13354332603938729</v>
          </cell>
        </row>
        <row r="3188">
          <cell r="I3188">
            <v>3893</v>
          </cell>
          <cell r="J3188">
            <v>0.13354600656455143</v>
          </cell>
        </row>
        <row r="3189">
          <cell r="I3189">
            <v>3894</v>
          </cell>
          <cell r="J3189">
            <v>0.13354868708971554</v>
          </cell>
        </row>
        <row r="3190">
          <cell r="I3190">
            <v>3895</v>
          </cell>
          <cell r="J3190">
            <v>0.13355136761487965</v>
          </cell>
        </row>
        <row r="3191">
          <cell r="I3191">
            <v>3896</v>
          </cell>
          <cell r="J3191">
            <v>0.13355404814004376</v>
          </cell>
        </row>
        <row r="3192">
          <cell r="I3192">
            <v>3897</v>
          </cell>
          <cell r="J3192">
            <v>0.13355672866520787</v>
          </cell>
        </row>
        <row r="3193">
          <cell r="I3193">
            <v>3898</v>
          </cell>
          <cell r="J3193">
            <v>0.13355940919037199</v>
          </cell>
        </row>
        <row r="3194">
          <cell r="I3194">
            <v>3899</v>
          </cell>
          <cell r="J3194">
            <v>0.1335620897155361</v>
          </cell>
        </row>
        <row r="3195">
          <cell r="I3195">
            <v>3900</v>
          </cell>
          <cell r="J3195">
            <v>0.13356477024070021</v>
          </cell>
        </row>
        <row r="3196">
          <cell r="I3196">
            <v>3901</v>
          </cell>
          <cell r="J3196">
            <v>0.13356745076586432</v>
          </cell>
        </row>
        <row r="3197">
          <cell r="I3197">
            <v>3902</v>
          </cell>
          <cell r="J3197">
            <v>0.13357013129102843</v>
          </cell>
        </row>
        <row r="3198">
          <cell r="I3198">
            <v>3903</v>
          </cell>
          <cell r="J3198">
            <v>0.13357281181619254</v>
          </cell>
        </row>
        <row r="3199">
          <cell r="I3199">
            <v>3904</v>
          </cell>
          <cell r="J3199">
            <v>0.13357549234135666</v>
          </cell>
        </row>
        <row r="3200">
          <cell r="I3200">
            <v>3905</v>
          </cell>
          <cell r="J3200">
            <v>0.13357817286652077</v>
          </cell>
        </row>
        <row r="3201">
          <cell r="I3201">
            <v>3906</v>
          </cell>
          <cell r="J3201">
            <v>0.13358085339168491</v>
          </cell>
        </row>
        <row r="3202">
          <cell r="I3202">
            <v>3907</v>
          </cell>
          <cell r="J3202">
            <v>0.13358353391684902</v>
          </cell>
        </row>
        <row r="3203">
          <cell r="I3203">
            <v>3908</v>
          </cell>
          <cell r="J3203">
            <v>0.13358621444201313</v>
          </cell>
        </row>
        <row r="3204">
          <cell r="I3204">
            <v>3909</v>
          </cell>
          <cell r="J3204">
            <v>0.13358889496717724</v>
          </cell>
        </row>
        <row r="3205">
          <cell r="I3205">
            <v>3910</v>
          </cell>
          <cell r="J3205">
            <v>0.13359157549234135</v>
          </cell>
        </row>
        <row r="3206">
          <cell r="I3206">
            <v>3911</v>
          </cell>
          <cell r="J3206">
            <v>0.13359425601750546</v>
          </cell>
        </row>
        <row r="3207">
          <cell r="I3207">
            <v>3912</v>
          </cell>
          <cell r="J3207">
            <v>0.13359693654266958</v>
          </cell>
        </row>
        <row r="3208">
          <cell r="I3208">
            <v>3913</v>
          </cell>
          <cell r="J3208">
            <v>0.13359961706783369</v>
          </cell>
        </row>
        <row r="3209">
          <cell r="I3209">
            <v>3914</v>
          </cell>
          <cell r="J3209">
            <v>0.1336022975929978</v>
          </cell>
        </row>
        <row r="3210">
          <cell r="I3210">
            <v>3915</v>
          </cell>
          <cell r="J3210">
            <v>0.13360497811816191</v>
          </cell>
        </row>
        <row r="3211">
          <cell r="I3211">
            <v>3916</v>
          </cell>
          <cell r="J3211">
            <v>0.13360765864332602</v>
          </cell>
        </row>
        <row r="3212">
          <cell r="I3212">
            <v>3917</v>
          </cell>
          <cell r="J3212">
            <v>0.13361033916849013</v>
          </cell>
        </row>
        <row r="3213">
          <cell r="I3213">
            <v>3918</v>
          </cell>
          <cell r="J3213">
            <v>0.13361301969365427</v>
          </cell>
        </row>
        <row r="3214">
          <cell r="I3214">
            <v>3919</v>
          </cell>
          <cell r="J3214">
            <v>0.13361570021881838</v>
          </cell>
        </row>
        <row r="3215">
          <cell r="I3215">
            <v>3920</v>
          </cell>
          <cell r="J3215">
            <v>0.1336183807439825</v>
          </cell>
        </row>
        <row r="3216">
          <cell r="I3216">
            <v>3921</v>
          </cell>
          <cell r="J3216">
            <v>0.13362106126914661</v>
          </cell>
        </row>
        <row r="3217">
          <cell r="I3217">
            <v>3922</v>
          </cell>
          <cell r="J3217">
            <v>0.13362374179431072</v>
          </cell>
        </row>
        <row r="3218">
          <cell r="I3218">
            <v>3923</v>
          </cell>
          <cell r="J3218">
            <v>0.13362642231947483</v>
          </cell>
        </row>
        <row r="3219">
          <cell r="I3219">
            <v>3924</v>
          </cell>
          <cell r="J3219">
            <v>0.13362910284463894</v>
          </cell>
        </row>
        <row r="3220">
          <cell r="I3220">
            <v>3925</v>
          </cell>
          <cell r="J3220">
            <v>0.13363178336980305</v>
          </cell>
        </row>
        <row r="3221">
          <cell r="I3221">
            <v>3926</v>
          </cell>
          <cell r="J3221">
            <v>0.13363446389496716</v>
          </cell>
        </row>
        <row r="3222">
          <cell r="I3222">
            <v>3927</v>
          </cell>
          <cell r="J3222">
            <v>0.13363714442013128</v>
          </cell>
        </row>
        <row r="3223">
          <cell r="I3223">
            <v>3928</v>
          </cell>
          <cell r="J3223">
            <v>0.13363982494529539</v>
          </cell>
        </row>
        <row r="3224">
          <cell r="I3224">
            <v>3929</v>
          </cell>
          <cell r="J3224">
            <v>0.1336425054704595</v>
          </cell>
        </row>
        <row r="3225">
          <cell r="I3225">
            <v>3930</v>
          </cell>
          <cell r="J3225">
            <v>0.13364518599562364</v>
          </cell>
        </row>
        <row r="3226">
          <cell r="I3226">
            <v>3931</v>
          </cell>
          <cell r="J3226">
            <v>0.13364786652078775</v>
          </cell>
        </row>
        <row r="3227">
          <cell r="I3227">
            <v>3932</v>
          </cell>
          <cell r="J3227">
            <v>0.13365054704595186</v>
          </cell>
        </row>
        <row r="3228">
          <cell r="I3228">
            <v>3933</v>
          </cell>
          <cell r="J3228">
            <v>0.13365322757111597</v>
          </cell>
        </row>
        <row r="3229">
          <cell r="I3229">
            <v>3934</v>
          </cell>
          <cell r="J3229">
            <v>0.13365590809628008</v>
          </cell>
        </row>
        <row r="3230">
          <cell r="I3230">
            <v>3935</v>
          </cell>
          <cell r="J3230">
            <v>0.1336585886214442</v>
          </cell>
        </row>
        <row r="3231">
          <cell r="I3231">
            <v>3936</v>
          </cell>
          <cell r="J3231">
            <v>0.13366126914660831</v>
          </cell>
        </row>
        <row r="3232">
          <cell r="I3232">
            <v>3937</v>
          </cell>
          <cell r="J3232">
            <v>0.13366394967177242</v>
          </cell>
        </row>
        <row r="3233">
          <cell r="I3233">
            <v>3938</v>
          </cell>
          <cell r="J3233">
            <v>0.13366663019693653</v>
          </cell>
        </row>
        <row r="3234">
          <cell r="I3234">
            <v>3939</v>
          </cell>
          <cell r="J3234">
            <v>0.13366931072210064</v>
          </cell>
        </row>
        <row r="3235">
          <cell r="I3235">
            <v>3940</v>
          </cell>
          <cell r="J3235">
            <v>0.13367199124726475</v>
          </cell>
        </row>
        <row r="3236">
          <cell r="I3236">
            <v>3941</v>
          </cell>
          <cell r="J3236">
            <v>0.13367467177242887</v>
          </cell>
        </row>
        <row r="3237">
          <cell r="I3237">
            <v>3942</v>
          </cell>
          <cell r="J3237">
            <v>0.13367735229759298</v>
          </cell>
        </row>
        <row r="3238">
          <cell r="I3238">
            <v>3943</v>
          </cell>
          <cell r="J3238">
            <v>0.13368003282275712</v>
          </cell>
        </row>
        <row r="3239">
          <cell r="I3239">
            <v>3944</v>
          </cell>
          <cell r="J3239">
            <v>0.13368271334792123</v>
          </cell>
        </row>
        <row r="3240">
          <cell r="I3240">
            <v>3945</v>
          </cell>
          <cell r="J3240">
            <v>0.13368539387308534</v>
          </cell>
        </row>
        <row r="3241">
          <cell r="I3241">
            <v>3946</v>
          </cell>
          <cell r="J3241">
            <v>0.13368807439824945</v>
          </cell>
        </row>
        <row r="3242">
          <cell r="I3242">
            <v>3947</v>
          </cell>
          <cell r="J3242">
            <v>0.13369075492341356</v>
          </cell>
        </row>
        <row r="3243">
          <cell r="I3243">
            <v>3948</v>
          </cell>
          <cell r="J3243">
            <v>0.13369343544857767</v>
          </cell>
        </row>
        <row r="3244">
          <cell r="I3244">
            <v>3949</v>
          </cell>
          <cell r="J3244">
            <v>0.13369611597374179</v>
          </cell>
        </row>
        <row r="3245">
          <cell r="I3245">
            <v>3950</v>
          </cell>
          <cell r="J3245">
            <v>0.1336987964989059</v>
          </cell>
        </row>
        <row r="3246">
          <cell r="I3246">
            <v>3951</v>
          </cell>
          <cell r="J3246">
            <v>0.13370147702407001</v>
          </cell>
        </row>
        <row r="3247">
          <cell r="I3247">
            <v>3952</v>
          </cell>
          <cell r="J3247">
            <v>0.13370415754923412</v>
          </cell>
        </row>
        <row r="3248">
          <cell r="I3248">
            <v>3953</v>
          </cell>
          <cell r="J3248">
            <v>0.13370683807439823</v>
          </cell>
        </row>
        <row r="3249">
          <cell r="I3249">
            <v>3954</v>
          </cell>
          <cell r="J3249">
            <v>0.13370951859956234</v>
          </cell>
        </row>
        <row r="3250">
          <cell r="I3250">
            <v>3955</v>
          </cell>
          <cell r="J3250">
            <v>0.13371219912472648</v>
          </cell>
        </row>
        <row r="3251">
          <cell r="I3251">
            <v>3956</v>
          </cell>
          <cell r="J3251">
            <v>0.13371487964989059</v>
          </cell>
        </row>
        <row r="3252">
          <cell r="I3252">
            <v>3957</v>
          </cell>
          <cell r="J3252">
            <v>0.13371756017505471</v>
          </cell>
        </row>
        <row r="3253">
          <cell r="I3253">
            <v>3958</v>
          </cell>
          <cell r="J3253">
            <v>0.13372024070021882</v>
          </cell>
        </row>
        <row r="3254">
          <cell r="I3254">
            <v>3959</v>
          </cell>
          <cell r="J3254">
            <v>0.13372292122538293</v>
          </cell>
        </row>
        <row r="3255">
          <cell r="I3255">
            <v>3960</v>
          </cell>
          <cell r="J3255">
            <v>0.13372560175054704</v>
          </cell>
        </row>
        <row r="3256">
          <cell r="I3256">
            <v>3961</v>
          </cell>
          <cell r="J3256">
            <v>0.13372828227571115</v>
          </cell>
        </row>
        <row r="3257">
          <cell r="I3257">
            <v>3962</v>
          </cell>
          <cell r="J3257">
            <v>0.13373096280087526</v>
          </cell>
        </row>
        <row r="3258">
          <cell r="I3258">
            <v>3963</v>
          </cell>
          <cell r="J3258">
            <v>0.13373364332603938</v>
          </cell>
        </row>
        <row r="3259">
          <cell r="I3259">
            <v>3964</v>
          </cell>
          <cell r="J3259">
            <v>0.13373632385120349</v>
          </cell>
        </row>
        <row r="3260">
          <cell r="I3260">
            <v>3965</v>
          </cell>
          <cell r="J3260">
            <v>0.1337390043763676</v>
          </cell>
        </row>
        <row r="3261">
          <cell r="I3261">
            <v>3966</v>
          </cell>
          <cell r="J3261">
            <v>0.13374168490153171</v>
          </cell>
        </row>
        <row r="3262">
          <cell r="I3262">
            <v>3967</v>
          </cell>
          <cell r="J3262">
            <v>0.13374436542669585</v>
          </cell>
        </row>
        <row r="3263">
          <cell r="I3263">
            <v>3968</v>
          </cell>
          <cell r="J3263">
            <v>0.13374704595185996</v>
          </cell>
        </row>
        <row r="3264">
          <cell r="I3264">
            <v>3969</v>
          </cell>
          <cell r="J3264">
            <v>0.13374972647702407</v>
          </cell>
        </row>
        <row r="3265">
          <cell r="I3265">
            <v>3970</v>
          </cell>
          <cell r="J3265">
            <v>0.13375240700218818</v>
          </cell>
        </row>
        <row r="3266">
          <cell r="I3266">
            <v>3971</v>
          </cell>
          <cell r="J3266">
            <v>0.1337550875273523</v>
          </cell>
        </row>
        <row r="3267">
          <cell r="I3267">
            <v>3972</v>
          </cell>
          <cell r="J3267">
            <v>0.13375776805251641</v>
          </cell>
        </row>
        <row r="3268">
          <cell r="I3268">
            <v>3973</v>
          </cell>
          <cell r="J3268">
            <v>0.13376044857768052</v>
          </cell>
        </row>
        <row r="3269">
          <cell r="I3269">
            <v>3974</v>
          </cell>
          <cell r="J3269">
            <v>0.13376312910284463</v>
          </cell>
        </row>
        <row r="3270">
          <cell r="I3270">
            <v>3975</v>
          </cell>
          <cell r="J3270">
            <v>0.13376580962800874</v>
          </cell>
        </row>
        <row r="3271">
          <cell r="I3271">
            <v>3976</v>
          </cell>
          <cell r="J3271">
            <v>0.13376849015317285</v>
          </cell>
        </row>
        <row r="3272">
          <cell r="I3272">
            <v>3977</v>
          </cell>
          <cell r="J3272">
            <v>0.13377117067833696</v>
          </cell>
        </row>
        <row r="3273">
          <cell r="I3273">
            <v>3978</v>
          </cell>
          <cell r="J3273">
            <v>0.13377385120350108</v>
          </cell>
        </row>
        <row r="3274">
          <cell r="I3274">
            <v>3979</v>
          </cell>
          <cell r="J3274">
            <v>0.13377653172866519</v>
          </cell>
        </row>
        <row r="3275">
          <cell r="I3275">
            <v>3980</v>
          </cell>
          <cell r="J3275">
            <v>0.13377921225382933</v>
          </cell>
        </row>
        <row r="3276">
          <cell r="I3276">
            <v>3981</v>
          </cell>
          <cell r="J3276">
            <v>0.13378189277899344</v>
          </cell>
        </row>
        <row r="3277">
          <cell r="I3277">
            <v>3982</v>
          </cell>
          <cell r="J3277">
            <v>0.13378457330415755</v>
          </cell>
        </row>
        <row r="3278">
          <cell r="I3278">
            <v>3983</v>
          </cell>
          <cell r="J3278">
            <v>0.13378725382932166</v>
          </cell>
        </row>
        <row r="3279">
          <cell r="I3279">
            <v>3984</v>
          </cell>
          <cell r="J3279">
            <v>0.13378993435448577</v>
          </cell>
        </row>
        <row r="3280">
          <cell r="I3280">
            <v>3985</v>
          </cell>
          <cell r="J3280">
            <v>0.13379261487964988</v>
          </cell>
        </row>
        <row r="3281">
          <cell r="I3281">
            <v>3986</v>
          </cell>
          <cell r="J3281">
            <v>0.133795295404814</v>
          </cell>
        </row>
        <row r="3282">
          <cell r="I3282">
            <v>3987</v>
          </cell>
          <cell r="J3282">
            <v>0.13379797592997811</v>
          </cell>
        </row>
        <row r="3283">
          <cell r="I3283">
            <v>3988</v>
          </cell>
          <cell r="J3283">
            <v>0.13380065645514222</v>
          </cell>
        </row>
        <row r="3284">
          <cell r="I3284">
            <v>3989</v>
          </cell>
          <cell r="J3284">
            <v>0.13380333698030633</v>
          </cell>
        </row>
        <row r="3285">
          <cell r="I3285">
            <v>3990</v>
          </cell>
          <cell r="J3285">
            <v>0.13380601750547044</v>
          </cell>
        </row>
        <row r="3286">
          <cell r="I3286">
            <v>3991</v>
          </cell>
          <cell r="J3286">
            <v>0.13380869803063455</v>
          </cell>
        </row>
        <row r="3287">
          <cell r="I3287">
            <v>3992</v>
          </cell>
          <cell r="J3287">
            <v>0.13381137855579869</v>
          </cell>
        </row>
        <row r="3288">
          <cell r="I3288">
            <v>3993</v>
          </cell>
          <cell r="J3288">
            <v>0.1338140590809628</v>
          </cell>
        </row>
        <row r="3289">
          <cell r="I3289">
            <v>3994</v>
          </cell>
          <cell r="J3289">
            <v>0.13381673960612692</v>
          </cell>
        </row>
        <row r="3290">
          <cell r="I3290">
            <v>3995</v>
          </cell>
          <cell r="J3290">
            <v>0.13381942013129103</v>
          </cell>
        </row>
        <row r="3291">
          <cell r="I3291">
            <v>3996</v>
          </cell>
          <cell r="J3291">
            <v>0.13382210065645514</v>
          </cell>
        </row>
        <row r="3292">
          <cell r="I3292">
            <v>3997</v>
          </cell>
          <cell r="J3292">
            <v>0.13382478118161925</v>
          </cell>
        </row>
        <row r="3293">
          <cell r="I3293">
            <v>3998</v>
          </cell>
          <cell r="J3293">
            <v>0.13382746170678336</v>
          </cell>
        </row>
        <row r="3294">
          <cell r="I3294">
            <v>3999</v>
          </cell>
          <cell r="J3294">
            <v>0.13383014223194747</v>
          </cell>
        </row>
        <row r="3295">
          <cell r="I3295">
            <v>4000</v>
          </cell>
          <cell r="J3295">
            <v>0.13383282275711159</v>
          </cell>
        </row>
        <row r="3296">
          <cell r="I3296">
            <v>4001</v>
          </cell>
          <cell r="J3296">
            <v>0.1338355032822757</v>
          </cell>
        </row>
        <row r="3297">
          <cell r="I3297">
            <v>4002</v>
          </cell>
          <cell r="J3297">
            <v>0.13383818380743981</v>
          </cell>
        </row>
        <row r="3298">
          <cell r="I3298">
            <v>4003</v>
          </cell>
          <cell r="J3298">
            <v>0.13384086433260392</v>
          </cell>
        </row>
        <row r="3299">
          <cell r="I3299">
            <v>4004</v>
          </cell>
          <cell r="J3299">
            <v>0.13384354485776806</v>
          </cell>
        </row>
        <row r="3300">
          <cell r="I3300">
            <v>4005</v>
          </cell>
          <cell r="J3300">
            <v>0.13384622538293217</v>
          </cell>
        </row>
        <row r="3301">
          <cell r="I3301">
            <v>4006</v>
          </cell>
          <cell r="J3301">
            <v>0.13384890590809628</v>
          </cell>
        </row>
        <row r="3302">
          <cell r="I3302">
            <v>4007</v>
          </cell>
          <cell r="J3302">
            <v>0.13385158643326039</v>
          </cell>
        </row>
        <row r="3303">
          <cell r="I3303">
            <v>4008</v>
          </cell>
          <cell r="J3303">
            <v>0.13385426695842451</v>
          </cell>
        </row>
        <row r="3304">
          <cell r="I3304">
            <v>4009</v>
          </cell>
          <cell r="J3304">
            <v>0.13385694748358862</v>
          </cell>
        </row>
        <row r="3305">
          <cell r="I3305">
            <v>4010</v>
          </cell>
          <cell r="J3305">
            <v>0.13385962800875273</v>
          </cell>
        </row>
        <row r="3306">
          <cell r="I3306">
            <v>4011</v>
          </cell>
          <cell r="J3306">
            <v>0.13386230853391684</v>
          </cell>
        </row>
        <row r="3307">
          <cell r="I3307">
            <v>4012</v>
          </cell>
          <cell r="J3307">
            <v>0.13386498905908095</v>
          </cell>
        </row>
        <row r="3308">
          <cell r="I3308">
            <v>4013</v>
          </cell>
          <cell r="J3308">
            <v>0.13386766958424506</v>
          </cell>
        </row>
        <row r="3309">
          <cell r="I3309">
            <v>4014</v>
          </cell>
          <cell r="J3309">
            <v>0.13387035010940918</v>
          </cell>
        </row>
        <row r="3310">
          <cell r="I3310">
            <v>4015</v>
          </cell>
          <cell r="J3310">
            <v>0.13387303063457329</v>
          </cell>
        </row>
        <row r="3311">
          <cell r="I3311">
            <v>4016</v>
          </cell>
          <cell r="J3311">
            <v>0.1338757111597374</v>
          </cell>
        </row>
        <row r="3312">
          <cell r="I3312">
            <v>4017</v>
          </cell>
          <cell r="J3312">
            <v>0.13387839168490154</v>
          </cell>
        </row>
        <row r="3313">
          <cell r="I3313">
            <v>4018</v>
          </cell>
          <cell r="J3313">
            <v>0.13388107221006565</v>
          </cell>
        </row>
        <row r="3314">
          <cell r="I3314">
            <v>4019</v>
          </cell>
          <cell r="J3314">
            <v>0.13388375273522976</v>
          </cell>
        </row>
        <row r="3315">
          <cell r="I3315">
            <v>4020</v>
          </cell>
          <cell r="J3315">
            <v>0.13388643326039387</v>
          </cell>
        </row>
        <row r="3316">
          <cell r="I3316">
            <v>4021</v>
          </cell>
          <cell r="J3316">
            <v>0.13388911378555798</v>
          </cell>
        </row>
        <row r="3317">
          <cell r="I3317">
            <v>4022</v>
          </cell>
          <cell r="J3317">
            <v>0.1338917943107221</v>
          </cell>
        </row>
        <row r="3318">
          <cell r="I3318">
            <v>4023</v>
          </cell>
          <cell r="J3318">
            <v>0.13389447483588621</v>
          </cell>
        </row>
        <row r="3319">
          <cell r="I3319">
            <v>4024</v>
          </cell>
          <cell r="J3319">
            <v>0.13389715536105032</v>
          </cell>
        </row>
        <row r="3320">
          <cell r="I3320">
            <v>4025</v>
          </cell>
          <cell r="J3320">
            <v>0.13389983588621443</v>
          </cell>
        </row>
        <row r="3321">
          <cell r="I3321">
            <v>4026</v>
          </cell>
          <cell r="J3321">
            <v>0.13390251641137854</v>
          </cell>
        </row>
        <row r="3322">
          <cell r="I3322">
            <v>4027</v>
          </cell>
          <cell r="J3322">
            <v>0.13390519693654265</v>
          </cell>
        </row>
        <row r="3323">
          <cell r="I3323">
            <v>4028</v>
          </cell>
          <cell r="J3323">
            <v>0.13390787746170676</v>
          </cell>
        </row>
        <row r="3324">
          <cell r="I3324">
            <v>4029</v>
          </cell>
          <cell r="J3324">
            <v>0.1339105579868709</v>
          </cell>
        </row>
        <row r="3325">
          <cell r="I3325">
            <v>4030</v>
          </cell>
          <cell r="J3325">
            <v>0.13391323851203502</v>
          </cell>
        </row>
        <row r="3326">
          <cell r="I3326">
            <v>4031</v>
          </cell>
          <cell r="J3326">
            <v>0.13391591903719913</v>
          </cell>
        </row>
        <row r="3327">
          <cell r="I3327">
            <v>4032</v>
          </cell>
          <cell r="J3327">
            <v>0.13391859956236324</v>
          </cell>
        </row>
        <row r="3328">
          <cell r="I3328">
            <v>4033</v>
          </cell>
          <cell r="J3328">
            <v>0.13392128008752735</v>
          </cell>
        </row>
        <row r="3329">
          <cell r="I3329">
            <v>4034</v>
          </cell>
          <cell r="J3329">
            <v>0.13392396061269146</v>
          </cell>
        </row>
        <row r="3330">
          <cell r="I3330">
            <v>4035</v>
          </cell>
          <cell r="J3330">
            <v>0.13392664113785557</v>
          </cell>
        </row>
        <row r="3331">
          <cell r="I3331">
            <v>4036</v>
          </cell>
          <cell r="J3331">
            <v>0.13392932166301968</v>
          </cell>
        </row>
        <row r="3332">
          <cell r="I3332">
            <v>4037</v>
          </cell>
          <cell r="J3332">
            <v>0.1339320021881838</v>
          </cell>
        </row>
        <row r="3333">
          <cell r="I3333">
            <v>4038</v>
          </cell>
          <cell r="J3333">
            <v>0.13393468271334791</v>
          </cell>
        </row>
        <row r="3334">
          <cell r="I3334">
            <v>4039</v>
          </cell>
          <cell r="J3334">
            <v>0.13393736323851202</v>
          </cell>
        </row>
        <row r="3335">
          <cell r="I3335">
            <v>4040</v>
          </cell>
          <cell r="J3335">
            <v>0.13394004376367613</v>
          </cell>
        </row>
        <row r="3336">
          <cell r="I3336">
            <v>4041</v>
          </cell>
          <cell r="J3336">
            <v>0.13394272428884024</v>
          </cell>
        </row>
        <row r="3337">
          <cell r="I3337">
            <v>4042</v>
          </cell>
          <cell r="J3337">
            <v>0.13394540481400438</v>
          </cell>
        </row>
        <row r="3338">
          <cell r="I3338">
            <v>4043</v>
          </cell>
          <cell r="J3338">
            <v>0.13394808533916849</v>
          </cell>
        </row>
        <row r="3339">
          <cell r="I3339">
            <v>4044</v>
          </cell>
          <cell r="J3339">
            <v>0.1339507658643326</v>
          </cell>
        </row>
        <row r="3340">
          <cell r="I3340">
            <v>4045</v>
          </cell>
          <cell r="J3340">
            <v>0.13395344638949672</v>
          </cell>
        </row>
        <row r="3341">
          <cell r="I3341">
            <v>4046</v>
          </cell>
          <cell r="J3341">
            <v>0.13395612691466083</v>
          </cell>
        </row>
        <row r="3342">
          <cell r="I3342">
            <v>4047</v>
          </cell>
          <cell r="J3342">
            <v>0.13395880743982494</v>
          </cell>
        </row>
        <row r="3343">
          <cell r="I3343">
            <v>4048</v>
          </cell>
          <cell r="J3343">
            <v>0.13396148796498905</v>
          </cell>
        </row>
        <row r="3344">
          <cell r="I3344">
            <v>4049</v>
          </cell>
          <cell r="J3344">
            <v>0.13396416849015316</v>
          </cell>
        </row>
        <row r="3345">
          <cell r="I3345">
            <v>4050</v>
          </cell>
          <cell r="J3345">
            <v>0.13396684901531727</v>
          </cell>
        </row>
        <row r="3346">
          <cell r="I3346">
            <v>4051</v>
          </cell>
          <cell r="J3346">
            <v>0.13396952954048139</v>
          </cell>
        </row>
        <row r="3347">
          <cell r="I3347">
            <v>4052</v>
          </cell>
          <cell r="J3347">
            <v>0.1339722100656455</v>
          </cell>
        </row>
        <row r="3348">
          <cell r="I3348">
            <v>4053</v>
          </cell>
          <cell r="J3348">
            <v>0.13397489059080961</v>
          </cell>
        </row>
        <row r="3349">
          <cell r="I3349">
            <v>4054</v>
          </cell>
          <cell r="J3349">
            <v>0.13397757111597375</v>
          </cell>
        </row>
        <row r="3350">
          <cell r="I3350">
            <v>4055</v>
          </cell>
          <cell r="J3350">
            <v>0.13398025164113786</v>
          </cell>
        </row>
        <row r="3351">
          <cell r="I3351">
            <v>4056</v>
          </cell>
          <cell r="J3351">
            <v>0.13398293216630197</v>
          </cell>
        </row>
        <row r="3352">
          <cell r="I3352">
            <v>4057</v>
          </cell>
          <cell r="J3352">
            <v>0.13398561269146608</v>
          </cell>
        </row>
        <row r="3353">
          <cell r="I3353">
            <v>4058</v>
          </cell>
          <cell r="J3353">
            <v>0.13398829321663019</v>
          </cell>
        </row>
        <row r="3354">
          <cell r="I3354">
            <v>4059</v>
          </cell>
          <cell r="J3354">
            <v>0.13399097374179431</v>
          </cell>
        </row>
        <row r="3355">
          <cell r="I3355">
            <v>4060</v>
          </cell>
          <cell r="J3355">
            <v>0.13399365426695842</v>
          </cell>
        </row>
        <row r="3356">
          <cell r="I3356">
            <v>4061</v>
          </cell>
          <cell r="J3356">
            <v>0.13399633479212253</v>
          </cell>
        </row>
        <row r="3357">
          <cell r="I3357">
            <v>4062</v>
          </cell>
          <cell r="J3357">
            <v>0.13399901531728664</v>
          </cell>
        </row>
        <row r="3358">
          <cell r="I3358">
            <v>4063</v>
          </cell>
          <cell r="J3358">
            <v>0.13400169584245075</v>
          </cell>
        </row>
        <row r="3359">
          <cell r="I3359">
            <v>4064</v>
          </cell>
          <cell r="J3359">
            <v>0.13400437636761486</v>
          </cell>
        </row>
        <row r="3360">
          <cell r="I3360">
            <v>4065</v>
          </cell>
          <cell r="J3360">
            <v>0.13400705689277898</v>
          </cell>
        </row>
        <row r="3361">
          <cell r="I3361">
            <v>4066</v>
          </cell>
          <cell r="J3361">
            <v>0.13400973741794311</v>
          </cell>
        </row>
        <row r="3362">
          <cell r="I3362">
            <v>4067</v>
          </cell>
          <cell r="J3362">
            <v>0.13401241794310723</v>
          </cell>
        </row>
        <row r="3363">
          <cell r="I3363">
            <v>4068</v>
          </cell>
          <cell r="J3363">
            <v>0.13401509846827134</v>
          </cell>
        </row>
        <row r="3364">
          <cell r="I3364">
            <v>4069</v>
          </cell>
          <cell r="J3364">
            <v>0.13401777899343545</v>
          </cell>
        </row>
        <row r="3365">
          <cell r="I3365">
            <v>4070</v>
          </cell>
          <cell r="J3365">
            <v>0.13402045951859956</v>
          </cell>
        </row>
        <row r="3366">
          <cell r="I3366">
            <v>4071</v>
          </cell>
          <cell r="J3366">
            <v>0.13402314004376367</v>
          </cell>
        </row>
        <row r="3367">
          <cell r="I3367">
            <v>4072</v>
          </cell>
          <cell r="J3367">
            <v>0.13402582056892778</v>
          </cell>
        </row>
        <row r="3368">
          <cell r="I3368">
            <v>4073</v>
          </cell>
          <cell r="J3368">
            <v>0.1340285010940919</v>
          </cell>
        </row>
        <row r="3369">
          <cell r="I3369">
            <v>4074</v>
          </cell>
          <cell r="J3369">
            <v>0.13403118161925601</v>
          </cell>
        </row>
        <row r="3370">
          <cell r="I3370">
            <v>4075</v>
          </cell>
          <cell r="J3370">
            <v>0.13403386214442012</v>
          </cell>
        </row>
        <row r="3371">
          <cell r="I3371">
            <v>4076</v>
          </cell>
          <cell r="J3371">
            <v>0.13403654266958423</v>
          </cell>
        </row>
        <row r="3372">
          <cell r="I3372">
            <v>4077</v>
          </cell>
          <cell r="J3372">
            <v>0.13403922319474834</v>
          </cell>
        </row>
        <row r="3373">
          <cell r="I3373">
            <v>4078</v>
          </cell>
          <cell r="J3373">
            <v>0.13404190371991245</v>
          </cell>
        </row>
        <row r="3374">
          <cell r="I3374">
            <v>4079</v>
          </cell>
          <cell r="J3374">
            <v>0.13404458424507659</v>
          </cell>
        </row>
        <row r="3375">
          <cell r="I3375">
            <v>4080</v>
          </cell>
          <cell r="J3375">
            <v>0.1340472647702407</v>
          </cell>
        </row>
        <row r="3376">
          <cell r="I3376">
            <v>4081</v>
          </cell>
          <cell r="J3376">
            <v>0.13404994529540482</v>
          </cell>
        </row>
        <row r="3377">
          <cell r="I3377">
            <v>4082</v>
          </cell>
          <cell r="J3377">
            <v>0.13405262582056893</v>
          </cell>
        </row>
        <row r="3378">
          <cell r="I3378">
            <v>4083</v>
          </cell>
          <cell r="J3378">
            <v>0.13405530634573304</v>
          </cell>
        </row>
        <row r="3379">
          <cell r="I3379">
            <v>4084</v>
          </cell>
          <cell r="J3379">
            <v>0.13405798687089715</v>
          </cell>
        </row>
        <row r="3380">
          <cell r="I3380">
            <v>4085</v>
          </cell>
          <cell r="J3380">
            <v>0.13406066739606126</v>
          </cell>
        </row>
        <row r="3381">
          <cell r="I3381">
            <v>4086</v>
          </cell>
          <cell r="J3381">
            <v>0.13406334792122537</v>
          </cell>
        </row>
        <row r="3382">
          <cell r="I3382">
            <v>4087</v>
          </cell>
          <cell r="J3382">
            <v>0.13406602844638948</v>
          </cell>
        </row>
        <row r="3383">
          <cell r="I3383">
            <v>4088</v>
          </cell>
          <cell r="J3383">
            <v>0.1340687089715536</v>
          </cell>
        </row>
        <row r="3384">
          <cell r="I3384">
            <v>4089</v>
          </cell>
          <cell r="J3384">
            <v>0.13407138949671771</v>
          </cell>
        </row>
        <row r="3385">
          <cell r="I3385">
            <v>4090</v>
          </cell>
          <cell r="J3385">
            <v>0.13407407002188182</v>
          </cell>
        </row>
        <row r="3386">
          <cell r="I3386">
            <v>4091</v>
          </cell>
          <cell r="J3386">
            <v>0.13407675054704596</v>
          </cell>
        </row>
        <row r="3387">
          <cell r="I3387">
            <v>4092</v>
          </cell>
          <cell r="J3387">
            <v>0.13407943107221007</v>
          </cell>
        </row>
        <row r="3388">
          <cell r="I3388">
            <v>4093</v>
          </cell>
          <cell r="J3388">
            <v>0.13408211159737418</v>
          </cell>
        </row>
        <row r="3389">
          <cell r="I3389">
            <v>4094</v>
          </cell>
          <cell r="J3389">
            <v>0.13408479212253829</v>
          </cell>
        </row>
        <row r="3390">
          <cell r="I3390">
            <v>4095</v>
          </cell>
          <cell r="J3390">
            <v>0.1340874726477024</v>
          </cell>
        </row>
        <row r="3391">
          <cell r="I3391">
            <v>4096</v>
          </cell>
          <cell r="J3391">
            <v>0.13409015317286652</v>
          </cell>
        </row>
        <row r="3392">
          <cell r="I3392">
            <v>4097</v>
          </cell>
          <cell r="J3392">
            <v>0.13409283369803063</v>
          </cell>
        </row>
        <row r="3393">
          <cell r="I3393">
            <v>4098</v>
          </cell>
          <cell r="J3393">
            <v>0.13409551422319474</v>
          </cell>
        </row>
        <row r="3394">
          <cell r="I3394">
            <v>4099</v>
          </cell>
          <cell r="J3394">
            <v>0.13409819474835885</v>
          </cell>
        </row>
        <row r="3395">
          <cell r="I3395">
            <v>4100</v>
          </cell>
          <cell r="J3395">
            <v>0.13410087527352296</v>
          </cell>
        </row>
        <row r="3396">
          <cell r="I3396">
            <v>4101</v>
          </cell>
          <cell r="J3396">
            <v>0.13410355579868707</v>
          </cell>
        </row>
        <row r="3397">
          <cell r="I3397">
            <v>4102</v>
          </cell>
          <cell r="J3397">
            <v>0.13410623632385119</v>
          </cell>
        </row>
        <row r="3398">
          <cell r="I3398">
            <v>4103</v>
          </cell>
          <cell r="J3398">
            <v>0.13410891684901532</v>
          </cell>
        </row>
        <row r="3399">
          <cell r="I3399">
            <v>4104</v>
          </cell>
          <cell r="J3399">
            <v>0.13411159737417944</v>
          </cell>
        </row>
        <row r="3400">
          <cell r="I3400">
            <v>4105</v>
          </cell>
          <cell r="J3400">
            <v>0.13411427789934355</v>
          </cell>
        </row>
        <row r="3401">
          <cell r="I3401">
            <v>4106</v>
          </cell>
          <cell r="J3401">
            <v>0.13411695842450766</v>
          </cell>
        </row>
        <row r="3402">
          <cell r="I3402">
            <v>4107</v>
          </cell>
          <cell r="J3402">
            <v>0.13411963894967177</v>
          </cell>
        </row>
        <row r="3403">
          <cell r="I3403">
            <v>4108</v>
          </cell>
          <cell r="J3403">
            <v>0.13412231947483588</v>
          </cell>
        </row>
        <row r="3404">
          <cell r="I3404">
            <v>4109</v>
          </cell>
          <cell r="J3404">
            <v>0.13412499999999999</v>
          </cell>
        </row>
        <row r="3405">
          <cell r="I3405">
            <v>4110</v>
          </cell>
          <cell r="J3405">
            <v>0.13412768052516411</v>
          </cell>
        </row>
        <row r="3406">
          <cell r="I3406">
            <v>4111</v>
          </cell>
          <cell r="J3406">
            <v>0.13413036105032822</v>
          </cell>
        </row>
        <row r="3407">
          <cell r="I3407">
            <v>4112</v>
          </cell>
          <cell r="J3407">
            <v>0.13413304157549233</v>
          </cell>
        </row>
        <row r="3408">
          <cell r="I3408">
            <v>4113</v>
          </cell>
          <cell r="J3408">
            <v>0.13413572210065644</v>
          </cell>
        </row>
        <row r="3409">
          <cell r="I3409">
            <v>4114</v>
          </cell>
          <cell r="J3409">
            <v>0.13413840262582055</v>
          </cell>
        </row>
        <row r="3410">
          <cell r="I3410">
            <v>4115</v>
          </cell>
          <cell r="J3410">
            <v>0.13414108315098466</v>
          </cell>
        </row>
        <row r="3411">
          <cell r="I3411">
            <v>4116</v>
          </cell>
          <cell r="J3411">
            <v>0.1341437636761488</v>
          </cell>
        </row>
        <row r="3412">
          <cell r="I3412">
            <v>4117</v>
          </cell>
          <cell r="J3412">
            <v>0.13414644420131291</v>
          </cell>
        </row>
        <row r="3413">
          <cell r="I3413">
            <v>4118</v>
          </cell>
          <cell r="J3413">
            <v>0.13414912472647703</v>
          </cell>
        </row>
        <row r="3414">
          <cell r="I3414">
            <v>4119</v>
          </cell>
          <cell r="J3414">
            <v>0.13415180525164114</v>
          </cell>
        </row>
        <row r="3415">
          <cell r="I3415">
            <v>4120</v>
          </cell>
          <cell r="J3415">
            <v>0.13415448577680525</v>
          </cell>
        </row>
        <row r="3416">
          <cell r="I3416">
            <v>4121</v>
          </cell>
          <cell r="J3416">
            <v>0.13415716630196936</v>
          </cell>
        </row>
        <row r="3417">
          <cell r="I3417">
            <v>4122</v>
          </cell>
          <cell r="J3417">
            <v>0.13415984682713347</v>
          </cell>
        </row>
        <row r="3418">
          <cell r="I3418">
            <v>4123</v>
          </cell>
          <cell r="J3418">
            <v>0.13416252735229758</v>
          </cell>
        </row>
        <row r="3419">
          <cell r="I3419">
            <v>4124</v>
          </cell>
          <cell r="J3419">
            <v>0.1341652078774617</v>
          </cell>
        </row>
        <row r="3420">
          <cell r="I3420">
            <v>4125</v>
          </cell>
          <cell r="J3420">
            <v>0.13416788840262581</v>
          </cell>
        </row>
        <row r="3421">
          <cell r="I3421">
            <v>4126</v>
          </cell>
          <cell r="J3421">
            <v>0.13417056892778992</v>
          </cell>
        </row>
        <row r="3422">
          <cell r="I3422">
            <v>4127</v>
          </cell>
          <cell r="J3422">
            <v>0.13417324945295403</v>
          </cell>
        </row>
        <row r="3423">
          <cell r="I3423">
            <v>4128</v>
          </cell>
          <cell r="J3423">
            <v>0.13417592997811817</v>
          </cell>
        </row>
        <row r="3424">
          <cell r="I3424">
            <v>4129</v>
          </cell>
          <cell r="J3424">
            <v>0.13417861050328228</v>
          </cell>
        </row>
        <row r="3425">
          <cell r="I3425">
            <v>4130</v>
          </cell>
          <cell r="J3425">
            <v>0.13418129102844639</v>
          </cell>
        </row>
        <row r="3426">
          <cell r="I3426">
            <v>4131</v>
          </cell>
          <cell r="J3426">
            <v>0.1341839715536105</v>
          </cell>
        </row>
        <row r="3427">
          <cell r="I3427">
            <v>4132</v>
          </cell>
          <cell r="J3427">
            <v>0.13418665207877462</v>
          </cell>
        </row>
        <row r="3428">
          <cell r="I3428">
            <v>4133</v>
          </cell>
          <cell r="J3428">
            <v>0.13418933260393873</v>
          </cell>
        </row>
        <row r="3429">
          <cell r="I3429">
            <v>4134</v>
          </cell>
          <cell r="J3429">
            <v>0.13419201312910284</v>
          </cell>
        </row>
        <row r="3430">
          <cell r="I3430">
            <v>4135</v>
          </cell>
          <cell r="J3430">
            <v>0.13419469365426695</v>
          </cell>
        </row>
        <row r="3431">
          <cell r="I3431">
            <v>4136</v>
          </cell>
          <cell r="J3431">
            <v>0.13419737417943106</v>
          </cell>
        </row>
        <row r="3432">
          <cell r="I3432">
            <v>4137</v>
          </cell>
          <cell r="J3432">
            <v>0.13420005470459517</v>
          </cell>
        </row>
        <row r="3433">
          <cell r="I3433">
            <v>4138</v>
          </cell>
          <cell r="J3433">
            <v>0.13420273522975928</v>
          </cell>
        </row>
        <row r="3434">
          <cell r="I3434">
            <v>4139</v>
          </cell>
          <cell r="J3434">
            <v>0.1342054157549234</v>
          </cell>
        </row>
        <row r="3435">
          <cell r="I3435">
            <v>4140</v>
          </cell>
          <cell r="J3435">
            <v>0.13420809628008754</v>
          </cell>
        </row>
        <row r="3436">
          <cell r="I3436">
            <v>4141</v>
          </cell>
          <cell r="J3436">
            <v>0.13421077680525165</v>
          </cell>
        </row>
        <row r="3437">
          <cell r="I3437">
            <v>4142</v>
          </cell>
          <cell r="J3437">
            <v>0.13421345733041576</v>
          </cell>
        </row>
        <row r="3438">
          <cell r="I3438">
            <v>4143</v>
          </cell>
          <cell r="J3438">
            <v>0.13421613785557987</v>
          </cell>
        </row>
        <row r="3439">
          <cell r="I3439">
            <v>4144</v>
          </cell>
          <cell r="J3439">
            <v>0.13421881838074398</v>
          </cell>
        </row>
        <row r="3440">
          <cell r="I3440">
            <v>4145</v>
          </cell>
          <cell r="J3440">
            <v>0.13422149890590809</v>
          </cell>
        </row>
        <row r="3441">
          <cell r="I3441">
            <v>4146</v>
          </cell>
          <cell r="J3441">
            <v>0.1342241794310722</v>
          </cell>
        </row>
        <row r="3442">
          <cell r="I3442">
            <v>4147</v>
          </cell>
          <cell r="J3442">
            <v>0.13422685995623632</v>
          </cell>
        </row>
        <row r="3443">
          <cell r="I3443">
            <v>4148</v>
          </cell>
          <cell r="J3443">
            <v>0.13422954048140043</v>
          </cell>
        </row>
        <row r="3444">
          <cell r="I3444">
            <v>4149</v>
          </cell>
          <cell r="J3444">
            <v>0.13423222100656454</v>
          </cell>
        </row>
        <row r="3445">
          <cell r="I3445">
            <v>4150</v>
          </cell>
          <cell r="J3445">
            <v>0.13423490153172865</v>
          </cell>
        </row>
        <row r="3446">
          <cell r="I3446">
            <v>4151</v>
          </cell>
          <cell r="J3446">
            <v>0.13423758205689276</v>
          </cell>
        </row>
        <row r="3447">
          <cell r="I3447">
            <v>4152</v>
          </cell>
          <cell r="J3447">
            <v>0.13424026258205687</v>
          </cell>
        </row>
        <row r="3448">
          <cell r="I3448">
            <v>4153</v>
          </cell>
          <cell r="J3448">
            <v>0.13424294310722101</v>
          </cell>
        </row>
        <row r="3449">
          <cell r="I3449">
            <v>4154</v>
          </cell>
          <cell r="J3449">
            <v>0.13424562363238512</v>
          </cell>
        </row>
        <row r="3450">
          <cell r="I3450">
            <v>4155</v>
          </cell>
          <cell r="J3450">
            <v>0.13424830415754924</v>
          </cell>
        </row>
        <row r="3451">
          <cell r="I3451">
            <v>4156</v>
          </cell>
          <cell r="J3451">
            <v>0.13425098468271335</v>
          </cell>
        </row>
        <row r="3452">
          <cell r="I3452">
            <v>4157</v>
          </cell>
          <cell r="J3452">
            <v>0.13425366520787746</v>
          </cell>
        </row>
        <row r="3453">
          <cell r="I3453">
            <v>4158</v>
          </cell>
          <cell r="J3453">
            <v>0.13425634573304157</v>
          </cell>
        </row>
        <row r="3454">
          <cell r="I3454">
            <v>4159</v>
          </cell>
          <cell r="J3454">
            <v>0.13425902625820568</v>
          </cell>
        </row>
        <row r="3455">
          <cell r="I3455">
            <v>4160</v>
          </cell>
          <cell r="J3455">
            <v>0.13426170678336979</v>
          </cell>
        </row>
        <row r="3456">
          <cell r="I3456">
            <v>4161</v>
          </cell>
          <cell r="J3456">
            <v>0.13426438730853391</v>
          </cell>
        </row>
        <row r="3457">
          <cell r="I3457">
            <v>4162</v>
          </cell>
          <cell r="J3457">
            <v>0.13426706783369802</v>
          </cell>
        </row>
        <row r="3458">
          <cell r="I3458">
            <v>4163</v>
          </cell>
          <cell r="J3458">
            <v>0.13426974835886213</v>
          </cell>
        </row>
        <row r="3459">
          <cell r="I3459">
            <v>4164</v>
          </cell>
          <cell r="J3459">
            <v>0.13427242888402624</v>
          </cell>
        </row>
        <row r="3460">
          <cell r="I3460">
            <v>4165</v>
          </cell>
          <cell r="J3460">
            <v>0.13427510940919038</v>
          </cell>
        </row>
        <row r="3461">
          <cell r="I3461">
            <v>4166</v>
          </cell>
          <cell r="J3461">
            <v>0.13427778993435449</v>
          </cell>
        </row>
        <row r="3462">
          <cell r="I3462">
            <v>4167</v>
          </cell>
          <cell r="J3462">
            <v>0.1342804704595186</v>
          </cell>
        </row>
        <row r="3463">
          <cell r="I3463">
            <v>4168</v>
          </cell>
          <cell r="J3463">
            <v>0.13428315098468271</v>
          </cell>
        </row>
        <row r="3464">
          <cell r="I3464">
            <v>4169</v>
          </cell>
          <cell r="J3464">
            <v>0.13428583150984683</v>
          </cell>
        </row>
        <row r="3465">
          <cell r="I3465">
            <v>4170</v>
          </cell>
          <cell r="J3465">
            <v>0.13428851203501094</v>
          </cell>
        </row>
        <row r="3466">
          <cell r="I3466">
            <v>4171</v>
          </cell>
          <cell r="J3466">
            <v>0.13429119256017505</v>
          </cell>
        </row>
        <row r="3467">
          <cell r="I3467">
            <v>4172</v>
          </cell>
          <cell r="J3467">
            <v>0.13429387308533916</v>
          </cell>
        </row>
        <row r="3468">
          <cell r="I3468">
            <v>4173</v>
          </cell>
          <cell r="J3468">
            <v>0.13429655361050327</v>
          </cell>
        </row>
        <row r="3469">
          <cell r="I3469">
            <v>4174</v>
          </cell>
          <cell r="J3469">
            <v>0.13429923413566738</v>
          </cell>
        </row>
        <row r="3470">
          <cell r="I3470">
            <v>4175</v>
          </cell>
          <cell r="J3470">
            <v>0.1343019146608315</v>
          </cell>
        </row>
        <row r="3471">
          <cell r="I3471">
            <v>4176</v>
          </cell>
          <cell r="J3471">
            <v>0.13430459518599561</v>
          </cell>
        </row>
        <row r="3472">
          <cell r="I3472">
            <v>4177</v>
          </cell>
          <cell r="J3472">
            <v>0.13430727571115975</v>
          </cell>
        </row>
        <row r="3473">
          <cell r="I3473">
            <v>4178</v>
          </cell>
          <cell r="J3473">
            <v>0.13430995623632386</v>
          </cell>
        </row>
        <row r="3474">
          <cell r="I3474">
            <v>4179</v>
          </cell>
          <cell r="J3474">
            <v>0.13431263676148797</v>
          </cell>
        </row>
        <row r="3475">
          <cell r="I3475">
            <v>4180</v>
          </cell>
          <cell r="J3475">
            <v>0.13431531728665208</v>
          </cell>
        </row>
        <row r="3476">
          <cell r="I3476">
            <v>4181</v>
          </cell>
          <cell r="J3476">
            <v>0.13431799781181619</v>
          </cell>
        </row>
        <row r="3477">
          <cell r="I3477">
            <v>4182</v>
          </cell>
          <cell r="J3477">
            <v>0.1343206783369803</v>
          </cell>
        </row>
        <row r="3478">
          <cell r="I3478">
            <v>4183</v>
          </cell>
          <cell r="J3478">
            <v>0.13432335886214442</v>
          </cell>
        </row>
        <row r="3479">
          <cell r="I3479">
            <v>4184</v>
          </cell>
          <cell r="J3479">
            <v>0.13432603938730853</v>
          </cell>
        </row>
        <row r="3480">
          <cell r="I3480">
            <v>4185</v>
          </cell>
          <cell r="J3480">
            <v>0.13432871991247264</v>
          </cell>
        </row>
        <row r="3481">
          <cell r="I3481">
            <v>4186</v>
          </cell>
          <cell r="J3481">
            <v>0.13433140043763675</v>
          </cell>
        </row>
        <row r="3482">
          <cell r="I3482">
            <v>4187</v>
          </cell>
          <cell r="J3482">
            <v>0.13433408096280086</v>
          </cell>
        </row>
        <row r="3483">
          <cell r="I3483">
            <v>4188</v>
          </cell>
          <cell r="J3483">
            <v>0.13433676148796497</v>
          </cell>
        </row>
        <row r="3484">
          <cell r="I3484">
            <v>4189</v>
          </cell>
          <cell r="J3484">
            <v>0.13433944201312908</v>
          </cell>
        </row>
        <row r="3485">
          <cell r="I3485">
            <v>4190</v>
          </cell>
          <cell r="J3485">
            <v>0.13434212253829322</v>
          </cell>
        </row>
        <row r="3486">
          <cell r="I3486">
            <v>4191</v>
          </cell>
          <cell r="J3486">
            <v>0.13434480306345734</v>
          </cell>
        </row>
        <row r="3487">
          <cell r="I3487">
            <v>4192</v>
          </cell>
          <cell r="J3487">
            <v>0.13434748358862145</v>
          </cell>
        </row>
        <row r="3488">
          <cell r="I3488">
            <v>4193</v>
          </cell>
          <cell r="J3488">
            <v>0.13435016411378556</v>
          </cell>
        </row>
        <row r="3489">
          <cell r="I3489">
            <v>4194</v>
          </cell>
          <cell r="J3489">
            <v>0.13435284463894967</v>
          </cell>
        </row>
        <row r="3490">
          <cell r="I3490">
            <v>4195</v>
          </cell>
          <cell r="J3490">
            <v>0.13435552516411378</v>
          </cell>
        </row>
        <row r="3491">
          <cell r="I3491">
            <v>4196</v>
          </cell>
          <cell r="J3491">
            <v>0.13435820568927789</v>
          </cell>
        </row>
        <row r="3492">
          <cell r="I3492">
            <v>4197</v>
          </cell>
          <cell r="J3492">
            <v>0.134360886214442</v>
          </cell>
        </row>
        <row r="3493">
          <cell r="I3493">
            <v>4198</v>
          </cell>
          <cell r="J3493">
            <v>0.13436356673960612</v>
          </cell>
        </row>
        <row r="3494">
          <cell r="I3494">
            <v>4199</v>
          </cell>
          <cell r="J3494">
            <v>0.13436624726477023</v>
          </cell>
        </row>
        <row r="3495">
          <cell r="I3495">
            <v>4200</v>
          </cell>
          <cell r="J3495">
            <v>0.13436892778993434</v>
          </cell>
        </row>
        <row r="3496">
          <cell r="I3496">
            <v>4201</v>
          </cell>
          <cell r="J3496">
            <v>0.13437160831509845</v>
          </cell>
        </row>
        <row r="3497">
          <cell r="I3497">
            <v>4202</v>
          </cell>
          <cell r="J3497">
            <v>0.13437428884026259</v>
          </cell>
        </row>
        <row r="3498">
          <cell r="I3498">
            <v>4203</v>
          </cell>
          <cell r="J3498">
            <v>0.1343769693654267</v>
          </cell>
        </row>
        <row r="3499">
          <cell r="I3499">
            <v>4204</v>
          </cell>
          <cell r="J3499">
            <v>0.13437964989059081</v>
          </cell>
        </row>
        <row r="3500">
          <cell r="I3500">
            <v>4205</v>
          </cell>
          <cell r="J3500">
            <v>0.13438233041575492</v>
          </cell>
        </row>
        <row r="3501">
          <cell r="I3501">
            <v>4206</v>
          </cell>
          <cell r="J3501">
            <v>0.13438501094091904</v>
          </cell>
        </row>
        <row r="3502">
          <cell r="I3502">
            <v>4207</v>
          </cell>
          <cell r="J3502">
            <v>0.13438769146608315</v>
          </cell>
        </row>
        <row r="3503">
          <cell r="I3503">
            <v>4208</v>
          </cell>
          <cell r="J3503">
            <v>0.13439037199124726</v>
          </cell>
        </row>
        <row r="3504">
          <cell r="I3504">
            <v>4209</v>
          </cell>
          <cell r="J3504">
            <v>0.13439305251641137</v>
          </cell>
        </row>
        <row r="3505">
          <cell r="I3505">
            <v>4210</v>
          </cell>
          <cell r="J3505">
            <v>0.13439573304157548</v>
          </cell>
        </row>
        <row r="3506">
          <cell r="I3506">
            <v>4211</v>
          </cell>
          <cell r="J3506">
            <v>0.13439841356673959</v>
          </cell>
        </row>
        <row r="3507">
          <cell r="I3507">
            <v>4212</v>
          </cell>
          <cell r="J3507">
            <v>0.13440109409190371</v>
          </cell>
        </row>
        <row r="3508">
          <cell r="I3508">
            <v>4213</v>
          </cell>
          <cell r="J3508">
            <v>0.13440377461706782</v>
          </cell>
        </row>
        <row r="3509">
          <cell r="I3509">
            <v>4214</v>
          </cell>
          <cell r="J3509">
            <v>0.13440645514223193</v>
          </cell>
        </row>
        <row r="3510">
          <cell r="I3510">
            <v>4215</v>
          </cell>
          <cell r="J3510">
            <v>0.13440913566739607</v>
          </cell>
        </row>
        <row r="3511">
          <cell r="I3511">
            <v>4216</v>
          </cell>
          <cell r="J3511">
            <v>0.13441181619256018</v>
          </cell>
        </row>
        <row r="3512">
          <cell r="I3512">
            <v>4217</v>
          </cell>
          <cell r="J3512">
            <v>0.13441449671772429</v>
          </cell>
        </row>
        <row r="3513">
          <cell r="I3513">
            <v>4218</v>
          </cell>
          <cell r="J3513">
            <v>0.1344171772428884</v>
          </cell>
        </row>
        <row r="3514">
          <cell r="I3514">
            <v>4219</v>
          </cell>
          <cell r="J3514">
            <v>0.13441985776805251</v>
          </cell>
        </row>
        <row r="3515">
          <cell r="I3515">
            <v>4220</v>
          </cell>
          <cell r="J3515">
            <v>0.13442253829321663</v>
          </cell>
        </row>
        <row r="3516">
          <cell r="I3516">
            <v>4221</v>
          </cell>
          <cell r="J3516">
            <v>0.13442521881838074</v>
          </cell>
        </row>
        <row r="3517">
          <cell r="I3517">
            <v>4222</v>
          </cell>
          <cell r="J3517">
            <v>0.13442789934354485</v>
          </cell>
        </row>
        <row r="3518">
          <cell r="I3518">
            <v>4223</v>
          </cell>
          <cell r="J3518">
            <v>0.13443057986870896</v>
          </cell>
        </row>
        <row r="3519">
          <cell r="I3519">
            <v>4224</v>
          </cell>
          <cell r="J3519">
            <v>0.13443326039387307</v>
          </cell>
        </row>
        <row r="3520">
          <cell r="I3520">
            <v>4225</v>
          </cell>
          <cell r="J3520">
            <v>0.13443594091903718</v>
          </cell>
        </row>
        <row r="3521">
          <cell r="I3521">
            <v>4226</v>
          </cell>
          <cell r="J3521">
            <v>0.1344386214442013</v>
          </cell>
        </row>
        <row r="3522">
          <cell r="I3522">
            <v>4227</v>
          </cell>
          <cell r="J3522">
            <v>0.13444130196936543</v>
          </cell>
        </row>
        <row r="3523">
          <cell r="I3523">
            <v>4228</v>
          </cell>
          <cell r="J3523">
            <v>0.13444398249452955</v>
          </cell>
        </row>
        <row r="3524">
          <cell r="I3524">
            <v>4229</v>
          </cell>
          <cell r="J3524">
            <v>0.13444666301969366</v>
          </cell>
        </row>
        <row r="3525">
          <cell r="I3525">
            <v>4230</v>
          </cell>
          <cell r="J3525">
            <v>0.13444934354485777</v>
          </cell>
        </row>
        <row r="3526">
          <cell r="I3526">
            <v>4231</v>
          </cell>
          <cell r="J3526">
            <v>0.13445202407002188</v>
          </cell>
        </row>
        <row r="3527">
          <cell r="I3527">
            <v>4232</v>
          </cell>
          <cell r="J3527">
            <v>0.13445470459518599</v>
          </cell>
        </row>
        <row r="3528">
          <cell r="I3528">
            <v>4233</v>
          </cell>
          <cell r="J3528">
            <v>0.1344573851203501</v>
          </cell>
        </row>
        <row r="3529">
          <cell r="I3529">
            <v>4234</v>
          </cell>
          <cell r="J3529">
            <v>0.13446006564551422</v>
          </cell>
        </row>
        <row r="3530">
          <cell r="I3530">
            <v>4235</v>
          </cell>
          <cell r="J3530">
            <v>0.13446274617067833</v>
          </cell>
        </row>
        <row r="3531">
          <cell r="I3531">
            <v>4236</v>
          </cell>
          <cell r="J3531">
            <v>0.13446542669584244</v>
          </cell>
        </row>
        <row r="3532">
          <cell r="I3532">
            <v>4237</v>
          </cell>
          <cell r="J3532">
            <v>0.13446810722100655</v>
          </cell>
        </row>
        <row r="3533">
          <cell r="I3533">
            <v>4238</v>
          </cell>
          <cell r="J3533">
            <v>0.13447078774617066</v>
          </cell>
        </row>
        <row r="3534">
          <cell r="I3534">
            <v>4239</v>
          </cell>
          <cell r="J3534">
            <v>0.1344734682713348</v>
          </cell>
        </row>
        <row r="3535">
          <cell r="I3535">
            <v>4240</v>
          </cell>
          <cell r="J3535">
            <v>0.13447614879649891</v>
          </cell>
        </row>
        <row r="3536">
          <cell r="I3536">
            <v>4241</v>
          </cell>
          <cell r="J3536">
            <v>0.13447882932166302</v>
          </cell>
        </row>
        <row r="3537">
          <cell r="I3537">
            <v>4242</v>
          </cell>
          <cell r="J3537">
            <v>0.13448150984682714</v>
          </cell>
        </row>
        <row r="3538">
          <cell r="I3538">
            <v>4243</v>
          </cell>
          <cell r="J3538">
            <v>0.13448419037199125</v>
          </cell>
        </row>
        <row r="3539">
          <cell r="I3539">
            <v>4244</v>
          </cell>
          <cell r="J3539">
            <v>0.13448687089715536</v>
          </cell>
        </row>
        <row r="3540">
          <cell r="I3540">
            <v>4245</v>
          </cell>
          <cell r="J3540">
            <v>0.13448955142231947</v>
          </cell>
        </row>
        <row r="3541">
          <cell r="I3541">
            <v>4246</v>
          </cell>
          <cell r="J3541">
            <v>0.13449223194748358</v>
          </cell>
        </row>
        <row r="3542">
          <cell r="I3542">
            <v>4247</v>
          </cell>
          <cell r="J3542">
            <v>0.13449491247264769</v>
          </cell>
        </row>
        <row r="3543">
          <cell r="I3543">
            <v>4248</v>
          </cell>
          <cell r="J3543">
            <v>0.1344975929978118</v>
          </cell>
        </row>
        <row r="3544">
          <cell r="I3544">
            <v>4249</v>
          </cell>
          <cell r="J3544">
            <v>0.13450027352297592</v>
          </cell>
        </row>
        <row r="3545">
          <cell r="I3545">
            <v>4250</v>
          </cell>
          <cell r="J3545">
            <v>0.13450295404814003</v>
          </cell>
        </row>
        <row r="3546">
          <cell r="I3546">
            <v>4251</v>
          </cell>
          <cell r="J3546">
            <v>0.13450563457330417</v>
          </cell>
        </row>
        <row r="3547">
          <cell r="I3547">
            <v>4252</v>
          </cell>
          <cell r="J3547">
            <v>0.13450831509846828</v>
          </cell>
        </row>
        <row r="3548">
          <cell r="I3548">
            <v>4253</v>
          </cell>
          <cell r="J3548">
            <v>0.13451099562363239</v>
          </cell>
        </row>
        <row r="3549">
          <cell r="I3549">
            <v>4254</v>
          </cell>
          <cell r="J3549">
            <v>0.1345136761487965</v>
          </cell>
        </row>
        <row r="3550">
          <cell r="I3550">
            <v>4255</v>
          </cell>
          <cell r="J3550">
            <v>0.13451635667396061</v>
          </cell>
        </row>
        <row r="3551">
          <cell r="I3551">
            <v>4256</v>
          </cell>
          <cell r="J3551">
            <v>0.13451903719912472</v>
          </cell>
        </row>
        <row r="3552">
          <cell r="I3552">
            <v>4257</v>
          </cell>
          <cell r="J3552">
            <v>0.13452171772428884</v>
          </cell>
        </row>
        <row r="3553">
          <cell r="I3553">
            <v>4258</v>
          </cell>
          <cell r="J3553">
            <v>0.13452439824945295</v>
          </cell>
        </row>
        <row r="3554">
          <cell r="I3554">
            <v>4259</v>
          </cell>
          <cell r="J3554">
            <v>0.13452707877461706</v>
          </cell>
        </row>
        <row r="3555">
          <cell r="I3555">
            <v>4260</v>
          </cell>
          <cell r="J3555">
            <v>0.13452975929978117</v>
          </cell>
        </row>
        <row r="3556">
          <cell r="I3556">
            <v>4261</v>
          </cell>
          <cell r="J3556">
            <v>0.13453243982494528</v>
          </cell>
        </row>
        <row r="3557">
          <cell r="I3557">
            <v>4262</v>
          </cell>
          <cell r="J3557">
            <v>0.13453512035010939</v>
          </cell>
        </row>
        <row r="3558">
          <cell r="I3558">
            <v>4263</v>
          </cell>
          <cell r="J3558">
            <v>0.13453780087527351</v>
          </cell>
        </row>
        <row r="3559">
          <cell r="I3559">
            <v>4264</v>
          </cell>
          <cell r="J3559">
            <v>0.13454048140043764</v>
          </cell>
        </row>
        <row r="3560">
          <cell r="I3560">
            <v>4265</v>
          </cell>
          <cell r="J3560">
            <v>0.13454316192560176</v>
          </cell>
        </row>
        <row r="3561">
          <cell r="I3561">
            <v>4266</v>
          </cell>
          <cell r="J3561">
            <v>0.13454584245076587</v>
          </cell>
        </row>
        <row r="3562">
          <cell r="I3562">
            <v>4267</v>
          </cell>
          <cell r="J3562">
            <v>0.13454852297592998</v>
          </cell>
        </row>
        <row r="3563">
          <cell r="I3563">
            <v>4268</v>
          </cell>
          <cell r="J3563">
            <v>0.13455120350109409</v>
          </cell>
        </row>
        <row r="3564">
          <cell r="I3564">
            <v>4269</v>
          </cell>
          <cell r="J3564">
            <v>0.1345538840262582</v>
          </cell>
        </row>
        <row r="3565">
          <cell r="I3565">
            <v>4270</v>
          </cell>
          <cell r="J3565">
            <v>0.13455656455142231</v>
          </cell>
        </row>
        <row r="3566">
          <cell r="I3566">
            <v>4271</v>
          </cell>
          <cell r="J3566">
            <v>0.13455924507658643</v>
          </cell>
        </row>
        <row r="3567">
          <cell r="I3567">
            <v>4272</v>
          </cell>
          <cell r="J3567">
            <v>0.13456192560175054</v>
          </cell>
        </row>
        <row r="3568">
          <cell r="I3568">
            <v>4273</v>
          </cell>
          <cell r="J3568">
            <v>0.13456460612691465</v>
          </cell>
        </row>
        <row r="3569">
          <cell r="I3569">
            <v>4274</v>
          </cell>
          <cell r="J3569">
            <v>0.13456728665207876</v>
          </cell>
        </row>
        <row r="3570">
          <cell r="I3570">
            <v>4275</v>
          </cell>
          <cell r="J3570">
            <v>0.13456996717724287</v>
          </cell>
        </row>
        <row r="3571">
          <cell r="I3571">
            <v>4276</v>
          </cell>
          <cell r="J3571">
            <v>0.13457264770240701</v>
          </cell>
        </row>
        <row r="3572">
          <cell r="I3572">
            <v>4277</v>
          </cell>
          <cell r="J3572">
            <v>0.13457532822757112</v>
          </cell>
        </row>
        <row r="3573">
          <cell r="I3573">
            <v>4278</v>
          </cell>
          <cell r="J3573">
            <v>0.13457800875273523</v>
          </cell>
        </row>
        <row r="3574">
          <cell r="I3574">
            <v>4279</v>
          </cell>
          <cell r="J3574">
            <v>0.13458068927789935</v>
          </cell>
        </row>
        <row r="3575">
          <cell r="I3575">
            <v>4280</v>
          </cell>
          <cell r="J3575">
            <v>0.13458336980306346</v>
          </cell>
        </row>
        <row r="3576">
          <cell r="I3576">
            <v>4281</v>
          </cell>
          <cell r="J3576">
            <v>0.13458605032822757</v>
          </cell>
        </row>
        <row r="3577">
          <cell r="I3577">
            <v>4282</v>
          </cell>
          <cell r="J3577">
            <v>0.13458873085339168</v>
          </cell>
        </row>
        <row r="3578">
          <cell r="I3578">
            <v>4283</v>
          </cell>
          <cell r="J3578">
            <v>0.13459141137855579</v>
          </cell>
        </row>
        <row r="3579">
          <cell r="I3579">
            <v>4284</v>
          </cell>
          <cell r="J3579">
            <v>0.1345940919037199</v>
          </cell>
        </row>
        <row r="3580">
          <cell r="I3580">
            <v>4285</v>
          </cell>
          <cell r="J3580">
            <v>0.13459677242888402</v>
          </cell>
        </row>
        <row r="3581">
          <cell r="I3581">
            <v>4286</v>
          </cell>
          <cell r="J3581">
            <v>0.13459945295404813</v>
          </cell>
        </row>
        <row r="3582">
          <cell r="I3582">
            <v>4287</v>
          </cell>
          <cell r="J3582">
            <v>0.13460213347921224</v>
          </cell>
        </row>
        <row r="3583">
          <cell r="I3583">
            <v>4288</v>
          </cell>
          <cell r="J3583">
            <v>0.13460481400437635</v>
          </cell>
        </row>
        <row r="3584">
          <cell r="I3584">
            <v>4289</v>
          </cell>
          <cell r="J3584">
            <v>0.13460749452954049</v>
          </cell>
        </row>
        <row r="3585">
          <cell r="I3585">
            <v>4290</v>
          </cell>
          <cell r="J3585">
            <v>0.1346101750547046</v>
          </cell>
        </row>
        <row r="3586">
          <cell r="I3586">
            <v>4291</v>
          </cell>
          <cell r="J3586">
            <v>0.13461285557986871</v>
          </cell>
        </row>
        <row r="3587">
          <cell r="I3587">
            <v>4292</v>
          </cell>
          <cell r="J3587">
            <v>0.13461553610503282</v>
          </cell>
        </row>
        <row r="3588">
          <cell r="I3588">
            <v>4293</v>
          </cell>
          <cell r="J3588">
            <v>0.13461821663019694</v>
          </cell>
        </row>
        <row r="3589">
          <cell r="I3589">
            <v>4294</v>
          </cell>
          <cell r="J3589">
            <v>0.13462089715536105</v>
          </cell>
        </row>
        <row r="3590">
          <cell r="I3590">
            <v>4295</v>
          </cell>
          <cell r="J3590">
            <v>0.13462357768052516</v>
          </cell>
        </row>
        <row r="3591">
          <cell r="I3591">
            <v>4296</v>
          </cell>
          <cell r="J3591">
            <v>0.13462625820568927</v>
          </cell>
        </row>
        <row r="3592">
          <cell r="I3592">
            <v>4297</v>
          </cell>
          <cell r="J3592">
            <v>0.13462893873085338</v>
          </cell>
        </row>
        <row r="3593">
          <cell r="I3593">
            <v>4298</v>
          </cell>
          <cell r="J3593">
            <v>0.13463161925601749</v>
          </cell>
        </row>
        <row r="3594">
          <cell r="I3594">
            <v>4299</v>
          </cell>
          <cell r="J3594">
            <v>0.1346342997811816</v>
          </cell>
        </row>
        <row r="3595">
          <cell r="I3595">
            <v>4300</v>
          </cell>
          <cell r="J3595">
            <v>0.13463698030634572</v>
          </cell>
        </row>
        <row r="3596">
          <cell r="I3596">
            <v>4301</v>
          </cell>
          <cell r="J3596">
            <v>0.13463966083150986</v>
          </cell>
        </row>
        <row r="3597">
          <cell r="I3597">
            <v>4302</v>
          </cell>
          <cell r="J3597">
            <v>0.13464234135667397</v>
          </cell>
        </row>
        <row r="3598">
          <cell r="I3598">
            <v>4303</v>
          </cell>
          <cell r="J3598">
            <v>0.13464502188183808</v>
          </cell>
        </row>
        <row r="3599">
          <cell r="I3599">
            <v>4304</v>
          </cell>
          <cell r="J3599">
            <v>0.13464770240700219</v>
          </cell>
        </row>
        <row r="3600">
          <cell r="I3600">
            <v>4305</v>
          </cell>
          <cell r="J3600">
            <v>0.1346503829321663</v>
          </cell>
        </row>
        <row r="3601">
          <cell r="I3601">
            <v>4306</v>
          </cell>
          <cell r="J3601">
            <v>0.13465306345733041</v>
          </cell>
        </row>
        <row r="3602">
          <cell r="I3602">
            <v>4307</v>
          </cell>
          <cell r="J3602">
            <v>0.13465574398249452</v>
          </cell>
        </row>
        <row r="3603">
          <cell r="I3603">
            <v>4308</v>
          </cell>
          <cell r="J3603">
            <v>0.13465842450765864</v>
          </cell>
        </row>
        <row r="3604">
          <cell r="I3604">
            <v>4309</v>
          </cell>
          <cell r="J3604">
            <v>0.13466110503282275</v>
          </cell>
        </row>
        <row r="3605">
          <cell r="I3605">
            <v>4310</v>
          </cell>
          <cell r="J3605">
            <v>0.13466378555798686</v>
          </cell>
        </row>
        <row r="3606">
          <cell r="I3606">
            <v>4311</v>
          </cell>
          <cell r="J3606">
            <v>0.13466646608315097</v>
          </cell>
        </row>
        <row r="3607">
          <cell r="I3607">
            <v>4312</v>
          </cell>
          <cell r="J3607">
            <v>0.13466914660831508</v>
          </cell>
        </row>
        <row r="3608">
          <cell r="I3608">
            <v>4313</v>
          </cell>
          <cell r="J3608">
            <v>0.13467182713347922</v>
          </cell>
        </row>
        <row r="3609">
          <cell r="I3609">
            <v>4314</v>
          </cell>
          <cell r="J3609">
            <v>0.13467450765864333</v>
          </cell>
        </row>
        <row r="3610">
          <cell r="I3610">
            <v>4315</v>
          </cell>
          <cell r="J3610">
            <v>0.13467718818380744</v>
          </cell>
        </row>
        <row r="3611">
          <cell r="I3611">
            <v>4316</v>
          </cell>
          <cell r="J3611">
            <v>0.13467986870897156</v>
          </cell>
        </row>
        <row r="3612">
          <cell r="I3612">
            <v>4317</v>
          </cell>
          <cell r="J3612">
            <v>0.13468254923413567</v>
          </cell>
        </row>
        <row r="3613">
          <cell r="I3613">
            <v>4318</v>
          </cell>
          <cell r="J3613">
            <v>0.13468522975929978</v>
          </cell>
        </row>
        <row r="3614">
          <cell r="I3614">
            <v>4319</v>
          </cell>
          <cell r="J3614">
            <v>0.13468791028446389</v>
          </cell>
        </row>
        <row r="3615">
          <cell r="I3615">
            <v>4320</v>
          </cell>
          <cell r="J3615">
            <v>0.134690590809628</v>
          </cell>
        </row>
        <row r="3616">
          <cell r="I3616">
            <v>4321</v>
          </cell>
          <cell r="J3616">
            <v>0.13469327133479211</v>
          </cell>
        </row>
        <row r="3617">
          <cell r="I3617">
            <v>4322</v>
          </cell>
          <cell r="J3617">
            <v>0.13469595185995623</v>
          </cell>
        </row>
        <row r="3618">
          <cell r="I3618">
            <v>4323</v>
          </cell>
          <cell r="J3618">
            <v>0.13469863238512034</v>
          </cell>
        </row>
        <row r="3619">
          <cell r="I3619">
            <v>4324</v>
          </cell>
          <cell r="J3619">
            <v>0.13470131291028445</v>
          </cell>
        </row>
        <row r="3620">
          <cell r="I3620">
            <v>4325</v>
          </cell>
          <cell r="J3620">
            <v>0.13470399343544856</v>
          </cell>
        </row>
        <row r="3621">
          <cell r="I3621">
            <v>4326</v>
          </cell>
          <cell r="J3621">
            <v>0.1347066739606127</v>
          </cell>
        </row>
        <row r="3622">
          <cell r="I3622">
            <v>4327</v>
          </cell>
          <cell r="J3622">
            <v>0.13470935448577681</v>
          </cell>
        </row>
        <row r="3623">
          <cell r="I3623">
            <v>4328</v>
          </cell>
          <cell r="J3623">
            <v>0.13471203501094092</v>
          </cell>
        </row>
        <row r="3624">
          <cell r="I3624">
            <v>4329</v>
          </cell>
          <cell r="J3624">
            <v>0.13471471553610503</v>
          </cell>
        </row>
        <row r="3625">
          <cell r="I3625">
            <v>4330</v>
          </cell>
          <cell r="J3625">
            <v>0.13471739606126915</v>
          </cell>
        </row>
        <row r="3626">
          <cell r="I3626">
            <v>4331</v>
          </cell>
          <cell r="J3626">
            <v>0.13472007658643326</v>
          </cell>
        </row>
        <row r="3627">
          <cell r="I3627">
            <v>4332</v>
          </cell>
          <cell r="J3627">
            <v>0.13472275711159737</v>
          </cell>
        </row>
        <row r="3628">
          <cell r="I3628">
            <v>4333</v>
          </cell>
          <cell r="J3628">
            <v>0.13472543763676148</v>
          </cell>
        </row>
        <row r="3629">
          <cell r="I3629">
            <v>4334</v>
          </cell>
          <cell r="J3629">
            <v>0.13472811816192559</v>
          </cell>
        </row>
        <row r="3630">
          <cell r="I3630">
            <v>4335</v>
          </cell>
          <cell r="J3630">
            <v>0.1347307986870897</v>
          </cell>
        </row>
        <row r="3631">
          <cell r="I3631">
            <v>4336</v>
          </cell>
          <cell r="J3631">
            <v>0.13473347921225381</v>
          </cell>
        </row>
        <row r="3632">
          <cell r="I3632">
            <v>4337</v>
          </cell>
          <cell r="J3632">
            <v>0.13473615973741793</v>
          </cell>
        </row>
        <row r="3633">
          <cell r="I3633">
            <v>4338</v>
          </cell>
          <cell r="J3633">
            <v>0.13473884026258207</v>
          </cell>
        </row>
        <row r="3634">
          <cell r="I3634">
            <v>4339</v>
          </cell>
          <cell r="J3634">
            <v>0.13474152078774618</v>
          </cell>
        </row>
        <row r="3635">
          <cell r="I3635">
            <v>4340</v>
          </cell>
          <cell r="J3635">
            <v>0.13474420131291029</v>
          </cell>
        </row>
        <row r="3636">
          <cell r="I3636">
            <v>4341</v>
          </cell>
          <cell r="J3636">
            <v>0.1347468818380744</v>
          </cell>
        </row>
        <row r="3637">
          <cell r="I3637">
            <v>4342</v>
          </cell>
          <cell r="J3637">
            <v>0.13474956236323851</v>
          </cell>
        </row>
        <row r="3638">
          <cell r="I3638">
            <v>4343</v>
          </cell>
          <cell r="J3638">
            <v>0.13475224288840262</v>
          </cell>
        </row>
        <row r="3639">
          <cell r="I3639">
            <v>4344</v>
          </cell>
          <cell r="J3639">
            <v>0.13475492341356674</v>
          </cell>
        </row>
        <row r="3640">
          <cell r="I3640">
            <v>4345</v>
          </cell>
          <cell r="J3640">
            <v>0.13475760393873085</v>
          </cell>
        </row>
        <row r="3641">
          <cell r="I3641">
            <v>4346</v>
          </cell>
          <cell r="J3641">
            <v>0.13476028446389496</v>
          </cell>
        </row>
        <row r="3642">
          <cell r="I3642">
            <v>4347</v>
          </cell>
          <cell r="J3642">
            <v>0.13476296498905907</v>
          </cell>
        </row>
        <row r="3643">
          <cell r="I3643">
            <v>4348</v>
          </cell>
          <cell r="J3643">
            <v>0.13476564551422318</v>
          </cell>
        </row>
        <row r="3644">
          <cell r="I3644">
            <v>4349</v>
          </cell>
          <cell r="J3644">
            <v>0.13476832603938729</v>
          </cell>
        </row>
        <row r="3645">
          <cell r="I3645">
            <v>4350</v>
          </cell>
          <cell r="J3645">
            <v>0.13477100656455143</v>
          </cell>
        </row>
        <row r="3646">
          <cell r="I3646">
            <v>4351</v>
          </cell>
          <cell r="J3646">
            <v>0.13477368708971554</v>
          </cell>
        </row>
        <row r="3647">
          <cell r="I3647">
            <v>4352</v>
          </cell>
          <cell r="J3647">
            <v>0.13477636761487966</v>
          </cell>
        </row>
        <row r="3648">
          <cell r="I3648">
            <v>4353</v>
          </cell>
          <cell r="J3648">
            <v>0.13477904814004377</v>
          </cell>
        </row>
        <row r="3649">
          <cell r="I3649">
            <v>4354</v>
          </cell>
          <cell r="J3649">
            <v>0.13478172866520788</v>
          </cell>
        </row>
        <row r="3650">
          <cell r="I3650">
            <v>4355</v>
          </cell>
          <cell r="J3650">
            <v>0.13478440919037199</v>
          </cell>
        </row>
        <row r="3651">
          <cell r="I3651">
            <v>4356</v>
          </cell>
          <cell r="J3651">
            <v>0.1347870897155361</v>
          </cell>
        </row>
        <row r="3652">
          <cell r="I3652">
            <v>4357</v>
          </cell>
          <cell r="J3652">
            <v>0.13478977024070021</v>
          </cell>
        </row>
        <row r="3653">
          <cell r="I3653">
            <v>4358</v>
          </cell>
          <cell r="J3653">
            <v>0.13479245076586432</v>
          </cell>
        </row>
        <row r="3654">
          <cell r="I3654">
            <v>4359</v>
          </cell>
          <cell r="J3654">
            <v>0.13479513129102844</v>
          </cell>
        </row>
        <row r="3655">
          <cell r="I3655">
            <v>4360</v>
          </cell>
          <cell r="J3655">
            <v>0.13479781181619255</v>
          </cell>
        </row>
        <row r="3656">
          <cell r="I3656">
            <v>4361</v>
          </cell>
          <cell r="J3656">
            <v>0.13480049234135666</v>
          </cell>
        </row>
        <row r="3657">
          <cell r="I3657">
            <v>4362</v>
          </cell>
          <cell r="J3657">
            <v>0.13480317286652077</v>
          </cell>
        </row>
        <row r="3658">
          <cell r="I3658">
            <v>4363</v>
          </cell>
          <cell r="J3658">
            <v>0.13480585339168491</v>
          </cell>
        </row>
        <row r="3659">
          <cell r="I3659">
            <v>4364</v>
          </cell>
          <cell r="J3659">
            <v>0.13480853391684902</v>
          </cell>
        </row>
        <row r="3660">
          <cell r="I3660">
            <v>4365</v>
          </cell>
          <cell r="J3660">
            <v>0.13481121444201313</v>
          </cell>
        </row>
        <row r="3661">
          <cell r="I3661">
            <v>4366</v>
          </cell>
          <cell r="J3661">
            <v>0.13481389496717724</v>
          </cell>
        </row>
        <row r="3662">
          <cell r="I3662">
            <v>4367</v>
          </cell>
          <cell r="J3662">
            <v>0.13481657549234136</v>
          </cell>
        </row>
        <row r="3663">
          <cell r="I3663">
            <v>4368</v>
          </cell>
          <cell r="J3663">
            <v>0.13481925601750547</v>
          </cell>
        </row>
        <row r="3664">
          <cell r="I3664">
            <v>4369</v>
          </cell>
          <cell r="J3664">
            <v>0.13482193654266958</v>
          </cell>
        </row>
        <row r="3665">
          <cell r="I3665">
            <v>4370</v>
          </cell>
          <cell r="J3665">
            <v>0.13482461706783369</v>
          </cell>
        </row>
        <row r="3666">
          <cell r="I3666">
            <v>4371</v>
          </cell>
          <cell r="J3666">
            <v>0.1348272975929978</v>
          </cell>
        </row>
        <row r="3667">
          <cell r="I3667">
            <v>4372</v>
          </cell>
          <cell r="J3667">
            <v>0.13482997811816191</v>
          </cell>
        </row>
        <row r="3668">
          <cell r="I3668">
            <v>4373</v>
          </cell>
          <cell r="J3668">
            <v>0.13483265864332603</v>
          </cell>
        </row>
        <row r="3669">
          <cell r="I3669">
            <v>4374</v>
          </cell>
          <cell r="J3669">
            <v>0.13483533916849014</v>
          </cell>
        </row>
        <row r="3670">
          <cell r="I3670">
            <v>4375</v>
          </cell>
          <cell r="J3670">
            <v>0.13483801969365428</v>
          </cell>
        </row>
        <row r="3671">
          <cell r="I3671">
            <v>4376</v>
          </cell>
          <cell r="J3671">
            <v>0.13484070021881839</v>
          </cell>
        </row>
        <row r="3672">
          <cell r="I3672">
            <v>4377</v>
          </cell>
          <cell r="J3672">
            <v>0.1348433807439825</v>
          </cell>
        </row>
        <row r="3673">
          <cell r="I3673">
            <v>4378</v>
          </cell>
          <cell r="J3673">
            <v>0.13484606126914661</v>
          </cell>
        </row>
        <row r="3674">
          <cell r="I3674">
            <v>4379</v>
          </cell>
          <cell r="J3674">
            <v>0.13484874179431072</v>
          </cell>
        </row>
        <row r="3675">
          <cell r="I3675">
            <v>4380</v>
          </cell>
          <cell r="J3675">
            <v>0.13485142231947483</v>
          </cell>
        </row>
        <row r="3676">
          <cell r="I3676">
            <v>4381</v>
          </cell>
          <cell r="J3676">
            <v>0.13485410284463895</v>
          </cell>
        </row>
        <row r="3677">
          <cell r="I3677">
            <v>4382</v>
          </cell>
          <cell r="J3677">
            <v>0.13485678336980306</v>
          </cell>
        </row>
        <row r="3678">
          <cell r="I3678">
            <v>4383</v>
          </cell>
          <cell r="J3678">
            <v>0.13485946389496717</v>
          </cell>
        </row>
        <row r="3679">
          <cell r="I3679">
            <v>4384</v>
          </cell>
          <cell r="J3679">
            <v>0.13486214442013128</v>
          </cell>
        </row>
        <row r="3680">
          <cell r="I3680">
            <v>4385</v>
          </cell>
          <cell r="J3680">
            <v>0.13486482494529539</v>
          </cell>
        </row>
        <row r="3681">
          <cell r="I3681">
            <v>4386</v>
          </cell>
          <cell r="J3681">
            <v>0.1348675054704595</v>
          </cell>
        </row>
        <row r="3682">
          <cell r="I3682">
            <v>4387</v>
          </cell>
          <cell r="J3682">
            <v>0.13487018599562364</v>
          </cell>
        </row>
        <row r="3683">
          <cell r="I3683">
            <v>4388</v>
          </cell>
          <cell r="J3683">
            <v>0.13487286652078775</v>
          </cell>
        </row>
        <row r="3684">
          <cell r="I3684">
            <v>4389</v>
          </cell>
          <cell r="J3684">
            <v>0.13487554704595187</v>
          </cell>
        </row>
        <row r="3685">
          <cell r="I3685">
            <v>4390</v>
          </cell>
          <cell r="J3685">
            <v>0.13487822757111598</v>
          </cell>
        </row>
        <row r="3686">
          <cell r="I3686">
            <v>4391</v>
          </cell>
          <cell r="J3686">
            <v>0.13488090809628009</v>
          </cell>
        </row>
        <row r="3687">
          <cell r="I3687">
            <v>4392</v>
          </cell>
          <cell r="J3687">
            <v>0.1348835886214442</v>
          </cell>
        </row>
        <row r="3688">
          <cell r="I3688">
            <v>4393</v>
          </cell>
          <cell r="J3688">
            <v>0.13488626914660831</v>
          </cell>
        </row>
        <row r="3689">
          <cell r="I3689">
            <v>4394</v>
          </cell>
          <cell r="J3689">
            <v>0.13488894967177242</v>
          </cell>
        </row>
        <row r="3690">
          <cell r="I3690">
            <v>4395</v>
          </cell>
          <cell r="J3690">
            <v>0.13489163019693654</v>
          </cell>
        </row>
        <row r="3691">
          <cell r="I3691">
            <v>4396</v>
          </cell>
          <cell r="J3691">
            <v>0.13489431072210065</v>
          </cell>
        </row>
        <row r="3692">
          <cell r="I3692">
            <v>4397</v>
          </cell>
          <cell r="J3692">
            <v>0.13489699124726476</v>
          </cell>
        </row>
        <row r="3693">
          <cell r="I3693">
            <v>4398</v>
          </cell>
          <cell r="J3693">
            <v>0.13489967177242887</v>
          </cell>
        </row>
        <row r="3694">
          <cell r="I3694">
            <v>4399</v>
          </cell>
          <cell r="J3694">
            <v>0.13490235229759298</v>
          </cell>
        </row>
        <row r="3695">
          <cell r="I3695">
            <v>4400</v>
          </cell>
          <cell r="J3695">
            <v>0.13490503282275712</v>
          </cell>
        </row>
        <row r="3696">
          <cell r="I3696">
            <v>4401</v>
          </cell>
          <cell r="J3696">
            <v>0.13490771334792123</v>
          </cell>
        </row>
        <row r="3697">
          <cell r="I3697">
            <v>4402</v>
          </cell>
          <cell r="J3697">
            <v>0.13491039387308534</v>
          </cell>
        </row>
        <row r="3698">
          <cell r="I3698">
            <v>4403</v>
          </cell>
          <cell r="J3698">
            <v>0.13491307439824946</v>
          </cell>
        </row>
        <row r="3699">
          <cell r="I3699">
            <v>4404</v>
          </cell>
          <cell r="J3699">
            <v>0.13491575492341357</v>
          </cell>
        </row>
        <row r="3700">
          <cell r="I3700">
            <v>4405</v>
          </cell>
          <cell r="J3700">
            <v>0.13491843544857768</v>
          </cell>
        </row>
        <row r="3701">
          <cell r="I3701">
            <v>4406</v>
          </cell>
          <cell r="J3701">
            <v>0.13492111597374179</v>
          </cell>
        </row>
        <row r="3702">
          <cell r="I3702">
            <v>4407</v>
          </cell>
          <cell r="J3702">
            <v>0.1349237964989059</v>
          </cell>
        </row>
        <row r="3703">
          <cell r="I3703">
            <v>4408</v>
          </cell>
          <cell r="J3703">
            <v>0.13492647702407001</v>
          </cell>
        </row>
        <row r="3704">
          <cell r="I3704">
            <v>4409</v>
          </cell>
          <cell r="J3704">
            <v>0.13492915754923412</v>
          </cell>
        </row>
        <row r="3705">
          <cell r="I3705">
            <v>4410</v>
          </cell>
          <cell r="J3705">
            <v>0.13493183807439824</v>
          </cell>
        </row>
        <row r="3706">
          <cell r="I3706">
            <v>4411</v>
          </cell>
          <cell r="J3706">
            <v>0.13493451859956235</v>
          </cell>
        </row>
        <row r="3707">
          <cell r="I3707">
            <v>4412</v>
          </cell>
          <cell r="J3707">
            <v>0.13493719912472649</v>
          </cell>
        </row>
        <row r="3708">
          <cell r="I3708">
            <v>4413</v>
          </cell>
          <cell r="J3708">
            <v>0.1349398796498906</v>
          </cell>
        </row>
        <row r="3709">
          <cell r="I3709">
            <v>4414</v>
          </cell>
          <cell r="J3709">
            <v>0.13494256017505471</v>
          </cell>
        </row>
        <row r="3710">
          <cell r="I3710">
            <v>4415</v>
          </cell>
          <cell r="J3710">
            <v>0.13494524070021882</v>
          </cell>
        </row>
        <row r="3711">
          <cell r="I3711">
            <v>4416</v>
          </cell>
          <cell r="J3711">
            <v>0.13494792122538293</v>
          </cell>
        </row>
        <row r="3712">
          <cell r="I3712">
            <v>4417</v>
          </cell>
          <cell r="J3712">
            <v>0.13495060175054704</v>
          </cell>
        </row>
        <row r="3713">
          <cell r="I3713">
            <v>4418</v>
          </cell>
          <cell r="J3713">
            <v>0.13495328227571116</v>
          </cell>
        </row>
        <row r="3714">
          <cell r="I3714">
            <v>4419</v>
          </cell>
          <cell r="J3714">
            <v>0.13495596280087527</v>
          </cell>
        </row>
        <row r="3715">
          <cell r="I3715">
            <v>4420</v>
          </cell>
          <cell r="J3715">
            <v>0.13495864332603938</v>
          </cell>
        </row>
        <row r="3716">
          <cell r="I3716">
            <v>4421</v>
          </cell>
          <cell r="J3716">
            <v>0.13496132385120349</v>
          </cell>
        </row>
        <row r="3717">
          <cell r="I3717">
            <v>4422</v>
          </cell>
          <cell r="J3717">
            <v>0.1349640043763676</v>
          </cell>
        </row>
        <row r="3718">
          <cell r="I3718">
            <v>4423</v>
          </cell>
          <cell r="J3718">
            <v>0.13496668490153171</v>
          </cell>
        </row>
        <row r="3719">
          <cell r="I3719">
            <v>4424</v>
          </cell>
          <cell r="J3719">
            <v>0.13496936542669585</v>
          </cell>
        </row>
        <row r="3720">
          <cell r="I3720">
            <v>4425</v>
          </cell>
          <cell r="J3720">
            <v>0.13497204595185996</v>
          </cell>
        </row>
        <row r="3721">
          <cell r="I3721">
            <v>4426</v>
          </cell>
          <cell r="J3721">
            <v>0.13497472647702408</v>
          </cell>
        </row>
        <row r="3722">
          <cell r="I3722">
            <v>4427</v>
          </cell>
          <cell r="J3722">
            <v>0.13497740700218819</v>
          </cell>
        </row>
        <row r="3723">
          <cell r="I3723">
            <v>4428</v>
          </cell>
          <cell r="J3723">
            <v>0.1349800875273523</v>
          </cell>
        </row>
        <row r="3724">
          <cell r="I3724">
            <v>4429</v>
          </cell>
          <cell r="J3724">
            <v>0.13498276805251641</v>
          </cell>
        </row>
        <row r="3725">
          <cell r="I3725">
            <v>4430</v>
          </cell>
          <cell r="J3725">
            <v>0.13498544857768052</v>
          </cell>
        </row>
        <row r="3726">
          <cell r="I3726">
            <v>4431</v>
          </cell>
          <cell r="J3726">
            <v>0.13498812910284463</v>
          </cell>
        </row>
        <row r="3727">
          <cell r="I3727">
            <v>4432</v>
          </cell>
          <cell r="J3727">
            <v>0.13499080962800875</v>
          </cell>
        </row>
        <row r="3728">
          <cell r="I3728">
            <v>4433</v>
          </cell>
          <cell r="J3728">
            <v>0.13499349015317286</v>
          </cell>
        </row>
        <row r="3729">
          <cell r="I3729">
            <v>4434</v>
          </cell>
          <cell r="J3729">
            <v>0.13499617067833697</v>
          </cell>
        </row>
        <row r="3730">
          <cell r="I3730">
            <v>4435</v>
          </cell>
          <cell r="J3730">
            <v>0.13499885120350108</v>
          </cell>
        </row>
        <row r="3731">
          <cell r="I3731">
            <v>4436</v>
          </cell>
          <cell r="J3731">
            <v>0.13500153172866519</v>
          </cell>
        </row>
        <row r="3732">
          <cell r="I3732">
            <v>4437</v>
          </cell>
          <cell r="J3732">
            <v>0.13500421225382933</v>
          </cell>
        </row>
        <row r="3733">
          <cell r="I3733">
            <v>4438</v>
          </cell>
          <cell r="J3733">
            <v>0.13500689277899344</v>
          </cell>
        </row>
        <row r="3734">
          <cell r="I3734">
            <v>4439</v>
          </cell>
          <cell r="J3734">
            <v>0.13500957330415755</v>
          </cell>
        </row>
        <row r="3735">
          <cell r="I3735">
            <v>4440</v>
          </cell>
          <cell r="J3735">
            <v>0.13501225382932167</v>
          </cell>
        </row>
        <row r="3736">
          <cell r="I3736">
            <v>4441</v>
          </cell>
          <cell r="J3736">
            <v>0.13501493435448578</v>
          </cell>
        </row>
        <row r="3737">
          <cell r="I3737">
            <v>4442</v>
          </cell>
          <cell r="J3737">
            <v>0.13501761487964989</v>
          </cell>
        </row>
        <row r="3738">
          <cell r="I3738">
            <v>4443</v>
          </cell>
          <cell r="J3738">
            <v>0.135020295404814</v>
          </cell>
        </row>
        <row r="3739">
          <cell r="I3739">
            <v>4444</v>
          </cell>
          <cell r="J3739">
            <v>0.13502297592997811</v>
          </cell>
        </row>
        <row r="3740">
          <cell r="I3740">
            <v>4445</v>
          </cell>
          <cell r="J3740">
            <v>0.13502565645514222</v>
          </cell>
        </row>
        <row r="3741">
          <cell r="I3741">
            <v>4446</v>
          </cell>
          <cell r="J3741">
            <v>0.13502833698030633</v>
          </cell>
        </row>
        <row r="3742">
          <cell r="I3742">
            <v>4447</v>
          </cell>
          <cell r="J3742">
            <v>0.13503101750547045</v>
          </cell>
        </row>
        <row r="3743">
          <cell r="I3743">
            <v>4448</v>
          </cell>
          <cell r="J3743">
            <v>0.13503369803063456</v>
          </cell>
        </row>
        <row r="3744">
          <cell r="I3744">
            <v>4449</v>
          </cell>
          <cell r="J3744">
            <v>0.1350363785557987</v>
          </cell>
        </row>
        <row r="3745">
          <cell r="I3745">
            <v>4450</v>
          </cell>
          <cell r="J3745">
            <v>0.13503905908096281</v>
          </cell>
        </row>
        <row r="3746">
          <cell r="I3746">
            <v>4451</v>
          </cell>
          <cell r="J3746">
            <v>0.13504173960612692</v>
          </cell>
        </row>
        <row r="3747">
          <cell r="I3747">
            <v>4452</v>
          </cell>
          <cell r="J3747">
            <v>0.13504442013129103</v>
          </cell>
        </row>
        <row r="3748">
          <cell r="I3748">
            <v>4453</v>
          </cell>
          <cell r="J3748">
            <v>0.13504710065645514</v>
          </cell>
        </row>
        <row r="3749">
          <cell r="I3749">
            <v>4454</v>
          </cell>
          <cell r="J3749">
            <v>0.13504978118161926</v>
          </cell>
        </row>
        <row r="3750">
          <cell r="I3750">
            <v>4455</v>
          </cell>
          <cell r="J3750">
            <v>0.13505246170678337</v>
          </cell>
        </row>
        <row r="3751">
          <cell r="I3751">
            <v>4456</v>
          </cell>
          <cell r="J3751">
            <v>0.13505514223194748</v>
          </cell>
        </row>
        <row r="3752">
          <cell r="I3752">
            <v>4457</v>
          </cell>
          <cell r="J3752">
            <v>0.13505782275711159</v>
          </cell>
        </row>
        <row r="3753">
          <cell r="I3753">
            <v>4458</v>
          </cell>
          <cell r="J3753">
            <v>0.1350605032822757</v>
          </cell>
        </row>
        <row r="3754">
          <cell r="I3754">
            <v>4459</v>
          </cell>
          <cell r="J3754">
            <v>0.13506318380743981</v>
          </cell>
        </row>
        <row r="3755">
          <cell r="I3755">
            <v>4460</v>
          </cell>
          <cell r="J3755">
            <v>0.13506586433260392</v>
          </cell>
        </row>
        <row r="3756">
          <cell r="I3756">
            <v>4461</v>
          </cell>
          <cell r="J3756">
            <v>0.13506854485776804</v>
          </cell>
        </row>
        <row r="3757">
          <cell r="I3757">
            <v>4462</v>
          </cell>
          <cell r="J3757">
            <v>0.13507122538293218</v>
          </cell>
        </row>
        <row r="3758">
          <cell r="I3758">
            <v>4463</v>
          </cell>
          <cell r="J3758">
            <v>0.13507390590809629</v>
          </cell>
        </row>
        <row r="3759">
          <cell r="I3759">
            <v>4464</v>
          </cell>
          <cell r="J3759">
            <v>0.1350765864332604</v>
          </cell>
        </row>
        <row r="3760">
          <cell r="I3760">
            <v>4465</v>
          </cell>
          <cell r="J3760">
            <v>0.13507926695842451</v>
          </cell>
        </row>
        <row r="3761">
          <cell r="I3761">
            <v>4466</v>
          </cell>
          <cell r="J3761">
            <v>0.13508194748358862</v>
          </cell>
        </row>
        <row r="3762">
          <cell r="I3762">
            <v>4467</v>
          </cell>
          <cell r="J3762">
            <v>0.13508462800875273</v>
          </cell>
        </row>
        <row r="3763">
          <cell r="I3763">
            <v>4468</v>
          </cell>
          <cell r="J3763">
            <v>0.13508730853391684</v>
          </cell>
        </row>
        <row r="3764">
          <cell r="I3764">
            <v>4469</v>
          </cell>
          <cell r="J3764">
            <v>0.13508998905908096</v>
          </cell>
        </row>
        <row r="3765">
          <cell r="I3765">
            <v>4470</v>
          </cell>
          <cell r="J3765">
            <v>0.13509266958424507</v>
          </cell>
        </row>
        <row r="3766">
          <cell r="I3766">
            <v>4471</v>
          </cell>
          <cell r="J3766">
            <v>0.13509535010940918</v>
          </cell>
        </row>
        <row r="3767">
          <cell r="I3767">
            <v>4472</v>
          </cell>
          <cell r="J3767">
            <v>0.13509803063457329</v>
          </cell>
        </row>
        <row r="3768">
          <cell r="I3768">
            <v>4473</v>
          </cell>
          <cell r="J3768">
            <v>0.1351007111597374</v>
          </cell>
        </row>
        <row r="3769">
          <cell r="I3769">
            <v>4474</v>
          </cell>
          <cell r="J3769">
            <v>0.13510339168490154</v>
          </cell>
        </row>
        <row r="3770">
          <cell r="I3770">
            <v>4475</v>
          </cell>
          <cell r="J3770">
            <v>0.13510607221006565</v>
          </cell>
        </row>
        <row r="3771">
          <cell r="I3771">
            <v>4476</v>
          </cell>
          <cell r="J3771">
            <v>0.13510875273522976</v>
          </cell>
        </row>
        <row r="3772">
          <cell r="I3772">
            <v>4477</v>
          </cell>
          <cell r="J3772">
            <v>0.13511143326039388</v>
          </cell>
        </row>
        <row r="3773">
          <cell r="I3773">
            <v>4478</v>
          </cell>
          <cell r="J3773">
            <v>0.13511411378555799</v>
          </cell>
        </row>
        <row r="3774">
          <cell r="I3774">
            <v>4479</v>
          </cell>
          <cell r="J3774">
            <v>0.1351167943107221</v>
          </cell>
        </row>
        <row r="3775">
          <cell r="I3775">
            <v>4480</v>
          </cell>
          <cell r="J3775">
            <v>0.13511947483588621</v>
          </cell>
        </row>
        <row r="3776">
          <cell r="I3776">
            <v>4481</v>
          </cell>
          <cell r="J3776">
            <v>0.13512215536105032</v>
          </cell>
        </row>
        <row r="3777">
          <cell r="I3777">
            <v>4482</v>
          </cell>
          <cell r="J3777">
            <v>0.13512483588621443</v>
          </cell>
        </row>
        <row r="3778">
          <cell r="I3778">
            <v>4483</v>
          </cell>
          <cell r="J3778">
            <v>0.13512751641137855</v>
          </cell>
        </row>
        <row r="3779">
          <cell r="I3779">
            <v>4484</v>
          </cell>
          <cell r="J3779">
            <v>0.13513019693654266</v>
          </cell>
        </row>
        <row r="3780">
          <cell r="I3780">
            <v>4485</v>
          </cell>
          <cell r="J3780">
            <v>0.13513287746170677</v>
          </cell>
        </row>
        <row r="3781">
          <cell r="I3781">
            <v>4486</v>
          </cell>
          <cell r="J3781">
            <v>0.13513555798687091</v>
          </cell>
        </row>
        <row r="3782">
          <cell r="I3782">
            <v>4487</v>
          </cell>
          <cell r="J3782">
            <v>0.13513823851203502</v>
          </cell>
        </row>
        <row r="3783">
          <cell r="I3783">
            <v>4488</v>
          </cell>
          <cell r="J3783">
            <v>0.13514091903719913</v>
          </cell>
        </row>
        <row r="3784">
          <cell r="I3784">
            <v>4489</v>
          </cell>
          <cell r="J3784">
            <v>0.13514359956236324</v>
          </cell>
        </row>
        <row r="3785">
          <cell r="I3785">
            <v>4490</v>
          </cell>
          <cell r="J3785">
            <v>0.13514628008752735</v>
          </cell>
        </row>
        <row r="3786">
          <cell r="I3786">
            <v>4491</v>
          </cell>
          <cell r="J3786">
            <v>0.13514896061269147</v>
          </cell>
        </row>
        <row r="3787">
          <cell r="I3787">
            <v>4492</v>
          </cell>
          <cell r="J3787">
            <v>0.13515164113785558</v>
          </cell>
        </row>
        <row r="3788">
          <cell r="I3788">
            <v>4493</v>
          </cell>
          <cell r="J3788">
            <v>0.13515432166301969</v>
          </cell>
        </row>
        <row r="3789">
          <cell r="I3789">
            <v>4494</v>
          </cell>
          <cell r="J3789">
            <v>0.1351570021881838</v>
          </cell>
        </row>
        <row r="3790">
          <cell r="I3790">
            <v>4495</v>
          </cell>
          <cell r="J3790">
            <v>0.13515968271334791</v>
          </cell>
        </row>
        <row r="3791">
          <cell r="I3791">
            <v>4496</v>
          </cell>
          <cell r="J3791">
            <v>0.13516236323851202</v>
          </cell>
        </row>
        <row r="3792">
          <cell r="I3792">
            <v>4497</v>
          </cell>
          <cell r="J3792">
            <v>0.13516504376367613</v>
          </cell>
        </row>
        <row r="3793">
          <cell r="I3793">
            <v>4498</v>
          </cell>
          <cell r="J3793">
            <v>0.13516772428884027</v>
          </cell>
        </row>
        <row r="3794">
          <cell r="I3794">
            <v>4499</v>
          </cell>
          <cell r="J3794">
            <v>0.13517040481400439</v>
          </cell>
        </row>
        <row r="3795">
          <cell r="I3795">
            <v>4500</v>
          </cell>
          <cell r="J3795">
            <v>0.1351730853391685</v>
          </cell>
        </row>
        <row r="3796">
          <cell r="I3796">
            <v>4501</v>
          </cell>
          <cell r="J3796">
            <v>0.13517576586433261</v>
          </cell>
        </row>
        <row r="3797">
          <cell r="I3797">
            <v>4502</v>
          </cell>
          <cell r="J3797">
            <v>0.13517844638949672</v>
          </cell>
        </row>
        <row r="3798">
          <cell r="I3798">
            <v>4503</v>
          </cell>
          <cell r="J3798">
            <v>0.13518112691466083</v>
          </cell>
        </row>
        <row r="3799">
          <cell r="I3799">
            <v>4504</v>
          </cell>
          <cell r="J3799">
            <v>0.13518380743982494</v>
          </cell>
        </row>
        <row r="3800">
          <cell r="I3800">
            <v>4505</v>
          </cell>
          <cell r="J3800">
            <v>0.13518648796498905</v>
          </cell>
        </row>
        <row r="3801">
          <cell r="I3801">
            <v>4506</v>
          </cell>
          <cell r="J3801">
            <v>0.13518916849015317</v>
          </cell>
        </row>
        <row r="3802">
          <cell r="I3802">
            <v>4507</v>
          </cell>
          <cell r="J3802">
            <v>0.13519184901531728</v>
          </cell>
        </row>
        <row r="3803">
          <cell r="I3803">
            <v>4508</v>
          </cell>
          <cell r="J3803">
            <v>0.13519452954048139</v>
          </cell>
        </row>
        <row r="3804">
          <cell r="I3804">
            <v>4509</v>
          </cell>
          <cell r="J3804">
            <v>0.1351972100656455</v>
          </cell>
        </row>
        <row r="3805">
          <cell r="I3805">
            <v>4510</v>
          </cell>
          <cell r="J3805">
            <v>0.13519989059080961</v>
          </cell>
        </row>
        <row r="3806">
          <cell r="I3806">
            <v>4511</v>
          </cell>
          <cell r="J3806">
            <v>0.13520257111597375</v>
          </cell>
        </row>
        <row r="3807">
          <cell r="I3807">
            <v>4512</v>
          </cell>
          <cell r="J3807">
            <v>0.13520525164113786</v>
          </cell>
        </row>
        <row r="3808">
          <cell r="I3808">
            <v>4513</v>
          </cell>
          <cell r="J3808">
            <v>0.13520793216630198</v>
          </cell>
        </row>
        <row r="3809">
          <cell r="I3809">
            <v>4514</v>
          </cell>
          <cell r="J3809">
            <v>0.13521061269146609</v>
          </cell>
        </row>
        <row r="3810">
          <cell r="I3810">
            <v>4515</v>
          </cell>
          <cell r="J3810">
            <v>0.1352132932166302</v>
          </cell>
        </row>
        <row r="3811">
          <cell r="I3811">
            <v>4516</v>
          </cell>
          <cell r="J3811">
            <v>0.13521597374179431</v>
          </cell>
        </row>
        <row r="3812">
          <cell r="I3812">
            <v>4517</v>
          </cell>
          <cell r="J3812">
            <v>0.13521865426695842</v>
          </cell>
        </row>
        <row r="3813">
          <cell r="I3813">
            <v>4518</v>
          </cell>
          <cell r="J3813">
            <v>0.13522133479212253</v>
          </cell>
        </row>
        <row r="3814">
          <cell r="I3814">
            <v>4519</v>
          </cell>
          <cell r="J3814">
            <v>0.13522401531728664</v>
          </cell>
        </row>
        <row r="3815">
          <cell r="I3815">
            <v>4520</v>
          </cell>
          <cell r="J3815">
            <v>0.13522669584245076</v>
          </cell>
        </row>
        <row r="3816">
          <cell r="I3816">
            <v>4521</v>
          </cell>
          <cell r="J3816">
            <v>0.13522937636761487</v>
          </cell>
        </row>
        <row r="3817">
          <cell r="I3817">
            <v>4522</v>
          </cell>
          <cell r="J3817">
            <v>0.13523205689277898</v>
          </cell>
        </row>
        <row r="3818">
          <cell r="I3818">
            <v>4523</v>
          </cell>
          <cell r="J3818">
            <v>0.13523473741794312</v>
          </cell>
        </row>
        <row r="3819">
          <cell r="I3819">
            <v>4524</v>
          </cell>
          <cell r="J3819">
            <v>0.13523741794310723</v>
          </cell>
        </row>
        <row r="3820">
          <cell r="I3820">
            <v>4525</v>
          </cell>
          <cell r="J3820">
            <v>0.13524009846827134</v>
          </cell>
        </row>
        <row r="3821">
          <cell r="I3821">
            <v>4526</v>
          </cell>
          <cell r="J3821">
            <v>0.13524277899343545</v>
          </cell>
        </row>
        <row r="3822">
          <cell r="I3822">
            <v>4527</v>
          </cell>
          <cell r="J3822">
            <v>0.13524545951859956</v>
          </cell>
        </row>
        <row r="3823">
          <cell r="I3823">
            <v>4528</v>
          </cell>
          <cell r="J3823">
            <v>0.13524814004376368</v>
          </cell>
        </row>
        <row r="3824">
          <cell r="I3824">
            <v>4529</v>
          </cell>
          <cell r="J3824">
            <v>0.13525082056892779</v>
          </cell>
        </row>
        <row r="3825">
          <cell r="I3825">
            <v>4530</v>
          </cell>
          <cell r="J3825">
            <v>0.1352535010940919</v>
          </cell>
        </row>
        <row r="3826">
          <cell r="I3826">
            <v>4531</v>
          </cell>
          <cell r="J3826">
            <v>0.13525618161925601</v>
          </cell>
        </row>
        <row r="3827">
          <cell r="I3827">
            <v>4532</v>
          </cell>
          <cell r="J3827">
            <v>0.13525886214442012</v>
          </cell>
        </row>
        <row r="3828">
          <cell r="I3828">
            <v>4533</v>
          </cell>
          <cell r="J3828">
            <v>0.13526154266958423</v>
          </cell>
        </row>
        <row r="3829">
          <cell r="I3829">
            <v>4534</v>
          </cell>
          <cell r="J3829">
            <v>0.13526422319474835</v>
          </cell>
        </row>
        <row r="3830">
          <cell r="I3830">
            <v>4535</v>
          </cell>
          <cell r="J3830">
            <v>0.13526690371991246</v>
          </cell>
        </row>
        <row r="3831">
          <cell r="I3831">
            <v>4536</v>
          </cell>
          <cell r="J3831">
            <v>0.1352695842450766</v>
          </cell>
        </row>
        <row r="3832">
          <cell r="I3832">
            <v>4537</v>
          </cell>
          <cell r="J3832">
            <v>0.13527226477024071</v>
          </cell>
        </row>
        <row r="3833">
          <cell r="I3833">
            <v>4538</v>
          </cell>
          <cell r="J3833">
            <v>0.13527494529540482</v>
          </cell>
        </row>
        <row r="3834">
          <cell r="I3834">
            <v>4539</v>
          </cell>
          <cell r="J3834">
            <v>0.13527762582056893</v>
          </cell>
        </row>
        <row r="3835">
          <cell r="I3835">
            <v>4540</v>
          </cell>
          <cell r="J3835">
            <v>0.13528030634573304</v>
          </cell>
        </row>
        <row r="3836">
          <cell r="I3836">
            <v>4541</v>
          </cell>
          <cell r="J3836">
            <v>0.13528298687089715</v>
          </cell>
        </row>
        <row r="3837">
          <cell r="I3837">
            <v>4542</v>
          </cell>
          <cell r="J3837">
            <v>0.13528566739606127</v>
          </cell>
        </row>
        <row r="3838">
          <cell r="I3838">
            <v>4543</v>
          </cell>
          <cell r="J3838">
            <v>0.13528834792122538</v>
          </cell>
        </row>
        <row r="3839">
          <cell r="I3839">
            <v>4544</v>
          </cell>
          <cell r="J3839">
            <v>0.13529102844638949</v>
          </cell>
        </row>
        <row r="3840">
          <cell r="I3840">
            <v>4545</v>
          </cell>
          <cell r="J3840">
            <v>0.1352937089715536</v>
          </cell>
        </row>
        <row r="3841">
          <cell r="I3841">
            <v>4546</v>
          </cell>
          <cell r="J3841">
            <v>0.13529638949671771</v>
          </cell>
        </row>
        <row r="3842">
          <cell r="I3842">
            <v>4547</v>
          </cell>
          <cell r="J3842">
            <v>0.13529907002188182</v>
          </cell>
        </row>
        <row r="3843">
          <cell r="I3843">
            <v>4548</v>
          </cell>
          <cell r="J3843">
            <v>0.13530175054704596</v>
          </cell>
        </row>
        <row r="3844">
          <cell r="I3844">
            <v>4549</v>
          </cell>
          <cell r="J3844">
            <v>0.13530443107221007</v>
          </cell>
        </row>
        <row r="3845">
          <cell r="I3845">
            <v>4550</v>
          </cell>
          <cell r="J3845">
            <v>0.13530711159737419</v>
          </cell>
        </row>
        <row r="3846">
          <cell r="I3846">
            <v>4551</v>
          </cell>
          <cell r="J3846">
            <v>0.1353097921225383</v>
          </cell>
        </row>
        <row r="3847">
          <cell r="I3847">
            <v>4552</v>
          </cell>
          <cell r="J3847">
            <v>0.13531247264770241</v>
          </cell>
        </row>
        <row r="3848">
          <cell r="I3848">
            <v>4553</v>
          </cell>
          <cell r="J3848">
            <v>0.13531515317286652</v>
          </cell>
        </row>
        <row r="3849">
          <cell r="I3849">
            <v>4554</v>
          </cell>
          <cell r="J3849">
            <v>0.13531783369803063</v>
          </cell>
        </row>
        <row r="3850">
          <cell r="I3850">
            <v>4555</v>
          </cell>
          <cell r="J3850">
            <v>0.13532051422319474</v>
          </cell>
        </row>
        <row r="3851">
          <cell r="I3851">
            <v>4556</v>
          </cell>
          <cell r="J3851">
            <v>0.13532319474835885</v>
          </cell>
        </row>
        <row r="3852">
          <cell r="I3852">
            <v>4557</v>
          </cell>
          <cell r="J3852">
            <v>0.13532587527352297</v>
          </cell>
        </row>
        <row r="3853">
          <cell r="I3853">
            <v>4558</v>
          </cell>
          <cell r="J3853">
            <v>0.13532855579868708</v>
          </cell>
        </row>
        <row r="3854">
          <cell r="I3854">
            <v>4559</v>
          </cell>
          <cell r="J3854">
            <v>0.13533123632385119</v>
          </cell>
        </row>
        <row r="3855">
          <cell r="I3855">
            <v>4560</v>
          </cell>
          <cell r="J3855">
            <v>0.13533391684901533</v>
          </cell>
        </row>
        <row r="3856">
          <cell r="I3856">
            <v>4561</v>
          </cell>
          <cell r="J3856">
            <v>0.13533659737417944</v>
          </cell>
        </row>
        <row r="3857">
          <cell r="I3857">
            <v>4562</v>
          </cell>
          <cell r="J3857">
            <v>0.13533927789934355</v>
          </cell>
        </row>
        <row r="3858">
          <cell r="I3858">
            <v>4563</v>
          </cell>
          <cell r="J3858">
            <v>0.13534195842450766</v>
          </cell>
        </row>
        <row r="3859">
          <cell r="I3859">
            <v>4564</v>
          </cell>
          <cell r="J3859">
            <v>0.13534463894967177</v>
          </cell>
        </row>
        <row r="3860">
          <cell r="I3860">
            <v>4565</v>
          </cell>
          <cell r="J3860">
            <v>0.13534731947483589</v>
          </cell>
        </row>
        <row r="3861">
          <cell r="I3861">
            <v>4566</v>
          </cell>
          <cell r="J3861">
            <v>0.13535</v>
          </cell>
        </row>
        <row r="3862">
          <cell r="I3862">
            <v>4567</v>
          </cell>
          <cell r="J3862">
            <v>0.13535268052516411</v>
          </cell>
        </row>
        <row r="3863">
          <cell r="I3863">
            <v>4568</v>
          </cell>
          <cell r="J3863">
            <v>0.13535536105032822</v>
          </cell>
        </row>
        <row r="3864">
          <cell r="I3864">
            <v>4569</v>
          </cell>
          <cell r="J3864">
            <v>0.13535804157549233</v>
          </cell>
        </row>
        <row r="3865">
          <cell r="I3865">
            <v>4570</v>
          </cell>
          <cell r="J3865">
            <v>0.13536072210065644</v>
          </cell>
        </row>
        <row r="3866">
          <cell r="I3866">
            <v>4571</v>
          </cell>
          <cell r="J3866">
            <v>0.13536340262582056</v>
          </cell>
        </row>
        <row r="3867">
          <cell r="I3867">
            <v>4572</v>
          </cell>
          <cell r="J3867">
            <v>0.13536608315098467</v>
          </cell>
        </row>
        <row r="3868">
          <cell r="I3868">
            <v>4573</v>
          </cell>
          <cell r="J3868">
            <v>0.13536876367614881</v>
          </cell>
        </row>
        <row r="3869">
          <cell r="I3869">
            <v>4574</v>
          </cell>
          <cell r="J3869">
            <v>0.13537144420131292</v>
          </cell>
        </row>
        <row r="3870">
          <cell r="I3870">
            <v>4575</v>
          </cell>
          <cell r="J3870">
            <v>0.13537412472647703</v>
          </cell>
        </row>
        <row r="3871">
          <cell r="I3871">
            <v>4576</v>
          </cell>
          <cell r="J3871">
            <v>0.13537680525164114</v>
          </cell>
        </row>
        <row r="3872">
          <cell r="I3872">
            <v>4577</v>
          </cell>
          <cell r="J3872">
            <v>0.13537948577680525</v>
          </cell>
        </row>
        <row r="3873">
          <cell r="I3873">
            <v>4578</v>
          </cell>
          <cell r="J3873">
            <v>0.13538216630196936</v>
          </cell>
        </row>
        <row r="3874">
          <cell r="I3874">
            <v>4579</v>
          </cell>
          <cell r="J3874">
            <v>0.13538484682713348</v>
          </cell>
        </row>
        <row r="3875">
          <cell r="I3875">
            <v>4580</v>
          </cell>
          <cell r="J3875">
            <v>0.13538752735229759</v>
          </cell>
        </row>
        <row r="3876">
          <cell r="I3876">
            <v>4581</v>
          </cell>
          <cell r="J3876">
            <v>0.1353902078774617</v>
          </cell>
        </row>
        <row r="3877">
          <cell r="I3877">
            <v>4582</v>
          </cell>
          <cell r="J3877">
            <v>0.13539288840262581</v>
          </cell>
        </row>
        <row r="3878">
          <cell r="I3878">
            <v>4583</v>
          </cell>
          <cell r="J3878">
            <v>0.13539556892778992</v>
          </cell>
        </row>
        <row r="3879">
          <cell r="I3879">
            <v>4584</v>
          </cell>
          <cell r="J3879">
            <v>0.13539824945295403</v>
          </cell>
        </row>
        <row r="3880">
          <cell r="I3880">
            <v>4585</v>
          </cell>
          <cell r="J3880">
            <v>0.13540092997811817</v>
          </cell>
        </row>
        <row r="3881">
          <cell r="I3881">
            <v>4586</v>
          </cell>
          <cell r="J3881">
            <v>0.13540361050328228</v>
          </cell>
        </row>
        <row r="3882">
          <cell r="I3882">
            <v>4587</v>
          </cell>
          <cell r="J3882">
            <v>0.1354062910284464</v>
          </cell>
        </row>
        <row r="3883">
          <cell r="I3883">
            <v>4588</v>
          </cell>
          <cell r="J3883">
            <v>0.13540897155361051</v>
          </cell>
        </row>
        <row r="3884">
          <cell r="I3884">
            <v>4589</v>
          </cell>
          <cell r="J3884">
            <v>0.13541165207877462</v>
          </cell>
        </row>
        <row r="3885">
          <cell r="I3885">
            <v>4590</v>
          </cell>
          <cell r="J3885">
            <v>0.13541433260393873</v>
          </cell>
        </row>
        <row r="3886">
          <cell r="I3886">
            <v>4591</v>
          </cell>
          <cell r="J3886">
            <v>0.13541701312910284</v>
          </cell>
        </row>
        <row r="3887">
          <cell r="I3887">
            <v>4592</v>
          </cell>
          <cell r="J3887">
            <v>0.13541969365426695</v>
          </cell>
        </row>
        <row r="3888">
          <cell r="I3888">
            <v>4593</v>
          </cell>
          <cell r="J3888">
            <v>0.13542237417943107</v>
          </cell>
        </row>
        <row r="3889">
          <cell r="I3889">
            <v>4594</v>
          </cell>
          <cell r="J3889">
            <v>0.13542505470459518</v>
          </cell>
        </row>
        <row r="3890">
          <cell r="I3890">
            <v>4595</v>
          </cell>
          <cell r="J3890">
            <v>0.13542773522975929</v>
          </cell>
        </row>
        <row r="3891">
          <cell r="I3891">
            <v>4596</v>
          </cell>
          <cell r="J3891">
            <v>0.1354304157549234</v>
          </cell>
        </row>
        <row r="3892">
          <cell r="I3892">
            <v>4597</v>
          </cell>
          <cell r="J3892">
            <v>0.13543309628008754</v>
          </cell>
        </row>
        <row r="3893">
          <cell r="I3893">
            <v>4598</v>
          </cell>
          <cell r="J3893">
            <v>0.13543577680525165</v>
          </cell>
        </row>
        <row r="3894">
          <cell r="I3894">
            <v>4599</v>
          </cell>
          <cell r="J3894">
            <v>0.13543845733041576</v>
          </cell>
        </row>
        <row r="3895">
          <cell r="I3895">
            <v>4600</v>
          </cell>
          <cell r="J3895">
            <v>0.13544113785557987</v>
          </cell>
        </row>
        <row r="3896">
          <cell r="I3896">
            <v>4601</v>
          </cell>
          <cell r="J3896">
            <v>0.13544381838074399</v>
          </cell>
        </row>
        <row r="3897">
          <cell r="I3897">
            <v>4602</v>
          </cell>
          <cell r="J3897">
            <v>0.1354464989059081</v>
          </cell>
        </row>
        <row r="3898">
          <cell r="I3898">
            <v>4603</v>
          </cell>
          <cell r="J3898">
            <v>0.13544917943107221</v>
          </cell>
        </row>
        <row r="3899">
          <cell r="I3899">
            <v>4604</v>
          </cell>
          <cell r="J3899">
            <v>0.13545185995623632</v>
          </cell>
        </row>
        <row r="3900">
          <cell r="I3900">
            <v>4605</v>
          </cell>
          <cell r="J3900">
            <v>0.13545454048140043</v>
          </cell>
        </row>
        <row r="3901">
          <cell r="I3901">
            <v>4606</v>
          </cell>
          <cell r="J3901">
            <v>0.13545722100656454</v>
          </cell>
        </row>
        <row r="3902">
          <cell r="I3902">
            <v>4607</v>
          </cell>
          <cell r="J3902">
            <v>0.13545990153172865</v>
          </cell>
        </row>
        <row r="3903">
          <cell r="I3903">
            <v>4608</v>
          </cell>
          <cell r="J3903">
            <v>0.13546258205689277</v>
          </cell>
        </row>
        <row r="3904">
          <cell r="I3904">
            <v>4609</v>
          </cell>
          <cell r="J3904">
            <v>0.13546526258205688</v>
          </cell>
        </row>
        <row r="3905">
          <cell r="I3905">
            <v>4610</v>
          </cell>
          <cell r="J3905">
            <v>0.13546794310722102</v>
          </cell>
        </row>
        <row r="3906">
          <cell r="I3906">
            <v>4611</v>
          </cell>
          <cell r="J3906">
            <v>0.13547062363238513</v>
          </cell>
        </row>
        <row r="3907">
          <cell r="I3907">
            <v>4612</v>
          </cell>
          <cell r="J3907">
            <v>0.13547330415754924</v>
          </cell>
        </row>
        <row r="3908">
          <cell r="I3908">
            <v>4613</v>
          </cell>
          <cell r="J3908">
            <v>0.13547598468271335</v>
          </cell>
        </row>
        <row r="3909">
          <cell r="I3909">
            <v>4614</v>
          </cell>
          <cell r="J3909">
            <v>0.13547866520787746</v>
          </cell>
        </row>
        <row r="3910">
          <cell r="I3910">
            <v>4615</v>
          </cell>
          <cell r="J3910">
            <v>0.13548134573304157</v>
          </cell>
        </row>
        <row r="3911">
          <cell r="I3911">
            <v>4616</v>
          </cell>
          <cell r="J3911">
            <v>0.13548402625820569</v>
          </cell>
        </row>
        <row r="3912">
          <cell r="I3912">
            <v>4617</v>
          </cell>
          <cell r="J3912">
            <v>0.1354867067833698</v>
          </cell>
        </row>
        <row r="3913">
          <cell r="I3913">
            <v>4618</v>
          </cell>
          <cell r="J3913">
            <v>0.13548938730853391</v>
          </cell>
        </row>
        <row r="3914">
          <cell r="I3914">
            <v>4619</v>
          </cell>
          <cell r="J3914">
            <v>0.13549206783369802</v>
          </cell>
        </row>
        <row r="3915">
          <cell r="I3915">
            <v>4620</v>
          </cell>
          <cell r="J3915">
            <v>0.13549474835886213</v>
          </cell>
        </row>
        <row r="3916">
          <cell r="I3916">
            <v>4621</v>
          </cell>
          <cell r="J3916">
            <v>0.13549742888402624</v>
          </cell>
        </row>
        <row r="3917">
          <cell r="I3917">
            <v>4622</v>
          </cell>
          <cell r="J3917">
            <v>0.13550010940919038</v>
          </cell>
        </row>
        <row r="3918">
          <cell r="I3918">
            <v>4623</v>
          </cell>
          <cell r="J3918">
            <v>0.1355027899343545</v>
          </cell>
        </row>
        <row r="3919">
          <cell r="I3919">
            <v>4624</v>
          </cell>
          <cell r="J3919">
            <v>0.13550547045951861</v>
          </cell>
        </row>
        <row r="3920">
          <cell r="I3920">
            <v>4625</v>
          </cell>
          <cell r="J3920">
            <v>0.13550815098468272</v>
          </cell>
        </row>
        <row r="3921">
          <cell r="I3921">
            <v>4626</v>
          </cell>
          <cell r="J3921">
            <v>0.13551083150984683</v>
          </cell>
        </row>
        <row r="3922">
          <cell r="I3922">
            <v>4627</v>
          </cell>
          <cell r="J3922">
            <v>0.13551351203501094</v>
          </cell>
        </row>
        <row r="3923">
          <cell r="I3923">
            <v>4628</v>
          </cell>
          <cell r="J3923">
            <v>0.13551619256017505</v>
          </cell>
        </row>
        <row r="3924">
          <cell r="I3924">
            <v>4629</v>
          </cell>
          <cell r="J3924">
            <v>0.13551887308533916</v>
          </cell>
        </row>
        <row r="3925">
          <cell r="I3925">
            <v>4630</v>
          </cell>
          <cell r="J3925">
            <v>0.13552155361050328</v>
          </cell>
        </row>
        <row r="3926">
          <cell r="I3926">
            <v>4631</v>
          </cell>
          <cell r="J3926">
            <v>0.13552423413566739</v>
          </cell>
        </row>
        <row r="3927">
          <cell r="I3927">
            <v>4632</v>
          </cell>
          <cell r="J3927">
            <v>0.1355269146608315</v>
          </cell>
        </row>
        <row r="3928">
          <cell r="I3928">
            <v>4633</v>
          </cell>
          <cell r="J3928">
            <v>0.13552959518599561</v>
          </cell>
        </row>
        <row r="3929">
          <cell r="I3929">
            <v>4634</v>
          </cell>
          <cell r="J3929">
            <v>0.13553227571115972</v>
          </cell>
        </row>
        <row r="3930">
          <cell r="I3930">
            <v>4635</v>
          </cell>
          <cell r="J3930">
            <v>0.13553495623632386</v>
          </cell>
        </row>
        <row r="3931">
          <cell r="I3931">
            <v>4636</v>
          </cell>
          <cell r="J3931">
            <v>0.13553763676148797</v>
          </cell>
        </row>
        <row r="3932">
          <cell r="I3932">
            <v>4637</v>
          </cell>
          <cell r="J3932">
            <v>0.13554031728665208</v>
          </cell>
        </row>
        <row r="3933">
          <cell r="I3933">
            <v>4638</v>
          </cell>
          <cell r="J3933">
            <v>0.1355429978118162</v>
          </cell>
        </row>
        <row r="3934">
          <cell r="I3934">
            <v>4639</v>
          </cell>
          <cell r="J3934">
            <v>0.13554567833698031</v>
          </cell>
        </row>
        <row r="3935">
          <cell r="I3935">
            <v>4640</v>
          </cell>
          <cell r="J3935">
            <v>0.13554835886214442</v>
          </cell>
        </row>
        <row r="3936">
          <cell r="I3936">
            <v>4641</v>
          </cell>
          <cell r="J3936">
            <v>0.13555103938730853</v>
          </cell>
        </row>
        <row r="3937">
          <cell r="I3937">
            <v>4642</v>
          </cell>
          <cell r="J3937">
            <v>0.13555371991247264</v>
          </cell>
        </row>
        <row r="3938">
          <cell r="I3938">
            <v>4643</v>
          </cell>
          <cell r="J3938">
            <v>0.13555640043763675</v>
          </cell>
        </row>
        <row r="3939">
          <cell r="I3939">
            <v>4644</v>
          </cell>
          <cell r="J3939">
            <v>0.13555908096280087</v>
          </cell>
        </row>
        <row r="3940">
          <cell r="I3940">
            <v>4645</v>
          </cell>
          <cell r="J3940">
            <v>0.13556176148796498</v>
          </cell>
        </row>
        <row r="3941">
          <cell r="I3941">
            <v>4646</v>
          </cell>
          <cell r="J3941">
            <v>0.13556444201312909</v>
          </cell>
        </row>
        <row r="3942">
          <cell r="I3942">
            <v>4647</v>
          </cell>
          <cell r="J3942">
            <v>0.13556712253829323</v>
          </cell>
        </row>
        <row r="3943">
          <cell r="I3943">
            <v>4648</v>
          </cell>
          <cell r="J3943">
            <v>0.13556980306345734</v>
          </cell>
        </row>
        <row r="3944">
          <cell r="I3944">
            <v>4649</v>
          </cell>
          <cell r="J3944">
            <v>0.13557248358862145</v>
          </cell>
        </row>
        <row r="3945">
          <cell r="I3945">
            <v>4650</v>
          </cell>
          <cell r="J3945">
            <v>0.13557516411378556</v>
          </cell>
        </row>
        <row r="3946">
          <cell r="I3946">
            <v>4651</v>
          </cell>
          <cell r="J3946">
            <v>0.13557784463894967</v>
          </cell>
        </row>
        <row r="3947">
          <cell r="I3947">
            <v>4652</v>
          </cell>
          <cell r="J3947">
            <v>0.13558052516411379</v>
          </cell>
        </row>
        <row r="3948">
          <cell r="I3948">
            <v>4653</v>
          </cell>
          <cell r="J3948">
            <v>0.1355832056892779</v>
          </cell>
        </row>
        <row r="3949">
          <cell r="I3949">
            <v>4654</v>
          </cell>
          <cell r="J3949">
            <v>0.13558588621444201</v>
          </cell>
        </row>
        <row r="3950">
          <cell r="I3950">
            <v>4655</v>
          </cell>
          <cell r="J3950">
            <v>0.13558856673960612</v>
          </cell>
        </row>
        <row r="3951">
          <cell r="I3951">
            <v>4656</v>
          </cell>
          <cell r="J3951">
            <v>0.13559124726477023</v>
          </cell>
        </row>
        <row r="3952">
          <cell r="I3952">
            <v>4657</v>
          </cell>
          <cell r="J3952">
            <v>0.13559392778993434</v>
          </cell>
        </row>
        <row r="3953">
          <cell r="I3953">
            <v>4658</v>
          </cell>
          <cell r="J3953">
            <v>0.13559660831509845</v>
          </cell>
        </row>
        <row r="3954">
          <cell r="I3954">
            <v>4659</v>
          </cell>
          <cell r="J3954">
            <v>0.13559928884026259</v>
          </cell>
        </row>
        <row r="3955">
          <cell r="I3955">
            <v>4660</v>
          </cell>
          <cell r="J3955">
            <v>0.13560196936542671</v>
          </cell>
        </row>
        <row r="3956">
          <cell r="I3956">
            <v>4661</v>
          </cell>
          <cell r="J3956">
            <v>0.13560464989059082</v>
          </cell>
        </row>
        <row r="3957">
          <cell r="I3957">
            <v>4662</v>
          </cell>
          <cell r="J3957">
            <v>0.13560733041575493</v>
          </cell>
        </row>
        <row r="3958">
          <cell r="I3958">
            <v>4663</v>
          </cell>
          <cell r="J3958">
            <v>0.13561001094091904</v>
          </cell>
        </row>
        <row r="3959">
          <cell r="I3959">
            <v>4664</v>
          </cell>
          <cell r="J3959">
            <v>0.13561269146608315</v>
          </cell>
        </row>
        <row r="3960">
          <cell r="I3960">
            <v>4665</v>
          </cell>
          <cell r="J3960">
            <v>0.13561537199124726</v>
          </cell>
        </row>
        <row r="3961">
          <cell r="I3961">
            <v>4666</v>
          </cell>
          <cell r="J3961">
            <v>0.13561805251641137</v>
          </cell>
        </row>
        <row r="3962">
          <cell r="I3962">
            <v>4667</v>
          </cell>
          <cell r="J3962">
            <v>0.13562073304157549</v>
          </cell>
        </row>
        <row r="3963">
          <cell r="I3963">
            <v>4668</v>
          </cell>
          <cell r="J3963">
            <v>0.1356234135667396</v>
          </cell>
        </row>
        <row r="3964">
          <cell r="I3964">
            <v>4669</v>
          </cell>
          <cell r="J3964">
            <v>0.13562609409190371</v>
          </cell>
        </row>
        <row r="3965">
          <cell r="I3965">
            <v>4670</v>
          </cell>
          <cell r="J3965">
            <v>0.13562877461706782</v>
          </cell>
        </row>
        <row r="3966">
          <cell r="I3966">
            <v>4671</v>
          </cell>
          <cell r="J3966">
            <v>0.13563145514223196</v>
          </cell>
        </row>
        <row r="3967">
          <cell r="I3967">
            <v>4672</v>
          </cell>
          <cell r="J3967">
            <v>0.13563413566739607</v>
          </cell>
        </row>
        <row r="3968">
          <cell r="I3968">
            <v>4673</v>
          </cell>
          <cell r="J3968">
            <v>0.13563681619256018</v>
          </cell>
        </row>
        <row r="3969">
          <cell r="I3969">
            <v>4674</v>
          </cell>
          <cell r="J3969">
            <v>0.13563949671772429</v>
          </cell>
        </row>
        <row r="3970">
          <cell r="I3970">
            <v>4675</v>
          </cell>
          <cell r="J3970">
            <v>0.13564217724288841</v>
          </cell>
        </row>
        <row r="3971">
          <cell r="I3971">
            <v>4676</v>
          </cell>
          <cell r="J3971">
            <v>0.13564485776805252</v>
          </cell>
        </row>
        <row r="3972">
          <cell r="I3972">
            <v>4677</v>
          </cell>
          <cell r="J3972">
            <v>0.13564753829321663</v>
          </cell>
        </row>
        <row r="3973">
          <cell r="I3973">
            <v>4678</v>
          </cell>
          <cell r="J3973">
            <v>0.13565021881838074</v>
          </cell>
        </row>
        <row r="3974">
          <cell r="I3974">
            <v>4679</v>
          </cell>
          <cell r="J3974">
            <v>0.13565289934354485</v>
          </cell>
        </row>
        <row r="3975">
          <cell r="I3975">
            <v>4680</v>
          </cell>
          <cell r="J3975">
            <v>0.13565557986870896</v>
          </cell>
        </row>
        <row r="3976">
          <cell r="I3976">
            <v>4681</v>
          </cell>
          <cell r="J3976">
            <v>0.13565826039387308</v>
          </cell>
        </row>
        <row r="3977">
          <cell r="I3977">
            <v>4682</v>
          </cell>
          <cell r="J3977">
            <v>0.13566094091903719</v>
          </cell>
        </row>
        <row r="3978">
          <cell r="I3978">
            <v>4683</v>
          </cell>
          <cell r="J3978">
            <v>0.1356636214442013</v>
          </cell>
        </row>
        <row r="3979">
          <cell r="I3979">
            <v>4684</v>
          </cell>
          <cell r="J3979">
            <v>0.13566630196936544</v>
          </cell>
        </row>
        <row r="3980">
          <cell r="I3980">
            <v>4685</v>
          </cell>
          <cell r="J3980">
            <v>0.13566898249452955</v>
          </cell>
        </row>
        <row r="3981">
          <cell r="I3981">
            <v>4686</v>
          </cell>
          <cell r="J3981">
            <v>0.13567166301969366</v>
          </cell>
        </row>
        <row r="3982">
          <cell r="I3982">
            <v>4687</v>
          </cell>
          <cell r="J3982">
            <v>0.13567434354485777</v>
          </cell>
        </row>
        <row r="3983">
          <cell r="I3983">
            <v>4688</v>
          </cell>
          <cell r="J3983">
            <v>0.13567702407002188</v>
          </cell>
        </row>
        <row r="3984">
          <cell r="I3984">
            <v>4689</v>
          </cell>
          <cell r="J3984">
            <v>0.135679704595186</v>
          </cell>
        </row>
        <row r="3985">
          <cell r="I3985">
            <v>4690</v>
          </cell>
          <cell r="J3985">
            <v>0.13568238512035011</v>
          </cell>
        </row>
        <row r="3986">
          <cell r="I3986">
            <v>4691</v>
          </cell>
          <cell r="J3986">
            <v>0.13568506564551422</v>
          </cell>
        </row>
        <row r="3987">
          <cell r="I3987">
            <v>4692</v>
          </cell>
          <cell r="J3987">
            <v>0.13568774617067833</v>
          </cell>
        </row>
        <row r="3988">
          <cell r="I3988">
            <v>4693</v>
          </cell>
          <cell r="J3988">
            <v>0.13569042669584244</v>
          </cell>
        </row>
        <row r="3989">
          <cell r="I3989">
            <v>4694</v>
          </cell>
          <cell r="J3989">
            <v>0.13569310722100655</v>
          </cell>
        </row>
        <row r="3990">
          <cell r="I3990">
            <v>4695</v>
          </cell>
          <cell r="J3990">
            <v>0.13569578774617067</v>
          </cell>
        </row>
        <row r="3991">
          <cell r="I3991">
            <v>4696</v>
          </cell>
          <cell r="J3991">
            <v>0.1356984682713348</v>
          </cell>
        </row>
        <row r="3992">
          <cell r="I3992">
            <v>4697</v>
          </cell>
          <cell r="J3992">
            <v>0.13570114879649892</v>
          </cell>
        </row>
        <row r="3993">
          <cell r="I3993">
            <v>4698</v>
          </cell>
          <cell r="J3993">
            <v>0.13570382932166303</v>
          </cell>
        </row>
        <row r="3994">
          <cell r="I3994">
            <v>4699</v>
          </cell>
          <cell r="J3994">
            <v>0.13570650984682714</v>
          </cell>
        </row>
        <row r="3995">
          <cell r="I3995">
            <v>4700</v>
          </cell>
          <cell r="J3995">
            <v>0.13570919037199125</v>
          </cell>
        </row>
        <row r="3996">
          <cell r="I3996">
            <v>4701</v>
          </cell>
          <cell r="J3996">
            <v>0.13571187089715536</v>
          </cell>
        </row>
        <row r="3997">
          <cell r="I3997">
            <v>4702</v>
          </cell>
          <cell r="J3997">
            <v>0.13571455142231947</v>
          </cell>
        </row>
        <row r="3998">
          <cell r="I3998">
            <v>4703</v>
          </cell>
          <cell r="J3998">
            <v>0.13571723194748359</v>
          </cell>
        </row>
        <row r="3999">
          <cell r="I3999">
            <v>4704</v>
          </cell>
          <cell r="J3999">
            <v>0.1357199124726477</v>
          </cell>
        </row>
        <row r="4000">
          <cell r="I4000">
            <v>4705</v>
          </cell>
          <cell r="J4000">
            <v>0.13572259299781181</v>
          </cell>
        </row>
        <row r="4001">
          <cell r="I4001">
            <v>4706</v>
          </cell>
          <cell r="J4001">
            <v>0.13572527352297592</v>
          </cell>
        </row>
        <row r="4002">
          <cell r="I4002">
            <v>4707</v>
          </cell>
          <cell r="J4002">
            <v>0.13572795404814003</v>
          </cell>
        </row>
        <row r="4003">
          <cell r="I4003">
            <v>4708</v>
          </cell>
          <cell r="J4003">
            <v>0.13573063457330414</v>
          </cell>
        </row>
        <row r="4004">
          <cell r="I4004">
            <v>4709</v>
          </cell>
          <cell r="J4004">
            <v>0.13573331509846828</v>
          </cell>
        </row>
        <row r="4005">
          <cell r="I4005">
            <v>4710</v>
          </cell>
          <cell r="J4005">
            <v>0.13573599562363239</v>
          </cell>
        </row>
        <row r="4006">
          <cell r="I4006">
            <v>4711</v>
          </cell>
          <cell r="J4006">
            <v>0.13573867614879651</v>
          </cell>
        </row>
        <row r="4007">
          <cell r="I4007">
            <v>4712</v>
          </cell>
          <cell r="J4007">
            <v>0.13574135667396062</v>
          </cell>
        </row>
        <row r="4008">
          <cell r="I4008">
            <v>4713</v>
          </cell>
          <cell r="J4008">
            <v>0.13574403719912473</v>
          </cell>
        </row>
        <row r="4009">
          <cell r="I4009">
            <v>4714</v>
          </cell>
          <cell r="J4009">
            <v>0.13574671772428884</v>
          </cell>
        </row>
        <row r="4010">
          <cell r="I4010">
            <v>4715</v>
          </cell>
          <cell r="J4010">
            <v>0.13574939824945295</v>
          </cell>
        </row>
        <row r="4011">
          <cell r="I4011">
            <v>4716</v>
          </cell>
          <cell r="J4011">
            <v>0.13575207877461706</v>
          </cell>
        </row>
        <row r="4012">
          <cell r="I4012">
            <v>4717</v>
          </cell>
          <cell r="J4012">
            <v>0.13575475929978117</v>
          </cell>
        </row>
        <row r="4013">
          <cell r="I4013">
            <v>4718</v>
          </cell>
          <cell r="J4013">
            <v>0.13575743982494529</v>
          </cell>
        </row>
        <row r="4014">
          <cell r="I4014">
            <v>4719</v>
          </cell>
          <cell r="J4014">
            <v>0.1357601203501094</v>
          </cell>
        </row>
        <row r="4015">
          <cell r="I4015">
            <v>4720</v>
          </cell>
          <cell r="J4015">
            <v>0.13576280087527351</v>
          </cell>
        </row>
        <row r="4016">
          <cell r="I4016">
            <v>4721</v>
          </cell>
          <cell r="J4016">
            <v>0.13576548140043765</v>
          </cell>
        </row>
        <row r="4017">
          <cell r="I4017">
            <v>4722</v>
          </cell>
          <cell r="J4017">
            <v>0.13576816192560176</v>
          </cell>
        </row>
        <row r="4018">
          <cell r="I4018">
            <v>4723</v>
          </cell>
          <cell r="J4018">
            <v>0.13577084245076587</v>
          </cell>
        </row>
        <row r="4019">
          <cell r="I4019">
            <v>4724</v>
          </cell>
          <cell r="J4019">
            <v>0.13577352297592998</v>
          </cell>
        </row>
        <row r="4020">
          <cell r="I4020">
            <v>4725</v>
          </cell>
          <cell r="J4020">
            <v>0.13577620350109409</v>
          </cell>
        </row>
        <row r="4021">
          <cell r="I4021">
            <v>4726</v>
          </cell>
          <cell r="J4021">
            <v>0.13577888402625821</v>
          </cell>
        </row>
        <row r="4022">
          <cell r="I4022">
            <v>4727</v>
          </cell>
          <cell r="J4022">
            <v>0.13578156455142232</v>
          </cell>
        </row>
        <row r="4023">
          <cell r="I4023">
            <v>4728</v>
          </cell>
          <cell r="J4023">
            <v>0.13578424507658643</v>
          </cell>
        </row>
        <row r="4024">
          <cell r="I4024">
            <v>4729</v>
          </cell>
          <cell r="J4024">
            <v>0.13578692560175054</v>
          </cell>
        </row>
        <row r="4025">
          <cell r="I4025">
            <v>4730</v>
          </cell>
          <cell r="J4025">
            <v>0.13578960612691465</v>
          </cell>
        </row>
        <row r="4026">
          <cell r="I4026">
            <v>4731</v>
          </cell>
          <cell r="J4026">
            <v>0.13579228665207876</v>
          </cell>
        </row>
        <row r="4027">
          <cell r="I4027">
            <v>4732</v>
          </cell>
          <cell r="J4027">
            <v>0.13579496717724288</v>
          </cell>
        </row>
        <row r="4028">
          <cell r="I4028">
            <v>4733</v>
          </cell>
          <cell r="J4028">
            <v>0.13579764770240701</v>
          </cell>
        </row>
        <row r="4029">
          <cell r="I4029">
            <v>4734</v>
          </cell>
          <cell r="J4029">
            <v>0.13580032822757113</v>
          </cell>
        </row>
        <row r="4030">
          <cell r="I4030">
            <v>4735</v>
          </cell>
          <cell r="J4030">
            <v>0.13580300875273524</v>
          </cell>
        </row>
        <row r="4031">
          <cell r="I4031">
            <v>4736</v>
          </cell>
          <cell r="J4031">
            <v>0.13580568927789935</v>
          </cell>
        </row>
        <row r="4032">
          <cell r="I4032">
            <v>4737</v>
          </cell>
          <cell r="J4032">
            <v>0.13580836980306346</v>
          </cell>
        </row>
        <row r="4033">
          <cell r="I4033">
            <v>4738</v>
          </cell>
          <cell r="J4033">
            <v>0.13581105032822757</v>
          </cell>
        </row>
        <row r="4034">
          <cell r="I4034">
            <v>4739</v>
          </cell>
          <cell r="J4034">
            <v>0.13581373085339168</v>
          </cell>
        </row>
        <row r="4035">
          <cell r="I4035">
            <v>4740</v>
          </cell>
          <cell r="J4035">
            <v>0.1358164113785558</v>
          </cell>
        </row>
        <row r="4036">
          <cell r="I4036">
            <v>4741</v>
          </cell>
          <cell r="J4036">
            <v>0.13581909190371991</v>
          </cell>
        </row>
        <row r="4037">
          <cell r="I4037">
            <v>4742</v>
          </cell>
          <cell r="J4037">
            <v>0.13582177242888402</v>
          </cell>
        </row>
        <row r="4038">
          <cell r="I4038">
            <v>4743</v>
          </cell>
          <cell r="J4038">
            <v>0.13582445295404813</v>
          </cell>
        </row>
        <row r="4039">
          <cell r="I4039">
            <v>4744</v>
          </cell>
          <cell r="J4039">
            <v>0.13582713347921224</v>
          </cell>
        </row>
        <row r="4040">
          <cell r="I4040">
            <v>4745</v>
          </cell>
          <cell r="J4040">
            <v>0.13582981400437638</v>
          </cell>
        </row>
        <row r="4041">
          <cell r="I4041">
            <v>4746</v>
          </cell>
          <cell r="J4041">
            <v>0.13583249452954049</v>
          </cell>
        </row>
        <row r="4042">
          <cell r="I4042">
            <v>4747</v>
          </cell>
          <cell r="J4042">
            <v>0.1358351750547046</v>
          </cell>
        </row>
        <row r="4043">
          <cell r="I4043">
            <v>4748</v>
          </cell>
          <cell r="J4043">
            <v>0.13583785557986872</v>
          </cell>
        </row>
        <row r="4044">
          <cell r="I4044">
            <v>4749</v>
          </cell>
          <cell r="J4044">
            <v>0.13584053610503283</v>
          </cell>
        </row>
        <row r="4045">
          <cell r="I4045">
            <v>4750</v>
          </cell>
          <cell r="J4045">
            <v>0.13584321663019694</v>
          </cell>
        </row>
        <row r="4046">
          <cell r="I4046">
            <v>4751</v>
          </cell>
          <cell r="J4046">
            <v>0.13584589715536105</v>
          </cell>
        </row>
        <row r="4047">
          <cell r="I4047">
            <v>4752</v>
          </cell>
          <cell r="J4047">
            <v>0.13584857768052516</v>
          </cell>
        </row>
        <row r="4048">
          <cell r="I4048">
            <v>4753</v>
          </cell>
          <cell r="J4048">
            <v>0.13585125820568927</v>
          </cell>
        </row>
        <row r="4049">
          <cell r="I4049">
            <v>4754</v>
          </cell>
          <cell r="J4049">
            <v>0.13585393873085339</v>
          </cell>
        </row>
        <row r="4050">
          <cell r="I4050">
            <v>4755</v>
          </cell>
          <cell r="J4050">
            <v>0.1358566192560175</v>
          </cell>
        </row>
        <row r="4051">
          <cell r="I4051">
            <v>4756</v>
          </cell>
          <cell r="J4051">
            <v>0.13585929978118161</v>
          </cell>
        </row>
        <row r="4052">
          <cell r="I4052">
            <v>4757</v>
          </cell>
          <cell r="J4052">
            <v>0.13586198030634572</v>
          </cell>
        </row>
        <row r="4053">
          <cell r="I4053">
            <v>4758</v>
          </cell>
          <cell r="J4053">
            <v>0.13586466083150986</v>
          </cell>
        </row>
        <row r="4054">
          <cell r="I4054">
            <v>4759</v>
          </cell>
          <cell r="J4054">
            <v>0.13586734135667397</v>
          </cell>
        </row>
        <row r="4055">
          <cell r="I4055">
            <v>4760</v>
          </cell>
          <cell r="J4055">
            <v>0.13587002188183808</v>
          </cell>
        </row>
        <row r="4056">
          <cell r="I4056">
            <v>4761</v>
          </cell>
          <cell r="J4056">
            <v>0.13587270240700219</v>
          </cell>
        </row>
        <row r="4057">
          <cell r="I4057">
            <v>4762</v>
          </cell>
          <cell r="J4057">
            <v>0.13587538293216631</v>
          </cell>
        </row>
        <row r="4058">
          <cell r="I4058">
            <v>4763</v>
          </cell>
          <cell r="J4058">
            <v>0.13587806345733042</v>
          </cell>
        </row>
        <row r="4059">
          <cell r="I4059">
            <v>4764</v>
          </cell>
          <cell r="J4059">
            <v>0.13588074398249453</v>
          </cell>
        </row>
        <row r="4060">
          <cell r="I4060">
            <v>4765</v>
          </cell>
          <cell r="J4060">
            <v>0.13588342450765864</v>
          </cell>
        </row>
        <row r="4061">
          <cell r="I4061">
            <v>4766</v>
          </cell>
          <cell r="J4061">
            <v>0.13588610503282275</v>
          </cell>
        </row>
        <row r="4062">
          <cell r="I4062">
            <v>4767</v>
          </cell>
          <cell r="J4062">
            <v>0.13588878555798686</v>
          </cell>
        </row>
        <row r="4063">
          <cell r="I4063">
            <v>4768</v>
          </cell>
          <cell r="J4063">
            <v>0.13589146608315097</v>
          </cell>
        </row>
        <row r="4064">
          <cell r="I4064">
            <v>4769</v>
          </cell>
          <cell r="J4064">
            <v>0.13589414660831509</v>
          </cell>
        </row>
        <row r="4065">
          <cell r="I4065">
            <v>4770</v>
          </cell>
          <cell r="J4065">
            <v>0.13589682713347923</v>
          </cell>
        </row>
        <row r="4066">
          <cell r="I4066">
            <v>4771</v>
          </cell>
          <cell r="J4066">
            <v>0.13589950765864334</v>
          </cell>
        </row>
        <row r="4067">
          <cell r="I4067">
            <v>4772</v>
          </cell>
          <cell r="J4067">
            <v>0.13590218818380745</v>
          </cell>
        </row>
        <row r="4068">
          <cell r="I4068">
            <v>4773</v>
          </cell>
          <cell r="J4068">
            <v>0.13590486870897156</v>
          </cell>
        </row>
        <row r="4069">
          <cell r="I4069">
            <v>4774</v>
          </cell>
          <cell r="J4069">
            <v>0.13590754923413567</v>
          </cell>
        </row>
        <row r="4070">
          <cell r="I4070">
            <v>4775</v>
          </cell>
          <cell r="J4070">
            <v>0.13591022975929978</v>
          </cell>
        </row>
        <row r="4071">
          <cell r="I4071">
            <v>4776</v>
          </cell>
          <cell r="J4071">
            <v>0.13591291028446389</v>
          </cell>
        </row>
        <row r="4072">
          <cell r="I4072">
            <v>4777</v>
          </cell>
          <cell r="J4072">
            <v>0.13591559080962801</v>
          </cell>
        </row>
        <row r="4073">
          <cell r="I4073">
            <v>4778</v>
          </cell>
          <cell r="J4073">
            <v>0.13591827133479212</v>
          </cell>
        </row>
        <row r="4074">
          <cell r="I4074">
            <v>4779</v>
          </cell>
          <cell r="J4074">
            <v>0.13592095185995623</v>
          </cell>
        </row>
        <row r="4075">
          <cell r="I4075">
            <v>4780</v>
          </cell>
          <cell r="J4075">
            <v>0.13592363238512034</v>
          </cell>
        </row>
        <row r="4076">
          <cell r="I4076">
            <v>4781</v>
          </cell>
          <cell r="J4076">
            <v>0.13592631291028445</v>
          </cell>
        </row>
        <row r="4077">
          <cell r="I4077">
            <v>4782</v>
          </cell>
          <cell r="J4077">
            <v>0.13592899343544856</v>
          </cell>
        </row>
        <row r="4078">
          <cell r="I4078">
            <v>4783</v>
          </cell>
          <cell r="J4078">
            <v>0.1359316739606127</v>
          </cell>
        </row>
        <row r="4079">
          <cell r="I4079">
            <v>4784</v>
          </cell>
          <cell r="J4079">
            <v>0.13593435448577681</v>
          </cell>
        </row>
        <row r="4080">
          <cell r="I4080">
            <v>4785</v>
          </cell>
          <cell r="J4080">
            <v>0.13593703501094093</v>
          </cell>
        </row>
        <row r="4081">
          <cell r="I4081">
            <v>4786</v>
          </cell>
          <cell r="J4081">
            <v>0.13593971553610504</v>
          </cell>
        </row>
        <row r="4082">
          <cell r="I4082">
            <v>4787</v>
          </cell>
          <cell r="J4082">
            <v>0.13594239606126915</v>
          </cell>
        </row>
        <row r="4083">
          <cell r="I4083">
            <v>4788</v>
          </cell>
          <cell r="J4083">
            <v>0.13594507658643326</v>
          </cell>
        </row>
        <row r="4084">
          <cell r="I4084">
            <v>4789</v>
          </cell>
          <cell r="J4084">
            <v>0.13594775711159737</v>
          </cell>
        </row>
        <row r="4085">
          <cell r="I4085">
            <v>4790</v>
          </cell>
          <cell r="J4085">
            <v>0.13595043763676148</v>
          </cell>
        </row>
        <row r="4086">
          <cell r="I4086">
            <v>4791</v>
          </cell>
          <cell r="J4086">
            <v>0.1359531181619256</v>
          </cell>
        </row>
        <row r="4087">
          <cell r="I4087">
            <v>4792</v>
          </cell>
          <cell r="J4087">
            <v>0.13595579868708971</v>
          </cell>
        </row>
        <row r="4088">
          <cell r="I4088">
            <v>4793</v>
          </cell>
          <cell r="J4088">
            <v>0.13595847921225382</v>
          </cell>
        </row>
        <row r="4089">
          <cell r="I4089">
            <v>4794</v>
          </cell>
          <cell r="J4089">
            <v>0.13596115973741793</v>
          </cell>
        </row>
        <row r="4090">
          <cell r="I4090">
            <v>4795</v>
          </cell>
          <cell r="J4090">
            <v>0.13596384026258207</v>
          </cell>
        </row>
        <row r="4091">
          <cell r="I4091">
            <v>4796</v>
          </cell>
          <cell r="J4091">
            <v>0.13596652078774618</v>
          </cell>
        </row>
        <row r="4092">
          <cell r="I4092">
            <v>4797</v>
          </cell>
          <cell r="J4092">
            <v>0.13596920131291029</v>
          </cell>
        </row>
        <row r="4093">
          <cell r="I4093">
            <v>4798</v>
          </cell>
          <cell r="J4093">
            <v>0.1359718818380744</v>
          </cell>
        </row>
        <row r="4094">
          <cell r="I4094">
            <v>4799</v>
          </cell>
          <cell r="J4094">
            <v>0.13597456236323852</v>
          </cell>
        </row>
        <row r="4095">
          <cell r="I4095">
            <v>4800</v>
          </cell>
          <cell r="J4095">
            <v>0.13597724288840263</v>
          </cell>
        </row>
        <row r="4096">
          <cell r="I4096">
            <v>4801</v>
          </cell>
          <cell r="J4096">
            <v>0.13597992341356674</v>
          </cell>
        </row>
        <row r="4097">
          <cell r="I4097">
            <v>4802</v>
          </cell>
          <cell r="J4097">
            <v>0.13598260393873085</v>
          </cell>
        </row>
        <row r="4098">
          <cell r="I4098">
            <v>4803</v>
          </cell>
          <cell r="J4098">
            <v>0.13598528446389496</v>
          </cell>
        </row>
        <row r="4099">
          <cell r="I4099">
            <v>4804</v>
          </cell>
          <cell r="J4099">
            <v>0.13598796498905907</v>
          </cell>
        </row>
        <row r="4100">
          <cell r="I4100">
            <v>4805</v>
          </cell>
          <cell r="J4100">
            <v>0.13599064551422319</v>
          </cell>
        </row>
        <row r="4101">
          <cell r="I4101">
            <v>4806</v>
          </cell>
          <cell r="J4101">
            <v>0.1359933260393873</v>
          </cell>
        </row>
        <row r="4102">
          <cell r="I4102">
            <v>4807</v>
          </cell>
          <cell r="J4102">
            <v>0.13599600656455144</v>
          </cell>
        </row>
        <row r="4103">
          <cell r="I4103">
            <v>4808</v>
          </cell>
          <cell r="J4103">
            <v>0.13599868708971555</v>
          </cell>
        </row>
        <row r="4104">
          <cell r="I4104">
            <v>4809</v>
          </cell>
          <cell r="J4104">
            <v>0.13600136761487966</v>
          </cell>
        </row>
        <row r="4105">
          <cell r="I4105">
            <v>4810</v>
          </cell>
          <cell r="J4105">
            <v>0.13600404814004377</v>
          </cell>
        </row>
        <row r="4106">
          <cell r="I4106">
            <v>4811</v>
          </cell>
          <cell r="J4106">
            <v>0.13600672866520788</v>
          </cell>
        </row>
        <row r="4107">
          <cell r="I4107">
            <v>4812</v>
          </cell>
          <cell r="J4107">
            <v>0.13600940919037199</v>
          </cell>
        </row>
        <row r="4108">
          <cell r="I4108">
            <v>4813</v>
          </cell>
          <cell r="J4108">
            <v>0.13601208971553611</v>
          </cell>
        </row>
        <row r="4109">
          <cell r="I4109">
            <v>4814</v>
          </cell>
          <cell r="J4109">
            <v>0.13601477024070022</v>
          </cell>
        </row>
        <row r="4110">
          <cell r="I4110">
            <v>4815</v>
          </cell>
          <cell r="J4110">
            <v>0.13601745076586433</v>
          </cell>
        </row>
        <row r="4111">
          <cell r="I4111">
            <v>4816</v>
          </cell>
          <cell r="J4111">
            <v>0.13602013129102844</v>
          </cell>
        </row>
        <row r="4112">
          <cell r="I4112">
            <v>4817</v>
          </cell>
          <cell r="J4112">
            <v>0.13602281181619255</v>
          </cell>
        </row>
        <row r="4113">
          <cell r="I4113">
            <v>4818</v>
          </cell>
          <cell r="J4113">
            <v>0.13602549234135666</v>
          </cell>
        </row>
        <row r="4114">
          <cell r="I4114">
            <v>4819</v>
          </cell>
          <cell r="J4114">
            <v>0.13602817286652077</v>
          </cell>
        </row>
        <row r="4115">
          <cell r="I4115">
            <v>4820</v>
          </cell>
          <cell r="J4115">
            <v>0.13603085339168491</v>
          </cell>
        </row>
        <row r="4116">
          <cell r="I4116">
            <v>4821</v>
          </cell>
          <cell r="J4116">
            <v>0.13603353391684903</v>
          </cell>
        </row>
        <row r="4117">
          <cell r="I4117">
            <v>4822</v>
          </cell>
          <cell r="J4117">
            <v>0.13603621444201314</v>
          </cell>
        </row>
        <row r="4118">
          <cell r="I4118">
            <v>4823</v>
          </cell>
          <cell r="J4118">
            <v>0.13603889496717725</v>
          </cell>
        </row>
        <row r="4119">
          <cell r="I4119">
            <v>4824</v>
          </cell>
          <cell r="J4119">
            <v>0.13604157549234136</v>
          </cell>
        </row>
        <row r="4120">
          <cell r="I4120">
            <v>4825</v>
          </cell>
          <cell r="J4120">
            <v>0.13604425601750547</v>
          </cell>
        </row>
        <row r="4121">
          <cell r="I4121">
            <v>4826</v>
          </cell>
          <cell r="J4121">
            <v>0.13604693654266958</v>
          </cell>
        </row>
        <row r="4122">
          <cell r="I4122">
            <v>4827</v>
          </cell>
          <cell r="J4122">
            <v>0.13604961706783369</v>
          </cell>
        </row>
        <row r="4123">
          <cell r="I4123">
            <v>4828</v>
          </cell>
          <cell r="J4123">
            <v>0.13605229759299781</v>
          </cell>
        </row>
        <row r="4124">
          <cell r="I4124">
            <v>4829</v>
          </cell>
          <cell r="J4124">
            <v>0.13605497811816192</v>
          </cell>
        </row>
        <row r="4125">
          <cell r="I4125">
            <v>4830</v>
          </cell>
          <cell r="J4125">
            <v>0.13605765864332603</v>
          </cell>
        </row>
        <row r="4126">
          <cell r="I4126">
            <v>4831</v>
          </cell>
          <cell r="J4126">
            <v>0.13606033916849014</v>
          </cell>
        </row>
        <row r="4127">
          <cell r="I4127">
            <v>4832</v>
          </cell>
          <cell r="J4127">
            <v>0.13606301969365428</v>
          </cell>
        </row>
        <row r="4128">
          <cell r="I4128">
            <v>4833</v>
          </cell>
          <cell r="J4128">
            <v>0.13606570021881839</v>
          </cell>
        </row>
        <row r="4129">
          <cell r="I4129">
            <v>4834</v>
          </cell>
          <cell r="J4129">
            <v>0.1360683807439825</v>
          </cell>
        </row>
        <row r="4130">
          <cell r="I4130">
            <v>4835</v>
          </cell>
          <cell r="J4130">
            <v>0.13607106126914661</v>
          </cell>
        </row>
        <row r="4131">
          <cell r="I4131">
            <v>4836</v>
          </cell>
          <cell r="J4131">
            <v>0.13607374179431073</v>
          </cell>
        </row>
        <row r="4132">
          <cell r="I4132">
            <v>4837</v>
          </cell>
          <cell r="J4132">
            <v>0.13607642231947484</v>
          </cell>
        </row>
        <row r="4133">
          <cell r="I4133">
            <v>4838</v>
          </cell>
          <cell r="J4133">
            <v>0.13607910284463895</v>
          </cell>
        </row>
        <row r="4134">
          <cell r="I4134">
            <v>4839</v>
          </cell>
          <cell r="J4134">
            <v>0.13608178336980306</v>
          </cell>
        </row>
        <row r="4135">
          <cell r="I4135">
            <v>4840</v>
          </cell>
          <cell r="J4135">
            <v>0.13608446389496717</v>
          </cell>
        </row>
        <row r="4136">
          <cell r="I4136">
            <v>4841</v>
          </cell>
          <cell r="J4136">
            <v>0.13608714442013128</v>
          </cell>
        </row>
        <row r="4137">
          <cell r="I4137">
            <v>4842</v>
          </cell>
          <cell r="J4137">
            <v>0.1360898249452954</v>
          </cell>
        </row>
        <row r="4138">
          <cell r="I4138">
            <v>4843</v>
          </cell>
          <cell r="J4138">
            <v>0.13609250547045951</v>
          </cell>
        </row>
        <row r="4139">
          <cell r="I4139">
            <v>4844</v>
          </cell>
          <cell r="J4139">
            <v>0.13609518599562365</v>
          </cell>
        </row>
        <row r="4140">
          <cell r="I4140">
            <v>4845</v>
          </cell>
          <cell r="J4140">
            <v>0.13609786652078776</v>
          </cell>
        </row>
        <row r="4141">
          <cell r="I4141">
            <v>4846</v>
          </cell>
          <cell r="J4141">
            <v>0.13610054704595187</v>
          </cell>
        </row>
        <row r="4142">
          <cell r="I4142">
            <v>4847</v>
          </cell>
          <cell r="J4142">
            <v>0.13610322757111598</v>
          </cell>
        </row>
        <row r="4143">
          <cell r="I4143">
            <v>4848</v>
          </cell>
          <cell r="J4143">
            <v>0.13610590809628009</v>
          </cell>
        </row>
        <row r="4144">
          <cell r="I4144">
            <v>4849</v>
          </cell>
          <cell r="J4144">
            <v>0.1361085886214442</v>
          </cell>
        </row>
        <row r="4145">
          <cell r="I4145">
            <v>4850</v>
          </cell>
          <cell r="J4145">
            <v>0.13611126914660832</v>
          </cell>
        </row>
        <row r="4146">
          <cell r="I4146">
            <v>4851</v>
          </cell>
          <cell r="J4146">
            <v>0.13611394967177243</v>
          </cell>
        </row>
        <row r="4147">
          <cell r="I4147">
            <v>4852</v>
          </cell>
          <cell r="J4147">
            <v>0.13611663019693654</v>
          </cell>
        </row>
        <row r="4148">
          <cell r="I4148">
            <v>4853</v>
          </cell>
          <cell r="J4148">
            <v>0.13611931072210065</v>
          </cell>
        </row>
        <row r="4149">
          <cell r="I4149">
            <v>4854</v>
          </cell>
          <cell r="J4149">
            <v>0.13612199124726476</v>
          </cell>
        </row>
        <row r="4150">
          <cell r="I4150">
            <v>4855</v>
          </cell>
          <cell r="J4150">
            <v>0.13612467177242887</v>
          </cell>
        </row>
        <row r="4151">
          <cell r="I4151">
            <v>4856</v>
          </cell>
          <cell r="J4151">
            <v>0.13612735229759299</v>
          </cell>
        </row>
        <row r="4152">
          <cell r="I4152">
            <v>4857</v>
          </cell>
          <cell r="J4152">
            <v>0.13613003282275712</v>
          </cell>
        </row>
        <row r="4153">
          <cell r="I4153">
            <v>4858</v>
          </cell>
          <cell r="J4153">
            <v>0.13613271334792124</v>
          </cell>
        </row>
        <row r="4154">
          <cell r="I4154">
            <v>4859</v>
          </cell>
          <cell r="J4154">
            <v>0.13613539387308535</v>
          </cell>
        </row>
        <row r="4155">
          <cell r="I4155">
            <v>4860</v>
          </cell>
          <cell r="J4155">
            <v>0.13613807439824946</v>
          </cell>
        </row>
        <row r="4156">
          <cell r="I4156">
            <v>4861</v>
          </cell>
          <cell r="J4156">
            <v>0.13614075492341357</v>
          </cell>
        </row>
        <row r="4157">
          <cell r="I4157">
            <v>4862</v>
          </cell>
          <cell r="J4157">
            <v>0.13614343544857768</v>
          </cell>
        </row>
        <row r="4158">
          <cell r="I4158">
            <v>4863</v>
          </cell>
          <cell r="J4158">
            <v>0.13614611597374179</v>
          </cell>
        </row>
        <row r="4159">
          <cell r="I4159">
            <v>4864</v>
          </cell>
          <cell r="J4159">
            <v>0.13614879649890591</v>
          </cell>
        </row>
        <row r="4160">
          <cell r="I4160">
            <v>4865</v>
          </cell>
          <cell r="J4160">
            <v>0.13615147702407002</v>
          </cell>
        </row>
        <row r="4161">
          <cell r="I4161">
            <v>4866</v>
          </cell>
          <cell r="J4161">
            <v>0.13615415754923413</v>
          </cell>
        </row>
        <row r="4162">
          <cell r="I4162">
            <v>4867</v>
          </cell>
          <cell r="J4162">
            <v>0.13615683807439824</v>
          </cell>
        </row>
        <row r="4163">
          <cell r="I4163">
            <v>4868</v>
          </cell>
          <cell r="J4163">
            <v>0.13615951859956235</v>
          </cell>
        </row>
        <row r="4164">
          <cell r="I4164">
            <v>4869</v>
          </cell>
          <cell r="J4164">
            <v>0.13616219912472649</v>
          </cell>
        </row>
        <row r="4165">
          <cell r="I4165">
            <v>4870</v>
          </cell>
          <cell r="J4165">
            <v>0.1361648796498906</v>
          </cell>
        </row>
        <row r="4166">
          <cell r="I4166">
            <v>4871</v>
          </cell>
          <cell r="J4166">
            <v>0.13616756017505471</v>
          </cell>
        </row>
        <row r="4167">
          <cell r="I4167">
            <v>4872</v>
          </cell>
          <cell r="J4167">
            <v>0.13617024070021883</v>
          </cell>
        </row>
        <row r="4168">
          <cell r="I4168">
            <v>4873</v>
          </cell>
          <cell r="J4168">
            <v>0.13617292122538294</v>
          </cell>
        </row>
        <row r="4169">
          <cell r="I4169">
            <v>4874</v>
          </cell>
          <cell r="J4169">
            <v>0.13617560175054705</v>
          </cell>
        </row>
        <row r="4170">
          <cell r="I4170">
            <v>4875</v>
          </cell>
          <cell r="J4170">
            <v>0.13617828227571116</v>
          </cell>
        </row>
        <row r="4171">
          <cell r="I4171">
            <v>4876</v>
          </cell>
          <cell r="J4171">
            <v>0.13618096280087527</v>
          </cell>
        </row>
        <row r="4172">
          <cell r="I4172">
            <v>4877</v>
          </cell>
          <cell r="J4172">
            <v>0.13618364332603938</v>
          </cell>
        </row>
        <row r="4173">
          <cell r="I4173">
            <v>4878</v>
          </cell>
          <cell r="J4173">
            <v>0.13618632385120349</v>
          </cell>
        </row>
        <row r="4174">
          <cell r="I4174">
            <v>4879</v>
          </cell>
          <cell r="J4174">
            <v>0.13618900437636761</v>
          </cell>
        </row>
        <row r="4175">
          <cell r="I4175">
            <v>4880</v>
          </cell>
          <cell r="J4175">
            <v>0.13619168490153172</v>
          </cell>
        </row>
        <row r="4176">
          <cell r="I4176">
            <v>4881</v>
          </cell>
          <cell r="J4176">
            <v>0.13619436542669583</v>
          </cell>
        </row>
        <row r="4177">
          <cell r="I4177">
            <v>4882</v>
          </cell>
          <cell r="J4177">
            <v>0.13619704595185997</v>
          </cell>
        </row>
        <row r="4178">
          <cell r="I4178">
            <v>4883</v>
          </cell>
          <cell r="J4178">
            <v>0.13619972647702408</v>
          </cell>
        </row>
        <row r="4179">
          <cell r="I4179">
            <v>4884</v>
          </cell>
          <cell r="J4179">
            <v>0.13620240700218819</v>
          </cell>
        </row>
        <row r="4180">
          <cell r="I4180">
            <v>4885</v>
          </cell>
          <cell r="J4180">
            <v>0.1362050875273523</v>
          </cell>
        </row>
        <row r="4181">
          <cell r="I4181">
            <v>4886</v>
          </cell>
          <cell r="J4181">
            <v>0.13620776805251641</v>
          </cell>
        </row>
        <row r="4182">
          <cell r="I4182">
            <v>4887</v>
          </cell>
          <cell r="J4182">
            <v>0.13621044857768053</v>
          </cell>
        </row>
        <row r="4183">
          <cell r="I4183">
            <v>4888</v>
          </cell>
          <cell r="J4183">
            <v>0.13621312910284464</v>
          </cell>
        </row>
        <row r="4184">
          <cell r="I4184">
            <v>4889</v>
          </cell>
          <cell r="J4184">
            <v>0.13621580962800875</v>
          </cell>
        </row>
        <row r="4185">
          <cell r="I4185">
            <v>4890</v>
          </cell>
          <cell r="J4185">
            <v>0.13621849015317286</v>
          </cell>
        </row>
        <row r="4186">
          <cell r="I4186">
            <v>4891</v>
          </cell>
          <cell r="J4186">
            <v>0.13622117067833697</v>
          </cell>
        </row>
        <row r="4187">
          <cell r="I4187">
            <v>4892</v>
          </cell>
          <cell r="J4187">
            <v>0.13622385120350108</v>
          </cell>
        </row>
        <row r="4188">
          <cell r="I4188">
            <v>4893</v>
          </cell>
          <cell r="J4188">
            <v>0.1362265317286652</v>
          </cell>
        </row>
        <row r="4189">
          <cell r="I4189">
            <v>4894</v>
          </cell>
          <cell r="J4189">
            <v>0.13622921225382933</v>
          </cell>
        </row>
        <row r="4190">
          <cell r="I4190">
            <v>4895</v>
          </cell>
          <cell r="J4190">
            <v>0.13623189277899345</v>
          </cell>
        </row>
        <row r="4191">
          <cell r="I4191">
            <v>4896</v>
          </cell>
          <cell r="J4191">
            <v>0.13623457330415756</v>
          </cell>
        </row>
        <row r="4192">
          <cell r="I4192">
            <v>4897</v>
          </cell>
          <cell r="J4192">
            <v>0.13623725382932167</v>
          </cell>
        </row>
        <row r="4193">
          <cell r="I4193">
            <v>4898</v>
          </cell>
          <cell r="J4193">
            <v>0.13623993435448578</v>
          </cell>
        </row>
        <row r="4194">
          <cell r="I4194">
            <v>4899</v>
          </cell>
          <cell r="J4194">
            <v>0.13624261487964989</v>
          </cell>
        </row>
        <row r="4195">
          <cell r="I4195">
            <v>4900</v>
          </cell>
          <cell r="J4195">
            <v>0.136245295404814</v>
          </cell>
        </row>
        <row r="4196">
          <cell r="I4196">
            <v>4901</v>
          </cell>
          <cell r="J4196">
            <v>0.13624797592997812</v>
          </cell>
        </row>
        <row r="4197">
          <cell r="I4197">
            <v>4902</v>
          </cell>
          <cell r="J4197">
            <v>0.13625065645514223</v>
          </cell>
        </row>
        <row r="4198">
          <cell r="I4198">
            <v>4903</v>
          </cell>
          <cell r="J4198">
            <v>0.13625333698030634</v>
          </cell>
        </row>
        <row r="4199">
          <cell r="I4199">
            <v>4904</v>
          </cell>
          <cell r="J4199">
            <v>0.13625601750547045</v>
          </cell>
        </row>
        <row r="4200">
          <cell r="I4200">
            <v>4905</v>
          </cell>
          <cell r="J4200">
            <v>0.13625869803063456</v>
          </cell>
        </row>
        <row r="4201">
          <cell r="I4201">
            <v>4906</v>
          </cell>
          <cell r="J4201">
            <v>0.1362613785557987</v>
          </cell>
        </row>
        <row r="4202">
          <cell r="I4202">
            <v>4907</v>
          </cell>
          <cell r="J4202">
            <v>0.13626405908096281</v>
          </cell>
        </row>
        <row r="4203">
          <cell r="I4203">
            <v>4908</v>
          </cell>
          <cell r="J4203">
            <v>0.13626673960612692</v>
          </cell>
        </row>
        <row r="4204">
          <cell r="I4204">
            <v>4909</v>
          </cell>
          <cell r="J4204">
            <v>0.13626942013129104</v>
          </cell>
        </row>
        <row r="4205">
          <cell r="I4205">
            <v>4910</v>
          </cell>
          <cell r="J4205">
            <v>0.13627210065645515</v>
          </cell>
        </row>
        <row r="4206">
          <cell r="I4206">
            <v>4911</v>
          </cell>
          <cell r="J4206">
            <v>0.13627478118161926</v>
          </cell>
        </row>
        <row r="4207">
          <cell r="I4207">
            <v>4912</v>
          </cell>
          <cell r="J4207">
            <v>0.13627746170678337</v>
          </cell>
        </row>
        <row r="4208">
          <cell r="I4208">
            <v>4913</v>
          </cell>
          <cell r="J4208">
            <v>0.13628014223194748</v>
          </cell>
        </row>
        <row r="4209">
          <cell r="I4209">
            <v>4914</v>
          </cell>
          <cell r="J4209">
            <v>0.13628282275711159</v>
          </cell>
        </row>
        <row r="4210">
          <cell r="I4210">
            <v>4915</v>
          </cell>
          <cell r="J4210">
            <v>0.13628550328227571</v>
          </cell>
        </row>
        <row r="4211">
          <cell r="I4211">
            <v>4916</v>
          </cell>
          <cell r="J4211">
            <v>0.13628818380743982</v>
          </cell>
        </row>
        <row r="4212">
          <cell r="I4212">
            <v>4917</v>
          </cell>
          <cell r="J4212">
            <v>0.13629086433260393</v>
          </cell>
        </row>
        <row r="4213">
          <cell r="I4213">
            <v>4918</v>
          </cell>
          <cell r="J4213">
            <v>0.13629354485776807</v>
          </cell>
        </row>
        <row r="4214">
          <cell r="I4214">
            <v>4919</v>
          </cell>
          <cell r="J4214">
            <v>0.13629622538293218</v>
          </cell>
        </row>
        <row r="4215">
          <cell r="I4215">
            <v>4920</v>
          </cell>
          <cell r="J4215">
            <v>0.13629890590809629</v>
          </cell>
        </row>
        <row r="4216">
          <cell r="I4216">
            <v>4921</v>
          </cell>
          <cell r="J4216">
            <v>0.1363015864332604</v>
          </cell>
        </row>
        <row r="4217">
          <cell r="I4217">
            <v>4922</v>
          </cell>
          <cell r="J4217">
            <v>0.13630426695842451</v>
          </cell>
        </row>
        <row r="4218">
          <cell r="I4218">
            <v>4923</v>
          </cell>
          <cell r="J4218">
            <v>0.13630694748358863</v>
          </cell>
        </row>
        <row r="4219">
          <cell r="I4219">
            <v>4924</v>
          </cell>
          <cell r="J4219">
            <v>0.13630962800875274</v>
          </cell>
        </row>
        <row r="4220">
          <cell r="I4220">
            <v>4925</v>
          </cell>
          <cell r="J4220">
            <v>0.13631230853391685</v>
          </cell>
        </row>
        <row r="4221">
          <cell r="I4221">
            <v>4926</v>
          </cell>
          <cell r="J4221">
            <v>0.13631498905908096</v>
          </cell>
        </row>
        <row r="4222">
          <cell r="I4222">
            <v>4927</v>
          </cell>
          <cell r="J4222">
            <v>0.13631766958424507</v>
          </cell>
        </row>
        <row r="4223">
          <cell r="I4223">
            <v>4928</v>
          </cell>
          <cell r="J4223">
            <v>0.13632035010940918</v>
          </cell>
        </row>
        <row r="4224">
          <cell r="I4224">
            <v>4929</v>
          </cell>
          <cell r="J4224">
            <v>0.13632303063457329</v>
          </cell>
        </row>
        <row r="4225">
          <cell r="I4225">
            <v>4930</v>
          </cell>
          <cell r="J4225">
            <v>0.13632571115973741</v>
          </cell>
        </row>
        <row r="4226">
          <cell r="I4226">
            <v>4931</v>
          </cell>
          <cell r="J4226">
            <v>0.13632839168490155</v>
          </cell>
        </row>
        <row r="4227">
          <cell r="I4227">
            <v>4932</v>
          </cell>
          <cell r="J4227">
            <v>0.13633107221006566</v>
          </cell>
        </row>
        <row r="4228">
          <cell r="I4228">
            <v>4933</v>
          </cell>
          <cell r="J4228">
            <v>0.13633375273522977</v>
          </cell>
        </row>
        <row r="4229">
          <cell r="I4229">
            <v>4934</v>
          </cell>
          <cell r="J4229">
            <v>0.13633643326039388</v>
          </cell>
        </row>
        <row r="4230">
          <cell r="I4230">
            <v>4935</v>
          </cell>
          <cell r="J4230">
            <v>0.13633911378555799</v>
          </cell>
        </row>
        <row r="4231">
          <cell r="I4231">
            <v>4936</v>
          </cell>
          <cell r="J4231">
            <v>0.1363417943107221</v>
          </cell>
        </row>
        <row r="4232">
          <cell r="I4232">
            <v>4937</v>
          </cell>
          <cell r="J4232">
            <v>0.13634447483588621</v>
          </cell>
        </row>
        <row r="4233">
          <cell r="I4233">
            <v>4938</v>
          </cell>
          <cell r="J4233">
            <v>0.13634715536105033</v>
          </cell>
        </row>
        <row r="4234">
          <cell r="I4234">
            <v>4939</v>
          </cell>
          <cell r="J4234">
            <v>0.13634983588621444</v>
          </cell>
        </row>
        <row r="4235">
          <cell r="I4235">
            <v>4940</v>
          </cell>
          <cell r="J4235">
            <v>0.13635251641137855</v>
          </cell>
        </row>
        <row r="4236">
          <cell r="I4236">
            <v>4941</v>
          </cell>
          <cell r="J4236">
            <v>0.13635519693654266</v>
          </cell>
        </row>
        <row r="4237">
          <cell r="I4237">
            <v>4942</v>
          </cell>
          <cell r="J4237">
            <v>0.13635787746170677</v>
          </cell>
        </row>
        <row r="4238">
          <cell r="I4238">
            <v>4943</v>
          </cell>
          <cell r="J4238">
            <v>0.13636055798687091</v>
          </cell>
        </row>
        <row r="4239">
          <cell r="I4239">
            <v>4944</v>
          </cell>
          <cell r="J4239">
            <v>0.13636323851203502</v>
          </cell>
        </row>
        <row r="4240">
          <cell r="I4240">
            <v>4945</v>
          </cell>
          <cell r="J4240">
            <v>0.13636591903719913</v>
          </cell>
        </row>
        <row r="4241">
          <cell r="I4241">
            <v>4946</v>
          </cell>
          <cell r="J4241">
            <v>0.13636859956236325</v>
          </cell>
        </row>
        <row r="4242">
          <cell r="I4242">
            <v>4947</v>
          </cell>
          <cell r="J4242">
            <v>0.13637128008752736</v>
          </cell>
        </row>
        <row r="4243">
          <cell r="I4243">
            <v>4948</v>
          </cell>
          <cell r="J4243">
            <v>0.13637396061269147</v>
          </cell>
        </row>
        <row r="4244">
          <cell r="I4244">
            <v>4949</v>
          </cell>
          <cell r="J4244">
            <v>0.13637664113785558</v>
          </cell>
        </row>
        <row r="4245">
          <cell r="I4245">
            <v>4950</v>
          </cell>
          <cell r="J4245">
            <v>0.13637932166301969</v>
          </cell>
        </row>
        <row r="4246">
          <cell r="I4246">
            <v>4951</v>
          </cell>
          <cell r="J4246">
            <v>0.1363820021881838</v>
          </cell>
        </row>
        <row r="4247">
          <cell r="I4247">
            <v>4952</v>
          </cell>
          <cell r="J4247">
            <v>0.13638468271334792</v>
          </cell>
        </row>
        <row r="4248">
          <cell r="I4248">
            <v>4953</v>
          </cell>
          <cell r="J4248">
            <v>0.13638736323851203</v>
          </cell>
        </row>
        <row r="4249">
          <cell r="I4249">
            <v>4954</v>
          </cell>
          <cell r="J4249">
            <v>0.13639004376367614</v>
          </cell>
        </row>
        <row r="4250">
          <cell r="I4250">
            <v>4955</v>
          </cell>
          <cell r="J4250">
            <v>0.13639272428884025</v>
          </cell>
        </row>
        <row r="4251">
          <cell r="I4251">
            <v>4956</v>
          </cell>
          <cell r="J4251">
            <v>0.13639540481400439</v>
          </cell>
        </row>
        <row r="4252">
          <cell r="I4252">
            <v>4957</v>
          </cell>
          <cell r="J4252">
            <v>0.1363980853391685</v>
          </cell>
        </row>
        <row r="4253">
          <cell r="I4253">
            <v>4958</v>
          </cell>
          <cell r="J4253">
            <v>0.13640076586433261</v>
          </cell>
        </row>
        <row r="4254">
          <cell r="I4254">
            <v>4959</v>
          </cell>
          <cell r="J4254">
            <v>0.13640344638949672</v>
          </cell>
        </row>
        <row r="4255">
          <cell r="I4255">
            <v>4960</v>
          </cell>
          <cell r="J4255">
            <v>0.13640612691466084</v>
          </cell>
        </row>
        <row r="4256">
          <cell r="I4256">
            <v>4961</v>
          </cell>
          <cell r="J4256">
            <v>0.13640880743982495</v>
          </cell>
        </row>
        <row r="4257">
          <cell r="I4257">
            <v>4962</v>
          </cell>
          <cell r="J4257">
            <v>0.13641148796498906</v>
          </cell>
        </row>
        <row r="4258">
          <cell r="I4258">
            <v>4963</v>
          </cell>
          <cell r="J4258">
            <v>0.13641416849015317</v>
          </cell>
        </row>
        <row r="4259">
          <cell r="I4259">
            <v>4964</v>
          </cell>
          <cell r="J4259">
            <v>0.13641684901531728</v>
          </cell>
        </row>
        <row r="4260">
          <cell r="I4260">
            <v>4965</v>
          </cell>
          <cell r="J4260">
            <v>0.13641952954048139</v>
          </cell>
        </row>
        <row r="4261">
          <cell r="I4261">
            <v>4966</v>
          </cell>
          <cell r="J4261">
            <v>0.13642221006564551</v>
          </cell>
        </row>
        <row r="4262">
          <cell r="I4262">
            <v>4967</v>
          </cell>
          <cell r="J4262">
            <v>0.13642489059080962</v>
          </cell>
        </row>
        <row r="4263">
          <cell r="I4263">
            <v>4968</v>
          </cell>
          <cell r="J4263">
            <v>0.13642757111597376</v>
          </cell>
        </row>
        <row r="4264">
          <cell r="I4264">
            <v>4969</v>
          </cell>
          <cell r="J4264">
            <v>0.13643025164113787</v>
          </cell>
        </row>
        <row r="4265">
          <cell r="I4265">
            <v>4970</v>
          </cell>
          <cell r="J4265">
            <v>0.13643293216630198</v>
          </cell>
        </row>
        <row r="4266">
          <cell r="I4266">
            <v>4971</v>
          </cell>
          <cell r="J4266">
            <v>0.13643561269146609</v>
          </cell>
        </row>
        <row r="4267">
          <cell r="I4267">
            <v>4972</v>
          </cell>
          <cell r="J4267">
            <v>0.1364382932166302</v>
          </cell>
        </row>
        <row r="4268">
          <cell r="I4268">
            <v>4973</v>
          </cell>
          <cell r="J4268">
            <v>0.13644097374179431</v>
          </cell>
        </row>
        <row r="4269">
          <cell r="I4269">
            <v>4974</v>
          </cell>
          <cell r="J4269">
            <v>0.13644365426695843</v>
          </cell>
        </row>
        <row r="4270">
          <cell r="I4270">
            <v>4975</v>
          </cell>
          <cell r="J4270">
            <v>0.13644633479212254</v>
          </cell>
        </row>
        <row r="4271">
          <cell r="I4271">
            <v>4976</v>
          </cell>
          <cell r="J4271">
            <v>0.13644901531728665</v>
          </cell>
        </row>
        <row r="4272">
          <cell r="I4272">
            <v>4977</v>
          </cell>
          <cell r="J4272">
            <v>0.13645169584245076</v>
          </cell>
        </row>
        <row r="4273">
          <cell r="I4273">
            <v>4978</v>
          </cell>
          <cell r="J4273">
            <v>0.13645437636761487</v>
          </cell>
        </row>
        <row r="4274">
          <cell r="I4274">
            <v>4979</v>
          </cell>
          <cell r="J4274">
            <v>0.13645705689277898</v>
          </cell>
        </row>
        <row r="4275">
          <cell r="I4275">
            <v>4980</v>
          </cell>
          <cell r="J4275">
            <v>0.13645973741794312</v>
          </cell>
        </row>
        <row r="4276">
          <cell r="I4276">
            <v>4981</v>
          </cell>
          <cell r="J4276">
            <v>0.13646241794310723</v>
          </cell>
        </row>
        <row r="4277">
          <cell r="I4277">
            <v>4982</v>
          </cell>
          <cell r="J4277">
            <v>0.13646509846827135</v>
          </cell>
        </row>
        <row r="4278">
          <cell r="I4278">
            <v>4983</v>
          </cell>
          <cell r="J4278">
            <v>0.13646777899343546</v>
          </cell>
        </row>
        <row r="4279">
          <cell r="I4279">
            <v>4984</v>
          </cell>
          <cell r="J4279">
            <v>0.13647045951859957</v>
          </cell>
        </row>
        <row r="4280">
          <cell r="I4280">
            <v>4985</v>
          </cell>
          <cell r="J4280">
            <v>0.13647314004376368</v>
          </cell>
        </row>
        <row r="4281">
          <cell r="I4281">
            <v>4986</v>
          </cell>
          <cell r="J4281">
            <v>0.13647582056892779</v>
          </cell>
        </row>
        <row r="4282">
          <cell r="I4282">
            <v>4987</v>
          </cell>
          <cell r="J4282">
            <v>0.1364785010940919</v>
          </cell>
        </row>
        <row r="4283">
          <cell r="I4283">
            <v>4988</v>
          </cell>
          <cell r="J4283">
            <v>0.13648118161925601</v>
          </cell>
        </row>
        <row r="4284">
          <cell r="I4284">
            <v>4989</v>
          </cell>
          <cell r="J4284">
            <v>0.13648386214442013</v>
          </cell>
        </row>
        <row r="4285">
          <cell r="I4285">
            <v>4990</v>
          </cell>
          <cell r="J4285">
            <v>0.13648654266958424</v>
          </cell>
        </row>
        <row r="4286">
          <cell r="I4286">
            <v>4991</v>
          </cell>
          <cell r="J4286">
            <v>0.13648922319474835</v>
          </cell>
        </row>
        <row r="4287">
          <cell r="I4287">
            <v>4992</v>
          </cell>
          <cell r="J4287">
            <v>0.13649190371991246</v>
          </cell>
        </row>
        <row r="4288">
          <cell r="I4288">
            <v>4993</v>
          </cell>
          <cell r="J4288">
            <v>0.1364945842450766</v>
          </cell>
        </row>
        <row r="4289">
          <cell r="I4289">
            <v>4994</v>
          </cell>
          <cell r="J4289">
            <v>0.13649726477024071</v>
          </cell>
        </row>
        <row r="4290">
          <cell r="I4290">
            <v>4995</v>
          </cell>
          <cell r="J4290">
            <v>0.13649994529540482</v>
          </cell>
        </row>
        <row r="4291">
          <cell r="I4291">
            <v>4996</v>
          </cell>
          <cell r="J4291">
            <v>0.13650262582056893</v>
          </cell>
        </row>
        <row r="4292">
          <cell r="I4292">
            <v>4997</v>
          </cell>
          <cell r="J4292">
            <v>0.13650530634573305</v>
          </cell>
        </row>
        <row r="4293">
          <cell r="I4293">
            <v>4998</v>
          </cell>
          <cell r="J4293">
            <v>0.13650798687089716</v>
          </cell>
        </row>
        <row r="4294">
          <cell r="I4294">
            <v>4999</v>
          </cell>
          <cell r="J4294">
            <v>0.13651066739606127</v>
          </cell>
        </row>
        <row r="4295">
          <cell r="I4295">
            <v>5000</v>
          </cell>
          <cell r="J4295">
            <v>0.13651334792122538</v>
          </cell>
        </row>
        <row r="4296">
          <cell r="I4296">
            <v>5001</v>
          </cell>
          <cell r="J4296">
            <v>0.13651602844638949</v>
          </cell>
        </row>
        <row r="4297">
          <cell r="I4297">
            <v>5002</v>
          </cell>
          <cell r="J4297">
            <v>0.1365187089715536</v>
          </cell>
        </row>
        <row r="4298">
          <cell r="I4298">
            <v>5003</v>
          </cell>
          <cell r="J4298">
            <v>0.13652138949671772</v>
          </cell>
        </row>
        <row r="4299">
          <cell r="I4299">
            <v>5004</v>
          </cell>
          <cell r="J4299">
            <v>0.13652407002188183</v>
          </cell>
        </row>
        <row r="4300">
          <cell r="I4300">
            <v>5005</v>
          </cell>
          <cell r="J4300">
            <v>0.13652675054704597</v>
          </cell>
        </row>
        <row r="4301">
          <cell r="I4301">
            <v>5006</v>
          </cell>
          <cell r="J4301">
            <v>0.13652943107221008</v>
          </cell>
        </row>
        <row r="4302">
          <cell r="I4302">
            <v>5007</v>
          </cell>
          <cell r="J4302">
            <v>0.13653211159737419</v>
          </cell>
        </row>
        <row r="4303">
          <cell r="I4303">
            <v>5008</v>
          </cell>
          <cell r="J4303">
            <v>0.1365347921225383</v>
          </cell>
        </row>
        <row r="4304">
          <cell r="I4304">
            <v>5009</v>
          </cell>
          <cell r="J4304">
            <v>0.13653747264770241</v>
          </cell>
        </row>
        <row r="4305">
          <cell r="I4305">
            <v>5010</v>
          </cell>
          <cell r="J4305">
            <v>0.13654015317286652</v>
          </cell>
        </row>
        <row r="4306">
          <cell r="I4306">
            <v>5011</v>
          </cell>
          <cell r="J4306">
            <v>0.13654283369803064</v>
          </cell>
        </row>
        <row r="4307">
          <cell r="I4307">
            <v>5012</v>
          </cell>
          <cell r="J4307">
            <v>0.13654551422319475</v>
          </cell>
        </row>
        <row r="4308">
          <cell r="I4308">
            <v>5013</v>
          </cell>
          <cell r="J4308">
            <v>0.13654819474835886</v>
          </cell>
        </row>
        <row r="4309">
          <cell r="I4309">
            <v>5014</v>
          </cell>
          <cell r="J4309">
            <v>0.13655087527352297</v>
          </cell>
        </row>
        <row r="4310">
          <cell r="I4310">
            <v>5015</v>
          </cell>
          <cell r="J4310">
            <v>0.13655355579868708</v>
          </cell>
        </row>
        <row r="4311">
          <cell r="I4311">
            <v>5016</v>
          </cell>
          <cell r="J4311">
            <v>0.13655623632385119</v>
          </cell>
        </row>
        <row r="4312">
          <cell r="I4312">
            <v>5017</v>
          </cell>
          <cell r="J4312">
            <v>0.13655891684901533</v>
          </cell>
        </row>
        <row r="4313">
          <cell r="I4313">
            <v>5018</v>
          </cell>
          <cell r="J4313">
            <v>0.13656159737417944</v>
          </cell>
        </row>
        <row r="4314">
          <cell r="I4314">
            <v>5019</v>
          </cell>
          <cell r="J4314">
            <v>0.13656427789934356</v>
          </cell>
        </row>
        <row r="4315">
          <cell r="I4315">
            <v>5020</v>
          </cell>
          <cell r="J4315">
            <v>0.13656695842450767</v>
          </cell>
        </row>
        <row r="4316">
          <cell r="I4316">
            <v>5021</v>
          </cell>
          <cell r="J4316">
            <v>0.13656963894967178</v>
          </cell>
        </row>
        <row r="4317">
          <cell r="I4317">
            <v>5022</v>
          </cell>
          <cell r="J4317">
            <v>0.13657231947483589</v>
          </cell>
        </row>
        <row r="4318">
          <cell r="I4318">
            <v>5023</v>
          </cell>
          <cell r="J4318">
            <v>0.136575</v>
          </cell>
        </row>
        <row r="4319">
          <cell r="I4319">
            <v>5024</v>
          </cell>
          <cell r="J4319">
            <v>0.13657768052516411</v>
          </cell>
        </row>
        <row r="4320">
          <cell r="I4320">
            <v>5025</v>
          </cell>
          <cell r="J4320">
            <v>0.13658036105032823</v>
          </cell>
        </row>
        <row r="4321">
          <cell r="I4321">
            <v>5026</v>
          </cell>
          <cell r="J4321">
            <v>0.13658304157549234</v>
          </cell>
        </row>
        <row r="4322">
          <cell r="I4322">
            <v>5027</v>
          </cell>
          <cell r="J4322">
            <v>0.13658572210065645</v>
          </cell>
        </row>
        <row r="4323">
          <cell r="I4323">
            <v>5028</v>
          </cell>
          <cell r="J4323">
            <v>0.13658840262582056</v>
          </cell>
        </row>
        <row r="4324">
          <cell r="I4324">
            <v>5029</v>
          </cell>
          <cell r="J4324">
            <v>0.13659108315098467</v>
          </cell>
        </row>
        <row r="4325">
          <cell r="I4325">
            <v>5030</v>
          </cell>
          <cell r="J4325">
            <v>0.13659376367614881</v>
          </cell>
        </row>
        <row r="4326">
          <cell r="I4326">
            <v>5031</v>
          </cell>
          <cell r="J4326">
            <v>0.13659644420131292</v>
          </cell>
        </row>
        <row r="4327">
          <cell r="I4327">
            <v>5032</v>
          </cell>
          <cell r="J4327">
            <v>0.13659912472647703</v>
          </cell>
        </row>
        <row r="4328">
          <cell r="I4328">
            <v>5033</v>
          </cell>
          <cell r="J4328">
            <v>0.13660180525164115</v>
          </cell>
        </row>
        <row r="4329">
          <cell r="I4329">
            <v>5034</v>
          </cell>
          <cell r="J4329">
            <v>0.13660448577680526</v>
          </cell>
        </row>
        <row r="4330">
          <cell r="I4330">
            <v>5035</v>
          </cell>
          <cell r="J4330">
            <v>0.13660716630196937</v>
          </cell>
        </row>
        <row r="4331">
          <cell r="I4331">
            <v>5036</v>
          </cell>
          <cell r="J4331">
            <v>0.13660984682713348</v>
          </cell>
        </row>
        <row r="4332">
          <cell r="I4332">
            <v>5037</v>
          </cell>
          <cell r="J4332">
            <v>0.13661252735229759</v>
          </cell>
        </row>
        <row r="4333">
          <cell r="I4333">
            <v>5038</v>
          </cell>
          <cell r="J4333">
            <v>0.1366152078774617</v>
          </cell>
        </row>
        <row r="4334">
          <cell r="I4334">
            <v>5039</v>
          </cell>
          <cell r="J4334">
            <v>0.13661788840262581</v>
          </cell>
        </row>
        <row r="4335">
          <cell r="I4335">
            <v>5040</v>
          </cell>
          <cell r="J4335">
            <v>0.13662056892778993</v>
          </cell>
        </row>
        <row r="4336">
          <cell r="I4336">
            <v>5041</v>
          </cell>
          <cell r="J4336">
            <v>0.13662324945295404</v>
          </cell>
        </row>
        <row r="4337">
          <cell r="I4337">
            <v>5042</v>
          </cell>
          <cell r="J4337">
            <v>0.13662592997811818</v>
          </cell>
        </row>
        <row r="4338">
          <cell r="I4338">
            <v>5043</v>
          </cell>
          <cell r="J4338">
            <v>0.13662861050328229</v>
          </cell>
        </row>
        <row r="4339">
          <cell r="I4339">
            <v>5044</v>
          </cell>
          <cell r="J4339">
            <v>0.1366312910284464</v>
          </cell>
        </row>
        <row r="4340">
          <cell r="I4340">
            <v>5045</v>
          </cell>
          <cell r="J4340">
            <v>0.13663397155361051</v>
          </cell>
        </row>
        <row r="4341">
          <cell r="I4341">
            <v>5046</v>
          </cell>
          <cell r="J4341">
            <v>0.13663665207877462</v>
          </cell>
        </row>
        <row r="4342">
          <cell r="I4342">
            <v>5047</v>
          </cell>
          <cell r="J4342">
            <v>0.13663933260393873</v>
          </cell>
        </row>
        <row r="4343">
          <cell r="I4343">
            <v>5048</v>
          </cell>
          <cell r="J4343">
            <v>0.13664201312910285</v>
          </cell>
        </row>
        <row r="4344">
          <cell r="I4344">
            <v>5049</v>
          </cell>
          <cell r="J4344">
            <v>0.13664469365426696</v>
          </cell>
        </row>
        <row r="4345">
          <cell r="I4345">
            <v>5050</v>
          </cell>
          <cell r="J4345">
            <v>0.13664737417943107</v>
          </cell>
        </row>
        <row r="4346">
          <cell r="I4346">
            <v>5051</v>
          </cell>
          <cell r="J4346">
            <v>0.13665005470459518</v>
          </cell>
        </row>
        <row r="4347">
          <cell r="I4347">
            <v>5052</v>
          </cell>
          <cell r="J4347">
            <v>0.13665273522975929</v>
          </cell>
        </row>
        <row r="4348">
          <cell r="I4348">
            <v>5053</v>
          </cell>
          <cell r="J4348">
            <v>0.1366554157549234</v>
          </cell>
        </row>
        <row r="4349">
          <cell r="I4349">
            <v>5054</v>
          </cell>
          <cell r="J4349">
            <v>0.13665809628008754</v>
          </cell>
        </row>
        <row r="4350">
          <cell r="I4350">
            <v>5055</v>
          </cell>
          <cell r="J4350">
            <v>0.13666077680525165</v>
          </cell>
        </row>
        <row r="4351">
          <cell r="I4351">
            <v>5056</v>
          </cell>
          <cell r="J4351">
            <v>0.13666345733041577</v>
          </cell>
        </row>
        <row r="4352">
          <cell r="I4352">
            <v>5057</v>
          </cell>
          <cell r="J4352">
            <v>0.13666613785557988</v>
          </cell>
        </row>
        <row r="4353">
          <cell r="I4353">
            <v>5058</v>
          </cell>
          <cell r="J4353">
            <v>0.13666881838074399</v>
          </cell>
        </row>
        <row r="4354">
          <cell r="I4354">
            <v>5059</v>
          </cell>
          <cell r="J4354">
            <v>0.1366714989059081</v>
          </cell>
        </row>
        <row r="4355">
          <cell r="I4355">
            <v>5060</v>
          </cell>
          <cell r="J4355">
            <v>0.13667417943107221</v>
          </cell>
        </row>
        <row r="4356">
          <cell r="I4356">
            <v>5061</v>
          </cell>
          <cell r="J4356">
            <v>0.13667685995623632</v>
          </cell>
        </row>
        <row r="4357">
          <cell r="I4357">
            <v>5062</v>
          </cell>
          <cell r="J4357">
            <v>0.13667954048140044</v>
          </cell>
        </row>
        <row r="4358">
          <cell r="I4358">
            <v>5063</v>
          </cell>
          <cell r="J4358">
            <v>0.13668222100656455</v>
          </cell>
        </row>
        <row r="4359">
          <cell r="I4359">
            <v>5064</v>
          </cell>
          <cell r="J4359">
            <v>0.13668490153172866</v>
          </cell>
        </row>
        <row r="4360">
          <cell r="I4360">
            <v>5065</v>
          </cell>
          <cell r="J4360">
            <v>0.13668758205689277</v>
          </cell>
        </row>
        <row r="4361">
          <cell r="I4361">
            <v>5066</v>
          </cell>
          <cell r="J4361">
            <v>0.13669026258205688</v>
          </cell>
        </row>
        <row r="4362">
          <cell r="I4362">
            <v>5067</v>
          </cell>
          <cell r="J4362">
            <v>0.13669294310722102</v>
          </cell>
        </row>
        <row r="4363">
          <cell r="I4363">
            <v>5068</v>
          </cell>
          <cell r="J4363">
            <v>0.13669562363238513</v>
          </cell>
        </row>
        <row r="4364">
          <cell r="I4364">
            <v>5069</v>
          </cell>
          <cell r="J4364">
            <v>0.13669830415754924</v>
          </cell>
        </row>
        <row r="4365">
          <cell r="I4365">
            <v>5070</v>
          </cell>
          <cell r="J4365">
            <v>0.13670098468271336</v>
          </cell>
        </row>
        <row r="4366">
          <cell r="I4366">
            <v>5071</v>
          </cell>
          <cell r="J4366">
            <v>0.13670366520787747</v>
          </cell>
        </row>
        <row r="4367">
          <cell r="I4367">
            <v>5072</v>
          </cell>
          <cell r="J4367">
            <v>0.13670634573304158</v>
          </cell>
        </row>
        <row r="4368">
          <cell r="I4368">
            <v>5073</v>
          </cell>
          <cell r="J4368">
            <v>0.13670902625820569</v>
          </cell>
        </row>
        <row r="4369">
          <cell r="I4369">
            <v>5074</v>
          </cell>
          <cell r="J4369">
            <v>0.1367117067833698</v>
          </cell>
        </row>
        <row r="4370">
          <cell r="I4370">
            <v>5075</v>
          </cell>
          <cell r="J4370">
            <v>0.13671438730853391</v>
          </cell>
        </row>
        <row r="4371">
          <cell r="I4371">
            <v>5076</v>
          </cell>
          <cell r="J4371">
            <v>0.13671706783369802</v>
          </cell>
        </row>
        <row r="4372">
          <cell r="I4372">
            <v>5077</v>
          </cell>
          <cell r="J4372">
            <v>0.13671974835886214</v>
          </cell>
        </row>
        <row r="4373">
          <cell r="I4373">
            <v>5078</v>
          </cell>
          <cell r="J4373">
            <v>0.13672242888402625</v>
          </cell>
        </row>
        <row r="4374">
          <cell r="I4374">
            <v>5079</v>
          </cell>
          <cell r="J4374">
            <v>0.13672510940919039</v>
          </cell>
        </row>
        <row r="4375">
          <cell r="I4375">
            <v>5080</v>
          </cell>
          <cell r="J4375">
            <v>0.1367277899343545</v>
          </cell>
        </row>
        <row r="4376">
          <cell r="I4376">
            <v>5081</v>
          </cell>
          <cell r="J4376">
            <v>0.13673047045951861</v>
          </cell>
        </row>
        <row r="4377">
          <cell r="I4377">
            <v>5082</v>
          </cell>
          <cell r="J4377">
            <v>0.13673315098468272</v>
          </cell>
        </row>
        <row r="4378">
          <cell r="I4378">
            <v>5083</v>
          </cell>
          <cell r="J4378">
            <v>0.13673583150984683</v>
          </cell>
        </row>
        <row r="4379">
          <cell r="I4379">
            <v>5084</v>
          </cell>
          <cell r="J4379">
            <v>0.13673851203501095</v>
          </cell>
        </row>
        <row r="4380">
          <cell r="I4380">
            <v>5085</v>
          </cell>
          <cell r="J4380">
            <v>0.13674119256017506</v>
          </cell>
        </row>
        <row r="4381">
          <cell r="I4381">
            <v>5086</v>
          </cell>
          <cell r="J4381">
            <v>0.13674387308533917</v>
          </cell>
        </row>
        <row r="4382">
          <cell r="I4382">
            <v>5087</v>
          </cell>
          <cell r="J4382">
            <v>0.13674655361050328</v>
          </cell>
        </row>
        <row r="4383">
          <cell r="I4383">
            <v>5088</v>
          </cell>
          <cell r="J4383">
            <v>0.13674923413566739</v>
          </cell>
        </row>
        <row r="4384">
          <cell r="I4384">
            <v>5089</v>
          </cell>
          <cell r="J4384">
            <v>0.1367519146608315</v>
          </cell>
        </row>
        <row r="4385">
          <cell r="I4385">
            <v>5090</v>
          </cell>
          <cell r="J4385">
            <v>0.13675459518599561</v>
          </cell>
        </row>
        <row r="4386">
          <cell r="I4386">
            <v>5091</v>
          </cell>
          <cell r="J4386">
            <v>0.13675727571115975</v>
          </cell>
        </row>
        <row r="4387">
          <cell r="I4387">
            <v>5092</v>
          </cell>
          <cell r="J4387">
            <v>0.13675995623632387</v>
          </cell>
        </row>
        <row r="4388">
          <cell r="I4388">
            <v>5093</v>
          </cell>
          <cell r="J4388">
            <v>0.13676263676148798</v>
          </cell>
        </row>
        <row r="4389">
          <cell r="I4389">
            <v>5094</v>
          </cell>
          <cell r="J4389">
            <v>0.13676531728665209</v>
          </cell>
        </row>
        <row r="4390">
          <cell r="I4390">
            <v>5095</v>
          </cell>
          <cell r="J4390">
            <v>0.1367679978118162</v>
          </cell>
        </row>
        <row r="4391">
          <cell r="I4391">
            <v>5096</v>
          </cell>
          <cell r="J4391">
            <v>0.13677067833698031</v>
          </cell>
        </row>
        <row r="4392">
          <cell r="I4392">
            <v>5097</v>
          </cell>
          <cell r="J4392">
            <v>0.13677335886214442</v>
          </cell>
        </row>
        <row r="4393">
          <cell r="I4393">
            <v>5098</v>
          </cell>
          <cell r="J4393">
            <v>0.13677603938730853</v>
          </cell>
        </row>
        <row r="4394">
          <cell r="I4394">
            <v>5099</v>
          </cell>
          <cell r="J4394">
            <v>0.13677871991247265</v>
          </cell>
        </row>
        <row r="4395">
          <cell r="I4395">
            <v>5100</v>
          </cell>
          <cell r="J4395">
            <v>0.13678140043763676</v>
          </cell>
        </row>
        <row r="4396">
          <cell r="I4396">
            <v>5101</v>
          </cell>
          <cell r="J4396">
            <v>0.13678408096280087</v>
          </cell>
        </row>
        <row r="4397">
          <cell r="I4397">
            <v>5102</v>
          </cell>
          <cell r="J4397">
            <v>0.13678676148796498</v>
          </cell>
        </row>
        <row r="4398">
          <cell r="I4398">
            <v>5103</v>
          </cell>
          <cell r="J4398">
            <v>0.13678944201312909</v>
          </cell>
        </row>
        <row r="4399">
          <cell r="I4399">
            <v>5104</v>
          </cell>
          <cell r="J4399">
            <v>0.13679212253829323</v>
          </cell>
        </row>
        <row r="4400">
          <cell r="I4400">
            <v>5105</v>
          </cell>
          <cell r="J4400">
            <v>0.13679480306345734</v>
          </cell>
        </row>
        <row r="4401">
          <cell r="I4401">
            <v>5106</v>
          </cell>
          <cell r="J4401">
            <v>0.13679748358862145</v>
          </cell>
        </row>
        <row r="4402">
          <cell r="I4402">
            <v>5107</v>
          </cell>
          <cell r="J4402">
            <v>0.13680016411378557</v>
          </cell>
        </row>
        <row r="4403">
          <cell r="I4403">
            <v>5108</v>
          </cell>
          <cell r="J4403">
            <v>0.13680284463894968</v>
          </cell>
        </row>
        <row r="4404">
          <cell r="I4404">
            <v>5109</v>
          </cell>
          <cell r="J4404">
            <v>0.13680552516411379</v>
          </cell>
        </row>
        <row r="4405">
          <cell r="I4405">
            <v>5110</v>
          </cell>
          <cell r="J4405">
            <v>0.1368082056892779</v>
          </cell>
        </row>
        <row r="4406">
          <cell r="I4406">
            <v>5111</v>
          </cell>
          <cell r="J4406">
            <v>0.13681088621444201</v>
          </cell>
        </row>
        <row r="4407">
          <cell r="I4407">
            <v>5112</v>
          </cell>
          <cell r="J4407">
            <v>0.13681356673960612</v>
          </cell>
        </row>
        <row r="4408">
          <cell r="I4408">
            <v>5113</v>
          </cell>
          <cell r="J4408">
            <v>0.13681624726477024</v>
          </cell>
        </row>
        <row r="4409">
          <cell r="I4409">
            <v>5114</v>
          </cell>
          <cell r="J4409">
            <v>0.13681892778993435</v>
          </cell>
        </row>
        <row r="4410">
          <cell r="I4410">
            <v>5115</v>
          </cell>
          <cell r="J4410">
            <v>0.13682160831509846</v>
          </cell>
        </row>
        <row r="4411">
          <cell r="I4411">
            <v>5116</v>
          </cell>
          <cell r="J4411">
            <v>0.1368242888402626</v>
          </cell>
        </row>
        <row r="4412">
          <cell r="I4412">
            <v>5117</v>
          </cell>
          <cell r="J4412">
            <v>0.13682696936542671</v>
          </cell>
        </row>
        <row r="4413">
          <cell r="I4413">
            <v>5118</v>
          </cell>
          <cell r="J4413">
            <v>0.13682964989059082</v>
          </cell>
        </row>
        <row r="4414">
          <cell r="I4414">
            <v>5119</v>
          </cell>
          <cell r="J4414">
            <v>0.13683233041575493</v>
          </cell>
        </row>
        <row r="4415">
          <cell r="I4415">
            <v>5120</v>
          </cell>
          <cell r="J4415">
            <v>0.13683501094091904</v>
          </cell>
        </row>
        <row r="4416">
          <cell r="I4416">
            <v>5121</v>
          </cell>
          <cell r="J4416">
            <v>0.13683769146608316</v>
          </cell>
        </row>
        <row r="4417">
          <cell r="I4417">
            <v>5122</v>
          </cell>
          <cell r="J4417">
            <v>0.13684037199124727</v>
          </cell>
        </row>
        <row r="4418">
          <cell r="I4418">
            <v>5123</v>
          </cell>
          <cell r="J4418">
            <v>0.13684305251641138</v>
          </cell>
        </row>
        <row r="4419">
          <cell r="I4419">
            <v>5124</v>
          </cell>
          <cell r="J4419">
            <v>0.13684573304157549</v>
          </cell>
        </row>
        <row r="4420">
          <cell r="I4420">
            <v>5125</v>
          </cell>
          <cell r="J4420">
            <v>0.1368484135667396</v>
          </cell>
        </row>
        <row r="4421">
          <cell r="I4421">
            <v>5126</v>
          </cell>
          <cell r="J4421">
            <v>0.13685109409190371</v>
          </cell>
        </row>
        <row r="4422">
          <cell r="I4422">
            <v>5127</v>
          </cell>
          <cell r="J4422">
            <v>0.13685377461706782</v>
          </cell>
        </row>
        <row r="4423">
          <cell r="I4423">
            <v>5128</v>
          </cell>
          <cell r="J4423">
            <v>0.13685645514223194</v>
          </cell>
        </row>
        <row r="4424">
          <cell r="I4424">
            <v>5129</v>
          </cell>
          <cell r="J4424">
            <v>0.13685913566739608</v>
          </cell>
        </row>
        <row r="4425">
          <cell r="I4425">
            <v>5130</v>
          </cell>
          <cell r="J4425">
            <v>0.13686181619256019</v>
          </cell>
        </row>
        <row r="4426">
          <cell r="I4426">
            <v>5131</v>
          </cell>
          <cell r="J4426">
            <v>0.1368644967177243</v>
          </cell>
        </row>
        <row r="4427">
          <cell r="I4427">
            <v>5132</v>
          </cell>
          <cell r="J4427">
            <v>0.13686717724288841</v>
          </cell>
        </row>
        <row r="4428">
          <cell r="I4428">
            <v>5133</v>
          </cell>
          <cell r="J4428">
            <v>0.13686985776805252</v>
          </cell>
        </row>
        <row r="4429">
          <cell r="I4429">
            <v>5134</v>
          </cell>
          <cell r="J4429">
            <v>0.13687253829321663</v>
          </cell>
        </row>
        <row r="4430">
          <cell r="I4430">
            <v>5135</v>
          </cell>
          <cell r="J4430">
            <v>0.13687521881838075</v>
          </cell>
        </row>
        <row r="4431">
          <cell r="I4431">
            <v>5136</v>
          </cell>
          <cell r="J4431">
            <v>0.13687789934354486</v>
          </cell>
        </row>
        <row r="4432">
          <cell r="I4432">
            <v>5137</v>
          </cell>
          <cell r="J4432">
            <v>0.13688057986870897</v>
          </cell>
        </row>
        <row r="4433">
          <cell r="I4433">
            <v>5138</v>
          </cell>
          <cell r="J4433">
            <v>0.13688326039387308</v>
          </cell>
        </row>
        <row r="4434">
          <cell r="I4434">
            <v>5139</v>
          </cell>
          <cell r="J4434">
            <v>0.13688594091903719</v>
          </cell>
        </row>
        <row r="4435">
          <cell r="I4435">
            <v>5140</v>
          </cell>
          <cell r="J4435">
            <v>0.1368886214442013</v>
          </cell>
        </row>
        <row r="4436">
          <cell r="I4436">
            <v>5141</v>
          </cell>
          <cell r="J4436">
            <v>0.13689130196936544</v>
          </cell>
        </row>
        <row r="4437">
          <cell r="I4437">
            <v>5142</v>
          </cell>
          <cell r="J4437">
            <v>0.13689398249452955</v>
          </cell>
        </row>
        <row r="4438">
          <cell r="I4438">
            <v>5143</v>
          </cell>
          <cell r="J4438">
            <v>0.13689666301969367</v>
          </cell>
        </row>
        <row r="4439">
          <cell r="I4439">
            <v>5144</v>
          </cell>
          <cell r="J4439">
            <v>0.13689934354485778</v>
          </cell>
        </row>
        <row r="4440">
          <cell r="I4440">
            <v>5145</v>
          </cell>
          <cell r="J4440">
            <v>0.13690202407002189</v>
          </cell>
        </row>
        <row r="4441">
          <cell r="I4441">
            <v>5146</v>
          </cell>
          <cell r="J4441">
            <v>0.136904704595186</v>
          </cell>
        </row>
        <row r="4442">
          <cell r="I4442">
            <v>5147</v>
          </cell>
          <cell r="J4442">
            <v>0.13690738512035011</v>
          </cell>
        </row>
        <row r="4443">
          <cell r="I4443">
            <v>5148</v>
          </cell>
          <cell r="J4443">
            <v>0.13691006564551422</v>
          </cell>
        </row>
        <row r="4444">
          <cell r="I4444">
            <v>5149</v>
          </cell>
          <cell r="J4444">
            <v>0.13691274617067833</v>
          </cell>
        </row>
        <row r="4445">
          <cell r="I4445">
            <v>5150</v>
          </cell>
          <cell r="J4445">
            <v>0.13691542669584245</v>
          </cell>
        </row>
        <row r="4446">
          <cell r="I4446">
            <v>5151</v>
          </cell>
          <cell r="J4446">
            <v>0.13691810722100656</v>
          </cell>
        </row>
        <row r="4447">
          <cell r="I4447">
            <v>5152</v>
          </cell>
          <cell r="J4447">
            <v>0.13692078774617067</v>
          </cell>
        </row>
        <row r="4448">
          <cell r="I4448">
            <v>5153</v>
          </cell>
          <cell r="J4448">
            <v>0.13692346827133481</v>
          </cell>
        </row>
        <row r="4449">
          <cell r="I4449">
            <v>5154</v>
          </cell>
          <cell r="J4449">
            <v>0.13692614879649892</v>
          </cell>
        </row>
        <row r="4450">
          <cell r="I4450">
            <v>5155</v>
          </cell>
          <cell r="J4450">
            <v>0.13692882932166303</v>
          </cell>
        </row>
        <row r="4451">
          <cell r="I4451">
            <v>5156</v>
          </cell>
          <cell r="J4451">
            <v>0.13693150984682714</v>
          </cell>
        </row>
        <row r="4452">
          <cell r="I4452">
            <v>5157</v>
          </cell>
          <cell r="J4452">
            <v>0.13693419037199125</v>
          </cell>
        </row>
        <row r="4453">
          <cell r="I4453">
            <v>5158</v>
          </cell>
          <cell r="J4453">
            <v>0.13693687089715537</v>
          </cell>
        </row>
        <row r="4454">
          <cell r="I4454">
            <v>5159</v>
          </cell>
          <cell r="J4454">
            <v>0.13693955142231948</v>
          </cell>
        </row>
        <row r="4455">
          <cell r="I4455">
            <v>5160</v>
          </cell>
          <cell r="J4455">
            <v>0.13694223194748359</v>
          </cell>
        </row>
        <row r="4456">
          <cell r="I4456">
            <v>5161</v>
          </cell>
          <cell r="J4456">
            <v>0.1369449124726477</v>
          </cell>
        </row>
        <row r="4457">
          <cell r="I4457">
            <v>5162</v>
          </cell>
          <cell r="J4457">
            <v>0.13694759299781181</v>
          </cell>
        </row>
        <row r="4458">
          <cell r="I4458">
            <v>5163</v>
          </cell>
          <cell r="J4458">
            <v>0.13695027352297592</v>
          </cell>
        </row>
        <row r="4459">
          <cell r="I4459">
            <v>5164</v>
          </cell>
          <cell r="J4459">
            <v>0.13695295404814004</v>
          </cell>
        </row>
        <row r="4460">
          <cell r="I4460">
            <v>5165</v>
          </cell>
          <cell r="J4460">
            <v>0.13695563457330417</v>
          </cell>
        </row>
        <row r="4461">
          <cell r="I4461">
            <v>5166</v>
          </cell>
          <cell r="J4461">
            <v>0.13695831509846829</v>
          </cell>
        </row>
        <row r="4462">
          <cell r="I4462">
            <v>5167</v>
          </cell>
          <cell r="J4462">
            <v>0.1369609956236324</v>
          </cell>
        </row>
        <row r="4463">
          <cell r="I4463">
            <v>5168</v>
          </cell>
          <cell r="J4463">
            <v>0.13696367614879651</v>
          </cell>
        </row>
        <row r="4464">
          <cell r="I4464">
            <v>5169</v>
          </cell>
          <cell r="J4464">
            <v>0.13696635667396062</v>
          </cell>
        </row>
        <row r="4465">
          <cell r="I4465">
            <v>5170</v>
          </cell>
          <cell r="J4465">
            <v>0.13696903719912473</v>
          </cell>
        </row>
        <row r="4466">
          <cell r="I4466">
            <v>5171</v>
          </cell>
          <cell r="J4466">
            <v>0.13697171772428884</v>
          </cell>
        </row>
        <row r="4467">
          <cell r="I4467">
            <v>5172</v>
          </cell>
          <cell r="J4467">
            <v>0.13697439824945296</v>
          </cell>
        </row>
        <row r="4468">
          <cell r="I4468">
            <v>5173</v>
          </cell>
          <cell r="J4468">
            <v>0.13697707877461707</v>
          </cell>
        </row>
        <row r="4469">
          <cell r="I4469">
            <v>5174</v>
          </cell>
          <cell r="J4469">
            <v>0.13697975929978118</v>
          </cell>
        </row>
        <row r="4470">
          <cell r="I4470">
            <v>5175</v>
          </cell>
          <cell r="J4470">
            <v>0.13698243982494529</v>
          </cell>
        </row>
        <row r="4471">
          <cell r="I4471">
            <v>5176</v>
          </cell>
          <cell r="J4471">
            <v>0.1369851203501094</v>
          </cell>
        </row>
        <row r="4472">
          <cell r="I4472">
            <v>5177</v>
          </cell>
          <cell r="J4472">
            <v>0.13698780087527351</v>
          </cell>
        </row>
        <row r="4473">
          <cell r="I4473">
            <v>5178</v>
          </cell>
          <cell r="J4473">
            <v>0.13699048140043765</v>
          </cell>
        </row>
        <row r="4474">
          <cell r="I4474">
            <v>5179</v>
          </cell>
          <cell r="J4474">
            <v>0.13699316192560176</v>
          </cell>
        </row>
        <row r="4475">
          <cell r="I4475">
            <v>5180</v>
          </cell>
          <cell r="J4475">
            <v>0.13699584245076588</v>
          </cell>
        </row>
        <row r="4476">
          <cell r="I4476">
            <v>5181</v>
          </cell>
          <cell r="J4476">
            <v>0.13699852297592999</v>
          </cell>
        </row>
        <row r="4477">
          <cell r="I4477">
            <v>5182</v>
          </cell>
          <cell r="J4477">
            <v>0.1370012035010941</v>
          </cell>
        </row>
        <row r="4478">
          <cell r="I4478">
            <v>5183</v>
          </cell>
          <cell r="J4478">
            <v>0.13700388402625821</v>
          </cell>
        </row>
        <row r="4479">
          <cell r="I4479">
            <v>5184</v>
          </cell>
          <cell r="J4479">
            <v>0.13700656455142232</v>
          </cell>
        </row>
        <row r="4480">
          <cell r="I4480">
            <v>5185</v>
          </cell>
          <cell r="J4480">
            <v>0.13700924507658643</v>
          </cell>
        </row>
        <row r="4481">
          <cell r="I4481">
            <v>5186</v>
          </cell>
          <cell r="J4481">
            <v>0.13701192560175054</v>
          </cell>
        </row>
        <row r="4482">
          <cell r="I4482">
            <v>5187</v>
          </cell>
          <cell r="J4482">
            <v>0.13701460612691466</v>
          </cell>
        </row>
        <row r="4483">
          <cell r="I4483">
            <v>5188</v>
          </cell>
          <cell r="J4483">
            <v>0.13701728665207877</v>
          </cell>
        </row>
        <row r="4484">
          <cell r="I4484">
            <v>5189</v>
          </cell>
          <cell r="J4484">
            <v>0.13701996717724288</v>
          </cell>
        </row>
        <row r="4485">
          <cell r="I4485">
            <v>5190</v>
          </cell>
          <cell r="J4485">
            <v>0.13702264770240702</v>
          </cell>
        </row>
        <row r="4486">
          <cell r="I4486">
            <v>5191</v>
          </cell>
          <cell r="J4486">
            <v>0.13702532822757113</v>
          </cell>
        </row>
        <row r="4487">
          <cell r="I4487">
            <v>5192</v>
          </cell>
          <cell r="J4487">
            <v>0.13702800875273524</v>
          </cell>
        </row>
        <row r="4488">
          <cell r="I4488">
            <v>5193</v>
          </cell>
          <cell r="J4488">
            <v>0.13703068927789935</v>
          </cell>
        </row>
        <row r="4489">
          <cell r="I4489">
            <v>5194</v>
          </cell>
          <cell r="J4489">
            <v>0.13703336980306347</v>
          </cell>
        </row>
        <row r="4490">
          <cell r="I4490">
            <v>5195</v>
          </cell>
          <cell r="J4490">
            <v>0.13703605032822758</v>
          </cell>
        </row>
        <row r="4491">
          <cell r="I4491">
            <v>5196</v>
          </cell>
          <cell r="J4491">
            <v>0.13703873085339169</v>
          </cell>
        </row>
        <row r="4492">
          <cell r="I4492">
            <v>5197</v>
          </cell>
          <cell r="J4492">
            <v>0.1370414113785558</v>
          </cell>
        </row>
        <row r="4493">
          <cell r="I4493">
            <v>5198</v>
          </cell>
          <cell r="J4493">
            <v>0.13704409190371991</v>
          </cell>
        </row>
        <row r="4494">
          <cell r="I4494">
            <v>5199</v>
          </cell>
          <cell r="J4494">
            <v>0.13704677242888402</v>
          </cell>
        </row>
        <row r="4495">
          <cell r="I4495">
            <v>5200</v>
          </cell>
          <cell r="J4495">
            <v>0.13704945295404813</v>
          </cell>
        </row>
        <row r="4496">
          <cell r="I4496">
            <v>5201</v>
          </cell>
          <cell r="J4496">
            <v>0.13705213347921225</v>
          </cell>
        </row>
        <row r="4497">
          <cell r="I4497">
            <v>5202</v>
          </cell>
          <cell r="J4497">
            <v>0.13705481400437636</v>
          </cell>
        </row>
        <row r="4498">
          <cell r="I4498">
            <v>5203</v>
          </cell>
          <cell r="J4498">
            <v>0.1370574945295405</v>
          </cell>
        </row>
        <row r="4499">
          <cell r="I4499">
            <v>5204</v>
          </cell>
          <cell r="J4499">
            <v>0.13706017505470461</v>
          </cell>
        </row>
        <row r="4500">
          <cell r="I4500">
            <v>5205</v>
          </cell>
          <cell r="J4500">
            <v>0.13706285557986872</v>
          </cell>
        </row>
        <row r="4501">
          <cell r="I4501">
            <v>5206</v>
          </cell>
          <cell r="J4501">
            <v>0.13706553610503283</v>
          </cell>
        </row>
        <row r="4502">
          <cell r="I4502">
            <v>5207</v>
          </cell>
          <cell r="J4502">
            <v>0.13706821663019694</v>
          </cell>
        </row>
        <row r="4503">
          <cell r="I4503">
            <v>5208</v>
          </cell>
          <cell r="J4503">
            <v>0.13707089715536105</v>
          </cell>
        </row>
        <row r="4504">
          <cell r="I4504">
            <v>5209</v>
          </cell>
          <cell r="J4504">
            <v>0.13707357768052517</v>
          </cell>
        </row>
        <row r="4505">
          <cell r="I4505">
            <v>5210</v>
          </cell>
          <cell r="J4505">
            <v>0.13707625820568928</v>
          </cell>
        </row>
        <row r="4506">
          <cell r="I4506">
            <v>5211</v>
          </cell>
          <cell r="J4506">
            <v>0.13707893873085339</v>
          </cell>
        </row>
        <row r="4507">
          <cell r="I4507">
            <v>5212</v>
          </cell>
          <cell r="J4507">
            <v>0.1370816192560175</v>
          </cell>
        </row>
        <row r="4508">
          <cell r="I4508">
            <v>5213</v>
          </cell>
          <cell r="J4508">
            <v>0.13708429978118161</v>
          </cell>
        </row>
        <row r="4509">
          <cell r="I4509">
            <v>5214</v>
          </cell>
          <cell r="J4509">
            <v>0.13708698030634572</v>
          </cell>
        </row>
        <row r="4510">
          <cell r="I4510">
            <v>5215</v>
          </cell>
          <cell r="J4510">
            <v>0.13708966083150986</v>
          </cell>
        </row>
        <row r="4511">
          <cell r="I4511">
            <v>5216</v>
          </cell>
          <cell r="J4511">
            <v>0.13709234135667397</v>
          </cell>
        </row>
        <row r="4512">
          <cell r="I4512">
            <v>5217</v>
          </cell>
          <cell r="J4512">
            <v>0.13709502188183809</v>
          </cell>
        </row>
        <row r="4513">
          <cell r="I4513">
            <v>5218</v>
          </cell>
          <cell r="J4513">
            <v>0.1370977024070022</v>
          </cell>
        </row>
        <row r="4514">
          <cell r="I4514">
            <v>5219</v>
          </cell>
          <cell r="J4514">
            <v>0.13710038293216631</v>
          </cell>
        </row>
        <row r="4515">
          <cell r="I4515">
            <v>5220</v>
          </cell>
          <cell r="J4515">
            <v>0.13710306345733042</v>
          </cell>
        </row>
        <row r="4516">
          <cell r="I4516">
            <v>5221</v>
          </cell>
          <cell r="J4516">
            <v>0.13710574398249453</v>
          </cell>
        </row>
        <row r="4517">
          <cell r="I4517">
            <v>5222</v>
          </cell>
          <cell r="J4517">
            <v>0.13710842450765864</v>
          </cell>
        </row>
        <row r="4518">
          <cell r="I4518">
            <v>5223</v>
          </cell>
          <cell r="J4518">
            <v>0.13711110503282276</v>
          </cell>
        </row>
        <row r="4519">
          <cell r="I4519">
            <v>5224</v>
          </cell>
          <cell r="J4519">
            <v>0.13711378555798687</v>
          </cell>
        </row>
        <row r="4520">
          <cell r="I4520">
            <v>5225</v>
          </cell>
          <cell r="J4520">
            <v>0.13711646608315098</v>
          </cell>
        </row>
        <row r="4521">
          <cell r="I4521">
            <v>5226</v>
          </cell>
          <cell r="J4521">
            <v>0.13711914660831509</v>
          </cell>
        </row>
        <row r="4522">
          <cell r="I4522">
            <v>5227</v>
          </cell>
          <cell r="J4522">
            <v>0.13712182713347923</v>
          </cell>
        </row>
        <row r="4523">
          <cell r="I4523">
            <v>5228</v>
          </cell>
          <cell r="J4523">
            <v>0.13712450765864334</v>
          </cell>
        </row>
        <row r="4524">
          <cell r="I4524">
            <v>5229</v>
          </cell>
          <cell r="J4524">
            <v>0.13712718818380745</v>
          </cell>
        </row>
        <row r="4525">
          <cell r="I4525">
            <v>5230</v>
          </cell>
          <cell r="J4525">
            <v>0.13712986870897156</v>
          </cell>
        </row>
        <row r="4526">
          <cell r="I4526">
            <v>5231</v>
          </cell>
          <cell r="J4526">
            <v>0.13713254923413568</v>
          </cell>
        </row>
        <row r="4527">
          <cell r="I4527">
            <v>5232</v>
          </cell>
          <cell r="J4527">
            <v>0.13713522975929979</v>
          </cell>
        </row>
        <row r="4528">
          <cell r="I4528">
            <v>5233</v>
          </cell>
          <cell r="J4528">
            <v>0.1371379102844639</v>
          </cell>
        </row>
        <row r="4529">
          <cell r="I4529">
            <v>5234</v>
          </cell>
          <cell r="J4529">
            <v>0.13714059080962801</v>
          </cell>
        </row>
        <row r="4530">
          <cell r="I4530">
            <v>5235</v>
          </cell>
          <cell r="J4530">
            <v>0.13714327133479212</v>
          </cell>
        </row>
        <row r="4531">
          <cell r="I4531">
            <v>5236</v>
          </cell>
          <cell r="J4531">
            <v>0.13714595185995623</v>
          </cell>
        </row>
        <row r="4532">
          <cell r="I4532">
            <v>5237</v>
          </cell>
          <cell r="J4532">
            <v>0.13714863238512034</v>
          </cell>
        </row>
        <row r="4533">
          <cell r="I4533">
            <v>5238</v>
          </cell>
          <cell r="J4533">
            <v>0.13715131291028446</v>
          </cell>
        </row>
        <row r="4534">
          <cell r="I4534">
            <v>5239</v>
          </cell>
          <cell r="J4534">
            <v>0.1371539934354486</v>
          </cell>
        </row>
        <row r="4535">
          <cell r="I4535">
            <v>5240</v>
          </cell>
          <cell r="J4535">
            <v>0.13715667396061271</v>
          </cell>
        </row>
        <row r="4536">
          <cell r="I4536">
            <v>5241</v>
          </cell>
          <cell r="J4536">
            <v>0.13715935448577682</v>
          </cell>
        </row>
        <row r="4537">
          <cell r="I4537">
            <v>5242</v>
          </cell>
          <cell r="J4537">
            <v>0.13716203501094093</v>
          </cell>
        </row>
        <row r="4538">
          <cell r="I4538">
            <v>5243</v>
          </cell>
          <cell r="J4538">
            <v>0.13716471553610504</v>
          </cell>
        </row>
        <row r="4539">
          <cell r="I4539">
            <v>5244</v>
          </cell>
          <cell r="J4539">
            <v>0.13716739606126915</v>
          </cell>
        </row>
        <row r="4540">
          <cell r="I4540">
            <v>5245</v>
          </cell>
          <cell r="J4540">
            <v>0.13717007658643326</v>
          </cell>
        </row>
        <row r="4541">
          <cell r="I4541">
            <v>5246</v>
          </cell>
          <cell r="J4541">
            <v>0.13717275711159738</v>
          </cell>
        </row>
        <row r="4542">
          <cell r="I4542">
            <v>5247</v>
          </cell>
          <cell r="J4542">
            <v>0.13717543763676149</v>
          </cell>
        </row>
        <row r="4543">
          <cell r="I4543">
            <v>5248</v>
          </cell>
          <cell r="J4543">
            <v>0.1371781181619256</v>
          </cell>
        </row>
        <row r="4544">
          <cell r="I4544">
            <v>5249</v>
          </cell>
          <cell r="J4544">
            <v>0.13718079868708971</v>
          </cell>
        </row>
        <row r="4545">
          <cell r="I4545">
            <v>5250</v>
          </cell>
          <cell r="J4545">
            <v>0.13718347921225382</v>
          </cell>
        </row>
        <row r="4546">
          <cell r="I4546">
            <v>5251</v>
          </cell>
          <cell r="J4546">
            <v>0.13718615973741793</v>
          </cell>
        </row>
        <row r="4547">
          <cell r="I4547">
            <v>5252</v>
          </cell>
          <cell r="J4547">
            <v>0.13718884026258207</v>
          </cell>
        </row>
        <row r="4548">
          <cell r="I4548">
            <v>5253</v>
          </cell>
          <cell r="J4548">
            <v>0.13719152078774619</v>
          </cell>
        </row>
        <row r="4549">
          <cell r="I4549">
            <v>5254</v>
          </cell>
          <cell r="J4549">
            <v>0.1371942013129103</v>
          </cell>
        </row>
        <row r="4550">
          <cell r="I4550">
            <v>5255</v>
          </cell>
          <cell r="J4550">
            <v>0.13719688183807441</v>
          </cell>
        </row>
        <row r="4551">
          <cell r="I4551">
            <v>5256</v>
          </cell>
          <cell r="J4551">
            <v>0.13719956236323852</v>
          </cell>
        </row>
        <row r="4552">
          <cell r="I4552">
            <v>5257</v>
          </cell>
          <cell r="J4552">
            <v>0.13720224288840263</v>
          </cell>
        </row>
        <row r="4553">
          <cell r="I4553">
            <v>5258</v>
          </cell>
          <cell r="J4553">
            <v>0.13720492341356674</v>
          </cell>
        </row>
        <row r="4554">
          <cell r="I4554">
            <v>5259</v>
          </cell>
          <cell r="J4554">
            <v>0.13720760393873085</v>
          </cell>
        </row>
        <row r="4555">
          <cell r="I4555">
            <v>5260</v>
          </cell>
          <cell r="J4555">
            <v>0.13721028446389497</v>
          </cell>
        </row>
        <row r="4556">
          <cell r="I4556">
            <v>5261</v>
          </cell>
          <cell r="J4556">
            <v>0.13721296498905908</v>
          </cell>
        </row>
        <row r="4557">
          <cell r="I4557">
            <v>5262</v>
          </cell>
          <cell r="J4557">
            <v>0.13721564551422319</v>
          </cell>
        </row>
        <row r="4558">
          <cell r="I4558">
            <v>5263</v>
          </cell>
          <cell r="J4558">
            <v>0.1372183260393873</v>
          </cell>
        </row>
        <row r="4559">
          <cell r="I4559">
            <v>5264</v>
          </cell>
          <cell r="J4559">
            <v>0.13722100656455144</v>
          </cell>
        </row>
        <row r="4560">
          <cell r="I4560">
            <v>5265</v>
          </cell>
          <cell r="J4560">
            <v>0.13722368708971555</v>
          </cell>
        </row>
        <row r="4561">
          <cell r="I4561">
            <v>5266</v>
          </cell>
          <cell r="J4561">
            <v>0.13722636761487966</v>
          </cell>
        </row>
        <row r="4562">
          <cell r="I4562">
            <v>5267</v>
          </cell>
          <cell r="J4562">
            <v>0.13722904814004377</v>
          </cell>
        </row>
        <row r="4563">
          <cell r="I4563">
            <v>5268</v>
          </cell>
          <cell r="J4563">
            <v>0.13723172866520789</v>
          </cell>
        </row>
        <row r="4564">
          <cell r="I4564">
            <v>5269</v>
          </cell>
          <cell r="J4564">
            <v>0.137234409190372</v>
          </cell>
        </row>
        <row r="4565">
          <cell r="I4565">
            <v>5270</v>
          </cell>
          <cell r="J4565">
            <v>0.13723708971553611</v>
          </cell>
        </row>
        <row r="4566">
          <cell r="I4566">
            <v>5271</v>
          </cell>
          <cell r="J4566">
            <v>0.13723977024070022</v>
          </cell>
        </row>
        <row r="4567">
          <cell r="I4567">
            <v>5272</v>
          </cell>
          <cell r="J4567">
            <v>0.13724245076586433</v>
          </cell>
        </row>
        <row r="4568">
          <cell r="I4568">
            <v>5273</v>
          </cell>
          <cell r="J4568">
            <v>0.13724513129102844</v>
          </cell>
        </row>
        <row r="4569">
          <cell r="I4569">
            <v>5274</v>
          </cell>
          <cell r="J4569">
            <v>0.13724781181619256</v>
          </cell>
        </row>
        <row r="4570">
          <cell r="I4570">
            <v>5275</v>
          </cell>
          <cell r="J4570">
            <v>0.13725049234135667</v>
          </cell>
        </row>
        <row r="4571">
          <cell r="I4571">
            <v>5276</v>
          </cell>
          <cell r="J4571">
            <v>0.13725317286652078</v>
          </cell>
        </row>
        <row r="4572">
          <cell r="I4572">
            <v>5277</v>
          </cell>
          <cell r="J4572">
            <v>0.13725585339168492</v>
          </cell>
        </row>
        <row r="4573">
          <cell r="I4573">
            <v>5278</v>
          </cell>
          <cell r="J4573">
            <v>0.13725853391684903</v>
          </cell>
        </row>
        <row r="4574">
          <cell r="I4574">
            <v>5279</v>
          </cell>
          <cell r="J4574">
            <v>0.13726121444201314</v>
          </cell>
        </row>
        <row r="4575">
          <cell r="I4575">
            <v>5280</v>
          </cell>
          <cell r="J4575">
            <v>0.13726389496717725</v>
          </cell>
        </row>
        <row r="4576">
          <cell r="I4576">
            <v>5281</v>
          </cell>
          <cell r="J4576">
            <v>0.13726657549234136</v>
          </cell>
        </row>
        <row r="4577">
          <cell r="I4577">
            <v>5282</v>
          </cell>
          <cell r="J4577">
            <v>0.13726925601750548</v>
          </cell>
        </row>
        <row r="4578">
          <cell r="I4578">
            <v>5283</v>
          </cell>
          <cell r="J4578">
            <v>0.13727193654266959</v>
          </cell>
        </row>
        <row r="4579">
          <cell r="I4579">
            <v>5284</v>
          </cell>
          <cell r="J4579">
            <v>0.1372746170678337</v>
          </cell>
        </row>
        <row r="4580">
          <cell r="I4580">
            <v>5285</v>
          </cell>
          <cell r="J4580">
            <v>0.13727729759299781</v>
          </cell>
        </row>
        <row r="4581">
          <cell r="I4581">
            <v>5286</v>
          </cell>
          <cell r="J4581">
            <v>0.13727997811816192</v>
          </cell>
        </row>
        <row r="4582">
          <cell r="I4582">
            <v>5287</v>
          </cell>
          <cell r="J4582">
            <v>0.13728265864332603</v>
          </cell>
        </row>
        <row r="4583">
          <cell r="I4583">
            <v>5288</v>
          </cell>
          <cell r="J4583">
            <v>0.13728533916849014</v>
          </cell>
        </row>
        <row r="4584">
          <cell r="I4584">
            <v>5289</v>
          </cell>
          <cell r="J4584">
            <v>0.13728801969365428</v>
          </cell>
        </row>
        <row r="4585">
          <cell r="I4585">
            <v>5290</v>
          </cell>
          <cell r="J4585">
            <v>0.1372907002188184</v>
          </cell>
        </row>
        <row r="4586">
          <cell r="I4586">
            <v>5291</v>
          </cell>
          <cell r="J4586">
            <v>0.13729338074398251</v>
          </cell>
        </row>
        <row r="4587">
          <cell r="I4587">
            <v>5292</v>
          </cell>
          <cell r="J4587">
            <v>0.13729606126914662</v>
          </cell>
        </row>
        <row r="4588">
          <cell r="I4588">
            <v>5293</v>
          </cell>
          <cell r="J4588">
            <v>0.13729874179431073</v>
          </cell>
        </row>
        <row r="4589">
          <cell r="I4589">
            <v>5294</v>
          </cell>
          <cell r="J4589">
            <v>0.13730142231947484</v>
          </cell>
        </row>
        <row r="4590">
          <cell r="I4590">
            <v>5295</v>
          </cell>
          <cell r="J4590">
            <v>0.13730410284463895</v>
          </cell>
        </row>
        <row r="4591">
          <cell r="I4591">
            <v>5296</v>
          </cell>
          <cell r="J4591">
            <v>0.13730678336980306</v>
          </cell>
        </row>
        <row r="4592">
          <cell r="I4592">
            <v>5297</v>
          </cell>
          <cell r="J4592">
            <v>0.13730946389496718</v>
          </cell>
        </row>
        <row r="4593">
          <cell r="I4593">
            <v>5298</v>
          </cell>
          <cell r="J4593">
            <v>0.13731214442013129</v>
          </cell>
        </row>
        <row r="4594">
          <cell r="I4594">
            <v>5299</v>
          </cell>
          <cell r="J4594">
            <v>0.1373148249452954</v>
          </cell>
        </row>
        <row r="4595">
          <cell r="I4595">
            <v>5300</v>
          </cell>
          <cell r="J4595">
            <v>0.13731750547045951</v>
          </cell>
        </row>
        <row r="4596">
          <cell r="I4596">
            <v>5301</v>
          </cell>
          <cell r="J4596">
            <v>0.13732018599562362</v>
          </cell>
        </row>
        <row r="4597">
          <cell r="I4597">
            <v>5302</v>
          </cell>
          <cell r="J4597">
            <v>0.13732286652078776</v>
          </cell>
        </row>
        <row r="4598">
          <cell r="I4598">
            <v>5303</v>
          </cell>
          <cell r="J4598">
            <v>0.13732554704595187</v>
          </cell>
        </row>
        <row r="4599">
          <cell r="I4599">
            <v>5304</v>
          </cell>
          <cell r="J4599">
            <v>0.13732822757111598</v>
          </cell>
        </row>
        <row r="4600">
          <cell r="I4600">
            <v>5305</v>
          </cell>
          <cell r="J4600">
            <v>0.1373309080962801</v>
          </cell>
        </row>
        <row r="4601">
          <cell r="I4601">
            <v>5306</v>
          </cell>
          <cell r="J4601">
            <v>0.13733358862144421</v>
          </cell>
        </row>
        <row r="4602">
          <cell r="I4602">
            <v>5307</v>
          </cell>
          <cell r="J4602">
            <v>0.13733626914660832</v>
          </cell>
        </row>
        <row r="4603">
          <cell r="I4603">
            <v>5308</v>
          </cell>
          <cell r="J4603">
            <v>0.13733894967177243</v>
          </cell>
        </row>
        <row r="4604">
          <cell r="I4604">
            <v>5309</v>
          </cell>
          <cell r="J4604">
            <v>0.13734163019693654</v>
          </cell>
        </row>
        <row r="4605">
          <cell r="I4605">
            <v>5310</v>
          </cell>
          <cell r="J4605">
            <v>0.13734431072210065</v>
          </cell>
        </row>
        <row r="4606">
          <cell r="I4606">
            <v>5311</v>
          </cell>
          <cell r="J4606">
            <v>0.13734699124726477</v>
          </cell>
        </row>
        <row r="4607">
          <cell r="I4607">
            <v>5312</v>
          </cell>
          <cell r="J4607">
            <v>0.13734967177242888</v>
          </cell>
        </row>
        <row r="4608">
          <cell r="I4608">
            <v>5313</v>
          </cell>
          <cell r="J4608">
            <v>0.13735235229759299</v>
          </cell>
        </row>
        <row r="4609">
          <cell r="I4609">
            <v>5314</v>
          </cell>
          <cell r="J4609">
            <v>0.13735503282275713</v>
          </cell>
        </row>
        <row r="4610">
          <cell r="I4610">
            <v>5315</v>
          </cell>
          <cell r="J4610">
            <v>0.13735771334792124</v>
          </cell>
        </row>
        <row r="4611">
          <cell r="I4611">
            <v>5316</v>
          </cell>
          <cell r="J4611">
            <v>0.13736039387308535</v>
          </cell>
        </row>
        <row r="4612">
          <cell r="I4612">
            <v>5317</v>
          </cell>
          <cell r="J4612">
            <v>0.13736307439824946</v>
          </cell>
        </row>
        <row r="4613">
          <cell r="I4613">
            <v>5318</v>
          </cell>
          <cell r="J4613">
            <v>0.13736575492341357</v>
          </cell>
        </row>
        <row r="4614">
          <cell r="I4614">
            <v>5319</v>
          </cell>
          <cell r="J4614">
            <v>0.13736843544857769</v>
          </cell>
        </row>
        <row r="4615">
          <cell r="I4615">
            <v>5320</v>
          </cell>
          <cell r="J4615">
            <v>0.1373711159737418</v>
          </cell>
        </row>
        <row r="4616">
          <cell r="I4616">
            <v>5321</v>
          </cell>
          <cell r="J4616">
            <v>0.13737379649890591</v>
          </cell>
        </row>
        <row r="4617">
          <cell r="I4617">
            <v>5322</v>
          </cell>
          <cell r="J4617">
            <v>0.13737647702407002</v>
          </cell>
        </row>
        <row r="4618">
          <cell r="I4618">
            <v>5323</v>
          </cell>
          <cell r="J4618">
            <v>0.13737915754923413</v>
          </cell>
        </row>
        <row r="4619">
          <cell r="I4619">
            <v>5324</v>
          </cell>
          <cell r="J4619">
            <v>0.13738183807439824</v>
          </cell>
        </row>
        <row r="4620">
          <cell r="I4620">
            <v>5325</v>
          </cell>
          <cell r="J4620">
            <v>0.13738451859956236</v>
          </cell>
        </row>
        <row r="4621">
          <cell r="I4621">
            <v>5326</v>
          </cell>
          <cell r="J4621">
            <v>0.13738719912472649</v>
          </cell>
        </row>
        <row r="4622">
          <cell r="I4622">
            <v>5327</v>
          </cell>
          <cell r="J4622">
            <v>0.13738987964989061</v>
          </cell>
        </row>
        <row r="4623">
          <cell r="I4623">
            <v>5328</v>
          </cell>
          <cell r="J4623">
            <v>0.13739256017505472</v>
          </cell>
        </row>
        <row r="4624">
          <cell r="I4624">
            <v>5329</v>
          </cell>
          <cell r="J4624">
            <v>0.13739524070021883</v>
          </cell>
        </row>
        <row r="4625">
          <cell r="I4625">
            <v>5330</v>
          </cell>
          <cell r="J4625">
            <v>0.13739792122538294</v>
          </cell>
        </row>
        <row r="4626">
          <cell r="I4626">
            <v>5331</v>
          </cell>
          <cell r="J4626">
            <v>0.13740060175054705</v>
          </cell>
        </row>
        <row r="4627">
          <cell r="I4627">
            <v>5332</v>
          </cell>
          <cell r="J4627">
            <v>0.13740328227571116</v>
          </cell>
        </row>
        <row r="4628">
          <cell r="I4628">
            <v>5333</v>
          </cell>
          <cell r="J4628">
            <v>0.13740596280087528</v>
          </cell>
        </row>
        <row r="4629">
          <cell r="I4629">
            <v>5334</v>
          </cell>
          <cell r="J4629">
            <v>0.13740864332603939</v>
          </cell>
        </row>
        <row r="4630">
          <cell r="I4630">
            <v>5335</v>
          </cell>
          <cell r="J4630">
            <v>0.1374113238512035</v>
          </cell>
        </row>
        <row r="4631">
          <cell r="I4631">
            <v>5336</v>
          </cell>
          <cell r="J4631">
            <v>0.13741400437636761</v>
          </cell>
        </row>
        <row r="4632">
          <cell r="I4632">
            <v>5337</v>
          </cell>
          <cell r="J4632">
            <v>0.13741668490153172</v>
          </cell>
        </row>
        <row r="4633">
          <cell r="I4633">
            <v>5338</v>
          </cell>
          <cell r="J4633">
            <v>0.13741936542669586</v>
          </cell>
        </row>
        <row r="4634">
          <cell r="I4634">
            <v>5339</v>
          </cell>
          <cell r="J4634">
            <v>0.13742204595185997</v>
          </cell>
        </row>
        <row r="4635">
          <cell r="I4635">
            <v>5340</v>
          </cell>
          <cell r="J4635">
            <v>0.13742472647702408</v>
          </cell>
        </row>
        <row r="4636">
          <cell r="I4636">
            <v>5341</v>
          </cell>
          <cell r="J4636">
            <v>0.1374274070021882</v>
          </cell>
        </row>
        <row r="4637">
          <cell r="I4637">
            <v>5342</v>
          </cell>
          <cell r="J4637">
            <v>0.13743008752735231</v>
          </cell>
        </row>
        <row r="4638">
          <cell r="I4638">
            <v>5343</v>
          </cell>
          <cell r="J4638">
            <v>0.13743276805251642</v>
          </cell>
        </row>
        <row r="4639">
          <cell r="I4639">
            <v>5344</v>
          </cell>
          <cell r="J4639">
            <v>0.13743544857768053</v>
          </cell>
        </row>
        <row r="4640">
          <cell r="I4640">
            <v>5345</v>
          </cell>
          <cell r="J4640">
            <v>0.13743812910284464</v>
          </cell>
        </row>
        <row r="4641">
          <cell r="I4641">
            <v>5346</v>
          </cell>
          <cell r="J4641">
            <v>0.13744080962800875</v>
          </cell>
        </row>
        <row r="4642">
          <cell r="I4642">
            <v>5347</v>
          </cell>
          <cell r="J4642">
            <v>0.13744349015317286</v>
          </cell>
        </row>
        <row r="4643">
          <cell r="I4643">
            <v>5348</v>
          </cell>
          <cell r="J4643">
            <v>0.13744617067833698</v>
          </cell>
        </row>
        <row r="4644">
          <cell r="I4644">
            <v>5349</v>
          </cell>
          <cell r="J4644">
            <v>0.13744885120350109</v>
          </cell>
        </row>
        <row r="4645">
          <cell r="I4645">
            <v>5350</v>
          </cell>
          <cell r="J4645">
            <v>0.1374515317286652</v>
          </cell>
        </row>
        <row r="4646">
          <cell r="I4646">
            <v>5351</v>
          </cell>
          <cell r="J4646">
            <v>0.13745421225382934</v>
          </cell>
        </row>
        <row r="4647">
          <cell r="I4647">
            <v>5352</v>
          </cell>
          <cell r="J4647">
            <v>0.13745689277899345</v>
          </cell>
        </row>
        <row r="4648">
          <cell r="I4648">
            <v>5353</v>
          </cell>
          <cell r="J4648">
            <v>0.13745957330415756</v>
          </cell>
        </row>
        <row r="4649">
          <cell r="I4649">
            <v>5354</v>
          </cell>
          <cell r="J4649">
            <v>0.13746225382932167</v>
          </cell>
        </row>
        <row r="4650">
          <cell r="I4650">
            <v>5355</v>
          </cell>
          <cell r="J4650">
            <v>0.13746493435448578</v>
          </cell>
        </row>
        <row r="4651">
          <cell r="I4651">
            <v>5356</v>
          </cell>
          <cell r="J4651">
            <v>0.1374676148796499</v>
          </cell>
        </row>
        <row r="4652">
          <cell r="I4652">
            <v>5357</v>
          </cell>
          <cell r="J4652">
            <v>0.13747029540481401</v>
          </cell>
        </row>
        <row r="4653">
          <cell r="I4653">
            <v>5358</v>
          </cell>
          <cell r="J4653">
            <v>0.13747297592997812</v>
          </cell>
        </row>
        <row r="4654">
          <cell r="I4654">
            <v>5359</v>
          </cell>
          <cell r="J4654">
            <v>0.13747565645514223</v>
          </cell>
        </row>
        <row r="4655">
          <cell r="I4655">
            <v>5360</v>
          </cell>
          <cell r="J4655">
            <v>0.13747833698030634</v>
          </cell>
        </row>
        <row r="4656">
          <cell r="I4656">
            <v>5361</v>
          </cell>
          <cell r="J4656">
            <v>0.13748101750547045</v>
          </cell>
        </row>
        <row r="4657">
          <cell r="I4657">
            <v>5362</v>
          </cell>
          <cell r="J4657">
            <v>0.13748369803063457</v>
          </cell>
        </row>
        <row r="4658">
          <cell r="I4658">
            <v>5363</v>
          </cell>
          <cell r="J4658">
            <v>0.13748637855579871</v>
          </cell>
        </row>
        <row r="4659">
          <cell r="I4659">
            <v>5364</v>
          </cell>
          <cell r="J4659">
            <v>0.13748905908096282</v>
          </cell>
        </row>
        <row r="4660">
          <cell r="I4660">
            <v>5365</v>
          </cell>
          <cell r="J4660">
            <v>0.13749173960612693</v>
          </cell>
        </row>
        <row r="4661">
          <cell r="I4661">
            <v>5366</v>
          </cell>
          <cell r="J4661">
            <v>0.13749442013129104</v>
          </cell>
        </row>
        <row r="4662">
          <cell r="I4662">
            <v>5367</v>
          </cell>
          <cell r="J4662">
            <v>0.13749710065645515</v>
          </cell>
        </row>
        <row r="4663">
          <cell r="I4663">
            <v>5368</v>
          </cell>
          <cell r="J4663">
            <v>0.13749978118161926</v>
          </cell>
        </row>
        <row r="4664">
          <cell r="I4664">
            <v>5369</v>
          </cell>
          <cell r="J4664">
            <v>0.13750246170678337</v>
          </cell>
        </row>
        <row r="4665">
          <cell r="I4665">
            <v>5370</v>
          </cell>
          <cell r="J4665">
            <v>0.13750514223194749</v>
          </cell>
        </row>
        <row r="4666">
          <cell r="I4666">
            <v>5371</v>
          </cell>
          <cell r="J4666">
            <v>0.1375078227571116</v>
          </cell>
        </row>
        <row r="4667">
          <cell r="I4667">
            <v>5372</v>
          </cell>
          <cell r="J4667">
            <v>0.13751050328227571</v>
          </cell>
        </row>
        <row r="4668">
          <cell r="I4668">
            <v>5373</v>
          </cell>
          <cell r="J4668">
            <v>0.13751318380743982</v>
          </cell>
        </row>
        <row r="4669">
          <cell r="I4669">
            <v>5374</v>
          </cell>
          <cell r="J4669">
            <v>0.13751586433260393</v>
          </cell>
        </row>
        <row r="4670">
          <cell r="I4670">
            <v>5375</v>
          </cell>
          <cell r="J4670">
            <v>0.13751854485776804</v>
          </cell>
        </row>
        <row r="4671">
          <cell r="I4671">
            <v>5376</v>
          </cell>
          <cell r="J4671">
            <v>0.13752122538293218</v>
          </cell>
        </row>
        <row r="4672">
          <cell r="I4672">
            <v>5377</v>
          </cell>
          <cell r="J4672">
            <v>0.13752390590809629</v>
          </cell>
        </row>
        <row r="4673">
          <cell r="I4673">
            <v>5378</v>
          </cell>
          <cell r="J4673">
            <v>0.13752658643326041</v>
          </cell>
        </row>
        <row r="4674">
          <cell r="I4674">
            <v>5379</v>
          </cell>
          <cell r="J4674">
            <v>0.13752926695842452</v>
          </cell>
        </row>
        <row r="4675">
          <cell r="I4675">
            <v>5380</v>
          </cell>
          <cell r="J4675">
            <v>0.13753194748358863</v>
          </cell>
        </row>
        <row r="4676">
          <cell r="I4676">
            <v>5381</v>
          </cell>
          <cell r="J4676">
            <v>0.13753462800875274</v>
          </cell>
        </row>
        <row r="4677">
          <cell r="I4677">
            <v>5382</v>
          </cell>
          <cell r="J4677">
            <v>0.13753730853391685</v>
          </cell>
        </row>
        <row r="4678">
          <cell r="I4678">
            <v>5383</v>
          </cell>
          <cell r="J4678">
            <v>0.13753998905908096</v>
          </cell>
        </row>
        <row r="4679">
          <cell r="I4679">
            <v>5384</v>
          </cell>
          <cell r="J4679">
            <v>0.13754266958424508</v>
          </cell>
        </row>
        <row r="4680">
          <cell r="I4680">
            <v>5385</v>
          </cell>
          <cell r="J4680">
            <v>0.13754535010940919</v>
          </cell>
        </row>
        <row r="4681">
          <cell r="I4681">
            <v>5386</v>
          </cell>
          <cell r="J4681">
            <v>0.1375480306345733</v>
          </cell>
        </row>
        <row r="4682">
          <cell r="I4682">
            <v>5387</v>
          </cell>
          <cell r="J4682">
            <v>0.13755071115973741</v>
          </cell>
        </row>
        <row r="4683">
          <cell r="I4683">
            <v>5388</v>
          </cell>
          <cell r="J4683">
            <v>0.13755339168490155</v>
          </cell>
        </row>
        <row r="4684">
          <cell r="I4684">
            <v>5389</v>
          </cell>
          <cell r="J4684">
            <v>0.13755607221006566</v>
          </cell>
        </row>
        <row r="4685">
          <cell r="I4685">
            <v>5390</v>
          </cell>
          <cell r="J4685">
            <v>0.13755875273522977</v>
          </cell>
        </row>
        <row r="4686">
          <cell r="I4686">
            <v>5391</v>
          </cell>
          <cell r="J4686">
            <v>0.13756143326039388</v>
          </cell>
        </row>
        <row r="4687">
          <cell r="I4687">
            <v>5392</v>
          </cell>
          <cell r="J4687">
            <v>0.137564113785558</v>
          </cell>
        </row>
        <row r="4688">
          <cell r="I4688">
            <v>5393</v>
          </cell>
          <cell r="J4688">
            <v>0.13756679431072211</v>
          </cell>
        </row>
        <row r="4689">
          <cell r="I4689">
            <v>5394</v>
          </cell>
          <cell r="J4689">
            <v>0.13756947483588622</v>
          </cell>
        </row>
        <row r="4690">
          <cell r="I4690">
            <v>5395</v>
          </cell>
          <cell r="J4690">
            <v>0.13757215536105033</v>
          </cell>
        </row>
        <row r="4691">
          <cell r="I4691">
            <v>5396</v>
          </cell>
          <cell r="J4691">
            <v>0.13757483588621444</v>
          </cell>
        </row>
        <row r="4692">
          <cell r="I4692">
            <v>5397</v>
          </cell>
          <cell r="J4692">
            <v>0.13757751641137855</v>
          </cell>
        </row>
        <row r="4693">
          <cell r="I4693">
            <v>5398</v>
          </cell>
          <cell r="J4693">
            <v>0.13758019693654266</v>
          </cell>
        </row>
        <row r="4694">
          <cell r="I4694">
            <v>5399</v>
          </cell>
          <cell r="J4694">
            <v>0.13758287746170678</v>
          </cell>
        </row>
        <row r="4695">
          <cell r="I4695">
            <v>5400</v>
          </cell>
          <cell r="J4695">
            <v>0.13758555798687092</v>
          </cell>
        </row>
        <row r="4696">
          <cell r="I4696">
            <v>5401</v>
          </cell>
          <cell r="J4696">
            <v>0.13758823851203503</v>
          </cell>
        </row>
        <row r="4697">
          <cell r="I4697">
            <v>5402</v>
          </cell>
          <cell r="J4697">
            <v>0.13759091903719914</v>
          </cell>
        </row>
        <row r="4698">
          <cell r="I4698">
            <v>5403</v>
          </cell>
          <cell r="J4698">
            <v>0.13759359956236325</v>
          </cell>
        </row>
        <row r="4699">
          <cell r="I4699">
            <v>5404</v>
          </cell>
          <cell r="J4699">
            <v>0.13759628008752736</v>
          </cell>
        </row>
        <row r="4700">
          <cell r="I4700">
            <v>5405</v>
          </cell>
          <cell r="J4700">
            <v>0.13759896061269147</v>
          </cell>
        </row>
        <row r="4701">
          <cell r="I4701">
            <v>5406</v>
          </cell>
          <cell r="J4701">
            <v>0.13760164113785558</v>
          </cell>
        </row>
        <row r="4702">
          <cell r="I4702">
            <v>5407</v>
          </cell>
          <cell r="J4702">
            <v>0.1376043216630197</v>
          </cell>
        </row>
        <row r="4703">
          <cell r="I4703">
            <v>5408</v>
          </cell>
          <cell r="J4703">
            <v>0.13760700218818381</v>
          </cell>
        </row>
        <row r="4704">
          <cell r="I4704">
            <v>5409</v>
          </cell>
          <cell r="J4704">
            <v>0.13760968271334792</v>
          </cell>
        </row>
        <row r="4705">
          <cell r="I4705">
            <v>5410</v>
          </cell>
          <cell r="J4705">
            <v>0.13761236323851203</v>
          </cell>
        </row>
        <row r="4706">
          <cell r="I4706">
            <v>5411</v>
          </cell>
          <cell r="J4706">
            <v>0.13761504376367614</v>
          </cell>
        </row>
        <row r="4707">
          <cell r="I4707">
            <v>5412</v>
          </cell>
          <cell r="J4707">
            <v>0.13761772428884028</v>
          </cell>
        </row>
        <row r="4708">
          <cell r="I4708">
            <v>5413</v>
          </cell>
          <cell r="J4708">
            <v>0.13762040481400439</v>
          </cell>
        </row>
        <row r="4709">
          <cell r="I4709">
            <v>5414</v>
          </cell>
          <cell r="J4709">
            <v>0.1376230853391685</v>
          </cell>
        </row>
        <row r="4710">
          <cell r="I4710">
            <v>5415</v>
          </cell>
          <cell r="J4710">
            <v>0.13762576586433262</v>
          </cell>
        </row>
        <row r="4711">
          <cell r="I4711">
            <v>5416</v>
          </cell>
          <cell r="J4711">
            <v>0.13762844638949673</v>
          </cell>
        </row>
        <row r="4712">
          <cell r="I4712">
            <v>5417</v>
          </cell>
          <cell r="J4712">
            <v>0.13763112691466084</v>
          </cell>
        </row>
        <row r="4713">
          <cell r="I4713">
            <v>5418</v>
          </cell>
          <cell r="J4713">
            <v>0.13763380743982495</v>
          </cell>
        </row>
        <row r="4714">
          <cell r="I4714">
            <v>5419</v>
          </cell>
          <cell r="J4714">
            <v>0.13763648796498906</v>
          </cell>
        </row>
        <row r="4715">
          <cell r="I4715">
            <v>5420</v>
          </cell>
          <cell r="J4715">
            <v>0.13763916849015317</v>
          </cell>
        </row>
        <row r="4716">
          <cell r="I4716">
            <v>5421</v>
          </cell>
          <cell r="J4716">
            <v>0.13764184901531729</v>
          </cell>
        </row>
        <row r="4717">
          <cell r="I4717">
            <v>5422</v>
          </cell>
          <cell r="J4717">
            <v>0.1376445295404814</v>
          </cell>
        </row>
        <row r="4718">
          <cell r="I4718">
            <v>5423</v>
          </cell>
          <cell r="J4718">
            <v>0.13764721006564551</v>
          </cell>
        </row>
        <row r="4719">
          <cell r="I4719">
            <v>5424</v>
          </cell>
          <cell r="J4719">
            <v>0.13764989059080962</v>
          </cell>
        </row>
        <row r="4720">
          <cell r="I4720">
            <v>5425</v>
          </cell>
          <cell r="J4720">
            <v>0.13765257111597376</v>
          </cell>
        </row>
        <row r="4721">
          <cell r="I4721">
            <v>5426</v>
          </cell>
          <cell r="J4721">
            <v>0.13765525164113787</v>
          </cell>
        </row>
        <row r="4722">
          <cell r="I4722">
            <v>5427</v>
          </cell>
          <cell r="J4722">
            <v>0.13765793216630198</v>
          </cell>
        </row>
        <row r="4723">
          <cell r="I4723">
            <v>5428</v>
          </cell>
          <cell r="J4723">
            <v>0.13766061269146609</v>
          </cell>
        </row>
        <row r="4724">
          <cell r="I4724">
            <v>5429</v>
          </cell>
          <cell r="J4724">
            <v>0.13766329321663021</v>
          </cell>
        </row>
        <row r="4725">
          <cell r="I4725">
            <v>5430</v>
          </cell>
          <cell r="J4725">
            <v>0.13766597374179432</v>
          </cell>
        </row>
        <row r="4726">
          <cell r="I4726">
            <v>5431</v>
          </cell>
          <cell r="J4726">
            <v>0.13766865426695843</v>
          </cell>
        </row>
        <row r="4727">
          <cell r="I4727">
            <v>5432</v>
          </cell>
          <cell r="J4727">
            <v>0.13767133479212254</v>
          </cell>
        </row>
        <row r="4728">
          <cell r="I4728">
            <v>5433</v>
          </cell>
          <cell r="J4728">
            <v>0.13767401531728665</v>
          </cell>
        </row>
        <row r="4729">
          <cell r="I4729">
            <v>5434</v>
          </cell>
          <cell r="J4729">
            <v>0.13767669584245076</v>
          </cell>
        </row>
        <row r="4730">
          <cell r="I4730">
            <v>5435</v>
          </cell>
          <cell r="J4730">
            <v>0.13767937636761488</v>
          </cell>
        </row>
        <row r="4731">
          <cell r="I4731">
            <v>5436</v>
          </cell>
          <cell r="J4731">
            <v>0.13768205689277899</v>
          </cell>
        </row>
        <row r="4732">
          <cell r="I4732">
            <v>5437</v>
          </cell>
          <cell r="J4732">
            <v>0.13768473741794313</v>
          </cell>
        </row>
        <row r="4733">
          <cell r="I4733">
            <v>5438</v>
          </cell>
          <cell r="J4733">
            <v>0.13768741794310724</v>
          </cell>
        </row>
        <row r="4734">
          <cell r="I4734">
            <v>5439</v>
          </cell>
          <cell r="J4734">
            <v>0.13769009846827135</v>
          </cell>
        </row>
        <row r="4735">
          <cell r="I4735">
            <v>5440</v>
          </cell>
          <cell r="J4735">
            <v>0.13769277899343546</v>
          </cell>
        </row>
        <row r="4736">
          <cell r="I4736">
            <v>5441</v>
          </cell>
          <cell r="J4736">
            <v>0.13769545951859957</v>
          </cell>
        </row>
        <row r="4737">
          <cell r="I4737">
            <v>5442</v>
          </cell>
          <cell r="J4737">
            <v>0.13769814004376368</v>
          </cell>
        </row>
        <row r="4738">
          <cell r="I4738">
            <v>5443</v>
          </cell>
          <cell r="J4738">
            <v>0.1377008205689278</v>
          </cell>
        </row>
        <row r="4739">
          <cell r="I4739">
            <v>5444</v>
          </cell>
          <cell r="J4739">
            <v>0.13770350109409191</v>
          </cell>
        </row>
        <row r="4740">
          <cell r="I4740">
            <v>5445</v>
          </cell>
          <cell r="J4740">
            <v>0.13770618161925602</v>
          </cell>
        </row>
        <row r="4741">
          <cell r="I4741">
            <v>5446</v>
          </cell>
          <cell r="J4741">
            <v>0.13770886214442013</v>
          </cell>
        </row>
        <row r="4742">
          <cell r="I4742">
            <v>5447</v>
          </cell>
          <cell r="J4742">
            <v>0.13771154266958424</v>
          </cell>
        </row>
        <row r="4743">
          <cell r="I4743">
            <v>5448</v>
          </cell>
          <cell r="J4743">
            <v>0.13771422319474835</v>
          </cell>
        </row>
        <row r="4744">
          <cell r="I4744">
            <v>5449</v>
          </cell>
          <cell r="J4744">
            <v>0.13771690371991246</v>
          </cell>
        </row>
        <row r="4745">
          <cell r="I4745">
            <v>5450</v>
          </cell>
          <cell r="J4745">
            <v>0.1377195842450766</v>
          </cell>
        </row>
        <row r="4746">
          <cell r="I4746">
            <v>5451</v>
          </cell>
          <cell r="J4746">
            <v>0.13772226477024072</v>
          </cell>
        </row>
        <row r="4747">
          <cell r="I4747">
            <v>5452</v>
          </cell>
          <cell r="J4747">
            <v>0.13772494529540483</v>
          </cell>
        </row>
        <row r="4748">
          <cell r="I4748">
            <v>5453</v>
          </cell>
          <cell r="J4748">
            <v>0.13772762582056894</v>
          </cell>
        </row>
        <row r="4749">
          <cell r="I4749">
            <v>5454</v>
          </cell>
          <cell r="J4749">
            <v>0.13773030634573305</v>
          </cell>
        </row>
        <row r="4750">
          <cell r="I4750">
            <v>5455</v>
          </cell>
          <cell r="J4750">
            <v>0.13773298687089716</v>
          </cell>
        </row>
        <row r="4751">
          <cell r="I4751">
            <v>5456</v>
          </cell>
          <cell r="J4751">
            <v>0.13773566739606127</v>
          </cell>
        </row>
        <row r="4752">
          <cell r="I4752">
            <v>5457</v>
          </cell>
          <cell r="J4752">
            <v>0.13773834792122538</v>
          </cell>
        </row>
        <row r="4753">
          <cell r="I4753">
            <v>5458</v>
          </cell>
          <cell r="J4753">
            <v>0.1377410284463895</v>
          </cell>
        </row>
        <row r="4754">
          <cell r="I4754">
            <v>5459</v>
          </cell>
          <cell r="J4754">
            <v>0.13774370897155361</v>
          </cell>
        </row>
        <row r="4755">
          <cell r="I4755">
            <v>5460</v>
          </cell>
          <cell r="J4755">
            <v>0.13774638949671772</v>
          </cell>
        </row>
        <row r="4756">
          <cell r="I4756">
            <v>5461</v>
          </cell>
          <cell r="J4756">
            <v>0.13774907002188183</v>
          </cell>
        </row>
        <row r="4757">
          <cell r="I4757">
            <v>5462</v>
          </cell>
          <cell r="J4757">
            <v>0.13775175054704597</v>
          </cell>
        </row>
        <row r="4758">
          <cell r="I4758">
            <v>5463</v>
          </cell>
          <cell r="J4758">
            <v>0.13775443107221008</v>
          </cell>
        </row>
        <row r="4759">
          <cell r="I4759">
            <v>5464</v>
          </cell>
          <cell r="J4759">
            <v>0.13775711159737419</v>
          </cell>
        </row>
        <row r="4760">
          <cell r="I4760">
            <v>5465</v>
          </cell>
          <cell r="J4760">
            <v>0.1377597921225383</v>
          </cell>
        </row>
        <row r="4761">
          <cell r="I4761">
            <v>5466</v>
          </cell>
          <cell r="J4761">
            <v>0.13776247264770242</v>
          </cell>
        </row>
        <row r="4762">
          <cell r="I4762">
            <v>5467</v>
          </cell>
          <cell r="J4762">
            <v>0.13776515317286653</v>
          </cell>
        </row>
        <row r="4763">
          <cell r="I4763">
            <v>5468</v>
          </cell>
          <cell r="J4763">
            <v>0.13776783369803064</v>
          </cell>
        </row>
        <row r="4764">
          <cell r="I4764">
            <v>5469</v>
          </cell>
          <cell r="J4764">
            <v>0.13777051422319475</v>
          </cell>
        </row>
        <row r="4765">
          <cell r="I4765">
            <v>5470</v>
          </cell>
          <cell r="J4765">
            <v>0.13777319474835886</v>
          </cell>
        </row>
        <row r="4766">
          <cell r="I4766">
            <v>5471</v>
          </cell>
          <cell r="J4766">
            <v>0.13777587527352297</v>
          </cell>
        </row>
        <row r="4767">
          <cell r="I4767">
            <v>5472</v>
          </cell>
          <cell r="J4767">
            <v>0.13777855579868709</v>
          </cell>
        </row>
        <row r="4768">
          <cell r="I4768">
            <v>5473</v>
          </cell>
          <cell r="J4768">
            <v>0.1377812363238512</v>
          </cell>
        </row>
        <row r="4769">
          <cell r="I4769">
            <v>5474</v>
          </cell>
          <cell r="J4769">
            <v>0.13778391684901531</v>
          </cell>
        </row>
        <row r="4770">
          <cell r="I4770">
            <v>5475</v>
          </cell>
          <cell r="J4770">
            <v>0.13778659737417945</v>
          </cell>
        </row>
        <row r="4771">
          <cell r="I4771">
            <v>5476</v>
          </cell>
          <cell r="J4771">
            <v>0.13778927789934356</v>
          </cell>
        </row>
        <row r="4772">
          <cell r="I4772">
            <v>5477</v>
          </cell>
          <cell r="J4772">
            <v>0.13779195842450767</v>
          </cell>
        </row>
        <row r="4773">
          <cell r="I4773">
            <v>5478</v>
          </cell>
          <cell r="J4773">
            <v>0.13779463894967178</v>
          </cell>
        </row>
        <row r="4774">
          <cell r="I4774">
            <v>5479</v>
          </cell>
          <cell r="J4774">
            <v>0.13779731947483589</v>
          </cell>
        </row>
        <row r="4775">
          <cell r="I4775">
            <v>5480</v>
          </cell>
          <cell r="J4775">
            <v>0.13780000000000001</v>
          </cell>
        </row>
        <row r="4776">
          <cell r="I4776">
            <v>5481</v>
          </cell>
          <cell r="J4776">
            <v>0.13780180821917809</v>
          </cell>
        </row>
        <row r="4777">
          <cell r="I4777">
            <v>5482</v>
          </cell>
          <cell r="J4777">
            <v>0.13780361643835617</v>
          </cell>
        </row>
        <row r="4778">
          <cell r="I4778">
            <v>5483</v>
          </cell>
          <cell r="J4778">
            <v>0.13780542465753426</v>
          </cell>
        </row>
        <row r="4779">
          <cell r="I4779">
            <v>5484</v>
          </cell>
          <cell r="J4779">
            <v>0.13780723287671234</v>
          </cell>
        </row>
        <row r="4780">
          <cell r="I4780">
            <v>5485</v>
          </cell>
          <cell r="J4780">
            <v>0.13780904109589043</v>
          </cell>
        </row>
        <row r="4781">
          <cell r="I4781">
            <v>5486</v>
          </cell>
          <cell r="J4781">
            <v>0.13781084931506851</v>
          </cell>
        </row>
        <row r="4782">
          <cell r="I4782">
            <v>5487</v>
          </cell>
          <cell r="J4782">
            <v>0.13781265753424657</v>
          </cell>
        </row>
        <row r="4783">
          <cell r="I4783">
            <v>5488</v>
          </cell>
          <cell r="J4783">
            <v>0.13781446575342465</v>
          </cell>
        </row>
        <row r="4784">
          <cell r="I4784">
            <v>5489</v>
          </cell>
          <cell r="J4784">
            <v>0.13781627397260274</v>
          </cell>
        </row>
        <row r="4785">
          <cell r="I4785">
            <v>5490</v>
          </cell>
          <cell r="J4785">
            <v>0.13781808219178082</v>
          </cell>
        </row>
        <row r="4786">
          <cell r="I4786">
            <v>5491</v>
          </cell>
          <cell r="J4786">
            <v>0.13781989041095891</v>
          </cell>
        </row>
        <row r="4787">
          <cell r="I4787">
            <v>5492</v>
          </cell>
          <cell r="J4787">
            <v>0.13782169863013699</v>
          </cell>
        </row>
        <row r="4788">
          <cell r="I4788">
            <v>5493</v>
          </cell>
          <cell r="J4788">
            <v>0.13782350684931508</v>
          </cell>
        </row>
        <row r="4789">
          <cell r="I4789">
            <v>5494</v>
          </cell>
          <cell r="J4789">
            <v>0.13782531506849316</v>
          </cell>
        </row>
        <row r="4790">
          <cell r="I4790">
            <v>5495</v>
          </cell>
          <cell r="J4790">
            <v>0.13782712328767124</v>
          </cell>
        </row>
        <row r="4791">
          <cell r="I4791">
            <v>5496</v>
          </cell>
          <cell r="J4791">
            <v>0.13782893150684933</v>
          </cell>
        </row>
        <row r="4792">
          <cell r="I4792">
            <v>5497</v>
          </cell>
          <cell r="J4792">
            <v>0.13783073972602741</v>
          </cell>
        </row>
        <row r="4793">
          <cell r="I4793">
            <v>5498</v>
          </cell>
          <cell r="J4793">
            <v>0.1378325479452055</v>
          </cell>
        </row>
        <row r="4794">
          <cell r="I4794">
            <v>5499</v>
          </cell>
          <cell r="J4794">
            <v>0.13783435616438358</v>
          </cell>
        </row>
        <row r="4795">
          <cell r="I4795">
            <v>5500</v>
          </cell>
          <cell r="J4795">
            <v>0.13783616438356164</v>
          </cell>
        </row>
        <row r="4796">
          <cell r="I4796">
            <v>5501</v>
          </cell>
          <cell r="J4796">
            <v>0.13783797260273972</v>
          </cell>
        </row>
        <row r="4797">
          <cell r="I4797">
            <v>5502</v>
          </cell>
          <cell r="J4797">
            <v>0.13783978082191781</v>
          </cell>
        </row>
        <row r="4798">
          <cell r="I4798">
            <v>5503</v>
          </cell>
          <cell r="J4798">
            <v>0.13784158904109589</v>
          </cell>
        </row>
        <row r="4799">
          <cell r="I4799">
            <v>5504</v>
          </cell>
          <cell r="J4799">
            <v>0.13784339726027398</v>
          </cell>
        </row>
        <row r="4800">
          <cell r="I4800">
            <v>5505</v>
          </cell>
          <cell r="J4800">
            <v>0.13784520547945206</v>
          </cell>
        </row>
        <row r="4801">
          <cell r="I4801">
            <v>5506</v>
          </cell>
          <cell r="J4801">
            <v>0.13784701369863014</v>
          </cell>
        </row>
        <row r="4802">
          <cell r="I4802">
            <v>5507</v>
          </cell>
          <cell r="J4802">
            <v>0.13784882191780823</v>
          </cell>
        </row>
        <row r="4803">
          <cell r="I4803">
            <v>5508</v>
          </cell>
          <cell r="J4803">
            <v>0.13785063013698631</v>
          </cell>
        </row>
        <row r="4804">
          <cell r="I4804">
            <v>5509</v>
          </cell>
          <cell r="J4804">
            <v>0.1378524383561644</v>
          </cell>
        </row>
        <row r="4805">
          <cell r="I4805">
            <v>5510</v>
          </cell>
          <cell r="J4805">
            <v>0.13785424657534248</v>
          </cell>
        </row>
        <row r="4806">
          <cell r="I4806">
            <v>5511</v>
          </cell>
          <cell r="J4806">
            <v>0.13785605479452057</v>
          </cell>
        </row>
        <row r="4807">
          <cell r="I4807">
            <v>5512</v>
          </cell>
          <cell r="J4807">
            <v>0.13785786301369862</v>
          </cell>
        </row>
        <row r="4808">
          <cell r="I4808">
            <v>5513</v>
          </cell>
          <cell r="J4808">
            <v>0.13785967123287671</v>
          </cell>
        </row>
        <row r="4809">
          <cell r="I4809">
            <v>5514</v>
          </cell>
          <cell r="J4809">
            <v>0.13786147945205479</v>
          </cell>
        </row>
        <row r="4810">
          <cell r="I4810">
            <v>5515</v>
          </cell>
          <cell r="J4810">
            <v>0.13786328767123288</v>
          </cell>
        </row>
        <row r="4811">
          <cell r="I4811">
            <v>5516</v>
          </cell>
          <cell r="J4811">
            <v>0.13786509589041096</v>
          </cell>
        </row>
        <row r="4812">
          <cell r="I4812">
            <v>5517</v>
          </cell>
          <cell r="J4812">
            <v>0.13786690410958904</v>
          </cell>
        </row>
        <row r="4813">
          <cell r="I4813">
            <v>5518</v>
          </cell>
          <cell r="J4813">
            <v>0.13786871232876713</v>
          </cell>
        </row>
        <row r="4814">
          <cell r="I4814">
            <v>5519</v>
          </cell>
          <cell r="J4814">
            <v>0.13787052054794521</v>
          </cell>
        </row>
        <row r="4815">
          <cell r="I4815">
            <v>5520</v>
          </cell>
          <cell r="J4815">
            <v>0.1378723287671233</v>
          </cell>
        </row>
        <row r="4816">
          <cell r="I4816">
            <v>5521</v>
          </cell>
          <cell r="J4816">
            <v>0.13787413698630138</v>
          </cell>
        </row>
        <row r="4817">
          <cell r="I4817">
            <v>5522</v>
          </cell>
          <cell r="J4817">
            <v>0.13787594520547947</v>
          </cell>
        </row>
        <row r="4818">
          <cell r="I4818">
            <v>5523</v>
          </cell>
          <cell r="J4818">
            <v>0.13787775342465755</v>
          </cell>
        </row>
        <row r="4819">
          <cell r="I4819">
            <v>5524</v>
          </cell>
          <cell r="J4819">
            <v>0.13787956164383564</v>
          </cell>
        </row>
        <row r="4820">
          <cell r="I4820">
            <v>5525</v>
          </cell>
          <cell r="J4820">
            <v>0.13788136986301369</v>
          </cell>
        </row>
        <row r="4821">
          <cell r="I4821">
            <v>5526</v>
          </cell>
          <cell r="J4821">
            <v>0.13788317808219178</v>
          </cell>
        </row>
        <row r="4822">
          <cell r="I4822">
            <v>5527</v>
          </cell>
          <cell r="J4822">
            <v>0.13788498630136986</v>
          </cell>
        </row>
        <row r="4823">
          <cell r="I4823">
            <v>5528</v>
          </cell>
          <cell r="J4823">
            <v>0.13788679452054795</v>
          </cell>
        </row>
        <row r="4824">
          <cell r="I4824">
            <v>5529</v>
          </cell>
          <cell r="J4824">
            <v>0.13788860273972603</v>
          </cell>
        </row>
        <row r="4825">
          <cell r="I4825">
            <v>5530</v>
          </cell>
          <cell r="J4825">
            <v>0.13789041095890411</v>
          </cell>
        </row>
        <row r="4826">
          <cell r="I4826">
            <v>5531</v>
          </cell>
          <cell r="J4826">
            <v>0.1378922191780822</v>
          </cell>
        </row>
        <row r="4827">
          <cell r="I4827">
            <v>5532</v>
          </cell>
          <cell r="J4827">
            <v>0.13789402739726028</v>
          </cell>
        </row>
        <row r="4828">
          <cell r="I4828">
            <v>5533</v>
          </cell>
          <cell r="J4828">
            <v>0.13789583561643837</v>
          </cell>
        </row>
        <row r="4829">
          <cell r="I4829">
            <v>5534</v>
          </cell>
          <cell r="J4829">
            <v>0.13789764383561645</v>
          </cell>
        </row>
        <row r="4830">
          <cell r="I4830">
            <v>5535</v>
          </cell>
          <cell r="J4830">
            <v>0.13789945205479454</v>
          </cell>
        </row>
        <row r="4831">
          <cell r="I4831">
            <v>5536</v>
          </cell>
          <cell r="J4831">
            <v>0.13790126027397262</v>
          </cell>
        </row>
        <row r="4832">
          <cell r="I4832">
            <v>5537</v>
          </cell>
          <cell r="J4832">
            <v>0.1379030684931507</v>
          </cell>
        </row>
        <row r="4833">
          <cell r="I4833">
            <v>5538</v>
          </cell>
          <cell r="J4833">
            <v>0.13790487671232876</v>
          </cell>
        </row>
        <row r="4834">
          <cell r="I4834">
            <v>5539</v>
          </cell>
          <cell r="J4834">
            <v>0.13790668493150685</v>
          </cell>
        </row>
        <row r="4835">
          <cell r="I4835">
            <v>5540</v>
          </cell>
          <cell r="J4835">
            <v>0.13790849315068493</v>
          </cell>
        </row>
        <row r="4836">
          <cell r="I4836">
            <v>5541</v>
          </cell>
          <cell r="J4836">
            <v>0.13791030136986301</v>
          </cell>
        </row>
        <row r="4837">
          <cell r="I4837">
            <v>5542</v>
          </cell>
          <cell r="J4837">
            <v>0.1379121095890411</v>
          </cell>
        </row>
        <row r="4838">
          <cell r="I4838">
            <v>5543</v>
          </cell>
          <cell r="J4838">
            <v>0.13791391780821918</v>
          </cell>
        </row>
        <row r="4839">
          <cell r="I4839">
            <v>5544</v>
          </cell>
          <cell r="J4839">
            <v>0.13791572602739727</v>
          </cell>
        </row>
        <row r="4840">
          <cell r="I4840">
            <v>5545</v>
          </cell>
          <cell r="J4840">
            <v>0.13791753424657535</v>
          </cell>
        </row>
        <row r="4841">
          <cell r="I4841">
            <v>5546</v>
          </cell>
          <cell r="J4841">
            <v>0.13791934246575344</v>
          </cell>
        </row>
        <row r="4842">
          <cell r="I4842">
            <v>5547</v>
          </cell>
          <cell r="J4842">
            <v>0.13792115068493152</v>
          </cell>
        </row>
        <row r="4843">
          <cell r="I4843">
            <v>5548</v>
          </cell>
          <cell r="J4843">
            <v>0.1379229589041096</v>
          </cell>
        </row>
        <row r="4844">
          <cell r="I4844">
            <v>5549</v>
          </cell>
          <cell r="J4844">
            <v>0.13792476712328769</v>
          </cell>
        </row>
        <row r="4845">
          <cell r="I4845">
            <v>5550</v>
          </cell>
          <cell r="J4845">
            <v>0.13792657534246575</v>
          </cell>
        </row>
        <row r="4846">
          <cell r="I4846">
            <v>5551</v>
          </cell>
          <cell r="J4846">
            <v>0.13792838356164383</v>
          </cell>
        </row>
        <row r="4847">
          <cell r="I4847">
            <v>5552</v>
          </cell>
          <cell r="J4847">
            <v>0.13793019178082191</v>
          </cell>
        </row>
        <row r="4848">
          <cell r="I4848">
            <v>5553</v>
          </cell>
          <cell r="J4848">
            <v>0.137932</v>
          </cell>
        </row>
        <row r="4849">
          <cell r="I4849">
            <v>5554</v>
          </cell>
          <cell r="J4849">
            <v>0.13793380821917808</v>
          </cell>
        </row>
        <row r="4850">
          <cell r="I4850">
            <v>5555</v>
          </cell>
          <cell r="J4850">
            <v>0.13793561643835617</v>
          </cell>
        </row>
        <row r="4851">
          <cell r="I4851">
            <v>5556</v>
          </cell>
          <cell r="J4851">
            <v>0.13793742465753425</v>
          </cell>
        </row>
        <row r="4852">
          <cell r="I4852">
            <v>5557</v>
          </cell>
          <cell r="J4852">
            <v>0.13793923287671234</v>
          </cell>
        </row>
        <row r="4853">
          <cell r="I4853">
            <v>5558</v>
          </cell>
          <cell r="J4853">
            <v>0.13794104109589042</v>
          </cell>
        </row>
        <row r="4854">
          <cell r="I4854">
            <v>5559</v>
          </cell>
          <cell r="J4854">
            <v>0.13794284931506851</v>
          </cell>
        </row>
        <row r="4855">
          <cell r="I4855">
            <v>5560</v>
          </cell>
          <cell r="J4855">
            <v>0.13794465753424659</v>
          </cell>
        </row>
        <row r="4856">
          <cell r="I4856">
            <v>5561</v>
          </cell>
          <cell r="J4856">
            <v>0.13794646575342467</v>
          </cell>
        </row>
        <row r="4857">
          <cell r="I4857">
            <v>5562</v>
          </cell>
          <cell r="J4857">
            <v>0.13794827397260276</v>
          </cell>
        </row>
        <row r="4858">
          <cell r="I4858">
            <v>5563</v>
          </cell>
          <cell r="J4858">
            <v>0.13795008219178082</v>
          </cell>
        </row>
        <row r="4859">
          <cell r="I4859">
            <v>5564</v>
          </cell>
          <cell r="J4859">
            <v>0.1379518904109589</v>
          </cell>
        </row>
        <row r="4860">
          <cell r="I4860">
            <v>5565</v>
          </cell>
          <cell r="J4860">
            <v>0.13795369863013698</v>
          </cell>
        </row>
        <row r="4861">
          <cell r="I4861">
            <v>5566</v>
          </cell>
          <cell r="J4861">
            <v>0.13795550684931507</v>
          </cell>
        </row>
        <row r="4862">
          <cell r="I4862">
            <v>5567</v>
          </cell>
          <cell r="J4862">
            <v>0.13795731506849315</v>
          </cell>
        </row>
        <row r="4863">
          <cell r="I4863">
            <v>5568</v>
          </cell>
          <cell r="J4863">
            <v>0.13795912328767124</v>
          </cell>
        </row>
        <row r="4864">
          <cell r="I4864">
            <v>5569</v>
          </cell>
          <cell r="J4864">
            <v>0.13796093150684932</v>
          </cell>
        </row>
        <row r="4865">
          <cell r="I4865">
            <v>5570</v>
          </cell>
          <cell r="J4865">
            <v>0.13796273972602741</v>
          </cell>
        </row>
        <row r="4866">
          <cell r="I4866">
            <v>5571</v>
          </cell>
          <cell r="J4866">
            <v>0.13796454794520549</v>
          </cell>
        </row>
        <row r="4867">
          <cell r="I4867">
            <v>5572</v>
          </cell>
          <cell r="J4867">
            <v>0.13796635616438357</v>
          </cell>
        </row>
        <row r="4868">
          <cell r="I4868">
            <v>5573</v>
          </cell>
          <cell r="J4868">
            <v>0.13796816438356166</v>
          </cell>
        </row>
        <row r="4869">
          <cell r="I4869">
            <v>5574</v>
          </cell>
          <cell r="J4869">
            <v>0.13796997260273974</v>
          </cell>
        </row>
        <row r="4870">
          <cell r="I4870">
            <v>5575</v>
          </cell>
          <cell r="J4870">
            <v>0.13797178082191783</v>
          </cell>
        </row>
        <row r="4871">
          <cell r="I4871">
            <v>5576</v>
          </cell>
          <cell r="J4871">
            <v>0.13797358904109588</v>
          </cell>
        </row>
        <row r="4872">
          <cell r="I4872">
            <v>5577</v>
          </cell>
          <cell r="J4872">
            <v>0.13797539726027397</v>
          </cell>
        </row>
        <row r="4873">
          <cell r="I4873">
            <v>5578</v>
          </cell>
          <cell r="J4873">
            <v>0.13797720547945205</v>
          </cell>
        </row>
        <row r="4874">
          <cell r="I4874">
            <v>5579</v>
          </cell>
          <cell r="J4874">
            <v>0.13797901369863014</v>
          </cell>
        </row>
        <row r="4875">
          <cell r="I4875">
            <v>5580</v>
          </cell>
          <cell r="J4875">
            <v>0.13798082191780822</v>
          </cell>
        </row>
        <row r="4876">
          <cell r="I4876">
            <v>5581</v>
          </cell>
          <cell r="J4876">
            <v>0.13798263013698631</v>
          </cell>
        </row>
        <row r="4877">
          <cell r="I4877">
            <v>5582</v>
          </cell>
          <cell r="J4877">
            <v>0.13798443835616439</v>
          </cell>
        </row>
        <row r="4878">
          <cell r="I4878">
            <v>5583</v>
          </cell>
          <cell r="J4878">
            <v>0.13798624657534247</v>
          </cell>
        </row>
        <row r="4879">
          <cell r="I4879">
            <v>5584</v>
          </cell>
          <cell r="J4879">
            <v>0.13798805479452056</v>
          </cell>
        </row>
        <row r="4880">
          <cell r="I4880">
            <v>5585</v>
          </cell>
          <cell r="J4880">
            <v>0.13798986301369864</v>
          </cell>
        </row>
        <row r="4881">
          <cell r="I4881">
            <v>5586</v>
          </cell>
          <cell r="J4881">
            <v>0.13799167123287673</v>
          </cell>
        </row>
        <row r="4882">
          <cell r="I4882">
            <v>5587</v>
          </cell>
          <cell r="J4882">
            <v>0.13799347945205481</v>
          </cell>
        </row>
        <row r="4883">
          <cell r="I4883">
            <v>5588</v>
          </cell>
          <cell r="J4883">
            <v>0.13799528767123287</v>
          </cell>
        </row>
        <row r="4884">
          <cell r="I4884">
            <v>5589</v>
          </cell>
          <cell r="J4884">
            <v>0.13799709589041095</v>
          </cell>
        </row>
        <row r="4885">
          <cell r="I4885">
            <v>5590</v>
          </cell>
          <cell r="J4885">
            <v>0.13799890410958904</v>
          </cell>
        </row>
        <row r="4886">
          <cell r="I4886">
            <v>5591</v>
          </cell>
          <cell r="J4886">
            <v>0.13800071232876712</v>
          </cell>
        </row>
        <row r="4887">
          <cell r="I4887">
            <v>5592</v>
          </cell>
          <cell r="J4887">
            <v>0.13800252054794521</v>
          </cell>
        </row>
        <row r="4888">
          <cell r="I4888">
            <v>5593</v>
          </cell>
          <cell r="J4888">
            <v>0.13800432876712329</v>
          </cell>
        </row>
        <row r="4889">
          <cell r="I4889">
            <v>5594</v>
          </cell>
          <cell r="J4889">
            <v>0.13800613698630138</v>
          </cell>
        </row>
        <row r="4890">
          <cell r="I4890">
            <v>5595</v>
          </cell>
          <cell r="J4890">
            <v>0.13800794520547946</v>
          </cell>
        </row>
        <row r="4891">
          <cell r="I4891">
            <v>5596</v>
          </cell>
          <cell r="J4891">
            <v>0.13800975342465754</v>
          </cell>
        </row>
        <row r="4892">
          <cell r="I4892">
            <v>5597</v>
          </cell>
          <cell r="J4892">
            <v>0.13801156164383563</v>
          </cell>
        </row>
        <row r="4893">
          <cell r="I4893">
            <v>5598</v>
          </cell>
          <cell r="J4893">
            <v>0.13801336986301371</v>
          </cell>
        </row>
        <row r="4894">
          <cell r="I4894">
            <v>5599</v>
          </cell>
          <cell r="J4894">
            <v>0.1380151780821918</v>
          </cell>
        </row>
        <row r="4895">
          <cell r="I4895">
            <v>5600</v>
          </cell>
          <cell r="J4895">
            <v>0.13801698630136988</v>
          </cell>
        </row>
        <row r="4896">
          <cell r="I4896">
            <v>5601</v>
          </cell>
          <cell r="J4896">
            <v>0.13801879452054794</v>
          </cell>
        </row>
        <row r="4897">
          <cell r="I4897">
            <v>5602</v>
          </cell>
          <cell r="J4897">
            <v>0.13802060273972602</v>
          </cell>
        </row>
        <row r="4898">
          <cell r="I4898">
            <v>5603</v>
          </cell>
          <cell r="J4898">
            <v>0.13802241095890411</v>
          </cell>
        </row>
        <row r="4899">
          <cell r="I4899">
            <v>5604</v>
          </cell>
          <cell r="J4899">
            <v>0.13802421917808219</v>
          </cell>
        </row>
        <row r="4900">
          <cell r="I4900">
            <v>5605</v>
          </cell>
          <cell r="J4900">
            <v>0.13802602739726028</v>
          </cell>
        </row>
        <row r="4901">
          <cell r="I4901">
            <v>5606</v>
          </cell>
          <cell r="J4901">
            <v>0.13802783561643836</v>
          </cell>
        </row>
        <row r="4902">
          <cell r="I4902">
            <v>5607</v>
          </cell>
          <cell r="J4902">
            <v>0.13802964383561644</v>
          </cell>
        </row>
        <row r="4903">
          <cell r="I4903">
            <v>5608</v>
          </cell>
          <cell r="J4903">
            <v>0.13803145205479453</v>
          </cell>
        </row>
        <row r="4904">
          <cell r="I4904">
            <v>5609</v>
          </cell>
          <cell r="J4904">
            <v>0.13803326027397261</v>
          </cell>
        </row>
        <row r="4905">
          <cell r="I4905">
            <v>5610</v>
          </cell>
          <cell r="J4905">
            <v>0.1380350684931507</v>
          </cell>
        </row>
        <row r="4906">
          <cell r="I4906">
            <v>5611</v>
          </cell>
          <cell r="J4906">
            <v>0.13803687671232878</v>
          </cell>
        </row>
        <row r="4907">
          <cell r="I4907">
            <v>5612</v>
          </cell>
          <cell r="J4907">
            <v>0.13803868493150687</v>
          </cell>
        </row>
        <row r="4908">
          <cell r="I4908">
            <v>5613</v>
          </cell>
          <cell r="J4908">
            <v>0.13804049315068495</v>
          </cell>
        </row>
        <row r="4909">
          <cell r="I4909">
            <v>5614</v>
          </cell>
          <cell r="J4909">
            <v>0.13804230136986301</v>
          </cell>
        </row>
        <row r="4910">
          <cell r="I4910">
            <v>5615</v>
          </cell>
          <cell r="J4910">
            <v>0.13804410958904109</v>
          </cell>
        </row>
        <row r="4911">
          <cell r="I4911">
            <v>5616</v>
          </cell>
          <cell r="J4911">
            <v>0.13804591780821918</v>
          </cell>
        </row>
        <row r="4912">
          <cell r="I4912">
            <v>5617</v>
          </cell>
          <cell r="J4912">
            <v>0.13804772602739726</v>
          </cell>
        </row>
        <row r="4913">
          <cell r="I4913">
            <v>5618</v>
          </cell>
          <cell r="J4913">
            <v>0.13804953424657534</v>
          </cell>
        </row>
        <row r="4914">
          <cell r="I4914">
            <v>5619</v>
          </cell>
          <cell r="J4914">
            <v>0.13805134246575343</v>
          </cell>
        </row>
        <row r="4915">
          <cell r="I4915">
            <v>5620</v>
          </cell>
          <cell r="J4915">
            <v>0.13805315068493151</v>
          </cell>
        </row>
        <row r="4916">
          <cell r="I4916">
            <v>5621</v>
          </cell>
          <cell r="J4916">
            <v>0.1380549589041096</v>
          </cell>
        </row>
        <row r="4917">
          <cell r="I4917">
            <v>5622</v>
          </cell>
          <cell r="J4917">
            <v>0.13805676712328768</v>
          </cell>
        </row>
        <row r="4918">
          <cell r="I4918">
            <v>5623</v>
          </cell>
          <cell r="J4918">
            <v>0.13805857534246577</v>
          </cell>
        </row>
        <row r="4919">
          <cell r="I4919">
            <v>5624</v>
          </cell>
          <cell r="J4919">
            <v>0.13806038356164385</v>
          </cell>
        </row>
        <row r="4920">
          <cell r="I4920">
            <v>5625</v>
          </cell>
          <cell r="J4920">
            <v>0.13806219178082194</v>
          </cell>
        </row>
        <row r="4921">
          <cell r="I4921">
            <v>5626</v>
          </cell>
          <cell r="J4921">
            <v>0.13806399999999999</v>
          </cell>
        </row>
        <row r="4922">
          <cell r="I4922">
            <v>5627</v>
          </cell>
          <cell r="J4922">
            <v>0.13806580821917808</v>
          </cell>
        </row>
        <row r="4923">
          <cell r="I4923">
            <v>5628</v>
          </cell>
          <cell r="J4923">
            <v>0.13806761643835616</v>
          </cell>
        </row>
        <row r="4924">
          <cell r="I4924">
            <v>5629</v>
          </cell>
          <cell r="J4924">
            <v>0.13806942465753425</v>
          </cell>
        </row>
        <row r="4925">
          <cell r="I4925">
            <v>5630</v>
          </cell>
          <cell r="J4925">
            <v>0.13807123287671233</v>
          </cell>
        </row>
        <row r="4926">
          <cell r="I4926">
            <v>5631</v>
          </cell>
          <cell r="J4926">
            <v>0.13807304109589041</v>
          </cell>
        </row>
        <row r="4927">
          <cell r="I4927">
            <v>5632</v>
          </cell>
          <cell r="J4927">
            <v>0.1380748493150685</v>
          </cell>
        </row>
        <row r="4928">
          <cell r="I4928">
            <v>5633</v>
          </cell>
          <cell r="J4928">
            <v>0.13807665753424658</v>
          </cell>
        </row>
        <row r="4929">
          <cell r="I4929">
            <v>5634</v>
          </cell>
          <cell r="J4929">
            <v>0.13807846575342467</v>
          </cell>
        </row>
        <row r="4930">
          <cell r="I4930">
            <v>5635</v>
          </cell>
          <cell r="J4930">
            <v>0.13808027397260275</v>
          </cell>
        </row>
        <row r="4931">
          <cell r="I4931">
            <v>5636</v>
          </cell>
          <cell r="J4931">
            <v>0.13808208219178084</v>
          </cell>
        </row>
        <row r="4932">
          <cell r="I4932">
            <v>5637</v>
          </cell>
          <cell r="J4932">
            <v>0.13808389041095892</v>
          </cell>
        </row>
        <row r="4933">
          <cell r="I4933">
            <v>5638</v>
          </cell>
          <cell r="J4933">
            <v>0.138085698630137</v>
          </cell>
        </row>
        <row r="4934">
          <cell r="I4934">
            <v>5639</v>
          </cell>
          <cell r="J4934">
            <v>0.13808750684931506</v>
          </cell>
        </row>
        <row r="4935">
          <cell r="I4935">
            <v>5640</v>
          </cell>
          <cell r="J4935">
            <v>0.13808931506849315</v>
          </cell>
        </row>
        <row r="4936">
          <cell r="I4936">
            <v>5641</v>
          </cell>
          <cell r="J4936">
            <v>0.13809112328767123</v>
          </cell>
        </row>
        <row r="4937">
          <cell r="I4937">
            <v>5642</v>
          </cell>
          <cell r="J4937">
            <v>0.13809293150684931</v>
          </cell>
        </row>
        <row r="4938">
          <cell r="I4938">
            <v>5643</v>
          </cell>
          <cell r="J4938">
            <v>0.1380947397260274</v>
          </cell>
        </row>
        <row r="4939">
          <cell r="I4939">
            <v>5644</v>
          </cell>
          <cell r="J4939">
            <v>0.13809654794520548</v>
          </cell>
        </row>
        <row r="4940">
          <cell r="I4940">
            <v>5645</v>
          </cell>
          <cell r="J4940">
            <v>0.13809835616438357</v>
          </cell>
        </row>
        <row r="4941">
          <cell r="I4941">
            <v>5646</v>
          </cell>
          <cell r="J4941">
            <v>0.13810016438356165</v>
          </cell>
        </row>
        <row r="4942">
          <cell r="I4942">
            <v>5647</v>
          </cell>
          <cell r="J4942">
            <v>0.13810197260273974</v>
          </cell>
        </row>
        <row r="4943">
          <cell r="I4943">
            <v>5648</v>
          </cell>
          <cell r="J4943">
            <v>0.13810378082191782</v>
          </cell>
        </row>
        <row r="4944">
          <cell r="I4944">
            <v>5649</v>
          </cell>
          <cell r="J4944">
            <v>0.13810558904109591</v>
          </cell>
        </row>
        <row r="4945">
          <cell r="I4945">
            <v>5650</v>
          </cell>
          <cell r="J4945">
            <v>0.13810739726027399</v>
          </cell>
        </row>
        <row r="4946">
          <cell r="I4946">
            <v>5651</v>
          </cell>
          <cell r="J4946">
            <v>0.13810920547945207</v>
          </cell>
        </row>
        <row r="4947">
          <cell r="I4947">
            <v>5652</v>
          </cell>
          <cell r="J4947">
            <v>0.13811101369863013</v>
          </cell>
        </row>
        <row r="4948">
          <cell r="I4948">
            <v>5653</v>
          </cell>
          <cell r="J4948">
            <v>0.13811282191780822</v>
          </cell>
        </row>
        <row r="4949">
          <cell r="I4949">
            <v>5654</v>
          </cell>
          <cell r="J4949">
            <v>0.1381146301369863</v>
          </cell>
        </row>
        <row r="4950">
          <cell r="I4950">
            <v>5655</v>
          </cell>
          <cell r="J4950">
            <v>0.13811643835616438</v>
          </cell>
        </row>
        <row r="4951">
          <cell r="I4951">
            <v>5656</v>
          </cell>
          <cell r="J4951">
            <v>0.13811824657534247</v>
          </cell>
        </row>
        <row r="4952">
          <cell r="I4952">
            <v>5657</v>
          </cell>
          <cell r="J4952">
            <v>0.13812005479452055</v>
          </cell>
        </row>
        <row r="4953">
          <cell r="I4953">
            <v>5658</v>
          </cell>
          <cell r="J4953">
            <v>0.13812186301369864</v>
          </cell>
        </row>
        <row r="4954">
          <cell r="I4954">
            <v>5659</v>
          </cell>
          <cell r="J4954">
            <v>0.13812367123287672</v>
          </cell>
        </row>
        <row r="4955">
          <cell r="I4955">
            <v>5660</v>
          </cell>
          <cell r="J4955">
            <v>0.13812547945205481</v>
          </cell>
        </row>
        <row r="4956">
          <cell r="I4956">
            <v>5661</v>
          </cell>
          <cell r="J4956">
            <v>0.13812728767123289</v>
          </cell>
        </row>
        <row r="4957">
          <cell r="I4957">
            <v>5662</v>
          </cell>
          <cell r="J4957">
            <v>0.13812909589041097</v>
          </cell>
        </row>
        <row r="4958">
          <cell r="I4958">
            <v>5663</v>
          </cell>
          <cell r="J4958">
            <v>0.13813090410958906</v>
          </cell>
        </row>
        <row r="4959">
          <cell r="I4959">
            <v>5664</v>
          </cell>
          <cell r="J4959">
            <v>0.13813271232876712</v>
          </cell>
        </row>
        <row r="4960">
          <cell r="I4960">
            <v>5665</v>
          </cell>
          <cell r="J4960">
            <v>0.1381345205479452</v>
          </cell>
        </row>
        <row r="4961">
          <cell r="I4961">
            <v>5666</v>
          </cell>
          <cell r="J4961">
            <v>0.13813632876712328</v>
          </cell>
        </row>
        <row r="4962">
          <cell r="I4962">
            <v>5667</v>
          </cell>
          <cell r="J4962">
            <v>0.13813813698630137</v>
          </cell>
        </row>
        <row r="4963">
          <cell r="I4963">
            <v>5668</v>
          </cell>
          <cell r="J4963">
            <v>0.13813994520547945</v>
          </cell>
        </row>
        <row r="4964">
          <cell r="I4964">
            <v>5669</v>
          </cell>
          <cell r="J4964">
            <v>0.13814175342465754</v>
          </cell>
        </row>
        <row r="4965">
          <cell r="I4965">
            <v>5670</v>
          </cell>
          <cell r="J4965">
            <v>0.13814356164383562</v>
          </cell>
        </row>
        <row r="4966">
          <cell r="I4966">
            <v>5671</v>
          </cell>
          <cell r="J4966">
            <v>0.13814536986301371</v>
          </cell>
        </row>
        <row r="4967">
          <cell r="I4967">
            <v>5672</v>
          </cell>
          <cell r="J4967">
            <v>0.13814717808219179</v>
          </cell>
        </row>
        <row r="4968">
          <cell r="I4968">
            <v>5673</v>
          </cell>
          <cell r="J4968">
            <v>0.13814898630136987</v>
          </cell>
        </row>
        <row r="4969">
          <cell r="I4969">
            <v>5674</v>
          </cell>
          <cell r="J4969">
            <v>0.13815079452054796</v>
          </cell>
        </row>
        <row r="4970">
          <cell r="I4970">
            <v>5675</v>
          </cell>
          <cell r="J4970">
            <v>0.13815260273972604</v>
          </cell>
        </row>
        <row r="4971">
          <cell r="I4971">
            <v>5676</v>
          </cell>
          <cell r="J4971">
            <v>0.13815441095890413</v>
          </cell>
        </row>
        <row r="4972">
          <cell r="I4972">
            <v>5677</v>
          </cell>
          <cell r="J4972">
            <v>0.13815621917808218</v>
          </cell>
        </row>
        <row r="4973">
          <cell r="I4973">
            <v>5678</v>
          </cell>
          <cell r="J4973">
            <v>0.13815802739726027</v>
          </cell>
        </row>
        <row r="4974">
          <cell r="I4974">
            <v>5679</v>
          </cell>
          <cell r="J4974">
            <v>0.13815983561643835</v>
          </cell>
        </row>
        <row r="4975">
          <cell r="I4975">
            <v>5680</v>
          </cell>
          <cell r="J4975">
            <v>0.13816164383561644</v>
          </cell>
        </row>
        <row r="4976">
          <cell r="I4976">
            <v>5681</v>
          </cell>
          <cell r="J4976">
            <v>0.13816345205479452</v>
          </cell>
        </row>
        <row r="4977">
          <cell r="I4977">
            <v>5682</v>
          </cell>
          <cell r="J4977">
            <v>0.13816526027397261</v>
          </cell>
        </row>
        <row r="4978">
          <cell r="I4978">
            <v>5683</v>
          </cell>
          <cell r="J4978">
            <v>0.13816706849315069</v>
          </cell>
        </row>
        <row r="4979">
          <cell r="I4979">
            <v>5684</v>
          </cell>
          <cell r="J4979">
            <v>0.13816887671232878</v>
          </cell>
        </row>
        <row r="4980">
          <cell r="I4980">
            <v>5685</v>
          </cell>
          <cell r="J4980">
            <v>0.13817068493150686</v>
          </cell>
        </row>
        <row r="4981">
          <cell r="I4981">
            <v>5686</v>
          </cell>
          <cell r="J4981">
            <v>0.13817249315068494</v>
          </cell>
        </row>
        <row r="4982">
          <cell r="I4982">
            <v>5687</v>
          </cell>
          <cell r="J4982">
            <v>0.13817430136986303</v>
          </cell>
        </row>
        <row r="4983">
          <cell r="I4983">
            <v>5688</v>
          </cell>
          <cell r="J4983">
            <v>0.13817610958904111</v>
          </cell>
        </row>
        <row r="4984">
          <cell r="I4984">
            <v>5689</v>
          </cell>
          <cell r="J4984">
            <v>0.1381779178082192</v>
          </cell>
        </row>
        <row r="4985">
          <cell r="I4985">
            <v>5690</v>
          </cell>
          <cell r="J4985">
            <v>0.13817972602739725</v>
          </cell>
        </row>
        <row r="4986">
          <cell r="I4986">
            <v>5691</v>
          </cell>
          <cell r="J4986">
            <v>0.13818153424657534</v>
          </cell>
        </row>
        <row r="4987">
          <cell r="I4987">
            <v>5692</v>
          </cell>
          <cell r="J4987">
            <v>0.13818334246575342</v>
          </cell>
        </row>
        <row r="4988">
          <cell r="I4988">
            <v>5693</v>
          </cell>
          <cell r="J4988">
            <v>0.13818515068493151</v>
          </cell>
        </row>
        <row r="4989">
          <cell r="I4989">
            <v>5694</v>
          </cell>
          <cell r="J4989">
            <v>0.13818695890410959</v>
          </cell>
        </row>
        <row r="4990">
          <cell r="I4990">
            <v>5695</v>
          </cell>
          <cell r="J4990">
            <v>0.13818876712328768</v>
          </cell>
        </row>
        <row r="4991">
          <cell r="I4991">
            <v>5696</v>
          </cell>
          <cell r="J4991">
            <v>0.13819057534246576</v>
          </cell>
        </row>
        <row r="4992">
          <cell r="I4992">
            <v>5697</v>
          </cell>
          <cell r="J4992">
            <v>0.13819238356164384</v>
          </cell>
        </row>
        <row r="4993">
          <cell r="I4993">
            <v>5698</v>
          </cell>
          <cell r="J4993">
            <v>0.13819419178082193</v>
          </cell>
        </row>
        <row r="4994">
          <cell r="I4994">
            <v>5699</v>
          </cell>
          <cell r="J4994">
            <v>0.13819600000000001</v>
          </cell>
        </row>
        <row r="4995">
          <cell r="I4995">
            <v>5700</v>
          </cell>
          <cell r="J4995">
            <v>0.1381978082191781</v>
          </cell>
        </row>
        <row r="4996">
          <cell r="I4996">
            <v>5701</v>
          </cell>
          <cell r="J4996">
            <v>0.13819961643835618</v>
          </cell>
        </row>
        <row r="4997">
          <cell r="I4997">
            <v>5702</v>
          </cell>
          <cell r="J4997">
            <v>0.13820142465753424</v>
          </cell>
        </row>
        <row r="4998">
          <cell r="I4998">
            <v>5703</v>
          </cell>
          <cell r="J4998">
            <v>0.13820323287671232</v>
          </cell>
        </row>
        <row r="4999">
          <cell r="I4999">
            <v>5704</v>
          </cell>
          <cell r="J4999">
            <v>0.13820504109589041</v>
          </cell>
        </row>
        <row r="5000">
          <cell r="I5000">
            <v>5705</v>
          </cell>
          <cell r="J5000">
            <v>0.13820684931506849</v>
          </cell>
        </row>
        <row r="5001">
          <cell r="I5001">
            <v>5706</v>
          </cell>
          <cell r="J5001">
            <v>0.13820865753424658</v>
          </cell>
        </row>
        <row r="5002">
          <cell r="I5002">
            <v>5707</v>
          </cell>
          <cell r="J5002">
            <v>0.13821046575342466</v>
          </cell>
        </row>
        <row r="5003">
          <cell r="I5003">
            <v>5708</v>
          </cell>
          <cell r="J5003">
            <v>0.13821227397260274</v>
          </cell>
        </row>
        <row r="5004">
          <cell r="I5004">
            <v>5709</v>
          </cell>
          <cell r="J5004">
            <v>0.13821408219178083</v>
          </cell>
        </row>
        <row r="5005">
          <cell r="I5005">
            <v>5710</v>
          </cell>
          <cell r="J5005">
            <v>0.13821589041095891</v>
          </cell>
        </row>
        <row r="5006">
          <cell r="I5006">
            <v>5711</v>
          </cell>
          <cell r="J5006">
            <v>0.138217698630137</v>
          </cell>
        </row>
        <row r="5007">
          <cell r="I5007">
            <v>5712</v>
          </cell>
          <cell r="J5007">
            <v>0.13821950684931508</v>
          </cell>
        </row>
        <row r="5008">
          <cell r="I5008">
            <v>5713</v>
          </cell>
          <cell r="J5008">
            <v>0.13822131506849317</v>
          </cell>
        </row>
        <row r="5009">
          <cell r="I5009">
            <v>5714</v>
          </cell>
          <cell r="J5009">
            <v>0.13822312328767125</v>
          </cell>
        </row>
        <row r="5010">
          <cell r="I5010">
            <v>5715</v>
          </cell>
          <cell r="J5010">
            <v>0.13822493150684931</v>
          </cell>
        </row>
        <row r="5011">
          <cell r="I5011">
            <v>5716</v>
          </cell>
          <cell r="J5011">
            <v>0.13822673972602739</v>
          </cell>
        </row>
        <row r="5012">
          <cell r="I5012">
            <v>5717</v>
          </cell>
          <cell r="J5012">
            <v>0.13822854794520548</v>
          </cell>
        </row>
        <row r="5013">
          <cell r="I5013">
            <v>5718</v>
          </cell>
          <cell r="J5013">
            <v>0.13823035616438356</v>
          </cell>
        </row>
        <row r="5014">
          <cell r="I5014">
            <v>5719</v>
          </cell>
          <cell r="J5014">
            <v>0.13823216438356165</v>
          </cell>
        </row>
        <row r="5015">
          <cell r="I5015">
            <v>5720</v>
          </cell>
          <cell r="J5015">
            <v>0.13823397260273973</v>
          </cell>
        </row>
        <row r="5016">
          <cell r="I5016">
            <v>5721</v>
          </cell>
          <cell r="J5016">
            <v>0.13823578082191781</v>
          </cell>
        </row>
        <row r="5017">
          <cell r="I5017">
            <v>5722</v>
          </cell>
          <cell r="J5017">
            <v>0.1382375890410959</v>
          </cell>
        </row>
        <row r="5018">
          <cell r="I5018">
            <v>5723</v>
          </cell>
          <cell r="J5018">
            <v>0.13823939726027398</v>
          </cell>
        </row>
        <row r="5019">
          <cell r="I5019">
            <v>5724</v>
          </cell>
          <cell r="J5019">
            <v>0.13824120547945207</v>
          </cell>
        </row>
        <row r="5020">
          <cell r="I5020">
            <v>5725</v>
          </cell>
          <cell r="J5020">
            <v>0.13824301369863015</v>
          </cell>
        </row>
        <row r="5021">
          <cell r="I5021">
            <v>5726</v>
          </cell>
          <cell r="J5021">
            <v>0.13824482191780824</v>
          </cell>
        </row>
        <row r="5022">
          <cell r="I5022">
            <v>5727</v>
          </cell>
          <cell r="J5022">
            <v>0.13824663013698632</v>
          </cell>
        </row>
        <row r="5023">
          <cell r="I5023">
            <v>5728</v>
          </cell>
          <cell r="J5023">
            <v>0.13824843835616438</v>
          </cell>
        </row>
        <row r="5024">
          <cell r="I5024">
            <v>5729</v>
          </cell>
          <cell r="J5024">
            <v>0.13825024657534246</v>
          </cell>
        </row>
        <row r="5025">
          <cell r="I5025">
            <v>5730</v>
          </cell>
          <cell r="J5025">
            <v>0.13825205479452055</v>
          </cell>
        </row>
        <row r="5026">
          <cell r="I5026">
            <v>5731</v>
          </cell>
          <cell r="J5026">
            <v>0.13825386301369863</v>
          </cell>
        </row>
        <row r="5027">
          <cell r="I5027">
            <v>5732</v>
          </cell>
          <cell r="J5027">
            <v>0.13825567123287671</v>
          </cell>
        </row>
        <row r="5028">
          <cell r="I5028">
            <v>5733</v>
          </cell>
          <cell r="J5028">
            <v>0.1382574794520548</v>
          </cell>
        </row>
        <row r="5029">
          <cell r="I5029">
            <v>5734</v>
          </cell>
          <cell r="J5029">
            <v>0.13825928767123288</v>
          </cell>
        </row>
        <row r="5030">
          <cell r="I5030">
            <v>5735</v>
          </cell>
          <cell r="J5030">
            <v>0.13826109589041097</v>
          </cell>
        </row>
        <row r="5031">
          <cell r="I5031">
            <v>5736</v>
          </cell>
          <cell r="J5031">
            <v>0.13826290410958905</v>
          </cell>
        </row>
        <row r="5032">
          <cell r="I5032">
            <v>5737</v>
          </cell>
          <cell r="J5032">
            <v>0.13826471232876714</v>
          </cell>
        </row>
        <row r="5033">
          <cell r="I5033">
            <v>5738</v>
          </cell>
          <cell r="J5033">
            <v>0.13826652054794522</v>
          </cell>
        </row>
        <row r="5034">
          <cell r="I5034">
            <v>5739</v>
          </cell>
          <cell r="J5034">
            <v>0.13826832876712331</v>
          </cell>
        </row>
        <row r="5035">
          <cell r="I5035">
            <v>5740</v>
          </cell>
          <cell r="J5035">
            <v>0.13827013698630136</v>
          </cell>
        </row>
        <row r="5036">
          <cell r="I5036">
            <v>5741</v>
          </cell>
          <cell r="J5036">
            <v>0.13827194520547945</v>
          </cell>
        </row>
        <row r="5037">
          <cell r="I5037">
            <v>5742</v>
          </cell>
          <cell r="J5037">
            <v>0.13827375342465753</v>
          </cell>
        </row>
        <row r="5038">
          <cell r="I5038">
            <v>5743</v>
          </cell>
          <cell r="J5038">
            <v>0.13827556164383561</v>
          </cell>
        </row>
        <row r="5039">
          <cell r="I5039">
            <v>5744</v>
          </cell>
          <cell r="J5039">
            <v>0.1382773698630137</v>
          </cell>
        </row>
        <row r="5040">
          <cell r="I5040">
            <v>5745</v>
          </cell>
          <cell r="J5040">
            <v>0.13827917808219178</v>
          </cell>
        </row>
        <row r="5041">
          <cell r="I5041">
            <v>5746</v>
          </cell>
          <cell r="J5041">
            <v>0.13828098630136987</v>
          </cell>
        </row>
        <row r="5042">
          <cell r="I5042">
            <v>5747</v>
          </cell>
          <cell r="J5042">
            <v>0.13828279452054795</v>
          </cell>
        </row>
        <row r="5043">
          <cell r="I5043">
            <v>5748</v>
          </cell>
          <cell r="J5043">
            <v>0.13828460273972604</v>
          </cell>
        </row>
        <row r="5044">
          <cell r="I5044">
            <v>5749</v>
          </cell>
          <cell r="J5044">
            <v>0.13828641095890412</v>
          </cell>
        </row>
        <row r="5045">
          <cell r="I5045">
            <v>5750</v>
          </cell>
          <cell r="J5045">
            <v>0.13828821917808221</v>
          </cell>
        </row>
        <row r="5046">
          <cell r="I5046">
            <v>5751</v>
          </cell>
          <cell r="J5046">
            <v>0.13829002739726029</v>
          </cell>
        </row>
        <row r="5047">
          <cell r="I5047">
            <v>5752</v>
          </cell>
          <cell r="J5047">
            <v>0.13829183561643837</v>
          </cell>
        </row>
        <row r="5048">
          <cell r="I5048">
            <v>5753</v>
          </cell>
          <cell r="J5048">
            <v>0.13829364383561643</v>
          </cell>
        </row>
        <row r="5049">
          <cell r="I5049">
            <v>5754</v>
          </cell>
          <cell r="J5049">
            <v>0.13829545205479452</v>
          </cell>
        </row>
        <row r="5050">
          <cell r="I5050">
            <v>5755</v>
          </cell>
          <cell r="J5050">
            <v>0.1382972602739726</v>
          </cell>
        </row>
        <row r="5051">
          <cell r="I5051">
            <v>5756</v>
          </cell>
          <cell r="J5051">
            <v>0.13829906849315068</v>
          </cell>
        </row>
        <row r="5052">
          <cell r="I5052">
            <v>5757</v>
          </cell>
          <cell r="J5052">
            <v>0.13830087671232877</v>
          </cell>
        </row>
        <row r="5053">
          <cell r="I5053">
            <v>5758</v>
          </cell>
          <cell r="J5053">
            <v>0.13830268493150685</v>
          </cell>
        </row>
        <row r="5054">
          <cell r="I5054">
            <v>5759</v>
          </cell>
          <cell r="J5054">
            <v>0.13830449315068494</v>
          </cell>
        </row>
        <row r="5055">
          <cell r="I5055">
            <v>5760</v>
          </cell>
          <cell r="J5055">
            <v>0.13830630136986302</v>
          </cell>
        </row>
        <row r="5056">
          <cell r="I5056">
            <v>5761</v>
          </cell>
          <cell r="J5056">
            <v>0.13830810958904111</v>
          </cell>
        </row>
        <row r="5057">
          <cell r="I5057">
            <v>5762</v>
          </cell>
          <cell r="J5057">
            <v>0.13830991780821919</v>
          </cell>
        </row>
        <row r="5058">
          <cell r="I5058">
            <v>5763</v>
          </cell>
          <cell r="J5058">
            <v>0.13831172602739727</v>
          </cell>
        </row>
        <row r="5059">
          <cell r="I5059">
            <v>5764</v>
          </cell>
          <cell r="J5059">
            <v>0.13831353424657536</v>
          </cell>
        </row>
        <row r="5060">
          <cell r="I5060">
            <v>5765</v>
          </cell>
          <cell r="J5060">
            <v>0.13831534246575344</v>
          </cell>
        </row>
        <row r="5061">
          <cell r="I5061">
            <v>5766</v>
          </cell>
          <cell r="J5061">
            <v>0.1383171506849315</v>
          </cell>
        </row>
        <row r="5062">
          <cell r="I5062">
            <v>5767</v>
          </cell>
          <cell r="J5062">
            <v>0.13831895890410958</v>
          </cell>
        </row>
        <row r="5063">
          <cell r="I5063">
            <v>5768</v>
          </cell>
          <cell r="J5063">
            <v>0.13832076712328767</v>
          </cell>
        </row>
        <row r="5064">
          <cell r="I5064">
            <v>5769</v>
          </cell>
          <cell r="J5064">
            <v>0.13832257534246575</v>
          </cell>
        </row>
        <row r="5065">
          <cell r="I5065">
            <v>5770</v>
          </cell>
          <cell r="J5065">
            <v>0.13832438356164384</v>
          </cell>
        </row>
        <row r="5066">
          <cell r="I5066">
            <v>5771</v>
          </cell>
          <cell r="J5066">
            <v>0.13832619178082192</v>
          </cell>
        </row>
        <row r="5067">
          <cell r="I5067">
            <v>5772</v>
          </cell>
          <cell r="J5067">
            <v>0.13832800000000001</v>
          </cell>
        </row>
        <row r="5068">
          <cell r="I5068">
            <v>5773</v>
          </cell>
          <cell r="J5068">
            <v>0.13832980821917809</v>
          </cell>
        </row>
        <row r="5069">
          <cell r="I5069">
            <v>5774</v>
          </cell>
          <cell r="J5069">
            <v>0.13833161643835618</v>
          </cell>
        </row>
        <row r="5070">
          <cell r="I5070">
            <v>5775</v>
          </cell>
          <cell r="J5070">
            <v>0.13833342465753426</v>
          </cell>
        </row>
        <row r="5071">
          <cell r="I5071">
            <v>5776</v>
          </cell>
          <cell r="J5071">
            <v>0.13833523287671234</v>
          </cell>
        </row>
        <row r="5072">
          <cell r="I5072">
            <v>5777</v>
          </cell>
          <cell r="J5072">
            <v>0.13833704109589043</v>
          </cell>
        </row>
        <row r="5073">
          <cell r="I5073">
            <v>5778</v>
          </cell>
          <cell r="J5073">
            <v>0.13833884931506849</v>
          </cell>
        </row>
        <row r="5074">
          <cell r="I5074">
            <v>5779</v>
          </cell>
          <cell r="J5074">
            <v>0.13834065753424657</v>
          </cell>
        </row>
        <row r="5075">
          <cell r="I5075">
            <v>5780</v>
          </cell>
          <cell r="J5075">
            <v>0.13834246575342465</v>
          </cell>
        </row>
        <row r="5076">
          <cell r="I5076">
            <v>5781</v>
          </cell>
          <cell r="J5076">
            <v>0.13834427397260274</v>
          </cell>
        </row>
        <row r="5077">
          <cell r="I5077">
            <v>5782</v>
          </cell>
          <cell r="J5077">
            <v>0.13834608219178082</v>
          </cell>
        </row>
        <row r="5078">
          <cell r="I5078">
            <v>5783</v>
          </cell>
          <cell r="J5078">
            <v>0.13834789041095891</v>
          </cell>
        </row>
        <row r="5079">
          <cell r="I5079">
            <v>5784</v>
          </cell>
          <cell r="J5079">
            <v>0.13834969863013699</v>
          </cell>
        </row>
        <row r="5080">
          <cell r="I5080">
            <v>5785</v>
          </cell>
          <cell r="J5080">
            <v>0.13835150684931508</v>
          </cell>
        </row>
        <row r="5081">
          <cell r="I5081">
            <v>5786</v>
          </cell>
          <cell r="J5081">
            <v>0.13835331506849316</v>
          </cell>
        </row>
        <row r="5082">
          <cell r="I5082">
            <v>5787</v>
          </cell>
          <cell r="J5082">
            <v>0.13835512328767124</v>
          </cell>
        </row>
        <row r="5083">
          <cell r="I5083">
            <v>5788</v>
          </cell>
          <cell r="J5083">
            <v>0.13835693150684933</v>
          </cell>
        </row>
        <row r="5084">
          <cell r="I5084">
            <v>5789</v>
          </cell>
          <cell r="J5084">
            <v>0.13835873972602741</v>
          </cell>
        </row>
        <row r="5085">
          <cell r="I5085">
            <v>5790</v>
          </cell>
          <cell r="J5085">
            <v>0.1383605479452055</v>
          </cell>
        </row>
        <row r="5086">
          <cell r="I5086">
            <v>5791</v>
          </cell>
          <cell r="J5086">
            <v>0.13836235616438355</v>
          </cell>
        </row>
        <row r="5087">
          <cell r="I5087">
            <v>5792</v>
          </cell>
          <cell r="J5087">
            <v>0.13836416438356164</v>
          </cell>
        </row>
        <row r="5088">
          <cell r="I5088">
            <v>5793</v>
          </cell>
          <cell r="J5088">
            <v>0.13836597260273972</v>
          </cell>
        </row>
        <row r="5089">
          <cell r="I5089">
            <v>5794</v>
          </cell>
          <cell r="J5089">
            <v>0.13836778082191781</v>
          </cell>
        </row>
        <row r="5090">
          <cell r="I5090">
            <v>5795</v>
          </cell>
          <cell r="J5090">
            <v>0.13836958904109589</v>
          </cell>
        </row>
        <row r="5091">
          <cell r="I5091">
            <v>5796</v>
          </cell>
          <cell r="J5091">
            <v>0.13837139726027398</v>
          </cell>
        </row>
        <row r="5092">
          <cell r="I5092">
            <v>5797</v>
          </cell>
          <cell r="J5092">
            <v>0.13837320547945206</v>
          </cell>
        </row>
        <row r="5093">
          <cell r="I5093">
            <v>5798</v>
          </cell>
          <cell r="J5093">
            <v>0.13837501369863014</v>
          </cell>
        </row>
        <row r="5094">
          <cell r="I5094">
            <v>5799</v>
          </cell>
          <cell r="J5094">
            <v>0.13837682191780823</v>
          </cell>
        </row>
        <row r="5095">
          <cell r="I5095">
            <v>5800</v>
          </cell>
          <cell r="J5095">
            <v>0.13837863013698631</v>
          </cell>
        </row>
        <row r="5096">
          <cell r="I5096">
            <v>5801</v>
          </cell>
          <cell r="J5096">
            <v>0.1383804383561644</v>
          </cell>
        </row>
        <row r="5097">
          <cell r="I5097">
            <v>5802</v>
          </cell>
          <cell r="J5097">
            <v>0.13838224657534248</v>
          </cell>
        </row>
        <row r="5098">
          <cell r="I5098">
            <v>5803</v>
          </cell>
          <cell r="J5098">
            <v>0.13838405479452057</v>
          </cell>
        </row>
        <row r="5099">
          <cell r="I5099">
            <v>5804</v>
          </cell>
          <cell r="J5099">
            <v>0.13838586301369862</v>
          </cell>
        </row>
        <row r="5100">
          <cell r="I5100">
            <v>5805</v>
          </cell>
          <cell r="J5100">
            <v>0.13838767123287671</v>
          </cell>
        </row>
        <row r="5101">
          <cell r="I5101">
            <v>5806</v>
          </cell>
          <cell r="J5101">
            <v>0.13838947945205479</v>
          </cell>
        </row>
        <row r="5102">
          <cell r="I5102">
            <v>5807</v>
          </cell>
          <cell r="J5102">
            <v>0.13839128767123288</v>
          </cell>
        </row>
        <row r="5103">
          <cell r="I5103">
            <v>5808</v>
          </cell>
          <cell r="J5103">
            <v>0.13839309589041096</v>
          </cell>
        </row>
        <row r="5104">
          <cell r="I5104">
            <v>5809</v>
          </cell>
          <cell r="J5104">
            <v>0.13839490410958905</v>
          </cell>
        </row>
        <row r="5105">
          <cell r="I5105">
            <v>5810</v>
          </cell>
          <cell r="J5105">
            <v>0.13839671232876713</v>
          </cell>
        </row>
        <row r="5106">
          <cell r="I5106">
            <v>5811</v>
          </cell>
          <cell r="J5106">
            <v>0.13839852054794521</v>
          </cell>
        </row>
        <row r="5107">
          <cell r="I5107">
            <v>5812</v>
          </cell>
          <cell r="J5107">
            <v>0.1384003287671233</v>
          </cell>
        </row>
        <row r="5108">
          <cell r="I5108">
            <v>5813</v>
          </cell>
          <cell r="J5108">
            <v>0.13840213698630138</v>
          </cell>
        </row>
        <row r="5109">
          <cell r="I5109">
            <v>5814</v>
          </cell>
          <cell r="J5109">
            <v>0.13840394520547947</v>
          </cell>
        </row>
        <row r="5110">
          <cell r="I5110">
            <v>5815</v>
          </cell>
          <cell r="J5110">
            <v>0.13840575342465755</v>
          </cell>
        </row>
        <row r="5111">
          <cell r="I5111">
            <v>5816</v>
          </cell>
          <cell r="J5111">
            <v>0.13840756164383561</v>
          </cell>
        </row>
        <row r="5112">
          <cell r="I5112">
            <v>5817</v>
          </cell>
          <cell r="J5112">
            <v>0.13840936986301369</v>
          </cell>
        </row>
        <row r="5113">
          <cell r="I5113">
            <v>5818</v>
          </cell>
          <cell r="J5113">
            <v>0.13841117808219178</v>
          </cell>
        </row>
        <row r="5114">
          <cell r="I5114">
            <v>5819</v>
          </cell>
          <cell r="J5114">
            <v>0.13841298630136986</v>
          </cell>
        </row>
        <row r="5115">
          <cell r="I5115">
            <v>5820</v>
          </cell>
          <cell r="J5115">
            <v>0.13841479452054795</v>
          </cell>
        </row>
        <row r="5116">
          <cell r="I5116">
            <v>5821</v>
          </cell>
          <cell r="J5116">
            <v>0.13841660273972603</v>
          </cell>
        </row>
        <row r="5117">
          <cell r="I5117">
            <v>5822</v>
          </cell>
          <cell r="J5117">
            <v>0.13841841095890411</v>
          </cell>
        </row>
        <row r="5118">
          <cell r="I5118">
            <v>5823</v>
          </cell>
          <cell r="J5118">
            <v>0.1384202191780822</v>
          </cell>
        </row>
        <row r="5119">
          <cell r="I5119">
            <v>5824</v>
          </cell>
          <cell r="J5119">
            <v>0.13842202739726028</v>
          </cell>
        </row>
        <row r="5120">
          <cell r="I5120">
            <v>5825</v>
          </cell>
          <cell r="J5120">
            <v>0.13842383561643837</v>
          </cell>
        </row>
        <row r="5121">
          <cell r="I5121">
            <v>5826</v>
          </cell>
          <cell r="J5121">
            <v>0.13842564383561645</v>
          </cell>
        </row>
        <row r="5122">
          <cell r="I5122">
            <v>5827</v>
          </cell>
          <cell r="J5122">
            <v>0.13842745205479454</v>
          </cell>
        </row>
        <row r="5123">
          <cell r="I5123">
            <v>5828</v>
          </cell>
          <cell r="J5123">
            <v>0.13842926027397262</v>
          </cell>
        </row>
        <row r="5124">
          <cell r="I5124">
            <v>5829</v>
          </cell>
          <cell r="J5124">
            <v>0.13843106849315068</v>
          </cell>
        </row>
        <row r="5125">
          <cell r="I5125">
            <v>5830</v>
          </cell>
          <cell r="J5125">
            <v>0.13843287671232876</v>
          </cell>
        </row>
        <row r="5126">
          <cell r="I5126">
            <v>5831</v>
          </cell>
          <cell r="J5126">
            <v>0.13843468493150685</v>
          </cell>
        </row>
        <row r="5127">
          <cell r="I5127">
            <v>5832</v>
          </cell>
          <cell r="J5127">
            <v>0.13843649315068493</v>
          </cell>
        </row>
        <row r="5128">
          <cell r="I5128">
            <v>5833</v>
          </cell>
          <cell r="J5128">
            <v>0.13843830136986301</v>
          </cell>
        </row>
        <row r="5129">
          <cell r="I5129">
            <v>5834</v>
          </cell>
          <cell r="J5129">
            <v>0.1384401095890411</v>
          </cell>
        </row>
        <row r="5130">
          <cell r="I5130">
            <v>5835</v>
          </cell>
          <cell r="J5130">
            <v>0.13844191780821918</v>
          </cell>
        </row>
        <row r="5131">
          <cell r="I5131">
            <v>5836</v>
          </cell>
          <cell r="J5131">
            <v>0.13844372602739727</v>
          </cell>
        </row>
        <row r="5132">
          <cell r="I5132">
            <v>5837</v>
          </cell>
          <cell r="J5132">
            <v>0.13844553424657535</v>
          </cell>
        </row>
        <row r="5133">
          <cell r="I5133">
            <v>5838</v>
          </cell>
          <cell r="J5133">
            <v>0.13844734246575344</v>
          </cell>
        </row>
        <row r="5134">
          <cell r="I5134">
            <v>5839</v>
          </cell>
          <cell r="J5134">
            <v>0.13844915068493152</v>
          </cell>
        </row>
        <row r="5135">
          <cell r="I5135">
            <v>5840</v>
          </cell>
          <cell r="J5135">
            <v>0.13845095890410961</v>
          </cell>
        </row>
        <row r="5136">
          <cell r="I5136">
            <v>5841</v>
          </cell>
          <cell r="J5136">
            <v>0.13845276712328769</v>
          </cell>
        </row>
        <row r="5137">
          <cell r="I5137">
            <v>5842</v>
          </cell>
          <cell r="J5137">
            <v>0.13845457534246575</v>
          </cell>
        </row>
        <row r="5138">
          <cell r="I5138">
            <v>5843</v>
          </cell>
          <cell r="J5138">
            <v>0.13845638356164383</v>
          </cell>
        </row>
        <row r="5139">
          <cell r="I5139">
            <v>5844</v>
          </cell>
          <cell r="J5139">
            <v>0.13845819178082192</v>
          </cell>
        </row>
        <row r="5140">
          <cell r="I5140">
            <v>5845</v>
          </cell>
          <cell r="J5140">
            <v>0.13846</v>
          </cell>
        </row>
        <row r="5141">
          <cell r="I5141">
            <v>5846</v>
          </cell>
          <cell r="J5141">
            <v>0.13846180821917808</v>
          </cell>
        </row>
        <row r="5142">
          <cell r="I5142">
            <v>5847</v>
          </cell>
          <cell r="J5142">
            <v>0.13846361643835617</v>
          </cell>
        </row>
        <row r="5143">
          <cell r="I5143">
            <v>5848</v>
          </cell>
          <cell r="J5143">
            <v>0.13846542465753425</v>
          </cell>
        </row>
        <row r="5144">
          <cell r="I5144">
            <v>5849</v>
          </cell>
          <cell r="J5144">
            <v>0.13846723287671234</v>
          </cell>
        </row>
        <row r="5145">
          <cell r="I5145">
            <v>5850</v>
          </cell>
          <cell r="J5145">
            <v>0.13846904109589042</v>
          </cell>
        </row>
        <row r="5146">
          <cell r="I5146">
            <v>5851</v>
          </cell>
          <cell r="J5146">
            <v>0.13847084931506851</v>
          </cell>
        </row>
        <row r="5147">
          <cell r="I5147">
            <v>5852</v>
          </cell>
          <cell r="J5147">
            <v>0.13847265753424659</v>
          </cell>
        </row>
        <row r="5148">
          <cell r="I5148">
            <v>5853</v>
          </cell>
          <cell r="J5148">
            <v>0.13847446575342467</v>
          </cell>
        </row>
        <row r="5149">
          <cell r="I5149">
            <v>5854</v>
          </cell>
          <cell r="J5149">
            <v>0.13847627397260273</v>
          </cell>
        </row>
        <row r="5150">
          <cell r="I5150">
            <v>5855</v>
          </cell>
          <cell r="J5150">
            <v>0.13847808219178082</v>
          </cell>
        </row>
        <row r="5151">
          <cell r="I5151">
            <v>5856</v>
          </cell>
          <cell r="J5151">
            <v>0.1384798904109589</v>
          </cell>
        </row>
        <row r="5152">
          <cell r="I5152">
            <v>5857</v>
          </cell>
          <cell r="J5152">
            <v>0.13848169863013698</v>
          </cell>
        </row>
        <row r="5153">
          <cell r="I5153">
            <v>5858</v>
          </cell>
          <cell r="J5153">
            <v>0.13848350684931507</v>
          </cell>
        </row>
        <row r="5154">
          <cell r="I5154">
            <v>5859</v>
          </cell>
          <cell r="J5154">
            <v>0.13848531506849315</v>
          </cell>
        </row>
        <row r="5155">
          <cell r="I5155">
            <v>5860</v>
          </cell>
          <cell r="J5155">
            <v>0.13848712328767124</v>
          </cell>
        </row>
        <row r="5156">
          <cell r="I5156">
            <v>5861</v>
          </cell>
          <cell r="J5156">
            <v>0.13848893150684932</v>
          </cell>
        </row>
        <row r="5157">
          <cell r="I5157">
            <v>5862</v>
          </cell>
          <cell r="J5157">
            <v>0.13849073972602741</v>
          </cell>
        </row>
        <row r="5158">
          <cell r="I5158">
            <v>5863</v>
          </cell>
          <cell r="J5158">
            <v>0.13849254794520549</v>
          </cell>
        </row>
        <row r="5159">
          <cell r="I5159">
            <v>5864</v>
          </cell>
          <cell r="J5159">
            <v>0.13849435616438358</v>
          </cell>
        </row>
        <row r="5160">
          <cell r="I5160">
            <v>5865</v>
          </cell>
          <cell r="J5160">
            <v>0.13849616438356166</v>
          </cell>
        </row>
        <row r="5161">
          <cell r="I5161">
            <v>5866</v>
          </cell>
          <cell r="J5161">
            <v>0.13849797260273974</v>
          </cell>
        </row>
        <row r="5162">
          <cell r="I5162">
            <v>5867</v>
          </cell>
          <cell r="J5162">
            <v>0.1384997808219178</v>
          </cell>
        </row>
        <row r="5163">
          <cell r="I5163">
            <v>5868</v>
          </cell>
          <cell r="J5163">
            <v>0.13850158904109588</v>
          </cell>
        </row>
        <row r="5164">
          <cell r="I5164">
            <v>5869</v>
          </cell>
          <cell r="J5164">
            <v>0.13850339726027397</v>
          </cell>
        </row>
        <row r="5165">
          <cell r="I5165">
            <v>5870</v>
          </cell>
          <cell r="J5165">
            <v>0.13850520547945205</v>
          </cell>
        </row>
        <row r="5166">
          <cell r="I5166">
            <v>5871</v>
          </cell>
          <cell r="J5166">
            <v>0.13850701369863014</v>
          </cell>
        </row>
        <row r="5167">
          <cell r="I5167">
            <v>5872</v>
          </cell>
          <cell r="J5167">
            <v>0.13850882191780822</v>
          </cell>
        </row>
        <row r="5168">
          <cell r="I5168">
            <v>5873</v>
          </cell>
          <cell r="J5168">
            <v>0.13851063013698631</v>
          </cell>
        </row>
        <row r="5169">
          <cell r="I5169">
            <v>5874</v>
          </cell>
          <cell r="J5169">
            <v>0.13851243835616439</v>
          </cell>
        </row>
        <row r="5170">
          <cell r="I5170">
            <v>5875</v>
          </cell>
          <cell r="J5170">
            <v>0.13851424657534248</v>
          </cell>
        </row>
        <row r="5171">
          <cell r="I5171">
            <v>5876</v>
          </cell>
          <cell r="J5171">
            <v>0.13851605479452056</v>
          </cell>
        </row>
        <row r="5172">
          <cell r="I5172">
            <v>5877</v>
          </cell>
          <cell r="J5172">
            <v>0.13851786301369864</v>
          </cell>
        </row>
        <row r="5173">
          <cell r="I5173">
            <v>5878</v>
          </cell>
          <cell r="J5173">
            <v>0.13851967123287673</v>
          </cell>
        </row>
        <row r="5174">
          <cell r="I5174">
            <v>5879</v>
          </cell>
          <cell r="J5174">
            <v>0.13852147945205481</v>
          </cell>
        </row>
        <row r="5175">
          <cell r="I5175">
            <v>5880</v>
          </cell>
          <cell r="J5175">
            <v>0.13852328767123287</v>
          </cell>
        </row>
        <row r="5176">
          <cell r="I5176">
            <v>5881</v>
          </cell>
          <cell r="J5176">
            <v>0.13852509589041095</v>
          </cell>
        </row>
        <row r="5177">
          <cell r="I5177">
            <v>5882</v>
          </cell>
          <cell r="J5177">
            <v>0.13852690410958904</v>
          </cell>
        </row>
        <row r="5178">
          <cell r="I5178">
            <v>5883</v>
          </cell>
          <cell r="J5178">
            <v>0.13852871232876712</v>
          </cell>
        </row>
        <row r="5179">
          <cell r="I5179">
            <v>5884</v>
          </cell>
          <cell r="J5179">
            <v>0.13853052054794521</v>
          </cell>
        </row>
        <row r="5180">
          <cell r="I5180">
            <v>5885</v>
          </cell>
          <cell r="J5180">
            <v>0.13853232876712329</v>
          </cell>
        </row>
        <row r="5181">
          <cell r="I5181">
            <v>5886</v>
          </cell>
          <cell r="J5181">
            <v>0.13853413698630138</v>
          </cell>
        </row>
        <row r="5182">
          <cell r="I5182">
            <v>5887</v>
          </cell>
          <cell r="J5182">
            <v>0.13853594520547946</v>
          </cell>
        </row>
        <row r="5183">
          <cell r="I5183">
            <v>5888</v>
          </cell>
          <cell r="J5183">
            <v>0.13853775342465754</v>
          </cell>
        </row>
        <row r="5184">
          <cell r="I5184">
            <v>5889</v>
          </cell>
          <cell r="J5184">
            <v>0.13853956164383563</v>
          </cell>
        </row>
        <row r="5185">
          <cell r="I5185">
            <v>5890</v>
          </cell>
          <cell r="J5185">
            <v>0.13854136986301371</v>
          </cell>
        </row>
        <row r="5186">
          <cell r="I5186">
            <v>5891</v>
          </cell>
          <cell r="J5186">
            <v>0.1385431780821918</v>
          </cell>
        </row>
        <row r="5187">
          <cell r="I5187">
            <v>5892</v>
          </cell>
          <cell r="J5187">
            <v>0.13854498630136985</v>
          </cell>
        </row>
        <row r="5188">
          <cell r="I5188">
            <v>5893</v>
          </cell>
          <cell r="J5188">
            <v>0.13854679452054794</v>
          </cell>
        </row>
        <row r="5189">
          <cell r="I5189">
            <v>5894</v>
          </cell>
          <cell r="J5189">
            <v>0.13854860273972602</v>
          </cell>
        </row>
        <row r="5190">
          <cell r="I5190">
            <v>5895</v>
          </cell>
          <cell r="J5190">
            <v>0.13855041095890411</v>
          </cell>
        </row>
        <row r="5191">
          <cell r="I5191">
            <v>5896</v>
          </cell>
          <cell r="J5191">
            <v>0.13855221917808219</v>
          </cell>
        </row>
        <row r="5192">
          <cell r="I5192">
            <v>5897</v>
          </cell>
          <cell r="J5192">
            <v>0.13855402739726028</v>
          </cell>
        </row>
        <row r="5193">
          <cell r="I5193">
            <v>5898</v>
          </cell>
          <cell r="J5193">
            <v>0.13855583561643836</v>
          </cell>
        </row>
        <row r="5194">
          <cell r="I5194">
            <v>5899</v>
          </cell>
          <cell r="J5194">
            <v>0.13855764383561645</v>
          </cell>
        </row>
        <row r="5195">
          <cell r="I5195">
            <v>5900</v>
          </cell>
          <cell r="J5195">
            <v>0.13855945205479453</v>
          </cell>
        </row>
        <row r="5196">
          <cell r="I5196">
            <v>5901</v>
          </cell>
          <cell r="J5196">
            <v>0.13856126027397261</v>
          </cell>
        </row>
        <row r="5197">
          <cell r="I5197">
            <v>5902</v>
          </cell>
          <cell r="J5197">
            <v>0.1385630684931507</v>
          </cell>
        </row>
        <row r="5198">
          <cell r="I5198">
            <v>5903</v>
          </cell>
          <cell r="J5198">
            <v>0.13856487671232878</v>
          </cell>
        </row>
        <row r="5199">
          <cell r="I5199">
            <v>5904</v>
          </cell>
          <cell r="J5199">
            <v>0.13856668493150687</v>
          </cell>
        </row>
        <row r="5200">
          <cell r="I5200">
            <v>5905</v>
          </cell>
          <cell r="J5200">
            <v>0.13856849315068492</v>
          </cell>
        </row>
        <row r="5201">
          <cell r="I5201">
            <v>5906</v>
          </cell>
          <cell r="J5201">
            <v>0.13857030136986301</v>
          </cell>
        </row>
        <row r="5202">
          <cell r="I5202">
            <v>5907</v>
          </cell>
          <cell r="J5202">
            <v>0.13857210958904109</v>
          </cell>
        </row>
        <row r="5203">
          <cell r="I5203">
            <v>5908</v>
          </cell>
          <cell r="J5203">
            <v>0.13857391780821918</v>
          </cell>
        </row>
        <row r="5204">
          <cell r="I5204">
            <v>5909</v>
          </cell>
          <cell r="J5204">
            <v>0.13857572602739726</v>
          </cell>
        </row>
        <row r="5205">
          <cell r="I5205">
            <v>5910</v>
          </cell>
          <cell r="J5205">
            <v>0.13857753424657535</v>
          </cell>
        </row>
        <row r="5206">
          <cell r="I5206">
            <v>5911</v>
          </cell>
          <cell r="J5206">
            <v>0.13857934246575343</v>
          </cell>
        </row>
        <row r="5207">
          <cell r="I5207">
            <v>5912</v>
          </cell>
          <cell r="J5207">
            <v>0.13858115068493151</v>
          </cell>
        </row>
        <row r="5208">
          <cell r="I5208">
            <v>5913</v>
          </cell>
          <cell r="J5208">
            <v>0.1385829589041096</v>
          </cell>
        </row>
        <row r="5209">
          <cell r="I5209">
            <v>5914</v>
          </cell>
          <cell r="J5209">
            <v>0.13858476712328768</v>
          </cell>
        </row>
        <row r="5210">
          <cell r="I5210">
            <v>5915</v>
          </cell>
          <cell r="J5210">
            <v>0.13858657534246577</v>
          </cell>
        </row>
        <row r="5211">
          <cell r="I5211">
            <v>5916</v>
          </cell>
          <cell r="J5211">
            <v>0.13858838356164385</v>
          </cell>
        </row>
        <row r="5212">
          <cell r="I5212">
            <v>5917</v>
          </cell>
          <cell r="J5212">
            <v>0.13859019178082194</v>
          </cell>
        </row>
        <row r="5213">
          <cell r="I5213">
            <v>5918</v>
          </cell>
          <cell r="J5213">
            <v>0.13859199999999999</v>
          </cell>
        </row>
        <row r="5214">
          <cell r="I5214">
            <v>5919</v>
          </cell>
          <cell r="J5214">
            <v>0.13859380821917808</v>
          </cell>
        </row>
        <row r="5215">
          <cell r="I5215">
            <v>5920</v>
          </cell>
          <cell r="J5215">
            <v>0.13859561643835616</v>
          </cell>
        </row>
        <row r="5216">
          <cell r="I5216">
            <v>5921</v>
          </cell>
          <cell r="J5216">
            <v>0.13859742465753425</v>
          </cell>
        </row>
        <row r="5217">
          <cell r="I5217">
            <v>5922</v>
          </cell>
          <cell r="J5217">
            <v>0.13859923287671233</v>
          </cell>
        </row>
        <row r="5218">
          <cell r="I5218">
            <v>5923</v>
          </cell>
          <cell r="J5218">
            <v>0.13860104109589041</v>
          </cell>
        </row>
        <row r="5219">
          <cell r="I5219">
            <v>5924</v>
          </cell>
          <cell r="J5219">
            <v>0.1386028493150685</v>
          </cell>
        </row>
        <row r="5220">
          <cell r="I5220">
            <v>5925</v>
          </cell>
          <cell r="J5220">
            <v>0.13860465753424658</v>
          </cell>
        </row>
        <row r="5221">
          <cell r="I5221">
            <v>5926</v>
          </cell>
          <cell r="J5221">
            <v>0.13860646575342467</v>
          </cell>
        </row>
        <row r="5222">
          <cell r="I5222">
            <v>5927</v>
          </cell>
          <cell r="J5222">
            <v>0.13860827397260275</v>
          </cell>
        </row>
        <row r="5223">
          <cell r="I5223">
            <v>5928</v>
          </cell>
          <cell r="J5223">
            <v>0.13861008219178084</v>
          </cell>
        </row>
        <row r="5224">
          <cell r="I5224">
            <v>5929</v>
          </cell>
          <cell r="J5224">
            <v>0.13861189041095892</v>
          </cell>
        </row>
        <row r="5225">
          <cell r="I5225">
            <v>5930</v>
          </cell>
          <cell r="J5225">
            <v>0.13861369863013698</v>
          </cell>
        </row>
        <row r="5226">
          <cell r="I5226">
            <v>5931</v>
          </cell>
          <cell r="J5226">
            <v>0.13861550684931506</v>
          </cell>
        </row>
        <row r="5227">
          <cell r="I5227">
            <v>5932</v>
          </cell>
          <cell r="J5227">
            <v>0.13861731506849315</v>
          </cell>
        </row>
        <row r="5228">
          <cell r="I5228">
            <v>5933</v>
          </cell>
          <cell r="J5228">
            <v>0.13861912328767123</v>
          </cell>
        </row>
        <row r="5229">
          <cell r="I5229">
            <v>5934</v>
          </cell>
          <cell r="J5229">
            <v>0.13862093150684932</v>
          </cell>
        </row>
        <row r="5230">
          <cell r="I5230">
            <v>5935</v>
          </cell>
          <cell r="J5230">
            <v>0.1386227397260274</v>
          </cell>
        </row>
        <row r="5231">
          <cell r="I5231">
            <v>5936</v>
          </cell>
          <cell r="J5231">
            <v>0.13862454794520548</v>
          </cell>
        </row>
        <row r="5232">
          <cell r="I5232">
            <v>5937</v>
          </cell>
          <cell r="J5232">
            <v>0.13862635616438357</v>
          </cell>
        </row>
        <row r="5233">
          <cell r="I5233">
            <v>5938</v>
          </cell>
          <cell r="J5233">
            <v>0.13862816438356165</v>
          </cell>
        </row>
        <row r="5234">
          <cell r="I5234">
            <v>5939</v>
          </cell>
          <cell r="J5234">
            <v>0.13862997260273974</v>
          </cell>
        </row>
        <row r="5235">
          <cell r="I5235">
            <v>5940</v>
          </cell>
          <cell r="J5235">
            <v>0.13863178082191782</v>
          </cell>
        </row>
        <row r="5236">
          <cell r="I5236">
            <v>5941</v>
          </cell>
          <cell r="J5236">
            <v>0.13863358904109591</v>
          </cell>
        </row>
        <row r="5237">
          <cell r="I5237">
            <v>5942</v>
          </cell>
          <cell r="J5237">
            <v>0.13863539726027399</v>
          </cell>
        </row>
        <row r="5238">
          <cell r="I5238">
            <v>5943</v>
          </cell>
          <cell r="J5238">
            <v>0.13863720547945205</v>
          </cell>
        </row>
        <row r="5239">
          <cell r="I5239">
            <v>5944</v>
          </cell>
          <cell r="J5239">
            <v>0.13863901369863013</v>
          </cell>
        </row>
        <row r="5240">
          <cell r="I5240">
            <v>5945</v>
          </cell>
          <cell r="J5240">
            <v>0.13864082191780822</v>
          </cell>
        </row>
        <row r="5241">
          <cell r="I5241">
            <v>5946</v>
          </cell>
          <cell r="J5241">
            <v>0.1386426301369863</v>
          </cell>
        </row>
        <row r="5242">
          <cell r="I5242">
            <v>5947</v>
          </cell>
          <cell r="J5242">
            <v>0.13864443835616438</v>
          </cell>
        </row>
        <row r="5243">
          <cell r="I5243">
            <v>5948</v>
          </cell>
          <cell r="J5243">
            <v>0.13864624657534247</v>
          </cell>
        </row>
        <row r="5244">
          <cell r="I5244">
            <v>5949</v>
          </cell>
          <cell r="J5244">
            <v>0.13864805479452055</v>
          </cell>
        </row>
        <row r="5245">
          <cell r="I5245">
            <v>5950</v>
          </cell>
          <cell r="J5245">
            <v>0.13864986301369864</v>
          </cell>
        </row>
        <row r="5246">
          <cell r="I5246">
            <v>5951</v>
          </cell>
          <cell r="J5246">
            <v>0.13865167123287672</v>
          </cell>
        </row>
        <row r="5247">
          <cell r="I5247">
            <v>5952</v>
          </cell>
          <cell r="J5247">
            <v>0.13865347945205481</v>
          </cell>
        </row>
        <row r="5248">
          <cell r="I5248">
            <v>5953</v>
          </cell>
          <cell r="J5248">
            <v>0.13865528767123289</v>
          </cell>
        </row>
        <row r="5249">
          <cell r="I5249">
            <v>5954</v>
          </cell>
          <cell r="J5249">
            <v>0.13865709589041098</v>
          </cell>
        </row>
        <row r="5250">
          <cell r="I5250">
            <v>5955</v>
          </cell>
          <cell r="J5250">
            <v>0.13865890410958906</v>
          </cell>
        </row>
        <row r="5251">
          <cell r="I5251">
            <v>5956</v>
          </cell>
          <cell r="J5251">
            <v>0.13866071232876712</v>
          </cell>
        </row>
        <row r="5252">
          <cell r="I5252">
            <v>5957</v>
          </cell>
          <cell r="J5252">
            <v>0.1386625205479452</v>
          </cell>
        </row>
        <row r="5253">
          <cell r="I5253">
            <v>5958</v>
          </cell>
          <cell r="J5253">
            <v>0.13866432876712328</v>
          </cell>
        </row>
        <row r="5254">
          <cell r="I5254">
            <v>5959</v>
          </cell>
          <cell r="J5254">
            <v>0.13866613698630137</v>
          </cell>
        </row>
        <row r="5255">
          <cell r="I5255">
            <v>5960</v>
          </cell>
          <cell r="J5255">
            <v>0.13866794520547945</v>
          </cell>
        </row>
        <row r="5256">
          <cell r="I5256">
            <v>5961</v>
          </cell>
          <cell r="J5256">
            <v>0.13866975342465754</v>
          </cell>
        </row>
        <row r="5257">
          <cell r="I5257">
            <v>5962</v>
          </cell>
          <cell r="J5257">
            <v>0.13867156164383562</v>
          </cell>
        </row>
        <row r="5258">
          <cell r="I5258">
            <v>5963</v>
          </cell>
          <cell r="J5258">
            <v>0.13867336986301371</v>
          </cell>
        </row>
        <row r="5259">
          <cell r="I5259">
            <v>5964</v>
          </cell>
          <cell r="J5259">
            <v>0.13867517808219179</v>
          </cell>
        </row>
        <row r="5260">
          <cell r="I5260">
            <v>5965</v>
          </cell>
          <cell r="J5260">
            <v>0.13867698630136988</v>
          </cell>
        </row>
        <row r="5261">
          <cell r="I5261">
            <v>5966</v>
          </cell>
          <cell r="J5261">
            <v>0.13867879452054796</v>
          </cell>
        </row>
        <row r="5262">
          <cell r="I5262">
            <v>5967</v>
          </cell>
          <cell r="J5262">
            <v>0.13868060273972604</v>
          </cell>
        </row>
        <row r="5263">
          <cell r="I5263">
            <v>5968</v>
          </cell>
          <cell r="J5263">
            <v>0.1386824109589041</v>
          </cell>
        </row>
        <row r="5264">
          <cell r="I5264">
            <v>5969</v>
          </cell>
          <cell r="J5264">
            <v>0.13868421917808219</v>
          </cell>
        </row>
        <row r="5265">
          <cell r="I5265">
            <v>5970</v>
          </cell>
          <cell r="J5265">
            <v>0.13868602739726027</v>
          </cell>
        </row>
        <row r="5266">
          <cell r="I5266">
            <v>5971</v>
          </cell>
          <cell r="J5266">
            <v>0.13868783561643835</v>
          </cell>
        </row>
        <row r="5267">
          <cell r="I5267">
            <v>5972</v>
          </cell>
          <cell r="J5267">
            <v>0.13868964383561644</v>
          </cell>
        </row>
        <row r="5268">
          <cell r="I5268">
            <v>5973</v>
          </cell>
          <cell r="J5268">
            <v>0.13869145205479452</v>
          </cell>
        </row>
        <row r="5269">
          <cell r="I5269">
            <v>5974</v>
          </cell>
          <cell r="J5269">
            <v>0.13869326027397261</v>
          </cell>
        </row>
        <row r="5270">
          <cell r="I5270">
            <v>5975</v>
          </cell>
          <cell r="J5270">
            <v>0.13869506849315069</v>
          </cell>
        </row>
        <row r="5271">
          <cell r="I5271">
            <v>5976</v>
          </cell>
          <cell r="J5271">
            <v>0.13869687671232878</v>
          </cell>
        </row>
        <row r="5272">
          <cell r="I5272">
            <v>5977</v>
          </cell>
          <cell r="J5272">
            <v>0.13869868493150686</v>
          </cell>
        </row>
        <row r="5273">
          <cell r="I5273">
            <v>5978</v>
          </cell>
          <cell r="J5273">
            <v>0.13870049315068494</v>
          </cell>
        </row>
        <row r="5274">
          <cell r="I5274">
            <v>5979</v>
          </cell>
          <cell r="J5274">
            <v>0.13870230136986303</v>
          </cell>
        </row>
        <row r="5275">
          <cell r="I5275">
            <v>5980</v>
          </cell>
          <cell r="J5275">
            <v>0.13870410958904111</v>
          </cell>
        </row>
        <row r="5276">
          <cell r="I5276">
            <v>5981</v>
          </cell>
          <cell r="J5276">
            <v>0.13870591780821917</v>
          </cell>
        </row>
        <row r="5277">
          <cell r="I5277">
            <v>5982</v>
          </cell>
          <cell r="J5277">
            <v>0.13870772602739725</v>
          </cell>
        </row>
        <row r="5278">
          <cell r="I5278">
            <v>5983</v>
          </cell>
          <cell r="J5278">
            <v>0.13870953424657534</v>
          </cell>
        </row>
        <row r="5279">
          <cell r="I5279">
            <v>5984</v>
          </cell>
          <cell r="J5279">
            <v>0.13871134246575342</v>
          </cell>
        </row>
        <row r="5280">
          <cell r="I5280">
            <v>5985</v>
          </cell>
          <cell r="J5280">
            <v>0.13871315068493151</v>
          </cell>
        </row>
        <row r="5281">
          <cell r="I5281">
            <v>5986</v>
          </cell>
          <cell r="J5281">
            <v>0.13871495890410959</v>
          </cell>
        </row>
        <row r="5282">
          <cell r="I5282">
            <v>5987</v>
          </cell>
          <cell r="J5282">
            <v>0.13871676712328768</v>
          </cell>
        </row>
        <row r="5283">
          <cell r="I5283">
            <v>5988</v>
          </cell>
          <cell r="J5283">
            <v>0.13871857534246576</v>
          </cell>
        </row>
        <row r="5284">
          <cell r="I5284">
            <v>5989</v>
          </cell>
          <cell r="J5284">
            <v>0.13872038356164385</v>
          </cell>
        </row>
        <row r="5285">
          <cell r="I5285">
            <v>5990</v>
          </cell>
          <cell r="J5285">
            <v>0.13872219178082193</v>
          </cell>
        </row>
        <row r="5286">
          <cell r="I5286">
            <v>5991</v>
          </cell>
          <cell r="J5286">
            <v>0.13872400000000001</v>
          </cell>
        </row>
        <row r="5287">
          <cell r="I5287">
            <v>5992</v>
          </cell>
          <cell r="J5287">
            <v>0.1387258082191781</v>
          </cell>
        </row>
        <row r="5288">
          <cell r="I5288">
            <v>5993</v>
          </cell>
          <cell r="J5288">
            <v>0.13872761643835618</v>
          </cell>
        </row>
        <row r="5289">
          <cell r="I5289">
            <v>5994</v>
          </cell>
          <cell r="J5289">
            <v>0.13872942465753424</v>
          </cell>
        </row>
        <row r="5290">
          <cell r="I5290">
            <v>5995</v>
          </cell>
          <cell r="J5290">
            <v>0.13873123287671232</v>
          </cell>
        </row>
        <row r="5291">
          <cell r="I5291">
            <v>5996</v>
          </cell>
          <cell r="J5291">
            <v>0.13873304109589041</v>
          </cell>
        </row>
        <row r="5292">
          <cell r="I5292">
            <v>5997</v>
          </cell>
          <cell r="J5292">
            <v>0.13873484931506849</v>
          </cell>
        </row>
        <row r="5293">
          <cell r="I5293">
            <v>5998</v>
          </cell>
          <cell r="J5293">
            <v>0.13873665753424658</v>
          </cell>
        </row>
        <row r="5294">
          <cell r="I5294">
            <v>5999</v>
          </cell>
          <cell r="J5294">
            <v>0.13873846575342466</v>
          </cell>
        </row>
        <row r="5295">
          <cell r="I5295">
            <v>6000</v>
          </cell>
          <cell r="J5295">
            <v>0.13874027397260275</v>
          </cell>
        </row>
        <row r="5296">
          <cell r="I5296">
            <v>6001</v>
          </cell>
          <cell r="J5296">
            <v>0.13874208219178083</v>
          </cell>
        </row>
        <row r="5297">
          <cell r="I5297">
            <v>6002</v>
          </cell>
          <cell r="J5297">
            <v>0.13874389041095891</v>
          </cell>
        </row>
        <row r="5298">
          <cell r="I5298">
            <v>6003</v>
          </cell>
          <cell r="J5298">
            <v>0.138745698630137</v>
          </cell>
        </row>
        <row r="5299">
          <cell r="I5299">
            <v>6004</v>
          </cell>
          <cell r="J5299">
            <v>0.13874750684931508</v>
          </cell>
        </row>
        <row r="5300">
          <cell r="I5300">
            <v>6005</v>
          </cell>
          <cell r="J5300">
            <v>0.13874931506849317</v>
          </cell>
        </row>
        <row r="5301">
          <cell r="I5301">
            <v>6006</v>
          </cell>
          <cell r="J5301">
            <v>0.13875112328767122</v>
          </cell>
        </row>
        <row r="5302">
          <cell r="I5302">
            <v>6007</v>
          </cell>
          <cell r="J5302">
            <v>0.13875293150684931</v>
          </cell>
        </row>
        <row r="5303">
          <cell r="I5303">
            <v>6008</v>
          </cell>
          <cell r="J5303">
            <v>0.13875473972602739</v>
          </cell>
        </row>
        <row r="5304">
          <cell r="I5304">
            <v>6009</v>
          </cell>
          <cell r="J5304">
            <v>0.13875654794520548</v>
          </cell>
        </row>
        <row r="5305">
          <cell r="I5305">
            <v>6010</v>
          </cell>
          <cell r="J5305">
            <v>0.13875835616438356</v>
          </cell>
        </row>
        <row r="5306">
          <cell r="I5306">
            <v>6011</v>
          </cell>
          <cell r="J5306">
            <v>0.13876016438356165</v>
          </cell>
        </row>
        <row r="5307">
          <cell r="I5307">
            <v>6012</v>
          </cell>
          <cell r="J5307">
            <v>0.13876197260273973</v>
          </cell>
        </row>
        <row r="5308">
          <cell r="I5308">
            <v>6013</v>
          </cell>
          <cell r="J5308">
            <v>0.13876378082191781</v>
          </cell>
        </row>
        <row r="5309">
          <cell r="I5309">
            <v>6014</v>
          </cell>
          <cell r="J5309">
            <v>0.1387655890410959</v>
          </cell>
        </row>
        <row r="5310">
          <cell r="I5310">
            <v>6015</v>
          </cell>
          <cell r="J5310">
            <v>0.13876739726027398</v>
          </cell>
        </row>
        <row r="5311">
          <cell r="I5311">
            <v>6016</v>
          </cell>
          <cell r="J5311">
            <v>0.13876920547945207</v>
          </cell>
        </row>
        <row r="5312">
          <cell r="I5312">
            <v>6017</v>
          </cell>
          <cell r="J5312">
            <v>0.13877101369863015</v>
          </cell>
        </row>
        <row r="5313">
          <cell r="I5313">
            <v>6018</v>
          </cell>
          <cell r="J5313">
            <v>0.13877282191780824</v>
          </cell>
        </row>
        <row r="5314">
          <cell r="I5314">
            <v>6019</v>
          </cell>
          <cell r="J5314">
            <v>0.13877463013698629</v>
          </cell>
        </row>
        <row r="5315">
          <cell r="I5315">
            <v>6020</v>
          </cell>
          <cell r="J5315">
            <v>0.13877643835616438</v>
          </cell>
        </row>
        <row r="5316">
          <cell r="I5316">
            <v>6021</v>
          </cell>
          <cell r="J5316">
            <v>0.13877824657534246</v>
          </cell>
        </row>
        <row r="5317">
          <cell r="I5317">
            <v>6022</v>
          </cell>
          <cell r="J5317">
            <v>0.13878005479452055</v>
          </cell>
        </row>
        <row r="5318">
          <cell r="I5318">
            <v>6023</v>
          </cell>
          <cell r="J5318">
            <v>0.13878186301369863</v>
          </cell>
        </row>
        <row r="5319">
          <cell r="I5319">
            <v>6024</v>
          </cell>
          <cell r="J5319">
            <v>0.13878367123287672</v>
          </cell>
        </row>
        <row r="5320">
          <cell r="I5320">
            <v>6025</v>
          </cell>
          <cell r="J5320">
            <v>0.1387854794520548</v>
          </cell>
        </row>
        <row r="5321">
          <cell r="I5321">
            <v>6026</v>
          </cell>
          <cell r="J5321">
            <v>0.13878728767123288</v>
          </cell>
        </row>
        <row r="5322">
          <cell r="I5322">
            <v>6027</v>
          </cell>
          <cell r="J5322">
            <v>0.13878909589041097</v>
          </cell>
        </row>
        <row r="5323">
          <cell r="I5323">
            <v>6028</v>
          </cell>
          <cell r="J5323">
            <v>0.13879090410958905</v>
          </cell>
        </row>
        <row r="5324">
          <cell r="I5324">
            <v>6029</v>
          </cell>
          <cell r="J5324">
            <v>0.13879271232876714</v>
          </cell>
        </row>
        <row r="5325">
          <cell r="I5325">
            <v>6030</v>
          </cell>
          <cell r="J5325">
            <v>0.13879452054794522</v>
          </cell>
        </row>
        <row r="5326">
          <cell r="I5326">
            <v>6031</v>
          </cell>
          <cell r="J5326">
            <v>0.13879632876712331</v>
          </cell>
        </row>
        <row r="5327">
          <cell r="I5327">
            <v>6032</v>
          </cell>
          <cell r="J5327">
            <v>0.13879813698630136</v>
          </cell>
        </row>
        <row r="5328">
          <cell r="I5328">
            <v>6033</v>
          </cell>
          <cell r="J5328">
            <v>0.13879994520547945</v>
          </cell>
        </row>
        <row r="5329">
          <cell r="I5329">
            <v>6034</v>
          </cell>
          <cell r="J5329">
            <v>0.13880175342465753</v>
          </cell>
        </row>
        <row r="5330">
          <cell r="I5330">
            <v>6035</v>
          </cell>
          <cell r="J5330">
            <v>0.13880356164383562</v>
          </cell>
        </row>
        <row r="5331">
          <cell r="I5331">
            <v>6036</v>
          </cell>
          <cell r="J5331">
            <v>0.1388053698630137</v>
          </cell>
        </row>
        <row r="5332">
          <cell r="I5332">
            <v>6037</v>
          </cell>
          <cell r="J5332">
            <v>0.13880717808219178</v>
          </cell>
        </row>
        <row r="5333">
          <cell r="I5333">
            <v>6038</v>
          </cell>
          <cell r="J5333">
            <v>0.13880898630136987</v>
          </cell>
        </row>
        <row r="5334">
          <cell r="I5334">
            <v>6039</v>
          </cell>
          <cell r="J5334">
            <v>0.13881079452054795</v>
          </cell>
        </row>
        <row r="5335">
          <cell r="I5335">
            <v>6040</v>
          </cell>
          <cell r="J5335">
            <v>0.13881260273972604</v>
          </cell>
        </row>
        <row r="5336">
          <cell r="I5336">
            <v>6041</v>
          </cell>
          <cell r="J5336">
            <v>0.13881441095890412</v>
          </cell>
        </row>
        <row r="5337">
          <cell r="I5337">
            <v>6042</v>
          </cell>
          <cell r="J5337">
            <v>0.13881621917808221</v>
          </cell>
        </row>
        <row r="5338">
          <cell r="I5338">
            <v>6043</v>
          </cell>
          <cell r="J5338">
            <v>0.13881802739726029</v>
          </cell>
        </row>
        <row r="5339">
          <cell r="I5339">
            <v>6044</v>
          </cell>
          <cell r="J5339">
            <v>0.13881983561643835</v>
          </cell>
        </row>
        <row r="5340">
          <cell r="I5340">
            <v>6045</v>
          </cell>
          <cell r="J5340">
            <v>0.13882164383561643</v>
          </cell>
        </row>
        <row r="5341">
          <cell r="I5341">
            <v>6046</v>
          </cell>
          <cell r="J5341">
            <v>0.13882345205479452</v>
          </cell>
        </row>
        <row r="5342">
          <cell r="I5342">
            <v>6047</v>
          </cell>
          <cell r="J5342">
            <v>0.1388252602739726</v>
          </cell>
        </row>
        <row r="5343">
          <cell r="I5343">
            <v>6048</v>
          </cell>
          <cell r="J5343">
            <v>0.13882706849315068</v>
          </cell>
        </row>
        <row r="5344">
          <cell r="I5344">
            <v>6049</v>
          </cell>
          <cell r="J5344">
            <v>0.13882887671232877</v>
          </cell>
        </row>
        <row r="5345">
          <cell r="I5345">
            <v>6050</v>
          </cell>
          <cell r="J5345">
            <v>0.13883068493150685</v>
          </cell>
        </row>
        <row r="5346">
          <cell r="I5346">
            <v>6051</v>
          </cell>
          <cell r="J5346">
            <v>0.13883249315068494</v>
          </cell>
        </row>
        <row r="5347">
          <cell r="I5347">
            <v>6052</v>
          </cell>
          <cell r="J5347">
            <v>0.13883430136986302</v>
          </cell>
        </row>
        <row r="5348">
          <cell r="I5348">
            <v>6053</v>
          </cell>
          <cell r="J5348">
            <v>0.13883610958904111</v>
          </cell>
        </row>
        <row r="5349">
          <cell r="I5349">
            <v>6054</v>
          </cell>
          <cell r="J5349">
            <v>0.13883791780821919</v>
          </cell>
        </row>
        <row r="5350">
          <cell r="I5350">
            <v>6055</v>
          </cell>
          <cell r="J5350">
            <v>0.13883972602739728</v>
          </cell>
        </row>
        <row r="5351">
          <cell r="I5351">
            <v>6056</v>
          </cell>
          <cell r="J5351">
            <v>0.13884153424657536</v>
          </cell>
        </row>
        <row r="5352">
          <cell r="I5352">
            <v>6057</v>
          </cell>
          <cell r="J5352">
            <v>0.13884334246575342</v>
          </cell>
        </row>
        <row r="5353">
          <cell r="I5353">
            <v>6058</v>
          </cell>
          <cell r="J5353">
            <v>0.1388451506849315</v>
          </cell>
        </row>
        <row r="5354">
          <cell r="I5354">
            <v>6059</v>
          </cell>
          <cell r="J5354">
            <v>0.13884695890410959</v>
          </cell>
        </row>
        <row r="5355">
          <cell r="I5355">
            <v>6060</v>
          </cell>
          <cell r="J5355">
            <v>0.13884876712328767</v>
          </cell>
        </row>
        <row r="5356">
          <cell r="I5356">
            <v>6061</v>
          </cell>
          <cell r="J5356">
            <v>0.13885057534246575</v>
          </cell>
        </row>
        <row r="5357">
          <cell r="I5357">
            <v>6062</v>
          </cell>
          <cell r="J5357">
            <v>0.13885238356164384</v>
          </cell>
        </row>
        <row r="5358">
          <cell r="I5358">
            <v>6063</v>
          </cell>
          <cell r="J5358">
            <v>0.13885419178082192</v>
          </cell>
        </row>
        <row r="5359">
          <cell r="I5359">
            <v>6064</v>
          </cell>
          <cell r="J5359">
            <v>0.13885600000000001</v>
          </cell>
        </row>
        <row r="5360">
          <cell r="I5360">
            <v>6065</v>
          </cell>
          <cell r="J5360">
            <v>0.13885780821917809</v>
          </cell>
        </row>
        <row r="5361">
          <cell r="I5361">
            <v>6066</v>
          </cell>
          <cell r="J5361">
            <v>0.13885961643835618</v>
          </cell>
        </row>
        <row r="5362">
          <cell r="I5362">
            <v>6067</v>
          </cell>
          <cell r="J5362">
            <v>0.13886142465753426</v>
          </cell>
        </row>
        <row r="5363">
          <cell r="I5363">
            <v>6068</v>
          </cell>
          <cell r="J5363">
            <v>0.13886323287671234</v>
          </cell>
        </row>
        <row r="5364">
          <cell r="I5364">
            <v>6069</v>
          </cell>
          <cell r="J5364">
            <v>0.13886504109589043</v>
          </cell>
        </row>
        <row r="5365">
          <cell r="I5365">
            <v>6070</v>
          </cell>
          <cell r="J5365">
            <v>0.13886684931506849</v>
          </cell>
        </row>
        <row r="5366">
          <cell r="I5366">
            <v>6071</v>
          </cell>
          <cell r="J5366">
            <v>0.13886865753424657</v>
          </cell>
        </row>
        <row r="5367">
          <cell r="I5367">
            <v>6072</v>
          </cell>
          <cell r="J5367">
            <v>0.13887046575342465</v>
          </cell>
        </row>
        <row r="5368">
          <cell r="I5368">
            <v>6073</v>
          </cell>
          <cell r="J5368">
            <v>0.13887227397260274</v>
          </cell>
        </row>
        <row r="5369">
          <cell r="I5369">
            <v>6074</v>
          </cell>
          <cell r="J5369">
            <v>0.13887408219178082</v>
          </cell>
        </row>
        <row r="5370">
          <cell r="I5370">
            <v>6075</v>
          </cell>
          <cell r="J5370">
            <v>0.13887589041095891</v>
          </cell>
        </row>
        <row r="5371">
          <cell r="I5371">
            <v>6076</v>
          </cell>
          <cell r="J5371">
            <v>0.13887769863013699</v>
          </cell>
        </row>
        <row r="5372">
          <cell r="I5372">
            <v>6077</v>
          </cell>
          <cell r="J5372">
            <v>0.13887950684931508</v>
          </cell>
        </row>
        <row r="5373">
          <cell r="I5373">
            <v>6078</v>
          </cell>
          <cell r="J5373">
            <v>0.13888131506849316</v>
          </cell>
        </row>
        <row r="5374">
          <cell r="I5374">
            <v>6079</v>
          </cell>
          <cell r="J5374">
            <v>0.13888312328767125</v>
          </cell>
        </row>
        <row r="5375">
          <cell r="I5375">
            <v>6080</v>
          </cell>
          <cell r="J5375">
            <v>0.13888493150684933</v>
          </cell>
        </row>
        <row r="5376">
          <cell r="I5376">
            <v>6081</v>
          </cell>
          <cell r="J5376">
            <v>0.13888673972602741</v>
          </cell>
        </row>
        <row r="5377">
          <cell r="I5377">
            <v>6082</v>
          </cell>
          <cell r="J5377">
            <v>0.1388885479452055</v>
          </cell>
        </row>
        <row r="5378">
          <cell r="I5378">
            <v>6083</v>
          </cell>
          <cell r="J5378">
            <v>0.13889035616438355</v>
          </cell>
        </row>
        <row r="5379">
          <cell r="I5379">
            <v>6084</v>
          </cell>
          <cell r="J5379">
            <v>0.13889216438356164</v>
          </cell>
        </row>
        <row r="5380">
          <cell r="I5380">
            <v>6085</v>
          </cell>
          <cell r="J5380">
            <v>0.13889397260273972</v>
          </cell>
        </row>
        <row r="5381">
          <cell r="I5381">
            <v>6086</v>
          </cell>
          <cell r="J5381">
            <v>0.13889578082191781</v>
          </cell>
        </row>
        <row r="5382">
          <cell r="I5382">
            <v>6087</v>
          </cell>
          <cell r="J5382">
            <v>0.13889758904109589</v>
          </cell>
        </row>
        <row r="5383">
          <cell r="I5383">
            <v>6088</v>
          </cell>
          <cell r="J5383">
            <v>0.13889939726027398</v>
          </cell>
        </row>
        <row r="5384">
          <cell r="I5384">
            <v>6089</v>
          </cell>
          <cell r="J5384">
            <v>0.13890120547945206</v>
          </cell>
        </row>
        <row r="5385">
          <cell r="I5385">
            <v>6090</v>
          </cell>
          <cell r="J5385">
            <v>0.13890301369863015</v>
          </cell>
        </row>
        <row r="5386">
          <cell r="I5386">
            <v>6091</v>
          </cell>
          <cell r="J5386">
            <v>0.13890482191780823</v>
          </cell>
        </row>
        <row r="5387">
          <cell r="I5387">
            <v>6092</v>
          </cell>
          <cell r="J5387">
            <v>0.13890663013698631</v>
          </cell>
        </row>
        <row r="5388">
          <cell r="I5388">
            <v>6093</v>
          </cell>
          <cell r="J5388">
            <v>0.1389084383561644</v>
          </cell>
        </row>
        <row r="5389">
          <cell r="I5389">
            <v>6094</v>
          </cell>
          <cell r="J5389">
            <v>0.13891024657534248</v>
          </cell>
        </row>
        <row r="5390">
          <cell r="I5390">
            <v>6095</v>
          </cell>
          <cell r="J5390">
            <v>0.13891205479452054</v>
          </cell>
        </row>
        <row r="5391">
          <cell r="I5391">
            <v>6096</v>
          </cell>
          <cell r="J5391">
            <v>0.13891386301369862</v>
          </cell>
        </row>
        <row r="5392">
          <cell r="I5392">
            <v>6097</v>
          </cell>
          <cell r="J5392">
            <v>0.13891567123287671</v>
          </cell>
        </row>
        <row r="5393">
          <cell r="I5393">
            <v>6098</v>
          </cell>
          <cell r="J5393">
            <v>0.13891747945205479</v>
          </cell>
        </row>
        <row r="5394">
          <cell r="I5394">
            <v>6099</v>
          </cell>
          <cell r="J5394">
            <v>0.13891928767123288</v>
          </cell>
        </row>
        <row r="5395">
          <cell r="I5395">
            <v>6100</v>
          </cell>
          <cell r="J5395">
            <v>0.13892109589041096</v>
          </cell>
        </row>
        <row r="5396">
          <cell r="I5396">
            <v>6101</v>
          </cell>
          <cell r="J5396">
            <v>0.13892290410958905</v>
          </cell>
        </row>
        <row r="5397">
          <cell r="I5397">
            <v>6102</v>
          </cell>
          <cell r="J5397">
            <v>0.13892471232876713</v>
          </cell>
        </row>
        <row r="5398">
          <cell r="I5398">
            <v>6103</v>
          </cell>
          <cell r="J5398">
            <v>0.13892652054794521</v>
          </cell>
        </row>
        <row r="5399">
          <cell r="I5399">
            <v>6104</v>
          </cell>
          <cell r="J5399">
            <v>0.1389283287671233</v>
          </cell>
        </row>
        <row r="5400">
          <cell r="I5400">
            <v>6105</v>
          </cell>
          <cell r="J5400">
            <v>0.13893013698630138</v>
          </cell>
        </row>
        <row r="5401">
          <cell r="I5401">
            <v>6106</v>
          </cell>
          <cell r="J5401">
            <v>0.13893194520547947</v>
          </cell>
        </row>
        <row r="5402">
          <cell r="I5402">
            <v>6107</v>
          </cell>
          <cell r="J5402">
            <v>0.13893375342465755</v>
          </cell>
        </row>
        <row r="5403">
          <cell r="I5403">
            <v>6108</v>
          </cell>
          <cell r="J5403">
            <v>0.13893556164383561</v>
          </cell>
        </row>
        <row r="5404">
          <cell r="I5404">
            <v>6109</v>
          </cell>
          <cell r="J5404">
            <v>0.13893736986301369</v>
          </cell>
        </row>
        <row r="5405">
          <cell r="I5405">
            <v>6110</v>
          </cell>
          <cell r="J5405">
            <v>0.13893917808219178</v>
          </cell>
        </row>
        <row r="5406">
          <cell r="I5406">
            <v>6111</v>
          </cell>
          <cell r="J5406">
            <v>0.13894098630136986</v>
          </cell>
        </row>
        <row r="5407">
          <cell r="I5407">
            <v>6112</v>
          </cell>
          <cell r="J5407">
            <v>0.13894279452054795</v>
          </cell>
        </row>
        <row r="5408">
          <cell r="I5408">
            <v>6113</v>
          </cell>
          <cell r="J5408">
            <v>0.13894460273972603</v>
          </cell>
        </row>
        <row r="5409">
          <cell r="I5409">
            <v>6114</v>
          </cell>
          <cell r="J5409">
            <v>0.13894641095890412</v>
          </cell>
        </row>
        <row r="5410">
          <cell r="I5410">
            <v>6115</v>
          </cell>
          <cell r="J5410">
            <v>0.1389482191780822</v>
          </cell>
        </row>
        <row r="5411">
          <cell r="I5411">
            <v>6116</v>
          </cell>
          <cell r="J5411">
            <v>0.13895002739726028</v>
          </cell>
        </row>
        <row r="5412">
          <cell r="I5412">
            <v>6117</v>
          </cell>
          <cell r="J5412">
            <v>0.13895183561643837</v>
          </cell>
        </row>
        <row r="5413">
          <cell r="I5413">
            <v>6118</v>
          </cell>
          <cell r="J5413">
            <v>0.13895364383561645</v>
          </cell>
        </row>
        <row r="5414">
          <cell r="I5414">
            <v>6119</v>
          </cell>
          <cell r="J5414">
            <v>0.13895545205479454</v>
          </cell>
        </row>
        <row r="5415">
          <cell r="I5415">
            <v>6120</v>
          </cell>
          <cell r="J5415">
            <v>0.13895726027397259</v>
          </cell>
        </row>
        <row r="5416">
          <cell r="I5416">
            <v>6121</v>
          </cell>
          <cell r="J5416">
            <v>0.13895906849315068</v>
          </cell>
        </row>
        <row r="5417">
          <cell r="I5417">
            <v>6122</v>
          </cell>
          <cell r="J5417">
            <v>0.13896087671232876</v>
          </cell>
        </row>
        <row r="5418">
          <cell r="I5418">
            <v>6123</v>
          </cell>
          <cell r="J5418">
            <v>0.13896268493150685</v>
          </cell>
        </row>
        <row r="5419">
          <cell r="I5419">
            <v>6124</v>
          </cell>
          <cell r="J5419">
            <v>0.13896449315068493</v>
          </cell>
        </row>
        <row r="5420">
          <cell r="I5420">
            <v>6125</v>
          </cell>
          <cell r="J5420">
            <v>0.13896630136986302</v>
          </cell>
        </row>
        <row r="5421">
          <cell r="I5421">
            <v>6126</v>
          </cell>
          <cell r="J5421">
            <v>0.1389681095890411</v>
          </cell>
        </row>
        <row r="5422">
          <cell r="I5422">
            <v>6127</v>
          </cell>
          <cell r="J5422">
            <v>0.13896991780821918</v>
          </cell>
        </row>
        <row r="5423">
          <cell r="I5423">
            <v>6128</v>
          </cell>
          <cell r="J5423">
            <v>0.13897172602739727</v>
          </cell>
        </row>
        <row r="5424">
          <cell r="I5424">
            <v>6129</v>
          </cell>
          <cell r="J5424">
            <v>0.13897353424657535</v>
          </cell>
        </row>
        <row r="5425">
          <cell r="I5425">
            <v>6130</v>
          </cell>
          <cell r="J5425">
            <v>0.13897534246575344</v>
          </cell>
        </row>
        <row r="5426">
          <cell r="I5426">
            <v>6131</v>
          </cell>
          <cell r="J5426">
            <v>0.13897715068493152</v>
          </cell>
        </row>
        <row r="5427">
          <cell r="I5427">
            <v>6132</v>
          </cell>
          <cell r="J5427">
            <v>0.13897895890410961</v>
          </cell>
        </row>
        <row r="5428">
          <cell r="I5428">
            <v>6133</v>
          </cell>
          <cell r="J5428">
            <v>0.13898076712328766</v>
          </cell>
        </row>
        <row r="5429">
          <cell r="I5429">
            <v>6134</v>
          </cell>
          <cell r="J5429">
            <v>0.13898257534246575</v>
          </cell>
        </row>
        <row r="5430">
          <cell r="I5430">
            <v>6135</v>
          </cell>
          <cell r="J5430">
            <v>0.13898438356164383</v>
          </cell>
        </row>
        <row r="5431">
          <cell r="I5431">
            <v>6136</v>
          </cell>
          <cell r="J5431">
            <v>0.13898619178082192</v>
          </cell>
        </row>
        <row r="5432">
          <cell r="I5432">
            <v>6137</v>
          </cell>
          <cell r="J5432">
            <v>0.138988</v>
          </cell>
        </row>
        <row r="5433">
          <cell r="I5433">
            <v>6138</v>
          </cell>
          <cell r="J5433">
            <v>0.13898980821917808</v>
          </cell>
        </row>
        <row r="5434">
          <cell r="I5434">
            <v>6139</v>
          </cell>
          <cell r="J5434">
            <v>0.13899161643835617</v>
          </cell>
        </row>
        <row r="5435">
          <cell r="I5435">
            <v>6140</v>
          </cell>
          <cell r="J5435">
            <v>0.13899342465753425</v>
          </cell>
        </row>
        <row r="5436">
          <cell r="I5436">
            <v>6141</v>
          </cell>
          <cell r="J5436">
            <v>0.13899523287671234</v>
          </cell>
        </row>
        <row r="5437">
          <cell r="I5437">
            <v>6142</v>
          </cell>
          <cell r="J5437">
            <v>0.13899704109589042</v>
          </cell>
        </row>
        <row r="5438">
          <cell r="I5438">
            <v>6143</v>
          </cell>
          <cell r="J5438">
            <v>0.13899884931506851</v>
          </cell>
        </row>
        <row r="5439">
          <cell r="I5439">
            <v>6144</v>
          </cell>
          <cell r="J5439">
            <v>0.13900065753424659</v>
          </cell>
        </row>
        <row r="5440">
          <cell r="I5440">
            <v>6145</v>
          </cell>
          <cell r="J5440">
            <v>0.13900246575342468</v>
          </cell>
        </row>
        <row r="5441">
          <cell r="I5441">
            <v>6146</v>
          </cell>
          <cell r="J5441">
            <v>0.13900427397260273</v>
          </cell>
        </row>
        <row r="5442">
          <cell r="I5442">
            <v>6147</v>
          </cell>
          <cell r="J5442">
            <v>0.13900608219178082</v>
          </cell>
        </row>
        <row r="5443">
          <cell r="I5443">
            <v>6148</v>
          </cell>
          <cell r="J5443">
            <v>0.1390078904109589</v>
          </cell>
        </row>
        <row r="5444">
          <cell r="I5444">
            <v>6149</v>
          </cell>
          <cell r="J5444">
            <v>0.13900969863013699</v>
          </cell>
        </row>
        <row r="5445">
          <cell r="I5445">
            <v>6150</v>
          </cell>
          <cell r="J5445">
            <v>0.13901150684931507</v>
          </cell>
        </row>
        <row r="5446">
          <cell r="I5446">
            <v>6151</v>
          </cell>
          <cell r="J5446">
            <v>0.13901331506849315</v>
          </cell>
        </row>
        <row r="5447">
          <cell r="I5447">
            <v>6152</v>
          </cell>
          <cell r="J5447">
            <v>0.13901512328767124</v>
          </cell>
        </row>
        <row r="5448">
          <cell r="I5448">
            <v>6153</v>
          </cell>
          <cell r="J5448">
            <v>0.13901693150684932</v>
          </cell>
        </row>
        <row r="5449">
          <cell r="I5449">
            <v>6154</v>
          </cell>
          <cell r="J5449">
            <v>0.13901873972602741</v>
          </cell>
        </row>
        <row r="5450">
          <cell r="I5450">
            <v>6155</v>
          </cell>
          <cell r="J5450">
            <v>0.13902054794520549</v>
          </cell>
        </row>
        <row r="5451">
          <cell r="I5451">
            <v>6156</v>
          </cell>
          <cell r="J5451">
            <v>0.13902235616438358</v>
          </cell>
        </row>
        <row r="5452">
          <cell r="I5452">
            <v>6157</v>
          </cell>
          <cell r="J5452">
            <v>0.13902416438356166</v>
          </cell>
        </row>
        <row r="5453">
          <cell r="I5453">
            <v>6158</v>
          </cell>
          <cell r="J5453">
            <v>0.13902597260273974</v>
          </cell>
        </row>
        <row r="5454">
          <cell r="I5454">
            <v>6159</v>
          </cell>
          <cell r="J5454">
            <v>0.1390277808219178</v>
          </cell>
        </row>
        <row r="5455">
          <cell r="I5455">
            <v>6160</v>
          </cell>
          <cell r="J5455">
            <v>0.13902958904109589</v>
          </cell>
        </row>
        <row r="5456">
          <cell r="I5456">
            <v>6161</v>
          </cell>
          <cell r="J5456">
            <v>0.13903139726027397</v>
          </cell>
        </row>
        <row r="5457">
          <cell r="I5457">
            <v>6162</v>
          </cell>
          <cell r="J5457">
            <v>0.13903320547945205</v>
          </cell>
        </row>
        <row r="5458">
          <cell r="I5458">
            <v>6163</v>
          </cell>
          <cell r="J5458">
            <v>0.13903501369863014</v>
          </cell>
        </row>
        <row r="5459">
          <cell r="I5459">
            <v>6164</v>
          </cell>
          <cell r="J5459">
            <v>0.13903682191780822</v>
          </cell>
        </row>
        <row r="5460">
          <cell r="I5460">
            <v>6165</v>
          </cell>
          <cell r="J5460">
            <v>0.13903863013698631</v>
          </cell>
        </row>
        <row r="5461">
          <cell r="I5461">
            <v>6166</v>
          </cell>
          <cell r="J5461">
            <v>0.13904043835616439</v>
          </cell>
        </row>
        <row r="5462">
          <cell r="I5462">
            <v>6167</v>
          </cell>
          <cell r="J5462">
            <v>0.13904224657534248</v>
          </cell>
        </row>
        <row r="5463">
          <cell r="I5463">
            <v>6168</v>
          </cell>
          <cell r="J5463">
            <v>0.13904405479452056</v>
          </cell>
        </row>
        <row r="5464">
          <cell r="I5464">
            <v>6169</v>
          </cell>
          <cell r="J5464">
            <v>0.13904586301369865</v>
          </cell>
        </row>
        <row r="5465">
          <cell r="I5465">
            <v>6170</v>
          </cell>
          <cell r="J5465">
            <v>0.13904767123287673</v>
          </cell>
        </row>
        <row r="5466">
          <cell r="I5466">
            <v>6171</v>
          </cell>
          <cell r="J5466">
            <v>0.13904947945205479</v>
          </cell>
        </row>
        <row r="5467">
          <cell r="I5467">
            <v>6172</v>
          </cell>
          <cell r="J5467">
            <v>0.13905128767123287</v>
          </cell>
        </row>
        <row r="5468">
          <cell r="I5468">
            <v>6173</v>
          </cell>
          <cell r="J5468">
            <v>0.13905309589041095</v>
          </cell>
        </row>
        <row r="5469">
          <cell r="I5469">
            <v>6174</v>
          </cell>
          <cell r="J5469">
            <v>0.13905490410958904</v>
          </cell>
        </row>
        <row r="5470">
          <cell r="I5470">
            <v>6175</v>
          </cell>
          <cell r="J5470">
            <v>0.13905671232876712</v>
          </cell>
        </row>
        <row r="5471">
          <cell r="I5471">
            <v>6176</v>
          </cell>
          <cell r="J5471">
            <v>0.13905852054794521</v>
          </cell>
        </row>
        <row r="5472">
          <cell r="I5472">
            <v>6177</v>
          </cell>
          <cell r="J5472">
            <v>0.13906032876712329</v>
          </cell>
        </row>
        <row r="5473">
          <cell r="I5473">
            <v>6178</v>
          </cell>
          <cell r="J5473">
            <v>0.13906213698630138</v>
          </cell>
        </row>
        <row r="5474">
          <cell r="I5474">
            <v>6179</v>
          </cell>
          <cell r="J5474">
            <v>0.13906394520547946</v>
          </cell>
        </row>
        <row r="5475">
          <cell r="I5475">
            <v>6180</v>
          </cell>
          <cell r="J5475">
            <v>0.13906575342465755</v>
          </cell>
        </row>
        <row r="5476">
          <cell r="I5476">
            <v>6181</v>
          </cell>
          <cell r="J5476">
            <v>0.13906756164383563</v>
          </cell>
        </row>
        <row r="5477">
          <cell r="I5477">
            <v>6182</v>
          </cell>
          <cell r="J5477">
            <v>0.13906936986301371</v>
          </cell>
        </row>
        <row r="5478">
          <cell r="I5478">
            <v>6183</v>
          </cell>
          <cell r="J5478">
            <v>0.1390711780821918</v>
          </cell>
        </row>
        <row r="5479">
          <cell r="I5479">
            <v>6184</v>
          </cell>
          <cell r="J5479">
            <v>0.13907298630136986</v>
          </cell>
        </row>
        <row r="5480">
          <cell r="I5480">
            <v>6185</v>
          </cell>
          <cell r="J5480">
            <v>0.13907479452054794</v>
          </cell>
        </row>
        <row r="5481">
          <cell r="I5481">
            <v>6186</v>
          </cell>
          <cell r="J5481">
            <v>0.13907660273972602</v>
          </cell>
        </row>
        <row r="5482">
          <cell r="I5482">
            <v>6187</v>
          </cell>
          <cell r="J5482">
            <v>0.13907841095890411</v>
          </cell>
        </row>
        <row r="5483">
          <cell r="I5483">
            <v>6188</v>
          </cell>
          <cell r="J5483">
            <v>0.13908021917808219</v>
          </cell>
        </row>
        <row r="5484">
          <cell r="I5484">
            <v>6189</v>
          </cell>
          <cell r="J5484">
            <v>0.13908202739726028</v>
          </cell>
        </row>
        <row r="5485">
          <cell r="I5485">
            <v>6190</v>
          </cell>
          <cell r="J5485">
            <v>0.13908383561643836</v>
          </cell>
        </row>
        <row r="5486">
          <cell r="I5486">
            <v>6191</v>
          </cell>
          <cell r="J5486">
            <v>0.13908564383561645</v>
          </cell>
        </row>
        <row r="5487">
          <cell r="I5487">
            <v>6192</v>
          </cell>
          <cell r="J5487">
            <v>0.13908745205479453</v>
          </cell>
        </row>
        <row r="5488">
          <cell r="I5488">
            <v>6193</v>
          </cell>
          <cell r="J5488">
            <v>0.13908926027397261</v>
          </cell>
        </row>
        <row r="5489">
          <cell r="I5489">
            <v>6194</v>
          </cell>
          <cell r="J5489">
            <v>0.1390910684931507</v>
          </cell>
        </row>
        <row r="5490">
          <cell r="I5490">
            <v>6195</v>
          </cell>
          <cell r="J5490">
            <v>0.13909287671232878</v>
          </cell>
        </row>
        <row r="5491">
          <cell r="I5491">
            <v>6196</v>
          </cell>
          <cell r="J5491">
            <v>0.13909468493150687</v>
          </cell>
        </row>
        <row r="5492">
          <cell r="I5492">
            <v>6197</v>
          </cell>
          <cell r="J5492">
            <v>0.13909649315068492</v>
          </cell>
        </row>
        <row r="5493">
          <cell r="I5493">
            <v>6198</v>
          </cell>
          <cell r="J5493">
            <v>0.13909830136986301</v>
          </cell>
        </row>
        <row r="5494">
          <cell r="I5494">
            <v>6199</v>
          </cell>
          <cell r="J5494">
            <v>0.13910010958904109</v>
          </cell>
        </row>
        <row r="5495">
          <cell r="I5495">
            <v>6200</v>
          </cell>
          <cell r="J5495">
            <v>0.13910191780821918</v>
          </cell>
        </row>
        <row r="5496">
          <cell r="I5496">
            <v>6201</v>
          </cell>
          <cell r="J5496">
            <v>0.13910372602739726</v>
          </cell>
        </row>
        <row r="5497">
          <cell r="I5497">
            <v>6202</v>
          </cell>
          <cell r="J5497">
            <v>0.13910553424657535</v>
          </cell>
        </row>
        <row r="5498">
          <cell r="I5498">
            <v>6203</v>
          </cell>
          <cell r="J5498">
            <v>0.13910734246575343</v>
          </cell>
        </row>
        <row r="5499">
          <cell r="I5499">
            <v>6204</v>
          </cell>
          <cell r="J5499">
            <v>0.13910915068493152</v>
          </cell>
        </row>
        <row r="5500">
          <cell r="I5500">
            <v>6205</v>
          </cell>
          <cell r="J5500">
            <v>0.1391109589041096</v>
          </cell>
        </row>
        <row r="5501">
          <cell r="I5501">
            <v>6206</v>
          </cell>
          <cell r="J5501">
            <v>0.13911276712328768</v>
          </cell>
        </row>
        <row r="5502">
          <cell r="I5502">
            <v>6207</v>
          </cell>
          <cell r="J5502">
            <v>0.13911457534246577</v>
          </cell>
        </row>
        <row r="5503">
          <cell r="I5503">
            <v>6208</v>
          </cell>
          <cell r="J5503">
            <v>0.13911638356164385</v>
          </cell>
        </row>
        <row r="5504">
          <cell r="I5504">
            <v>6209</v>
          </cell>
          <cell r="J5504">
            <v>0.13911819178082191</v>
          </cell>
        </row>
        <row r="5505">
          <cell r="I5505">
            <v>6210</v>
          </cell>
          <cell r="J5505">
            <v>0.13911999999999999</v>
          </cell>
        </row>
        <row r="5506">
          <cell r="I5506">
            <v>6211</v>
          </cell>
          <cell r="J5506">
            <v>0.13912180821917808</v>
          </cell>
        </row>
        <row r="5507">
          <cell r="I5507">
            <v>6212</v>
          </cell>
          <cell r="J5507">
            <v>0.13912361643835616</v>
          </cell>
        </row>
        <row r="5508">
          <cell r="I5508">
            <v>6213</v>
          </cell>
          <cell r="J5508">
            <v>0.13912542465753425</v>
          </cell>
        </row>
        <row r="5509">
          <cell r="I5509">
            <v>6214</v>
          </cell>
          <cell r="J5509">
            <v>0.13912723287671233</v>
          </cell>
        </row>
        <row r="5510">
          <cell r="I5510">
            <v>6215</v>
          </cell>
          <cell r="J5510">
            <v>0.13912904109589042</v>
          </cell>
        </row>
        <row r="5511">
          <cell r="I5511">
            <v>6216</v>
          </cell>
          <cell r="J5511">
            <v>0.1391308493150685</v>
          </cell>
        </row>
        <row r="5512">
          <cell r="I5512">
            <v>6217</v>
          </cell>
          <cell r="J5512">
            <v>0.13913265753424658</v>
          </cell>
        </row>
        <row r="5513">
          <cell r="I5513">
            <v>6218</v>
          </cell>
          <cell r="J5513">
            <v>0.13913446575342467</v>
          </cell>
        </row>
        <row r="5514">
          <cell r="I5514">
            <v>6219</v>
          </cell>
          <cell r="J5514">
            <v>0.13913627397260275</v>
          </cell>
        </row>
        <row r="5515">
          <cell r="I5515">
            <v>6220</v>
          </cell>
          <cell r="J5515">
            <v>0.13913808219178084</v>
          </cell>
        </row>
        <row r="5516">
          <cell r="I5516">
            <v>6221</v>
          </cell>
          <cell r="J5516">
            <v>0.13913989041095892</v>
          </cell>
        </row>
        <row r="5517">
          <cell r="I5517">
            <v>6222</v>
          </cell>
          <cell r="J5517">
            <v>0.13914169863013698</v>
          </cell>
        </row>
        <row r="5518">
          <cell r="I5518">
            <v>6223</v>
          </cell>
          <cell r="J5518">
            <v>0.13914350684931506</v>
          </cell>
        </row>
        <row r="5519">
          <cell r="I5519">
            <v>6224</v>
          </cell>
          <cell r="J5519">
            <v>0.13914531506849315</v>
          </cell>
        </row>
        <row r="5520">
          <cell r="I5520">
            <v>6225</v>
          </cell>
          <cell r="J5520">
            <v>0.13914712328767123</v>
          </cell>
        </row>
        <row r="5521">
          <cell r="I5521">
            <v>6226</v>
          </cell>
          <cell r="J5521">
            <v>0.13914893150684932</v>
          </cell>
        </row>
        <row r="5522">
          <cell r="I5522">
            <v>6227</v>
          </cell>
          <cell r="J5522">
            <v>0.1391507397260274</v>
          </cell>
        </row>
        <row r="5523">
          <cell r="I5523">
            <v>6228</v>
          </cell>
          <cell r="J5523">
            <v>0.13915254794520548</v>
          </cell>
        </row>
        <row r="5524">
          <cell r="I5524">
            <v>6229</v>
          </cell>
          <cell r="J5524">
            <v>0.13915435616438357</v>
          </cell>
        </row>
        <row r="5525">
          <cell r="I5525">
            <v>6230</v>
          </cell>
          <cell r="J5525">
            <v>0.13915616438356165</v>
          </cell>
        </row>
        <row r="5526">
          <cell r="I5526">
            <v>6231</v>
          </cell>
          <cell r="J5526">
            <v>0.13915797260273974</v>
          </cell>
        </row>
        <row r="5527">
          <cell r="I5527">
            <v>6232</v>
          </cell>
          <cell r="J5527">
            <v>0.13915978082191782</v>
          </cell>
        </row>
        <row r="5528">
          <cell r="I5528">
            <v>6233</v>
          </cell>
          <cell r="J5528">
            <v>0.13916158904109591</v>
          </cell>
        </row>
        <row r="5529">
          <cell r="I5529">
            <v>6234</v>
          </cell>
          <cell r="J5529">
            <v>0.13916339726027399</v>
          </cell>
        </row>
        <row r="5530">
          <cell r="I5530">
            <v>6235</v>
          </cell>
          <cell r="J5530">
            <v>0.13916520547945205</v>
          </cell>
        </row>
        <row r="5531">
          <cell r="I5531">
            <v>6236</v>
          </cell>
          <cell r="J5531">
            <v>0.13916701369863013</v>
          </cell>
        </row>
        <row r="5532">
          <cell r="I5532">
            <v>6237</v>
          </cell>
          <cell r="J5532">
            <v>0.13916882191780822</v>
          </cell>
        </row>
        <row r="5533">
          <cell r="I5533">
            <v>6238</v>
          </cell>
          <cell r="J5533">
            <v>0.1391706301369863</v>
          </cell>
        </row>
        <row r="5534">
          <cell r="I5534">
            <v>6239</v>
          </cell>
          <cell r="J5534">
            <v>0.13917243835616439</v>
          </cell>
        </row>
        <row r="5535">
          <cell r="I5535">
            <v>6240</v>
          </cell>
          <cell r="J5535">
            <v>0.13917424657534247</v>
          </cell>
        </row>
        <row r="5536">
          <cell r="I5536">
            <v>6241</v>
          </cell>
          <cell r="J5536">
            <v>0.13917605479452055</v>
          </cell>
        </row>
        <row r="5537">
          <cell r="I5537">
            <v>6242</v>
          </cell>
          <cell r="J5537">
            <v>0.13917786301369864</v>
          </cell>
        </row>
        <row r="5538">
          <cell r="I5538">
            <v>6243</v>
          </cell>
          <cell r="J5538">
            <v>0.13917967123287672</v>
          </cell>
        </row>
        <row r="5539">
          <cell r="I5539">
            <v>6244</v>
          </cell>
          <cell r="J5539">
            <v>0.13918147945205481</v>
          </cell>
        </row>
        <row r="5540">
          <cell r="I5540">
            <v>6245</v>
          </cell>
          <cell r="J5540">
            <v>0.13918328767123289</v>
          </cell>
        </row>
        <row r="5541">
          <cell r="I5541">
            <v>6246</v>
          </cell>
          <cell r="J5541">
            <v>0.13918509589041098</v>
          </cell>
        </row>
        <row r="5542">
          <cell r="I5542">
            <v>6247</v>
          </cell>
          <cell r="J5542">
            <v>0.13918690410958903</v>
          </cell>
        </row>
        <row r="5543">
          <cell r="I5543">
            <v>6248</v>
          </cell>
          <cell r="J5543">
            <v>0.13918871232876712</v>
          </cell>
        </row>
        <row r="5544">
          <cell r="I5544">
            <v>6249</v>
          </cell>
          <cell r="J5544">
            <v>0.1391905205479452</v>
          </cell>
        </row>
        <row r="5545">
          <cell r="I5545">
            <v>6250</v>
          </cell>
          <cell r="J5545">
            <v>0.13919232876712329</v>
          </cell>
        </row>
        <row r="5546">
          <cell r="I5546">
            <v>6251</v>
          </cell>
          <cell r="J5546">
            <v>0.13919413698630137</v>
          </cell>
        </row>
        <row r="5547">
          <cell r="I5547">
            <v>6252</v>
          </cell>
          <cell r="J5547">
            <v>0.13919594520547945</v>
          </cell>
        </row>
        <row r="5548">
          <cell r="I5548">
            <v>6253</v>
          </cell>
          <cell r="J5548">
            <v>0.13919775342465754</v>
          </cell>
        </row>
        <row r="5549">
          <cell r="I5549">
            <v>6254</v>
          </cell>
          <cell r="J5549">
            <v>0.13919956164383562</v>
          </cell>
        </row>
        <row r="5550">
          <cell r="I5550">
            <v>6255</v>
          </cell>
          <cell r="J5550">
            <v>0.13920136986301371</v>
          </cell>
        </row>
        <row r="5551">
          <cell r="I5551">
            <v>6256</v>
          </cell>
          <cell r="J5551">
            <v>0.13920317808219179</v>
          </cell>
        </row>
        <row r="5552">
          <cell r="I5552">
            <v>6257</v>
          </cell>
          <cell r="J5552">
            <v>0.13920498630136988</v>
          </cell>
        </row>
        <row r="5553">
          <cell r="I5553">
            <v>6258</v>
          </cell>
          <cell r="J5553">
            <v>0.13920679452054796</v>
          </cell>
        </row>
        <row r="5554">
          <cell r="I5554">
            <v>6259</v>
          </cell>
          <cell r="J5554">
            <v>0.13920860273972605</v>
          </cell>
        </row>
        <row r="5555">
          <cell r="I5555">
            <v>6260</v>
          </cell>
          <cell r="J5555">
            <v>0.1392104109589041</v>
          </cell>
        </row>
        <row r="5556">
          <cell r="I5556">
            <v>6261</v>
          </cell>
          <cell r="J5556">
            <v>0.13921221917808219</v>
          </cell>
        </row>
        <row r="5557">
          <cell r="I5557">
            <v>6262</v>
          </cell>
          <cell r="J5557">
            <v>0.13921402739726027</v>
          </cell>
        </row>
        <row r="5558">
          <cell r="I5558">
            <v>6263</v>
          </cell>
          <cell r="J5558">
            <v>0.13921583561643835</v>
          </cell>
        </row>
        <row r="5559">
          <cell r="I5559">
            <v>6264</v>
          </cell>
          <cell r="J5559">
            <v>0.13921764383561644</v>
          </cell>
        </row>
        <row r="5560">
          <cell r="I5560">
            <v>6265</v>
          </cell>
          <cell r="J5560">
            <v>0.13921945205479452</v>
          </cell>
        </row>
        <row r="5561">
          <cell r="I5561">
            <v>6266</v>
          </cell>
          <cell r="J5561">
            <v>0.13922126027397261</v>
          </cell>
        </row>
        <row r="5562">
          <cell r="I5562">
            <v>6267</v>
          </cell>
          <cell r="J5562">
            <v>0.13922306849315069</v>
          </cell>
        </row>
        <row r="5563">
          <cell r="I5563">
            <v>6268</v>
          </cell>
          <cell r="J5563">
            <v>0.13922487671232878</v>
          </cell>
        </row>
        <row r="5564">
          <cell r="I5564">
            <v>6269</v>
          </cell>
          <cell r="J5564">
            <v>0.13922668493150686</v>
          </cell>
        </row>
        <row r="5565">
          <cell r="I5565">
            <v>6270</v>
          </cell>
          <cell r="J5565">
            <v>0.13922849315068495</v>
          </cell>
        </row>
        <row r="5566">
          <cell r="I5566">
            <v>6271</v>
          </cell>
          <cell r="J5566">
            <v>0.13923030136986303</v>
          </cell>
        </row>
        <row r="5567">
          <cell r="I5567">
            <v>6272</v>
          </cell>
          <cell r="J5567">
            <v>0.13923210958904111</v>
          </cell>
        </row>
        <row r="5568">
          <cell r="I5568">
            <v>6273</v>
          </cell>
          <cell r="J5568">
            <v>0.13923391780821917</v>
          </cell>
        </row>
        <row r="5569">
          <cell r="I5569">
            <v>6274</v>
          </cell>
          <cell r="J5569">
            <v>0.13923572602739726</v>
          </cell>
        </row>
        <row r="5570">
          <cell r="I5570">
            <v>6275</v>
          </cell>
          <cell r="J5570">
            <v>0.13923753424657534</v>
          </cell>
        </row>
        <row r="5571">
          <cell r="I5571">
            <v>6276</v>
          </cell>
          <cell r="J5571">
            <v>0.13923934246575342</v>
          </cell>
        </row>
        <row r="5572">
          <cell r="I5572">
            <v>6277</v>
          </cell>
          <cell r="J5572">
            <v>0.13924115068493151</v>
          </cell>
        </row>
        <row r="5573">
          <cell r="I5573">
            <v>6278</v>
          </cell>
          <cell r="J5573">
            <v>0.13924295890410959</v>
          </cell>
        </row>
        <row r="5574">
          <cell r="I5574">
            <v>6279</v>
          </cell>
          <cell r="J5574">
            <v>0.13924476712328768</v>
          </cell>
        </row>
        <row r="5575">
          <cell r="I5575">
            <v>6280</v>
          </cell>
          <cell r="J5575">
            <v>0.13924657534246576</v>
          </cell>
        </row>
        <row r="5576">
          <cell r="I5576">
            <v>6281</v>
          </cell>
          <cell r="J5576">
            <v>0.13924838356164385</v>
          </cell>
        </row>
        <row r="5577">
          <cell r="I5577">
            <v>6282</v>
          </cell>
          <cell r="J5577">
            <v>0.13925019178082193</v>
          </cell>
        </row>
        <row r="5578">
          <cell r="I5578">
            <v>6283</v>
          </cell>
          <cell r="J5578">
            <v>0.13925200000000001</v>
          </cell>
        </row>
        <row r="5579">
          <cell r="I5579">
            <v>6284</v>
          </cell>
          <cell r="J5579">
            <v>0.1392538082191781</v>
          </cell>
        </row>
        <row r="5580">
          <cell r="I5580">
            <v>6285</v>
          </cell>
          <cell r="J5580">
            <v>0.13925561643835616</v>
          </cell>
        </row>
        <row r="5581">
          <cell r="I5581">
            <v>6286</v>
          </cell>
          <cell r="J5581">
            <v>0.13925742465753424</v>
          </cell>
        </row>
        <row r="5582">
          <cell r="I5582">
            <v>6287</v>
          </cell>
          <cell r="J5582">
            <v>0.13925923287671232</v>
          </cell>
        </row>
        <row r="5583">
          <cell r="I5583">
            <v>6288</v>
          </cell>
          <cell r="J5583">
            <v>0.13926104109589041</v>
          </cell>
        </row>
        <row r="5584">
          <cell r="I5584">
            <v>6289</v>
          </cell>
          <cell r="J5584">
            <v>0.13926284931506849</v>
          </cell>
        </row>
        <row r="5585">
          <cell r="I5585">
            <v>6290</v>
          </cell>
          <cell r="J5585">
            <v>0.13926465753424658</v>
          </cell>
        </row>
        <row r="5586">
          <cell r="I5586">
            <v>6291</v>
          </cell>
          <cell r="J5586">
            <v>0.13926646575342466</v>
          </cell>
        </row>
        <row r="5587">
          <cell r="I5587">
            <v>6292</v>
          </cell>
          <cell r="J5587">
            <v>0.13926827397260275</v>
          </cell>
        </row>
        <row r="5588">
          <cell r="I5588">
            <v>6293</v>
          </cell>
          <cell r="J5588">
            <v>0.13927008219178083</v>
          </cell>
        </row>
        <row r="5589">
          <cell r="I5589">
            <v>6294</v>
          </cell>
          <cell r="J5589">
            <v>0.13927189041095892</v>
          </cell>
        </row>
        <row r="5590">
          <cell r="I5590">
            <v>6295</v>
          </cell>
          <cell r="J5590">
            <v>0.139273698630137</v>
          </cell>
        </row>
        <row r="5591">
          <cell r="I5591">
            <v>6296</v>
          </cell>
          <cell r="J5591">
            <v>0.13927550684931508</v>
          </cell>
        </row>
        <row r="5592">
          <cell r="I5592">
            <v>6297</v>
          </cell>
          <cell r="J5592">
            <v>0.13927731506849317</v>
          </cell>
        </row>
        <row r="5593">
          <cell r="I5593">
            <v>6298</v>
          </cell>
          <cell r="J5593">
            <v>0.13927912328767122</v>
          </cell>
        </row>
        <row r="5594">
          <cell r="I5594">
            <v>6299</v>
          </cell>
          <cell r="J5594">
            <v>0.13928093150684931</v>
          </cell>
        </row>
        <row r="5595">
          <cell r="I5595">
            <v>6300</v>
          </cell>
          <cell r="J5595">
            <v>0.13928273972602739</v>
          </cell>
        </row>
        <row r="5596">
          <cell r="I5596">
            <v>6301</v>
          </cell>
          <cell r="J5596">
            <v>0.13928454794520548</v>
          </cell>
        </row>
        <row r="5597">
          <cell r="I5597">
            <v>6302</v>
          </cell>
          <cell r="J5597">
            <v>0.13928635616438356</v>
          </cell>
        </row>
        <row r="5598">
          <cell r="I5598">
            <v>6303</v>
          </cell>
          <cell r="J5598">
            <v>0.13928816438356165</v>
          </cell>
        </row>
        <row r="5599">
          <cell r="I5599">
            <v>6304</v>
          </cell>
          <cell r="J5599">
            <v>0.13928997260273973</v>
          </cell>
        </row>
        <row r="5600">
          <cell r="I5600">
            <v>6305</v>
          </cell>
          <cell r="J5600">
            <v>0.13929178082191782</v>
          </cell>
        </row>
        <row r="5601">
          <cell r="I5601">
            <v>6306</v>
          </cell>
          <cell r="J5601">
            <v>0.1392935890410959</v>
          </cell>
        </row>
        <row r="5602">
          <cell r="I5602">
            <v>6307</v>
          </cell>
          <cell r="J5602">
            <v>0.13929539726027398</v>
          </cell>
        </row>
        <row r="5603">
          <cell r="I5603">
            <v>6308</v>
          </cell>
          <cell r="J5603">
            <v>0.13929720547945207</v>
          </cell>
        </row>
        <row r="5604">
          <cell r="I5604">
            <v>6309</v>
          </cell>
          <cell r="J5604">
            <v>0.13929901369863015</v>
          </cell>
        </row>
        <row r="5605">
          <cell r="I5605">
            <v>6310</v>
          </cell>
          <cell r="J5605">
            <v>0.13930082191780824</v>
          </cell>
        </row>
        <row r="5606">
          <cell r="I5606">
            <v>6311</v>
          </cell>
          <cell r="J5606">
            <v>0.13930263013698629</v>
          </cell>
        </row>
        <row r="5607">
          <cell r="I5607">
            <v>6312</v>
          </cell>
          <cell r="J5607">
            <v>0.13930443835616438</v>
          </cell>
        </row>
        <row r="5608">
          <cell r="I5608">
            <v>6313</v>
          </cell>
          <cell r="J5608">
            <v>0.13930624657534246</v>
          </cell>
        </row>
        <row r="5609">
          <cell r="I5609">
            <v>6314</v>
          </cell>
          <cell r="J5609">
            <v>0.13930805479452055</v>
          </cell>
        </row>
        <row r="5610">
          <cell r="I5610">
            <v>6315</v>
          </cell>
          <cell r="J5610">
            <v>0.13930986301369863</v>
          </cell>
        </row>
        <row r="5611">
          <cell r="I5611">
            <v>6316</v>
          </cell>
          <cell r="J5611">
            <v>0.13931167123287672</v>
          </cell>
        </row>
        <row r="5612">
          <cell r="I5612">
            <v>6317</v>
          </cell>
          <cell r="J5612">
            <v>0.1393134794520548</v>
          </cell>
        </row>
        <row r="5613">
          <cell r="I5613">
            <v>6318</v>
          </cell>
          <cell r="J5613">
            <v>0.13931528767123288</v>
          </cell>
        </row>
        <row r="5614">
          <cell r="I5614">
            <v>6319</v>
          </cell>
          <cell r="J5614">
            <v>0.13931709589041097</v>
          </cell>
        </row>
        <row r="5615">
          <cell r="I5615">
            <v>6320</v>
          </cell>
          <cell r="J5615">
            <v>0.13931890410958905</v>
          </cell>
        </row>
        <row r="5616">
          <cell r="I5616">
            <v>6321</v>
          </cell>
          <cell r="J5616">
            <v>0.13932071232876714</v>
          </cell>
        </row>
        <row r="5617">
          <cell r="I5617">
            <v>6322</v>
          </cell>
          <cell r="J5617">
            <v>0.13932252054794522</v>
          </cell>
        </row>
        <row r="5618">
          <cell r="I5618">
            <v>6323</v>
          </cell>
          <cell r="J5618">
            <v>0.13932432876712328</v>
          </cell>
        </row>
        <row r="5619">
          <cell r="I5619">
            <v>6324</v>
          </cell>
          <cell r="J5619">
            <v>0.13932613698630136</v>
          </cell>
        </row>
        <row r="5620">
          <cell r="I5620">
            <v>6325</v>
          </cell>
          <cell r="J5620">
            <v>0.13932794520547945</v>
          </cell>
        </row>
        <row r="5621">
          <cell r="I5621">
            <v>6326</v>
          </cell>
          <cell r="J5621">
            <v>0.13932975342465753</v>
          </cell>
        </row>
        <row r="5622">
          <cell r="I5622">
            <v>6327</v>
          </cell>
          <cell r="J5622">
            <v>0.13933156164383562</v>
          </cell>
        </row>
        <row r="5623">
          <cell r="I5623">
            <v>6328</v>
          </cell>
          <cell r="J5623">
            <v>0.1393333698630137</v>
          </cell>
        </row>
        <row r="5624">
          <cell r="I5624">
            <v>6329</v>
          </cell>
          <cell r="J5624">
            <v>0.13933517808219179</v>
          </cell>
        </row>
        <row r="5625">
          <cell r="I5625">
            <v>6330</v>
          </cell>
          <cell r="J5625">
            <v>0.13933698630136987</v>
          </cell>
        </row>
        <row r="5626">
          <cell r="I5626">
            <v>6331</v>
          </cell>
          <cell r="J5626">
            <v>0.13933879452054795</v>
          </cell>
        </row>
        <row r="5627">
          <cell r="I5627">
            <v>6332</v>
          </cell>
          <cell r="J5627">
            <v>0.13934060273972604</v>
          </cell>
        </row>
        <row r="5628">
          <cell r="I5628">
            <v>6333</v>
          </cell>
          <cell r="J5628">
            <v>0.13934241095890412</v>
          </cell>
        </row>
        <row r="5629">
          <cell r="I5629">
            <v>6334</v>
          </cell>
          <cell r="J5629">
            <v>0.13934421917808221</v>
          </cell>
        </row>
        <row r="5630">
          <cell r="I5630">
            <v>6335</v>
          </cell>
          <cell r="J5630">
            <v>0.13934602739726029</v>
          </cell>
        </row>
        <row r="5631">
          <cell r="I5631">
            <v>6336</v>
          </cell>
          <cell r="J5631">
            <v>0.13934783561643835</v>
          </cell>
        </row>
        <row r="5632">
          <cell r="I5632">
            <v>6337</v>
          </cell>
          <cell r="J5632">
            <v>0.13934964383561643</v>
          </cell>
        </row>
        <row r="5633">
          <cell r="I5633">
            <v>6338</v>
          </cell>
          <cell r="J5633">
            <v>0.13935145205479452</v>
          </cell>
        </row>
        <row r="5634">
          <cell r="I5634">
            <v>6339</v>
          </cell>
          <cell r="J5634">
            <v>0.1393532602739726</v>
          </cell>
        </row>
        <row r="5635">
          <cell r="I5635">
            <v>6340</v>
          </cell>
          <cell r="J5635">
            <v>0.13935506849315069</v>
          </cell>
        </row>
        <row r="5636">
          <cell r="I5636">
            <v>6341</v>
          </cell>
          <cell r="J5636">
            <v>0.13935687671232877</v>
          </cell>
        </row>
        <row r="5637">
          <cell r="I5637">
            <v>6342</v>
          </cell>
          <cell r="J5637">
            <v>0.13935868493150685</v>
          </cell>
        </row>
        <row r="5638">
          <cell r="I5638">
            <v>6343</v>
          </cell>
          <cell r="J5638">
            <v>0.13936049315068494</v>
          </cell>
        </row>
        <row r="5639">
          <cell r="I5639">
            <v>6344</v>
          </cell>
          <cell r="J5639">
            <v>0.13936230136986302</v>
          </cell>
        </row>
        <row r="5640">
          <cell r="I5640">
            <v>6345</v>
          </cell>
          <cell r="J5640">
            <v>0.13936410958904111</v>
          </cell>
        </row>
        <row r="5641">
          <cell r="I5641">
            <v>6346</v>
          </cell>
          <cell r="J5641">
            <v>0.13936591780821919</v>
          </cell>
        </row>
        <row r="5642">
          <cell r="I5642">
            <v>6347</v>
          </cell>
          <cell r="J5642">
            <v>0.13936772602739728</v>
          </cell>
        </row>
        <row r="5643">
          <cell r="I5643">
            <v>6348</v>
          </cell>
          <cell r="J5643">
            <v>0.13936953424657536</v>
          </cell>
        </row>
        <row r="5644">
          <cell r="I5644">
            <v>6349</v>
          </cell>
          <cell r="J5644">
            <v>0.13937134246575342</v>
          </cell>
        </row>
        <row r="5645">
          <cell r="I5645">
            <v>6350</v>
          </cell>
          <cell r="J5645">
            <v>0.1393731506849315</v>
          </cell>
        </row>
        <row r="5646">
          <cell r="I5646">
            <v>6351</v>
          </cell>
          <cell r="J5646">
            <v>0.13937495890410959</v>
          </cell>
        </row>
        <row r="5647">
          <cell r="I5647">
            <v>6352</v>
          </cell>
          <cell r="J5647">
            <v>0.13937676712328767</v>
          </cell>
        </row>
        <row r="5648">
          <cell r="I5648">
            <v>6353</v>
          </cell>
          <cell r="J5648">
            <v>0.13937857534246575</v>
          </cell>
        </row>
        <row r="5649">
          <cell r="I5649">
            <v>6354</v>
          </cell>
          <cell r="J5649">
            <v>0.13938038356164384</v>
          </cell>
        </row>
        <row r="5650">
          <cell r="I5650">
            <v>6355</v>
          </cell>
          <cell r="J5650">
            <v>0.13938219178082192</v>
          </cell>
        </row>
        <row r="5651">
          <cell r="I5651">
            <v>6356</v>
          </cell>
          <cell r="J5651">
            <v>0.13938400000000001</v>
          </cell>
        </row>
        <row r="5652">
          <cell r="I5652">
            <v>6357</v>
          </cell>
          <cell r="J5652">
            <v>0.13938580821917809</v>
          </cell>
        </row>
        <row r="5653">
          <cell r="I5653">
            <v>6358</v>
          </cell>
          <cell r="J5653">
            <v>0.13938761643835618</v>
          </cell>
        </row>
        <row r="5654">
          <cell r="I5654">
            <v>6359</v>
          </cell>
          <cell r="J5654">
            <v>0.13938942465753426</v>
          </cell>
        </row>
        <row r="5655">
          <cell r="I5655">
            <v>6360</v>
          </cell>
          <cell r="J5655">
            <v>0.13939123287671235</v>
          </cell>
        </row>
        <row r="5656">
          <cell r="I5656">
            <v>6361</v>
          </cell>
          <cell r="J5656">
            <v>0.1393930410958904</v>
          </cell>
        </row>
        <row r="5657">
          <cell r="I5657">
            <v>6362</v>
          </cell>
          <cell r="J5657">
            <v>0.13939484931506849</v>
          </cell>
        </row>
        <row r="5658">
          <cell r="I5658">
            <v>6363</v>
          </cell>
          <cell r="J5658">
            <v>0.13939665753424657</v>
          </cell>
        </row>
        <row r="5659">
          <cell r="I5659">
            <v>6364</v>
          </cell>
          <cell r="J5659">
            <v>0.13939846575342466</v>
          </cell>
        </row>
        <row r="5660">
          <cell r="I5660">
            <v>6365</v>
          </cell>
          <cell r="J5660">
            <v>0.13940027397260274</v>
          </cell>
        </row>
        <row r="5661">
          <cell r="I5661">
            <v>6366</v>
          </cell>
          <cell r="J5661">
            <v>0.13940208219178082</v>
          </cell>
        </row>
        <row r="5662">
          <cell r="I5662">
            <v>6367</v>
          </cell>
          <cell r="J5662">
            <v>0.13940389041095891</v>
          </cell>
        </row>
        <row r="5663">
          <cell r="I5663">
            <v>6368</v>
          </cell>
          <cell r="J5663">
            <v>0.13940569863013699</v>
          </cell>
        </row>
        <row r="5664">
          <cell r="I5664">
            <v>6369</v>
          </cell>
          <cell r="J5664">
            <v>0.13940750684931508</v>
          </cell>
        </row>
        <row r="5665">
          <cell r="I5665">
            <v>6370</v>
          </cell>
          <cell r="J5665">
            <v>0.13940931506849316</v>
          </cell>
        </row>
        <row r="5666">
          <cell r="I5666">
            <v>6371</v>
          </cell>
          <cell r="J5666">
            <v>0.13941112328767125</v>
          </cell>
        </row>
        <row r="5667">
          <cell r="I5667">
            <v>6372</v>
          </cell>
          <cell r="J5667">
            <v>0.13941293150684933</v>
          </cell>
        </row>
        <row r="5668">
          <cell r="I5668">
            <v>6373</v>
          </cell>
          <cell r="J5668">
            <v>0.13941473972602741</v>
          </cell>
        </row>
        <row r="5669">
          <cell r="I5669">
            <v>6374</v>
          </cell>
          <cell r="J5669">
            <v>0.13941654794520547</v>
          </cell>
        </row>
        <row r="5670">
          <cell r="I5670">
            <v>6375</v>
          </cell>
          <cell r="J5670">
            <v>0.13941835616438356</v>
          </cell>
        </row>
        <row r="5671">
          <cell r="I5671">
            <v>6376</v>
          </cell>
          <cell r="J5671">
            <v>0.13942016438356164</v>
          </cell>
        </row>
        <row r="5672">
          <cell r="I5672">
            <v>6377</v>
          </cell>
          <cell r="J5672">
            <v>0.13942197260273972</v>
          </cell>
        </row>
        <row r="5673">
          <cell r="I5673">
            <v>6378</v>
          </cell>
          <cell r="J5673">
            <v>0.13942378082191781</v>
          </cell>
        </row>
        <row r="5674">
          <cell r="I5674">
            <v>6379</v>
          </cell>
          <cell r="J5674">
            <v>0.13942558904109589</v>
          </cell>
        </row>
        <row r="5675">
          <cell r="I5675">
            <v>6380</v>
          </cell>
          <cell r="J5675">
            <v>0.13942739726027398</v>
          </cell>
        </row>
        <row r="5676">
          <cell r="I5676">
            <v>6381</v>
          </cell>
          <cell r="J5676">
            <v>0.13942920547945206</v>
          </cell>
        </row>
        <row r="5677">
          <cell r="I5677">
            <v>6382</v>
          </cell>
          <cell r="J5677">
            <v>0.13943101369863015</v>
          </cell>
        </row>
        <row r="5678">
          <cell r="I5678">
            <v>6383</v>
          </cell>
          <cell r="J5678">
            <v>0.13943282191780823</v>
          </cell>
        </row>
        <row r="5679">
          <cell r="I5679">
            <v>6384</v>
          </cell>
          <cell r="J5679">
            <v>0.13943463013698632</v>
          </cell>
        </row>
        <row r="5680">
          <cell r="I5680">
            <v>6385</v>
          </cell>
          <cell r="J5680">
            <v>0.1394364383561644</v>
          </cell>
        </row>
        <row r="5681">
          <cell r="I5681">
            <v>6386</v>
          </cell>
          <cell r="J5681">
            <v>0.13943824657534248</v>
          </cell>
        </row>
        <row r="5682">
          <cell r="I5682">
            <v>6387</v>
          </cell>
          <cell r="J5682">
            <v>0.13944005479452054</v>
          </cell>
        </row>
        <row r="5683">
          <cell r="I5683">
            <v>6388</v>
          </cell>
          <cell r="J5683">
            <v>0.13944186301369862</v>
          </cell>
        </row>
        <row r="5684">
          <cell r="I5684">
            <v>6389</v>
          </cell>
          <cell r="J5684">
            <v>0.13944367123287671</v>
          </cell>
        </row>
        <row r="5685">
          <cell r="I5685">
            <v>6390</v>
          </cell>
          <cell r="J5685">
            <v>0.13944547945205479</v>
          </cell>
        </row>
        <row r="5686">
          <cell r="I5686">
            <v>6391</v>
          </cell>
          <cell r="J5686">
            <v>0.13944728767123288</v>
          </cell>
        </row>
        <row r="5687">
          <cell r="I5687">
            <v>6392</v>
          </cell>
          <cell r="J5687">
            <v>0.13944909589041096</v>
          </cell>
        </row>
        <row r="5688">
          <cell r="I5688">
            <v>6393</v>
          </cell>
          <cell r="J5688">
            <v>0.13945090410958905</v>
          </cell>
        </row>
        <row r="5689">
          <cell r="I5689">
            <v>6394</v>
          </cell>
          <cell r="J5689">
            <v>0.13945271232876713</v>
          </cell>
        </row>
        <row r="5690">
          <cell r="I5690">
            <v>6395</v>
          </cell>
          <cell r="J5690">
            <v>0.13945452054794522</v>
          </cell>
        </row>
        <row r="5691">
          <cell r="I5691">
            <v>6396</v>
          </cell>
          <cell r="J5691">
            <v>0.1394563287671233</v>
          </cell>
        </row>
        <row r="5692">
          <cell r="I5692">
            <v>6397</v>
          </cell>
          <cell r="J5692">
            <v>0.13945813698630138</v>
          </cell>
        </row>
        <row r="5693">
          <cell r="I5693">
            <v>6398</v>
          </cell>
          <cell r="J5693">
            <v>0.13945994520547947</v>
          </cell>
        </row>
        <row r="5694">
          <cell r="I5694">
            <v>6399</v>
          </cell>
          <cell r="J5694">
            <v>0.13946175342465753</v>
          </cell>
        </row>
        <row r="5695">
          <cell r="I5695">
            <v>6400</v>
          </cell>
          <cell r="J5695">
            <v>0.13946356164383561</v>
          </cell>
        </row>
        <row r="5696">
          <cell r="I5696">
            <v>6401</v>
          </cell>
          <cell r="J5696">
            <v>0.13946536986301369</v>
          </cell>
        </row>
        <row r="5697">
          <cell r="I5697">
            <v>6402</v>
          </cell>
          <cell r="J5697">
            <v>0.13946717808219178</v>
          </cell>
        </row>
        <row r="5698">
          <cell r="I5698">
            <v>6403</v>
          </cell>
          <cell r="J5698">
            <v>0.13946898630136986</v>
          </cell>
        </row>
        <row r="5699">
          <cell r="I5699">
            <v>6404</v>
          </cell>
          <cell r="J5699">
            <v>0.13947079452054795</v>
          </cell>
        </row>
        <row r="5700">
          <cell r="I5700">
            <v>6405</v>
          </cell>
          <cell r="J5700">
            <v>0.13947260273972603</v>
          </cell>
        </row>
        <row r="5701">
          <cell r="I5701">
            <v>6406</v>
          </cell>
          <cell r="J5701">
            <v>0.13947441095890412</v>
          </cell>
        </row>
        <row r="5702">
          <cell r="I5702">
            <v>6407</v>
          </cell>
          <cell r="J5702">
            <v>0.1394762191780822</v>
          </cell>
        </row>
        <row r="5703">
          <cell r="I5703">
            <v>6408</v>
          </cell>
          <cell r="J5703">
            <v>0.13947802739726028</v>
          </cell>
        </row>
        <row r="5704">
          <cell r="I5704">
            <v>6409</v>
          </cell>
          <cell r="J5704">
            <v>0.13947983561643837</v>
          </cell>
        </row>
        <row r="5705">
          <cell r="I5705">
            <v>6410</v>
          </cell>
          <cell r="J5705">
            <v>0.13948164383561645</v>
          </cell>
        </row>
        <row r="5706">
          <cell r="I5706">
            <v>6411</v>
          </cell>
          <cell r="J5706">
            <v>0.13948345205479454</v>
          </cell>
        </row>
        <row r="5707">
          <cell r="I5707">
            <v>6412</v>
          </cell>
          <cell r="J5707">
            <v>0.13948526027397259</v>
          </cell>
        </row>
        <row r="5708">
          <cell r="I5708">
            <v>6413</v>
          </cell>
          <cell r="J5708">
            <v>0.13948706849315068</v>
          </cell>
        </row>
        <row r="5709">
          <cell r="I5709">
            <v>6414</v>
          </cell>
          <cell r="J5709">
            <v>0.13948887671232876</v>
          </cell>
        </row>
        <row r="5710">
          <cell r="I5710">
            <v>6415</v>
          </cell>
          <cell r="J5710">
            <v>0.13949068493150685</v>
          </cell>
        </row>
        <row r="5711">
          <cell r="I5711">
            <v>6416</v>
          </cell>
          <cell r="J5711">
            <v>0.13949249315068493</v>
          </cell>
        </row>
        <row r="5712">
          <cell r="I5712">
            <v>6417</v>
          </cell>
          <cell r="J5712">
            <v>0.13949430136986302</v>
          </cell>
        </row>
        <row r="5713">
          <cell r="I5713">
            <v>6418</v>
          </cell>
          <cell r="J5713">
            <v>0.1394961095890411</v>
          </cell>
        </row>
        <row r="5714">
          <cell r="I5714">
            <v>6419</v>
          </cell>
          <cell r="J5714">
            <v>0.13949791780821919</v>
          </cell>
        </row>
        <row r="5715">
          <cell r="I5715">
            <v>6420</v>
          </cell>
          <cell r="J5715">
            <v>0.13949972602739727</v>
          </cell>
        </row>
        <row r="5716">
          <cell r="I5716">
            <v>6421</v>
          </cell>
          <cell r="J5716">
            <v>0.13950153424657535</v>
          </cell>
        </row>
        <row r="5717">
          <cell r="I5717">
            <v>6422</v>
          </cell>
          <cell r="J5717">
            <v>0.13950334246575344</v>
          </cell>
        </row>
        <row r="5718">
          <cell r="I5718">
            <v>6423</v>
          </cell>
          <cell r="J5718">
            <v>0.13950515068493152</v>
          </cell>
        </row>
        <row r="5719">
          <cell r="I5719">
            <v>6424</v>
          </cell>
          <cell r="J5719">
            <v>0.13950695890410961</v>
          </cell>
        </row>
        <row r="5720">
          <cell r="I5720">
            <v>6425</v>
          </cell>
          <cell r="J5720">
            <v>0.13950876712328766</v>
          </cell>
        </row>
        <row r="5721">
          <cell r="I5721">
            <v>6426</v>
          </cell>
          <cell r="J5721">
            <v>0.13951057534246575</v>
          </cell>
        </row>
        <row r="5722">
          <cell r="I5722">
            <v>6427</v>
          </cell>
          <cell r="J5722">
            <v>0.13951238356164383</v>
          </cell>
        </row>
        <row r="5723">
          <cell r="I5723">
            <v>6428</v>
          </cell>
          <cell r="J5723">
            <v>0.13951419178082192</v>
          </cell>
        </row>
        <row r="5724">
          <cell r="I5724">
            <v>6429</v>
          </cell>
          <cell r="J5724">
            <v>0.139516</v>
          </cell>
        </row>
        <row r="5725">
          <cell r="I5725">
            <v>6430</v>
          </cell>
          <cell r="J5725">
            <v>0.13951780821917809</v>
          </cell>
        </row>
        <row r="5726">
          <cell r="I5726">
            <v>6431</v>
          </cell>
          <cell r="J5726">
            <v>0.13951961643835617</v>
          </cell>
        </row>
        <row r="5727">
          <cell r="I5727">
            <v>6432</v>
          </cell>
          <cell r="J5727">
            <v>0.13952142465753425</v>
          </cell>
        </row>
        <row r="5728">
          <cell r="I5728">
            <v>6433</v>
          </cell>
          <cell r="J5728">
            <v>0.13952323287671234</v>
          </cell>
        </row>
        <row r="5729">
          <cell r="I5729">
            <v>6434</v>
          </cell>
          <cell r="J5729">
            <v>0.13952504109589042</v>
          </cell>
        </row>
        <row r="5730">
          <cell r="I5730">
            <v>6435</v>
          </cell>
          <cell r="J5730">
            <v>0.13952684931506851</v>
          </cell>
        </row>
        <row r="5731">
          <cell r="I5731">
            <v>6436</v>
          </cell>
          <cell r="J5731">
            <v>0.13952865753424659</v>
          </cell>
        </row>
        <row r="5732">
          <cell r="I5732">
            <v>6437</v>
          </cell>
          <cell r="J5732">
            <v>0.13953046575342465</v>
          </cell>
        </row>
        <row r="5733">
          <cell r="I5733">
            <v>6438</v>
          </cell>
          <cell r="J5733">
            <v>0.13953227397260273</v>
          </cell>
        </row>
        <row r="5734">
          <cell r="I5734">
            <v>6439</v>
          </cell>
          <cell r="J5734">
            <v>0.13953408219178082</v>
          </cell>
        </row>
        <row r="5735">
          <cell r="I5735">
            <v>6440</v>
          </cell>
          <cell r="J5735">
            <v>0.1395358904109589</v>
          </cell>
        </row>
        <row r="5736">
          <cell r="I5736">
            <v>6441</v>
          </cell>
          <cell r="J5736">
            <v>0.13953769863013699</v>
          </cell>
        </row>
        <row r="5737">
          <cell r="I5737">
            <v>6442</v>
          </cell>
          <cell r="J5737">
            <v>0.13953950684931507</v>
          </cell>
        </row>
        <row r="5738">
          <cell r="I5738">
            <v>6443</v>
          </cell>
          <cell r="J5738">
            <v>0.13954131506849315</v>
          </cell>
        </row>
        <row r="5739">
          <cell r="I5739">
            <v>6444</v>
          </cell>
          <cell r="J5739">
            <v>0.13954312328767124</v>
          </cell>
        </row>
        <row r="5740">
          <cell r="I5740">
            <v>6445</v>
          </cell>
          <cell r="J5740">
            <v>0.13954493150684932</v>
          </cell>
        </row>
        <row r="5741">
          <cell r="I5741">
            <v>6446</v>
          </cell>
          <cell r="J5741">
            <v>0.13954673972602741</v>
          </cell>
        </row>
        <row r="5742">
          <cell r="I5742">
            <v>6447</v>
          </cell>
          <cell r="J5742">
            <v>0.13954854794520549</v>
          </cell>
        </row>
        <row r="5743">
          <cell r="I5743">
            <v>6448</v>
          </cell>
          <cell r="J5743">
            <v>0.13955035616438358</v>
          </cell>
        </row>
        <row r="5744">
          <cell r="I5744">
            <v>6449</v>
          </cell>
          <cell r="J5744">
            <v>0.13955216438356166</v>
          </cell>
        </row>
        <row r="5745">
          <cell r="I5745">
            <v>6450</v>
          </cell>
          <cell r="J5745">
            <v>0.13955397260273972</v>
          </cell>
        </row>
        <row r="5746">
          <cell r="I5746">
            <v>6451</v>
          </cell>
          <cell r="J5746">
            <v>0.1395557808219178</v>
          </cell>
        </row>
        <row r="5747">
          <cell r="I5747">
            <v>6452</v>
          </cell>
          <cell r="J5747">
            <v>0.13955758904109589</v>
          </cell>
        </row>
        <row r="5748">
          <cell r="I5748">
            <v>6453</v>
          </cell>
          <cell r="J5748">
            <v>0.13955939726027397</v>
          </cell>
        </row>
        <row r="5749">
          <cell r="I5749">
            <v>6454</v>
          </cell>
          <cell r="J5749">
            <v>0.13956120547945206</v>
          </cell>
        </row>
        <row r="5750">
          <cell r="I5750">
            <v>6455</v>
          </cell>
          <cell r="J5750">
            <v>0.13956301369863014</v>
          </cell>
        </row>
        <row r="5751">
          <cell r="I5751">
            <v>6456</v>
          </cell>
          <cell r="J5751">
            <v>0.13956482191780822</v>
          </cell>
        </row>
        <row r="5752">
          <cell r="I5752">
            <v>6457</v>
          </cell>
          <cell r="J5752">
            <v>0.13956663013698631</v>
          </cell>
        </row>
        <row r="5753">
          <cell r="I5753">
            <v>6458</v>
          </cell>
          <cell r="J5753">
            <v>0.13956843835616439</v>
          </cell>
        </row>
        <row r="5754">
          <cell r="I5754">
            <v>6459</v>
          </cell>
          <cell r="J5754">
            <v>0.13957024657534248</v>
          </cell>
        </row>
        <row r="5755">
          <cell r="I5755">
            <v>6460</v>
          </cell>
          <cell r="J5755">
            <v>0.13957205479452056</v>
          </cell>
        </row>
        <row r="5756">
          <cell r="I5756">
            <v>6461</v>
          </cell>
          <cell r="J5756">
            <v>0.13957386301369865</v>
          </cell>
        </row>
        <row r="5757">
          <cell r="I5757">
            <v>6462</v>
          </cell>
          <cell r="J5757">
            <v>0.13957567123287673</v>
          </cell>
        </row>
        <row r="5758">
          <cell r="I5758">
            <v>6463</v>
          </cell>
          <cell r="J5758">
            <v>0.13957747945205479</v>
          </cell>
        </row>
        <row r="5759">
          <cell r="I5759">
            <v>6464</v>
          </cell>
          <cell r="J5759">
            <v>0.13957928767123287</v>
          </cell>
        </row>
        <row r="5760">
          <cell r="I5760">
            <v>6465</v>
          </cell>
          <cell r="J5760">
            <v>0.13958109589041096</v>
          </cell>
        </row>
        <row r="5761">
          <cell r="I5761">
            <v>6466</v>
          </cell>
          <cell r="J5761">
            <v>0.13958290410958904</v>
          </cell>
        </row>
        <row r="5762">
          <cell r="I5762">
            <v>6467</v>
          </cell>
          <cell r="J5762">
            <v>0.13958471232876712</v>
          </cell>
        </row>
        <row r="5763">
          <cell r="I5763">
            <v>6468</v>
          </cell>
          <cell r="J5763">
            <v>0.13958652054794521</v>
          </cell>
        </row>
        <row r="5764">
          <cell r="I5764">
            <v>6469</v>
          </cell>
          <cell r="J5764">
            <v>0.13958832876712329</v>
          </cell>
        </row>
        <row r="5765">
          <cell r="I5765">
            <v>6470</v>
          </cell>
          <cell r="J5765">
            <v>0.13959013698630138</v>
          </cell>
        </row>
        <row r="5766">
          <cell r="I5766">
            <v>6471</v>
          </cell>
          <cell r="J5766">
            <v>0.13959194520547946</v>
          </cell>
        </row>
        <row r="5767">
          <cell r="I5767">
            <v>6472</v>
          </cell>
          <cell r="J5767">
            <v>0.13959375342465755</v>
          </cell>
        </row>
        <row r="5768">
          <cell r="I5768">
            <v>6473</v>
          </cell>
          <cell r="J5768">
            <v>0.13959556164383563</v>
          </cell>
        </row>
        <row r="5769">
          <cell r="I5769">
            <v>6474</v>
          </cell>
          <cell r="J5769">
            <v>0.13959736986301371</v>
          </cell>
        </row>
        <row r="5770">
          <cell r="I5770">
            <v>6475</v>
          </cell>
          <cell r="J5770">
            <v>0.13959917808219177</v>
          </cell>
        </row>
        <row r="5771">
          <cell r="I5771">
            <v>6476</v>
          </cell>
          <cell r="J5771">
            <v>0.13960098630136986</v>
          </cell>
        </row>
        <row r="5772">
          <cell r="I5772">
            <v>6477</v>
          </cell>
          <cell r="J5772">
            <v>0.13960279452054794</v>
          </cell>
        </row>
        <row r="5773">
          <cell r="I5773">
            <v>6478</v>
          </cell>
          <cell r="J5773">
            <v>0.13960460273972602</v>
          </cell>
        </row>
        <row r="5774">
          <cell r="I5774">
            <v>6479</v>
          </cell>
          <cell r="J5774">
            <v>0.13960641095890411</v>
          </cell>
        </row>
        <row r="5775">
          <cell r="I5775">
            <v>6480</v>
          </cell>
          <cell r="J5775">
            <v>0.13960821917808219</v>
          </cell>
        </row>
        <row r="5776">
          <cell r="I5776">
            <v>6481</v>
          </cell>
          <cell r="J5776">
            <v>0.13961002739726028</v>
          </cell>
        </row>
        <row r="5777">
          <cell r="I5777">
            <v>6482</v>
          </cell>
          <cell r="J5777">
            <v>0.13961183561643836</v>
          </cell>
        </row>
        <row r="5778">
          <cell r="I5778">
            <v>6483</v>
          </cell>
          <cell r="J5778">
            <v>0.13961364383561645</v>
          </cell>
        </row>
        <row r="5779">
          <cell r="I5779">
            <v>6484</v>
          </cell>
          <cell r="J5779">
            <v>0.13961545205479453</v>
          </cell>
        </row>
        <row r="5780">
          <cell r="I5780">
            <v>6485</v>
          </cell>
          <cell r="J5780">
            <v>0.13961726027397262</v>
          </cell>
        </row>
        <row r="5781">
          <cell r="I5781">
            <v>6486</v>
          </cell>
          <cell r="J5781">
            <v>0.1396190684931507</v>
          </cell>
        </row>
        <row r="5782">
          <cell r="I5782">
            <v>6487</v>
          </cell>
          <cell r="J5782">
            <v>0.13962087671232878</v>
          </cell>
        </row>
        <row r="5783">
          <cell r="I5783">
            <v>6488</v>
          </cell>
          <cell r="J5783">
            <v>0.13962268493150684</v>
          </cell>
        </row>
        <row r="5784">
          <cell r="I5784">
            <v>6489</v>
          </cell>
          <cell r="J5784">
            <v>0.13962449315068493</v>
          </cell>
        </row>
        <row r="5785">
          <cell r="I5785">
            <v>6490</v>
          </cell>
          <cell r="J5785">
            <v>0.13962630136986301</v>
          </cell>
        </row>
        <row r="5786">
          <cell r="I5786">
            <v>6491</v>
          </cell>
          <cell r="J5786">
            <v>0.13962810958904109</v>
          </cell>
        </row>
        <row r="5787">
          <cell r="I5787">
            <v>6492</v>
          </cell>
          <cell r="J5787">
            <v>0.13962991780821918</v>
          </cell>
        </row>
        <row r="5788">
          <cell r="I5788">
            <v>6493</v>
          </cell>
          <cell r="J5788">
            <v>0.13963172602739726</v>
          </cell>
        </row>
        <row r="5789">
          <cell r="I5789">
            <v>6494</v>
          </cell>
          <cell r="J5789">
            <v>0.13963353424657535</v>
          </cell>
        </row>
        <row r="5790">
          <cell r="I5790">
            <v>6495</v>
          </cell>
          <cell r="J5790">
            <v>0.13963534246575343</v>
          </cell>
        </row>
        <row r="5791">
          <cell r="I5791">
            <v>6496</v>
          </cell>
          <cell r="J5791">
            <v>0.13963715068493152</v>
          </cell>
        </row>
        <row r="5792">
          <cell r="I5792">
            <v>6497</v>
          </cell>
          <cell r="J5792">
            <v>0.1396389589041096</v>
          </cell>
        </row>
        <row r="5793">
          <cell r="I5793">
            <v>6498</v>
          </cell>
          <cell r="J5793">
            <v>0.13964076712328768</v>
          </cell>
        </row>
        <row r="5794">
          <cell r="I5794">
            <v>6499</v>
          </cell>
          <cell r="J5794">
            <v>0.13964257534246577</v>
          </cell>
        </row>
        <row r="5795">
          <cell r="I5795">
            <v>6500</v>
          </cell>
          <cell r="J5795">
            <v>0.13964438356164385</v>
          </cell>
        </row>
        <row r="5796">
          <cell r="I5796">
            <v>6501</v>
          </cell>
          <cell r="J5796">
            <v>0.13964619178082191</v>
          </cell>
        </row>
        <row r="5797">
          <cell r="I5797">
            <v>6502</v>
          </cell>
          <cell r="J5797">
            <v>0.13964799999999999</v>
          </cell>
        </row>
        <row r="5798">
          <cell r="I5798">
            <v>6503</v>
          </cell>
          <cell r="J5798">
            <v>0.13964980821917808</v>
          </cell>
        </row>
        <row r="5799">
          <cell r="I5799">
            <v>6504</v>
          </cell>
          <cell r="J5799">
            <v>0.13965161643835616</v>
          </cell>
        </row>
        <row r="5800">
          <cell r="I5800">
            <v>6505</v>
          </cell>
          <cell r="J5800">
            <v>0.13965342465753425</v>
          </cell>
        </row>
        <row r="5801">
          <cell r="I5801">
            <v>6506</v>
          </cell>
          <cell r="J5801">
            <v>0.13965523287671233</v>
          </cell>
        </row>
        <row r="5802">
          <cell r="I5802">
            <v>6507</v>
          </cell>
          <cell r="J5802">
            <v>0.13965704109589042</v>
          </cell>
        </row>
        <row r="5803">
          <cell r="I5803">
            <v>6508</v>
          </cell>
          <cell r="J5803">
            <v>0.1396588493150685</v>
          </cell>
        </row>
        <row r="5804">
          <cell r="I5804">
            <v>6509</v>
          </cell>
          <cell r="J5804">
            <v>0.13966065753424659</v>
          </cell>
        </row>
        <row r="5805">
          <cell r="I5805">
            <v>6510</v>
          </cell>
          <cell r="J5805">
            <v>0.13966246575342467</v>
          </cell>
        </row>
        <row r="5806">
          <cell r="I5806">
            <v>6511</v>
          </cell>
          <cell r="J5806">
            <v>0.13966427397260275</v>
          </cell>
        </row>
        <row r="5807">
          <cell r="I5807">
            <v>6512</v>
          </cell>
          <cell r="J5807">
            <v>0.13966608219178084</v>
          </cell>
        </row>
        <row r="5808">
          <cell r="I5808">
            <v>6513</v>
          </cell>
          <cell r="J5808">
            <v>0.13966789041095889</v>
          </cell>
        </row>
        <row r="5809">
          <cell r="I5809">
            <v>6514</v>
          </cell>
          <cell r="J5809">
            <v>0.13966969863013698</v>
          </cell>
        </row>
        <row r="5810">
          <cell r="I5810">
            <v>6515</v>
          </cell>
          <cell r="J5810">
            <v>0.13967150684931506</v>
          </cell>
        </row>
        <row r="5811">
          <cell r="I5811">
            <v>6516</v>
          </cell>
          <cell r="J5811">
            <v>0.13967331506849315</v>
          </cell>
        </row>
        <row r="5812">
          <cell r="I5812">
            <v>6517</v>
          </cell>
          <cell r="J5812">
            <v>0.13967512328767123</v>
          </cell>
        </row>
        <row r="5813">
          <cell r="I5813">
            <v>6518</v>
          </cell>
          <cell r="J5813">
            <v>0.13967693150684932</v>
          </cell>
        </row>
        <row r="5814">
          <cell r="I5814">
            <v>6519</v>
          </cell>
          <cell r="J5814">
            <v>0.1396787397260274</v>
          </cell>
        </row>
        <row r="5815">
          <cell r="I5815">
            <v>6520</v>
          </cell>
          <cell r="J5815">
            <v>0.13968054794520549</v>
          </cell>
        </row>
        <row r="5816">
          <cell r="I5816">
            <v>6521</v>
          </cell>
          <cell r="J5816">
            <v>0.13968235616438357</v>
          </cell>
        </row>
        <row r="5817">
          <cell r="I5817">
            <v>6522</v>
          </cell>
          <cell r="J5817">
            <v>0.13968416438356165</v>
          </cell>
        </row>
        <row r="5818">
          <cell r="I5818">
            <v>6523</v>
          </cell>
          <cell r="J5818">
            <v>0.13968597260273974</v>
          </cell>
        </row>
        <row r="5819">
          <cell r="I5819">
            <v>6524</v>
          </cell>
          <cell r="J5819">
            <v>0.13968778082191782</v>
          </cell>
        </row>
        <row r="5820">
          <cell r="I5820">
            <v>6525</v>
          </cell>
          <cell r="J5820">
            <v>0.13968958904109591</v>
          </cell>
        </row>
        <row r="5821">
          <cell r="I5821">
            <v>6526</v>
          </cell>
          <cell r="J5821">
            <v>0.13969139726027396</v>
          </cell>
        </row>
        <row r="5822">
          <cell r="I5822">
            <v>6527</v>
          </cell>
          <cell r="J5822">
            <v>0.13969320547945205</v>
          </cell>
        </row>
        <row r="5823">
          <cell r="I5823">
            <v>6528</v>
          </cell>
          <cell r="J5823">
            <v>0.13969501369863013</v>
          </cell>
        </row>
        <row r="5824">
          <cell r="I5824">
            <v>6529</v>
          </cell>
          <cell r="J5824">
            <v>0.13969682191780822</v>
          </cell>
        </row>
        <row r="5825">
          <cell r="I5825">
            <v>6530</v>
          </cell>
          <cell r="J5825">
            <v>0.1396986301369863</v>
          </cell>
        </row>
        <row r="5826">
          <cell r="I5826">
            <v>6531</v>
          </cell>
          <cell r="J5826">
            <v>0.13970043835616439</v>
          </cell>
        </row>
        <row r="5827">
          <cell r="I5827">
            <v>6532</v>
          </cell>
          <cell r="J5827">
            <v>0.13970224657534247</v>
          </cell>
        </row>
        <row r="5828">
          <cell r="I5828">
            <v>6533</v>
          </cell>
          <cell r="J5828">
            <v>0.13970405479452055</v>
          </cell>
        </row>
        <row r="5829">
          <cell r="I5829">
            <v>6534</v>
          </cell>
          <cell r="J5829">
            <v>0.13970586301369864</v>
          </cell>
        </row>
        <row r="5830">
          <cell r="I5830">
            <v>6535</v>
          </cell>
          <cell r="J5830">
            <v>0.13970767123287672</v>
          </cell>
        </row>
        <row r="5831">
          <cell r="I5831">
            <v>6536</v>
          </cell>
          <cell r="J5831">
            <v>0.13970947945205481</v>
          </cell>
        </row>
        <row r="5832">
          <cell r="I5832">
            <v>6537</v>
          </cell>
          <cell r="J5832">
            <v>0.13971128767123289</v>
          </cell>
        </row>
        <row r="5833">
          <cell r="I5833">
            <v>6538</v>
          </cell>
          <cell r="J5833">
            <v>0.13971309589041098</v>
          </cell>
        </row>
        <row r="5834">
          <cell r="I5834">
            <v>6539</v>
          </cell>
          <cell r="J5834">
            <v>0.13971490410958903</v>
          </cell>
        </row>
        <row r="5835">
          <cell r="I5835">
            <v>6540</v>
          </cell>
          <cell r="J5835">
            <v>0.13971671232876712</v>
          </cell>
        </row>
        <row r="5836">
          <cell r="I5836">
            <v>6541</v>
          </cell>
          <cell r="J5836">
            <v>0.1397185205479452</v>
          </cell>
        </row>
        <row r="5837">
          <cell r="I5837">
            <v>6542</v>
          </cell>
          <cell r="J5837">
            <v>0.13972032876712329</v>
          </cell>
        </row>
        <row r="5838">
          <cell r="I5838">
            <v>6543</v>
          </cell>
          <cell r="J5838">
            <v>0.13972213698630137</v>
          </cell>
        </row>
        <row r="5839">
          <cell r="I5839">
            <v>6544</v>
          </cell>
          <cell r="J5839">
            <v>0.13972394520547946</v>
          </cell>
        </row>
        <row r="5840">
          <cell r="I5840">
            <v>6545</v>
          </cell>
          <cell r="J5840">
            <v>0.13972575342465754</v>
          </cell>
        </row>
        <row r="5841">
          <cell r="I5841">
            <v>6546</v>
          </cell>
          <cell r="J5841">
            <v>0.13972756164383562</v>
          </cell>
        </row>
        <row r="5842">
          <cell r="I5842">
            <v>6547</v>
          </cell>
          <cell r="J5842">
            <v>0.13972936986301371</v>
          </cell>
        </row>
        <row r="5843">
          <cell r="I5843">
            <v>6548</v>
          </cell>
          <cell r="J5843">
            <v>0.13973117808219179</v>
          </cell>
        </row>
        <row r="5844">
          <cell r="I5844">
            <v>6549</v>
          </cell>
          <cell r="J5844">
            <v>0.13973298630136988</v>
          </cell>
        </row>
        <row r="5845">
          <cell r="I5845">
            <v>6550</v>
          </cell>
          <cell r="J5845">
            <v>0.13973479452054796</v>
          </cell>
        </row>
        <row r="5846">
          <cell r="I5846">
            <v>6551</v>
          </cell>
          <cell r="J5846">
            <v>0.13973660273972602</v>
          </cell>
        </row>
        <row r="5847">
          <cell r="I5847">
            <v>6552</v>
          </cell>
          <cell r="J5847">
            <v>0.1397384109589041</v>
          </cell>
        </row>
        <row r="5848">
          <cell r="I5848">
            <v>6553</v>
          </cell>
          <cell r="J5848">
            <v>0.13974021917808219</v>
          </cell>
        </row>
        <row r="5849">
          <cell r="I5849">
            <v>6554</v>
          </cell>
          <cell r="J5849">
            <v>0.13974202739726027</v>
          </cell>
        </row>
        <row r="5850">
          <cell r="I5850">
            <v>6555</v>
          </cell>
          <cell r="J5850">
            <v>0.13974383561643836</v>
          </cell>
        </row>
        <row r="5851">
          <cell r="I5851">
            <v>6556</v>
          </cell>
          <cell r="J5851">
            <v>0.13974564383561644</v>
          </cell>
        </row>
        <row r="5852">
          <cell r="I5852">
            <v>6557</v>
          </cell>
          <cell r="J5852">
            <v>0.13974745205479452</v>
          </cell>
        </row>
        <row r="5853">
          <cell r="I5853">
            <v>6558</v>
          </cell>
          <cell r="J5853">
            <v>0.13974926027397261</v>
          </cell>
        </row>
        <row r="5854">
          <cell r="I5854">
            <v>6559</v>
          </cell>
          <cell r="J5854">
            <v>0.13975106849315069</v>
          </cell>
        </row>
        <row r="5855">
          <cell r="I5855">
            <v>6560</v>
          </cell>
          <cell r="J5855">
            <v>0.13975287671232878</v>
          </cell>
        </row>
        <row r="5856">
          <cell r="I5856">
            <v>6561</v>
          </cell>
          <cell r="J5856">
            <v>0.13975468493150686</v>
          </cell>
        </row>
        <row r="5857">
          <cell r="I5857">
            <v>6562</v>
          </cell>
          <cell r="J5857">
            <v>0.13975649315068495</v>
          </cell>
        </row>
        <row r="5858">
          <cell r="I5858">
            <v>6563</v>
          </cell>
          <cell r="J5858">
            <v>0.13975830136986303</v>
          </cell>
        </row>
        <row r="5859">
          <cell r="I5859">
            <v>6564</v>
          </cell>
          <cell r="J5859">
            <v>0.13976010958904109</v>
          </cell>
        </row>
        <row r="5860">
          <cell r="I5860">
            <v>6565</v>
          </cell>
          <cell r="J5860">
            <v>0.13976191780821917</v>
          </cell>
        </row>
        <row r="5861">
          <cell r="I5861">
            <v>6566</v>
          </cell>
          <cell r="J5861">
            <v>0.13976372602739726</v>
          </cell>
        </row>
        <row r="5862">
          <cell r="I5862">
            <v>6567</v>
          </cell>
          <cell r="J5862">
            <v>0.13976553424657534</v>
          </cell>
        </row>
        <row r="5863">
          <cell r="I5863">
            <v>6568</v>
          </cell>
          <cell r="J5863">
            <v>0.13976734246575342</v>
          </cell>
        </row>
        <row r="5864">
          <cell r="I5864">
            <v>6569</v>
          </cell>
          <cell r="J5864">
            <v>0.13976915068493151</v>
          </cell>
        </row>
        <row r="5865">
          <cell r="I5865">
            <v>6570</v>
          </cell>
          <cell r="J5865">
            <v>0.13977095890410959</v>
          </cell>
        </row>
        <row r="5866">
          <cell r="I5866">
            <v>6571</v>
          </cell>
          <cell r="J5866">
            <v>0.13977276712328768</v>
          </cell>
        </row>
        <row r="5867">
          <cell r="I5867">
            <v>6572</v>
          </cell>
          <cell r="J5867">
            <v>0.13977457534246576</v>
          </cell>
        </row>
        <row r="5868">
          <cell r="I5868">
            <v>6573</v>
          </cell>
          <cell r="J5868">
            <v>0.13977638356164385</v>
          </cell>
        </row>
        <row r="5869">
          <cell r="I5869">
            <v>6574</v>
          </cell>
          <cell r="J5869">
            <v>0.13977819178082193</v>
          </cell>
        </row>
        <row r="5870">
          <cell r="I5870">
            <v>6575</v>
          </cell>
          <cell r="J5870">
            <v>0.13978000000000002</v>
          </cell>
        </row>
        <row r="5871">
          <cell r="I5871">
            <v>6576</v>
          </cell>
          <cell r="J5871">
            <v>0.1397818082191781</v>
          </cell>
        </row>
        <row r="5872">
          <cell r="I5872">
            <v>6577</v>
          </cell>
          <cell r="J5872">
            <v>0.13978361643835616</v>
          </cell>
        </row>
        <row r="5873">
          <cell r="I5873">
            <v>6578</v>
          </cell>
          <cell r="J5873">
            <v>0.13978542465753424</v>
          </cell>
        </row>
        <row r="5874">
          <cell r="I5874">
            <v>6579</v>
          </cell>
          <cell r="J5874">
            <v>0.13978723287671233</v>
          </cell>
        </row>
        <row r="5875">
          <cell r="I5875">
            <v>6580</v>
          </cell>
          <cell r="J5875">
            <v>0.13978904109589041</v>
          </cell>
        </row>
        <row r="5876">
          <cell r="I5876">
            <v>6581</v>
          </cell>
          <cell r="J5876">
            <v>0.13979084931506849</v>
          </cell>
        </row>
        <row r="5877">
          <cell r="I5877">
            <v>6582</v>
          </cell>
          <cell r="J5877">
            <v>0.13979265753424658</v>
          </cell>
        </row>
        <row r="5878">
          <cell r="I5878">
            <v>6583</v>
          </cell>
          <cell r="J5878">
            <v>0.13979446575342466</v>
          </cell>
        </row>
        <row r="5879">
          <cell r="I5879">
            <v>6584</v>
          </cell>
          <cell r="J5879">
            <v>0.13979627397260275</v>
          </cell>
        </row>
        <row r="5880">
          <cell r="I5880">
            <v>6585</v>
          </cell>
          <cell r="J5880">
            <v>0.13979808219178083</v>
          </cell>
        </row>
        <row r="5881">
          <cell r="I5881">
            <v>6586</v>
          </cell>
          <cell r="J5881">
            <v>0.13979989041095892</v>
          </cell>
        </row>
        <row r="5882">
          <cell r="I5882">
            <v>6587</v>
          </cell>
          <cell r="J5882">
            <v>0.139801698630137</v>
          </cell>
        </row>
        <row r="5883">
          <cell r="I5883">
            <v>6588</v>
          </cell>
          <cell r="J5883">
            <v>0.13980350684931508</v>
          </cell>
        </row>
        <row r="5884">
          <cell r="I5884">
            <v>6589</v>
          </cell>
          <cell r="J5884">
            <v>0.13980531506849314</v>
          </cell>
        </row>
        <row r="5885">
          <cell r="I5885">
            <v>6590</v>
          </cell>
          <cell r="J5885">
            <v>0.13980712328767123</v>
          </cell>
        </row>
        <row r="5886">
          <cell r="I5886">
            <v>6591</v>
          </cell>
          <cell r="J5886">
            <v>0.13980893150684931</v>
          </cell>
        </row>
        <row r="5887">
          <cell r="I5887">
            <v>6592</v>
          </cell>
          <cell r="J5887">
            <v>0.13981073972602739</v>
          </cell>
        </row>
        <row r="5888">
          <cell r="I5888">
            <v>6593</v>
          </cell>
          <cell r="J5888">
            <v>0.13981254794520548</v>
          </cell>
        </row>
        <row r="5889">
          <cell r="I5889">
            <v>6594</v>
          </cell>
          <cell r="J5889">
            <v>0.13981435616438356</v>
          </cell>
        </row>
        <row r="5890">
          <cell r="I5890">
            <v>6595</v>
          </cell>
          <cell r="J5890">
            <v>0.13981616438356165</v>
          </cell>
        </row>
        <row r="5891">
          <cell r="I5891">
            <v>6596</v>
          </cell>
          <cell r="J5891">
            <v>0.13981797260273973</v>
          </cell>
        </row>
        <row r="5892">
          <cell r="I5892">
            <v>6597</v>
          </cell>
          <cell r="J5892">
            <v>0.13981978082191782</v>
          </cell>
        </row>
        <row r="5893">
          <cell r="I5893">
            <v>6598</v>
          </cell>
          <cell r="J5893">
            <v>0.1398215890410959</v>
          </cell>
        </row>
        <row r="5894">
          <cell r="I5894">
            <v>6599</v>
          </cell>
          <cell r="J5894">
            <v>0.13982339726027398</v>
          </cell>
        </row>
        <row r="5895">
          <cell r="I5895">
            <v>6600</v>
          </cell>
          <cell r="J5895">
            <v>0.13982520547945207</v>
          </cell>
        </row>
        <row r="5896">
          <cell r="I5896">
            <v>6601</v>
          </cell>
          <cell r="J5896">
            <v>0.13982701369863015</v>
          </cell>
        </row>
        <row r="5897">
          <cell r="I5897">
            <v>6602</v>
          </cell>
          <cell r="J5897">
            <v>0.13982882191780821</v>
          </cell>
        </row>
        <row r="5898">
          <cell r="I5898">
            <v>6603</v>
          </cell>
          <cell r="J5898">
            <v>0.13983063013698629</v>
          </cell>
        </row>
        <row r="5899">
          <cell r="I5899">
            <v>6604</v>
          </cell>
          <cell r="J5899">
            <v>0.13983243835616438</v>
          </cell>
        </row>
        <row r="5900">
          <cell r="I5900">
            <v>6605</v>
          </cell>
          <cell r="J5900">
            <v>0.13983424657534246</v>
          </cell>
        </row>
        <row r="5901">
          <cell r="I5901">
            <v>6606</v>
          </cell>
          <cell r="J5901">
            <v>0.13983605479452055</v>
          </cell>
        </row>
        <row r="5902">
          <cell r="I5902">
            <v>6607</v>
          </cell>
          <cell r="J5902">
            <v>0.13983786301369863</v>
          </cell>
        </row>
        <row r="5903">
          <cell r="I5903">
            <v>6608</v>
          </cell>
          <cell r="J5903">
            <v>0.13983967123287672</v>
          </cell>
        </row>
        <row r="5904">
          <cell r="I5904">
            <v>6609</v>
          </cell>
          <cell r="J5904">
            <v>0.1398414794520548</v>
          </cell>
        </row>
        <row r="5905">
          <cell r="I5905">
            <v>6610</v>
          </cell>
          <cell r="J5905">
            <v>0.13984328767123289</v>
          </cell>
        </row>
        <row r="5906">
          <cell r="I5906">
            <v>6611</v>
          </cell>
          <cell r="J5906">
            <v>0.13984509589041097</v>
          </cell>
        </row>
        <row r="5907">
          <cell r="I5907">
            <v>6612</v>
          </cell>
          <cell r="J5907">
            <v>0.13984690410958905</v>
          </cell>
        </row>
        <row r="5908">
          <cell r="I5908">
            <v>6613</v>
          </cell>
          <cell r="J5908">
            <v>0.13984871232876714</v>
          </cell>
        </row>
        <row r="5909">
          <cell r="I5909">
            <v>6614</v>
          </cell>
          <cell r="J5909">
            <v>0.13985052054794522</v>
          </cell>
        </row>
        <row r="5910">
          <cell r="I5910">
            <v>6615</v>
          </cell>
          <cell r="J5910">
            <v>0.13985232876712328</v>
          </cell>
        </row>
        <row r="5911">
          <cell r="I5911">
            <v>6616</v>
          </cell>
          <cell r="J5911">
            <v>0.13985413698630136</v>
          </cell>
        </row>
        <row r="5912">
          <cell r="I5912">
            <v>6617</v>
          </cell>
          <cell r="J5912">
            <v>0.13985594520547945</v>
          </cell>
        </row>
        <row r="5913">
          <cell r="I5913">
            <v>6618</v>
          </cell>
          <cell r="J5913">
            <v>0.13985775342465753</v>
          </cell>
        </row>
        <row r="5914">
          <cell r="I5914">
            <v>6619</v>
          </cell>
          <cell r="J5914">
            <v>0.13985956164383562</v>
          </cell>
        </row>
        <row r="5915">
          <cell r="I5915">
            <v>6620</v>
          </cell>
          <cell r="J5915">
            <v>0.1398613698630137</v>
          </cell>
        </row>
        <row r="5916">
          <cell r="I5916">
            <v>6621</v>
          </cell>
          <cell r="J5916">
            <v>0.13986317808219179</v>
          </cell>
        </row>
        <row r="5917">
          <cell r="I5917">
            <v>6622</v>
          </cell>
          <cell r="J5917">
            <v>0.13986498630136987</v>
          </cell>
        </row>
        <row r="5918">
          <cell r="I5918">
            <v>6623</v>
          </cell>
          <cell r="J5918">
            <v>0.13986679452054795</v>
          </cell>
        </row>
        <row r="5919">
          <cell r="I5919">
            <v>6624</v>
          </cell>
          <cell r="J5919">
            <v>0.13986860273972604</v>
          </cell>
        </row>
        <row r="5920">
          <cell r="I5920">
            <v>6625</v>
          </cell>
          <cell r="J5920">
            <v>0.13987041095890412</v>
          </cell>
        </row>
        <row r="5921">
          <cell r="I5921">
            <v>6626</v>
          </cell>
          <cell r="J5921">
            <v>0.13987221917808221</v>
          </cell>
        </row>
        <row r="5922">
          <cell r="I5922">
            <v>6627</v>
          </cell>
          <cell r="J5922">
            <v>0.13987402739726029</v>
          </cell>
        </row>
        <row r="5923">
          <cell r="I5923">
            <v>6628</v>
          </cell>
          <cell r="J5923">
            <v>0.13987583561643835</v>
          </cell>
        </row>
        <row r="5924">
          <cell r="I5924">
            <v>6629</v>
          </cell>
          <cell r="J5924">
            <v>0.13987764383561643</v>
          </cell>
        </row>
        <row r="5925">
          <cell r="I5925">
            <v>6630</v>
          </cell>
          <cell r="J5925">
            <v>0.13987945205479452</v>
          </cell>
        </row>
        <row r="5926">
          <cell r="I5926">
            <v>6631</v>
          </cell>
          <cell r="J5926">
            <v>0.1398812602739726</v>
          </cell>
        </row>
        <row r="5927">
          <cell r="I5927">
            <v>6632</v>
          </cell>
          <cell r="J5927">
            <v>0.13988306849315069</v>
          </cell>
        </row>
        <row r="5928">
          <cell r="I5928">
            <v>6633</v>
          </cell>
          <cell r="J5928">
            <v>0.13988487671232877</v>
          </cell>
        </row>
        <row r="5929">
          <cell r="I5929">
            <v>6634</v>
          </cell>
          <cell r="J5929">
            <v>0.13988668493150686</v>
          </cell>
        </row>
        <row r="5930">
          <cell r="I5930">
            <v>6635</v>
          </cell>
          <cell r="J5930">
            <v>0.13988849315068494</v>
          </cell>
        </row>
        <row r="5931">
          <cell r="I5931">
            <v>6636</v>
          </cell>
          <cell r="J5931">
            <v>0.13989030136986302</v>
          </cell>
        </row>
        <row r="5932">
          <cell r="I5932">
            <v>6637</v>
          </cell>
          <cell r="J5932">
            <v>0.13989210958904111</v>
          </cell>
        </row>
        <row r="5933">
          <cell r="I5933">
            <v>6638</v>
          </cell>
          <cell r="J5933">
            <v>0.13989391780821919</v>
          </cell>
        </row>
        <row r="5934">
          <cell r="I5934">
            <v>6639</v>
          </cell>
          <cell r="J5934">
            <v>0.13989572602739728</v>
          </cell>
        </row>
        <row r="5935">
          <cell r="I5935">
            <v>6640</v>
          </cell>
          <cell r="J5935">
            <v>0.13989753424657533</v>
          </cell>
        </row>
        <row r="5936">
          <cell r="I5936">
            <v>6641</v>
          </cell>
          <cell r="J5936">
            <v>0.13989934246575342</v>
          </cell>
        </row>
        <row r="5937">
          <cell r="I5937">
            <v>6642</v>
          </cell>
          <cell r="J5937">
            <v>0.1399011506849315</v>
          </cell>
        </row>
        <row r="5938">
          <cell r="I5938">
            <v>6643</v>
          </cell>
          <cell r="J5938">
            <v>0.13990295890410959</v>
          </cell>
        </row>
        <row r="5939">
          <cell r="I5939">
            <v>6644</v>
          </cell>
          <cell r="J5939">
            <v>0.13990476712328767</v>
          </cell>
        </row>
        <row r="5940">
          <cell r="I5940">
            <v>6645</v>
          </cell>
          <cell r="J5940">
            <v>0.13990657534246576</v>
          </cell>
        </row>
        <row r="5941">
          <cell r="I5941">
            <v>6646</v>
          </cell>
          <cell r="J5941">
            <v>0.13990838356164384</v>
          </cell>
        </row>
        <row r="5942">
          <cell r="I5942">
            <v>6647</v>
          </cell>
          <cell r="J5942">
            <v>0.13991019178082192</v>
          </cell>
        </row>
        <row r="5943">
          <cell r="I5943">
            <v>6648</v>
          </cell>
          <cell r="J5943">
            <v>0.13991200000000001</v>
          </cell>
        </row>
        <row r="5944">
          <cell r="I5944">
            <v>6649</v>
          </cell>
          <cell r="J5944">
            <v>0.13991380821917809</v>
          </cell>
        </row>
        <row r="5945">
          <cell r="I5945">
            <v>6650</v>
          </cell>
          <cell r="J5945">
            <v>0.13991561643835618</v>
          </cell>
        </row>
        <row r="5946">
          <cell r="I5946">
            <v>6651</v>
          </cell>
          <cell r="J5946">
            <v>0.13991742465753426</v>
          </cell>
        </row>
        <row r="5947">
          <cell r="I5947">
            <v>6652</v>
          </cell>
          <cell r="J5947">
            <v>0.13991923287671235</v>
          </cell>
        </row>
        <row r="5948">
          <cell r="I5948">
            <v>6653</v>
          </cell>
          <cell r="J5948">
            <v>0.1399210410958904</v>
          </cell>
        </row>
        <row r="5949">
          <cell r="I5949">
            <v>6654</v>
          </cell>
          <cell r="J5949">
            <v>0.13992284931506849</v>
          </cell>
        </row>
        <row r="5950">
          <cell r="I5950">
            <v>6655</v>
          </cell>
          <cell r="J5950">
            <v>0.13992465753424657</v>
          </cell>
        </row>
        <row r="5951">
          <cell r="I5951">
            <v>6656</v>
          </cell>
          <cell r="J5951">
            <v>0.13992646575342466</v>
          </cell>
        </row>
        <row r="5952">
          <cell r="I5952">
            <v>6657</v>
          </cell>
          <cell r="J5952">
            <v>0.13992827397260274</v>
          </cell>
        </row>
        <row r="5953">
          <cell r="I5953">
            <v>6658</v>
          </cell>
          <cell r="J5953">
            <v>0.13993008219178082</v>
          </cell>
        </row>
        <row r="5954">
          <cell r="I5954">
            <v>6659</v>
          </cell>
          <cell r="J5954">
            <v>0.13993189041095891</v>
          </cell>
        </row>
        <row r="5955">
          <cell r="I5955">
            <v>6660</v>
          </cell>
          <cell r="J5955">
            <v>0.13993369863013699</v>
          </cell>
        </row>
        <row r="5956">
          <cell r="I5956">
            <v>6661</v>
          </cell>
          <cell r="J5956">
            <v>0.13993550684931508</v>
          </cell>
        </row>
        <row r="5957">
          <cell r="I5957">
            <v>6662</v>
          </cell>
          <cell r="J5957">
            <v>0.13993731506849316</v>
          </cell>
        </row>
        <row r="5958">
          <cell r="I5958">
            <v>6663</v>
          </cell>
          <cell r="J5958">
            <v>0.13993912328767125</v>
          </cell>
        </row>
        <row r="5959">
          <cell r="I5959">
            <v>6664</v>
          </cell>
          <cell r="J5959">
            <v>0.13994093150684933</v>
          </cell>
        </row>
        <row r="5960">
          <cell r="I5960">
            <v>6665</v>
          </cell>
          <cell r="J5960">
            <v>0.13994273972602739</v>
          </cell>
        </row>
        <row r="5961">
          <cell r="I5961">
            <v>6666</v>
          </cell>
          <cell r="J5961">
            <v>0.13994454794520547</v>
          </cell>
        </row>
        <row r="5962">
          <cell r="I5962">
            <v>6667</v>
          </cell>
          <cell r="J5962">
            <v>0.13994635616438356</v>
          </cell>
        </row>
        <row r="5963">
          <cell r="I5963">
            <v>6668</v>
          </cell>
          <cell r="J5963">
            <v>0.13994816438356164</v>
          </cell>
        </row>
        <row r="5964">
          <cell r="I5964">
            <v>6669</v>
          </cell>
          <cell r="J5964">
            <v>0.13994997260273973</v>
          </cell>
        </row>
        <row r="5965">
          <cell r="I5965">
            <v>6670</v>
          </cell>
          <cell r="J5965">
            <v>0.13995178082191781</v>
          </cell>
        </row>
        <row r="5966">
          <cell r="I5966">
            <v>6671</v>
          </cell>
          <cell r="J5966">
            <v>0.13995358904109589</v>
          </cell>
        </row>
        <row r="5967">
          <cell r="I5967">
            <v>6672</v>
          </cell>
          <cell r="J5967">
            <v>0.13995539726027398</v>
          </cell>
        </row>
        <row r="5968">
          <cell r="I5968">
            <v>6673</v>
          </cell>
          <cell r="J5968">
            <v>0.13995720547945206</v>
          </cell>
        </row>
        <row r="5969">
          <cell r="I5969">
            <v>6674</v>
          </cell>
          <cell r="J5969">
            <v>0.13995901369863015</v>
          </cell>
        </row>
        <row r="5970">
          <cell r="I5970">
            <v>6675</v>
          </cell>
          <cell r="J5970">
            <v>0.13996082191780823</v>
          </cell>
        </row>
        <row r="5971">
          <cell r="I5971">
            <v>6676</v>
          </cell>
          <cell r="J5971">
            <v>0.13996263013698632</v>
          </cell>
        </row>
        <row r="5972">
          <cell r="I5972">
            <v>6677</v>
          </cell>
          <cell r="J5972">
            <v>0.1399644383561644</v>
          </cell>
        </row>
        <row r="5973">
          <cell r="I5973">
            <v>6678</v>
          </cell>
          <cell r="J5973">
            <v>0.13996624657534246</v>
          </cell>
        </row>
        <row r="5974">
          <cell r="I5974">
            <v>6679</v>
          </cell>
          <cell r="J5974">
            <v>0.13996805479452054</v>
          </cell>
        </row>
        <row r="5975">
          <cell r="I5975">
            <v>6680</v>
          </cell>
          <cell r="J5975">
            <v>0.13996986301369863</v>
          </cell>
        </row>
        <row r="5976">
          <cell r="I5976">
            <v>6681</v>
          </cell>
          <cell r="J5976">
            <v>0.13997167123287671</v>
          </cell>
        </row>
        <row r="5977">
          <cell r="I5977">
            <v>6682</v>
          </cell>
          <cell r="J5977">
            <v>0.13997347945205479</v>
          </cell>
        </row>
        <row r="5978">
          <cell r="I5978">
            <v>6683</v>
          </cell>
          <cell r="J5978">
            <v>0.13997528767123288</v>
          </cell>
        </row>
        <row r="5979">
          <cell r="I5979">
            <v>6684</v>
          </cell>
          <cell r="J5979">
            <v>0.13997709589041096</v>
          </cell>
        </row>
        <row r="5980">
          <cell r="I5980">
            <v>6685</v>
          </cell>
          <cell r="J5980">
            <v>0.13997890410958905</v>
          </cell>
        </row>
        <row r="5981">
          <cell r="I5981">
            <v>6686</v>
          </cell>
          <cell r="J5981">
            <v>0.13998071232876713</v>
          </cell>
        </row>
        <row r="5982">
          <cell r="I5982">
            <v>6687</v>
          </cell>
          <cell r="J5982">
            <v>0.13998252054794522</v>
          </cell>
        </row>
        <row r="5983">
          <cell r="I5983">
            <v>6688</v>
          </cell>
          <cell r="J5983">
            <v>0.1399843287671233</v>
          </cell>
        </row>
        <row r="5984">
          <cell r="I5984">
            <v>6689</v>
          </cell>
          <cell r="J5984">
            <v>0.13998613698630138</v>
          </cell>
        </row>
        <row r="5985">
          <cell r="I5985">
            <v>6690</v>
          </cell>
          <cell r="J5985">
            <v>0.13998794520547947</v>
          </cell>
        </row>
        <row r="5986">
          <cell r="I5986">
            <v>6691</v>
          </cell>
          <cell r="J5986">
            <v>0.13998975342465753</v>
          </cell>
        </row>
        <row r="5987">
          <cell r="I5987">
            <v>6692</v>
          </cell>
          <cell r="J5987">
            <v>0.13999156164383561</v>
          </cell>
        </row>
        <row r="5988">
          <cell r="I5988">
            <v>6693</v>
          </cell>
          <cell r="J5988">
            <v>0.13999336986301369</v>
          </cell>
        </row>
        <row r="5989">
          <cell r="I5989">
            <v>6694</v>
          </cell>
          <cell r="J5989">
            <v>0.13999517808219178</v>
          </cell>
        </row>
        <row r="5990">
          <cell r="I5990">
            <v>6695</v>
          </cell>
          <cell r="J5990">
            <v>0.13999698630136986</v>
          </cell>
        </row>
        <row r="5991">
          <cell r="I5991">
            <v>6696</v>
          </cell>
          <cell r="J5991">
            <v>0.13999879452054795</v>
          </cell>
        </row>
        <row r="5992">
          <cell r="I5992">
            <v>6697</v>
          </cell>
          <cell r="J5992">
            <v>0.14000060273972603</v>
          </cell>
        </row>
        <row r="5993">
          <cell r="I5993">
            <v>6698</v>
          </cell>
          <cell r="J5993">
            <v>0.14000241095890412</v>
          </cell>
        </row>
        <row r="5994">
          <cell r="I5994">
            <v>6699</v>
          </cell>
          <cell r="J5994">
            <v>0.1400042191780822</v>
          </cell>
        </row>
        <row r="5995">
          <cell r="I5995">
            <v>6700</v>
          </cell>
          <cell r="J5995">
            <v>0.14000602739726029</v>
          </cell>
        </row>
        <row r="5996">
          <cell r="I5996">
            <v>6701</v>
          </cell>
          <cell r="J5996">
            <v>0.14000783561643837</v>
          </cell>
        </row>
        <row r="5997">
          <cell r="I5997">
            <v>6702</v>
          </cell>
          <cell r="J5997">
            <v>0.14000964383561645</v>
          </cell>
        </row>
        <row r="5998">
          <cell r="I5998">
            <v>6703</v>
          </cell>
          <cell r="J5998">
            <v>0.14001145205479454</v>
          </cell>
        </row>
        <row r="5999">
          <cell r="I5999">
            <v>6704</v>
          </cell>
          <cell r="J5999">
            <v>0.1400132602739726</v>
          </cell>
        </row>
        <row r="6000">
          <cell r="I6000">
            <v>6705</v>
          </cell>
          <cell r="J6000">
            <v>0.14001506849315068</v>
          </cell>
        </row>
        <row r="6001">
          <cell r="I6001">
            <v>6706</v>
          </cell>
          <cell r="J6001">
            <v>0.14001687671232876</v>
          </cell>
        </row>
        <row r="6002">
          <cell r="I6002">
            <v>6707</v>
          </cell>
          <cell r="J6002">
            <v>0.14001868493150685</v>
          </cell>
        </row>
        <row r="6003">
          <cell r="I6003">
            <v>6708</v>
          </cell>
          <cell r="J6003">
            <v>0.14002049315068493</v>
          </cell>
        </row>
        <row r="6004">
          <cell r="I6004">
            <v>6709</v>
          </cell>
          <cell r="J6004">
            <v>0.14002230136986302</v>
          </cell>
        </row>
        <row r="6005">
          <cell r="I6005">
            <v>6710</v>
          </cell>
          <cell r="J6005">
            <v>0.1400241095890411</v>
          </cell>
        </row>
        <row r="6006">
          <cell r="I6006">
            <v>6711</v>
          </cell>
          <cell r="J6006">
            <v>0.14002591780821919</v>
          </cell>
        </row>
        <row r="6007">
          <cell r="I6007">
            <v>6712</v>
          </cell>
          <cell r="J6007">
            <v>0.14002772602739727</v>
          </cell>
        </row>
        <row r="6008">
          <cell r="I6008">
            <v>6713</v>
          </cell>
          <cell r="J6008">
            <v>0.14002953424657535</v>
          </cell>
        </row>
        <row r="6009">
          <cell r="I6009">
            <v>6714</v>
          </cell>
          <cell r="J6009">
            <v>0.14003134246575344</v>
          </cell>
        </row>
        <row r="6010">
          <cell r="I6010">
            <v>6715</v>
          </cell>
          <cell r="J6010">
            <v>0.14003315068493152</v>
          </cell>
        </row>
        <row r="6011">
          <cell r="I6011">
            <v>6716</v>
          </cell>
          <cell r="J6011">
            <v>0.14003495890410958</v>
          </cell>
        </row>
        <row r="6012">
          <cell r="I6012">
            <v>6717</v>
          </cell>
          <cell r="J6012">
            <v>0.14003676712328766</v>
          </cell>
        </row>
        <row r="6013">
          <cell r="I6013">
            <v>6718</v>
          </cell>
          <cell r="J6013">
            <v>0.14003857534246575</v>
          </cell>
        </row>
        <row r="6014">
          <cell r="I6014">
            <v>6719</v>
          </cell>
          <cell r="J6014">
            <v>0.14004038356164383</v>
          </cell>
        </row>
        <row r="6015">
          <cell r="I6015">
            <v>6720</v>
          </cell>
          <cell r="J6015">
            <v>0.14004219178082192</v>
          </cell>
        </row>
        <row r="6016">
          <cell r="I6016">
            <v>6721</v>
          </cell>
          <cell r="J6016">
            <v>0.140044</v>
          </cell>
        </row>
        <row r="6017">
          <cell r="I6017">
            <v>6722</v>
          </cell>
          <cell r="J6017">
            <v>0.14004580821917809</v>
          </cell>
        </row>
        <row r="6018">
          <cell r="I6018">
            <v>6723</v>
          </cell>
          <cell r="J6018">
            <v>0.14004761643835617</v>
          </cell>
        </row>
        <row r="6019">
          <cell r="I6019">
            <v>6724</v>
          </cell>
          <cell r="J6019">
            <v>0.14004942465753425</v>
          </cell>
        </row>
        <row r="6020">
          <cell r="I6020">
            <v>6725</v>
          </cell>
          <cell r="J6020">
            <v>0.14005123287671234</v>
          </cell>
        </row>
        <row r="6021">
          <cell r="I6021">
            <v>6726</v>
          </cell>
          <cell r="J6021">
            <v>0.14005304109589042</v>
          </cell>
        </row>
        <row r="6022">
          <cell r="I6022">
            <v>6727</v>
          </cell>
          <cell r="J6022">
            <v>0.14005484931506851</v>
          </cell>
        </row>
        <row r="6023">
          <cell r="I6023">
            <v>6728</v>
          </cell>
          <cell r="J6023">
            <v>0.14005665753424659</v>
          </cell>
        </row>
        <row r="6024">
          <cell r="I6024">
            <v>6729</v>
          </cell>
          <cell r="J6024">
            <v>0.14005846575342465</v>
          </cell>
        </row>
        <row r="6025">
          <cell r="I6025">
            <v>6730</v>
          </cell>
          <cell r="J6025">
            <v>0.14006027397260273</v>
          </cell>
        </row>
        <row r="6026">
          <cell r="I6026">
            <v>6731</v>
          </cell>
          <cell r="J6026">
            <v>0.14006208219178082</v>
          </cell>
        </row>
        <row r="6027">
          <cell r="I6027">
            <v>6732</v>
          </cell>
          <cell r="J6027">
            <v>0.1400638904109589</v>
          </cell>
        </row>
        <row r="6028">
          <cell r="I6028">
            <v>6733</v>
          </cell>
          <cell r="J6028">
            <v>0.14006569863013699</v>
          </cell>
        </row>
        <row r="6029">
          <cell r="I6029">
            <v>6734</v>
          </cell>
          <cell r="J6029">
            <v>0.14006750684931507</v>
          </cell>
        </row>
        <row r="6030">
          <cell r="I6030">
            <v>6735</v>
          </cell>
          <cell r="J6030">
            <v>0.14006931506849316</v>
          </cell>
        </row>
        <row r="6031">
          <cell r="I6031">
            <v>6736</v>
          </cell>
          <cell r="J6031">
            <v>0.14007112328767124</v>
          </cell>
        </row>
        <row r="6032">
          <cell r="I6032">
            <v>6737</v>
          </cell>
          <cell r="J6032">
            <v>0.14007293150684932</v>
          </cell>
        </row>
        <row r="6033">
          <cell r="I6033">
            <v>6738</v>
          </cell>
          <cell r="J6033">
            <v>0.14007473972602741</v>
          </cell>
        </row>
        <row r="6034">
          <cell r="I6034">
            <v>6739</v>
          </cell>
          <cell r="J6034">
            <v>0.14007654794520549</v>
          </cell>
        </row>
        <row r="6035">
          <cell r="I6035">
            <v>6740</v>
          </cell>
          <cell r="J6035">
            <v>0.14007835616438358</v>
          </cell>
        </row>
        <row r="6036">
          <cell r="I6036">
            <v>6741</v>
          </cell>
          <cell r="J6036">
            <v>0.14008016438356163</v>
          </cell>
        </row>
        <row r="6037">
          <cell r="I6037">
            <v>6742</v>
          </cell>
          <cell r="J6037">
            <v>0.14008197260273972</v>
          </cell>
        </row>
        <row r="6038">
          <cell r="I6038">
            <v>6743</v>
          </cell>
          <cell r="J6038">
            <v>0.1400837808219178</v>
          </cell>
        </row>
        <row r="6039">
          <cell r="I6039">
            <v>6744</v>
          </cell>
          <cell r="J6039">
            <v>0.14008558904109589</v>
          </cell>
        </row>
        <row r="6040">
          <cell r="I6040">
            <v>6745</v>
          </cell>
          <cell r="J6040">
            <v>0.14008739726027397</v>
          </cell>
        </row>
        <row r="6041">
          <cell r="I6041">
            <v>6746</v>
          </cell>
          <cell r="J6041">
            <v>0.14008920547945206</v>
          </cell>
        </row>
        <row r="6042">
          <cell r="I6042">
            <v>6747</v>
          </cell>
          <cell r="J6042">
            <v>0.14009101369863014</v>
          </cell>
        </row>
        <row r="6043">
          <cell r="I6043">
            <v>6748</v>
          </cell>
          <cell r="J6043">
            <v>0.14009282191780822</v>
          </cell>
        </row>
        <row r="6044">
          <cell r="I6044">
            <v>6749</v>
          </cell>
          <cell r="J6044">
            <v>0.14009463013698631</v>
          </cell>
        </row>
        <row r="6045">
          <cell r="I6045">
            <v>6750</v>
          </cell>
          <cell r="J6045">
            <v>0.14009643835616439</v>
          </cell>
        </row>
        <row r="6046">
          <cell r="I6046">
            <v>6751</v>
          </cell>
          <cell r="J6046">
            <v>0.14009824657534248</v>
          </cell>
        </row>
        <row r="6047">
          <cell r="I6047">
            <v>6752</v>
          </cell>
          <cell r="J6047">
            <v>0.14010005479452056</v>
          </cell>
        </row>
        <row r="6048">
          <cell r="I6048">
            <v>6753</v>
          </cell>
          <cell r="J6048">
            <v>0.14010186301369865</v>
          </cell>
        </row>
        <row r="6049">
          <cell r="I6049">
            <v>6754</v>
          </cell>
          <cell r="J6049">
            <v>0.1401036712328767</v>
          </cell>
        </row>
        <row r="6050">
          <cell r="I6050">
            <v>6755</v>
          </cell>
          <cell r="J6050">
            <v>0.14010547945205479</v>
          </cell>
        </row>
        <row r="6051">
          <cell r="I6051">
            <v>6756</v>
          </cell>
          <cell r="J6051">
            <v>0.14010728767123287</v>
          </cell>
        </row>
        <row r="6052">
          <cell r="I6052">
            <v>6757</v>
          </cell>
          <cell r="J6052">
            <v>0.14010909589041096</v>
          </cell>
        </row>
        <row r="6053">
          <cell r="I6053">
            <v>6758</v>
          </cell>
          <cell r="J6053">
            <v>0.14011090410958904</v>
          </cell>
        </row>
        <row r="6054">
          <cell r="I6054">
            <v>6759</v>
          </cell>
          <cell r="J6054">
            <v>0.14011271232876713</v>
          </cell>
        </row>
        <row r="6055">
          <cell r="I6055">
            <v>6760</v>
          </cell>
          <cell r="J6055">
            <v>0.14011452054794521</v>
          </cell>
        </row>
        <row r="6056">
          <cell r="I6056">
            <v>6761</v>
          </cell>
          <cell r="J6056">
            <v>0.14011632876712329</v>
          </cell>
        </row>
        <row r="6057">
          <cell r="I6057">
            <v>6762</v>
          </cell>
          <cell r="J6057">
            <v>0.14011813698630138</v>
          </cell>
        </row>
        <row r="6058">
          <cell r="I6058">
            <v>6763</v>
          </cell>
          <cell r="J6058">
            <v>0.14011994520547946</v>
          </cell>
        </row>
        <row r="6059">
          <cell r="I6059">
            <v>6764</v>
          </cell>
          <cell r="J6059">
            <v>0.14012175342465755</v>
          </cell>
        </row>
        <row r="6060">
          <cell r="I6060">
            <v>6765</v>
          </cell>
          <cell r="J6060">
            <v>0.14012356164383563</v>
          </cell>
        </row>
        <row r="6061">
          <cell r="I6061">
            <v>6766</v>
          </cell>
          <cell r="J6061">
            <v>0.14012536986301372</v>
          </cell>
        </row>
        <row r="6062">
          <cell r="I6062">
            <v>6767</v>
          </cell>
          <cell r="J6062">
            <v>0.14012717808219177</v>
          </cell>
        </row>
        <row r="6063">
          <cell r="I6063">
            <v>6768</v>
          </cell>
          <cell r="J6063">
            <v>0.14012898630136986</v>
          </cell>
        </row>
        <row r="6064">
          <cell r="I6064">
            <v>6769</v>
          </cell>
          <cell r="J6064">
            <v>0.14013079452054794</v>
          </cell>
        </row>
        <row r="6065">
          <cell r="I6065">
            <v>6770</v>
          </cell>
          <cell r="J6065">
            <v>0.14013260273972603</v>
          </cell>
        </row>
        <row r="6066">
          <cell r="I6066">
            <v>6771</v>
          </cell>
          <cell r="J6066">
            <v>0.14013441095890411</v>
          </cell>
        </row>
        <row r="6067">
          <cell r="I6067">
            <v>6772</v>
          </cell>
          <cell r="J6067">
            <v>0.14013621917808219</v>
          </cell>
        </row>
        <row r="6068">
          <cell r="I6068">
            <v>6773</v>
          </cell>
          <cell r="J6068">
            <v>0.14013802739726028</v>
          </cell>
        </row>
        <row r="6069">
          <cell r="I6069">
            <v>6774</v>
          </cell>
          <cell r="J6069">
            <v>0.14013983561643836</v>
          </cell>
        </row>
        <row r="6070">
          <cell r="I6070">
            <v>6775</v>
          </cell>
          <cell r="J6070">
            <v>0.14014164383561645</v>
          </cell>
        </row>
        <row r="6071">
          <cell r="I6071">
            <v>6776</v>
          </cell>
          <cell r="J6071">
            <v>0.14014345205479453</v>
          </cell>
        </row>
        <row r="6072">
          <cell r="I6072">
            <v>6777</v>
          </cell>
          <cell r="J6072">
            <v>0.14014526027397262</v>
          </cell>
        </row>
        <row r="6073">
          <cell r="I6073">
            <v>6778</v>
          </cell>
          <cell r="J6073">
            <v>0.1401470684931507</v>
          </cell>
        </row>
        <row r="6074">
          <cell r="I6074">
            <v>6779</v>
          </cell>
          <cell r="J6074">
            <v>0.14014887671232878</v>
          </cell>
        </row>
        <row r="6075">
          <cell r="I6075">
            <v>6780</v>
          </cell>
          <cell r="J6075">
            <v>0.14015068493150684</v>
          </cell>
        </row>
        <row r="6076">
          <cell r="I6076">
            <v>6781</v>
          </cell>
          <cell r="J6076">
            <v>0.14015249315068493</v>
          </cell>
        </row>
        <row r="6077">
          <cell r="I6077">
            <v>6782</v>
          </cell>
          <cell r="J6077">
            <v>0.14015430136986301</v>
          </cell>
        </row>
        <row r="6078">
          <cell r="I6078">
            <v>6783</v>
          </cell>
          <cell r="J6078">
            <v>0.14015610958904109</v>
          </cell>
        </row>
        <row r="6079">
          <cell r="I6079">
            <v>6784</v>
          </cell>
          <cell r="J6079">
            <v>0.14015791780821918</v>
          </cell>
        </row>
        <row r="6080">
          <cell r="I6080">
            <v>6785</v>
          </cell>
          <cell r="J6080">
            <v>0.14015972602739726</v>
          </cell>
        </row>
        <row r="6081">
          <cell r="I6081">
            <v>6786</v>
          </cell>
          <cell r="J6081">
            <v>0.14016153424657535</v>
          </cell>
        </row>
        <row r="6082">
          <cell r="I6082">
            <v>6787</v>
          </cell>
          <cell r="J6082">
            <v>0.14016334246575343</v>
          </cell>
        </row>
        <row r="6083">
          <cell r="I6083">
            <v>6788</v>
          </cell>
          <cell r="J6083">
            <v>0.14016515068493152</v>
          </cell>
        </row>
        <row r="6084">
          <cell r="I6084">
            <v>6789</v>
          </cell>
          <cell r="J6084">
            <v>0.1401669589041096</v>
          </cell>
        </row>
        <row r="6085">
          <cell r="I6085">
            <v>6790</v>
          </cell>
          <cell r="J6085">
            <v>0.14016876712328769</v>
          </cell>
        </row>
        <row r="6086">
          <cell r="I6086">
            <v>6791</v>
          </cell>
          <cell r="J6086">
            <v>0.14017057534246577</v>
          </cell>
        </row>
        <row r="6087">
          <cell r="I6087">
            <v>6792</v>
          </cell>
          <cell r="J6087">
            <v>0.14017238356164383</v>
          </cell>
        </row>
        <row r="6088">
          <cell r="I6088">
            <v>6793</v>
          </cell>
          <cell r="J6088">
            <v>0.14017419178082191</v>
          </cell>
        </row>
        <row r="6089">
          <cell r="I6089">
            <v>6794</v>
          </cell>
          <cell r="J6089">
            <v>0.140176</v>
          </cell>
        </row>
        <row r="6090">
          <cell r="I6090">
            <v>6795</v>
          </cell>
          <cell r="J6090">
            <v>0.14017780821917808</v>
          </cell>
        </row>
        <row r="6091">
          <cell r="I6091">
            <v>6796</v>
          </cell>
          <cell r="J6091">
            <v>0.14017961643835616</v>
          </cell>
        </row>
        <row r="6092">
          <cell r="I6092">
            <v>6797</v>
          </cell>
          <cell r="J6092">
            <v>0.14018142465753425</v>
          </cell>
        </row>
        <row r="6093">
          <cell r="I6093">
            <v>6798</v>
          </cell>
          <cell r="J6093">
            <v>0.14018323287671233</v>
          </cell>
        </row>
        <row r="6094">
          <cell r="I6094">
            <v>6799</v>
          </cell>
          <cell r="J6094">
            <v>0.14018504109589042</v>
          </cell>
        </row>
        <row r="6095">
          <cell r="I6095">
            <v>6800</v>
          </cell>
          <cell r="J6095">
            <v>0.1401868493150685</v>
          </cell>
        </row>
        <row r="6096">
          <cell r="I6096">
            <v>6801</v>
          </cell>
          <cell r="J6096">
            <v>0.14018865753424659</v>
          </cell>
        </row>
        <row r="6097">
          <cell r="I6097">
            <v>6802</v>
          </cell>
          <cell r="J6097">
            <v>0.14019046575342467</v>
          </cell>
        </row>
        <row r="6098">
          <cell r="I6098">
            <v>6803</v>
          </cell>
          <cell r="J6098">
            <v>0.14019227397260275</v>
          </cell>
        </row>
        <row r="6099">
          <cell r="I6099">
            <v>6804</v>
          </cell>
          <cell r="J6099">
            <v>0.14019408219178084</v>
          </cell>
        </row>
        <row r="6100">
          <cell r="I6100">
            <v>6805</v>
          </cell>
          <cell r="J6100">
            <v>0.1401958904109589</v>
          </cell>
        </row>
        <row r="6101">
          <cell r="I6101">
            <v>6806</v>
          </cell>
          <cell r="J6101">
            <v>0.14019769863013698</v>
          </cell>
        </row>
        <row r="6102">
          <cell r="I6102">
            <v>6807</v>
          </cell>
          <cell r="J6102">
            <v>0.14019950684931506</v>
          </cell>
        </row>
        <row r="6103">
          <cell r="I6103">
            <v>6808</v>
          </cell>
          <cell r="J6103">
            <v>0.14020131506849315</v>
          </cell>
        </row>
        <row r="6104">
          <cell r="I6104">
            <v>6809</v>
          </cell>
          <cell r="J6104">
            <v>0.14020312328767123</v>
          </cell>
        </row>
        <row r="6105">
          <cell r="I6105">
            <v>6810</v>
          </cell>
          <cell r="J6105">
            <v>0.14020493150684932</v>
          </cell>
        </row>
        <row r="6106">
          <cell r="I6106">
            <v>6811</v>
          </cell>
          <cell r="J6106">
            <v>0.1402067397260274</v>
          </cell>
        </row>
        <row r="6107">
          <cell r="I6107">
            <v>6812</v>
          </cell>
          <cell r="J6107">
            <v>0.14020854794520549</v>
          </cell>
        </row>
        <row r="6108">
          <cell r="I6108">
            <v>6813</v>
          </cell>
          <cell r="J6108">
            <v>0.14021035616438357</v>
          </cell>
        </row>
        <row r="6109">
          <cell r="I6109">
            <v>6814</v>
          </cell>
          <cell r="J6109">
            <v>0.14021216438356165</v>
          </cell>
        </row>
        <row r="6110">
          <cell r="I6110">
            <v>6815</v>
          </cell>
          <cell r="J6110">
            <v>0.14021397260273974</v>
          </cell>
        </row>
        <row r="6111">
          <cell r="I6111">
            <v>6816</v>
          </cell>
          <cell r="J6111">
            <v>0.14021578082191782</v>
          </cell>
        </row>
        <row r="6112">
          <cell r="I6112">
            <v>6817</v>
          </cell>
          <cell r="J6112">
            <v>0.14021758904109588</v>
          </cell>
        </row>
        <row r="6113">
          <cell r="I6113">
            <v>6818</v>
          </cell>
          <cell r="J6113">
            <v>0.14021939726027396</v>
          </cell>
        </row>
        <row r="6114">
          <cell r="I6114">
            <v>6819</v>
          </cell>
          <cell r="J6114">
            <v>0.14022120547945205</v>
          </cell>
        </row>
        <row r="6115">
          <cell r="I6115">
            <v>6820</v>
          </cell>
          <cell r="J6115">
            <v>0.14022301369863013</v>
          </cell>
        </row>
        <row r="6116">
          <cell r="I6116">
            <v>6821</v>
          </cell>
          <cell r="J6116">
            <v>0.14022482191780822</v>
          </cell>
        </row>
        <row r="6117">
          <cell r="I6117">
            <v>6822</v>
          </cell>
          <cell r="J6117">
            <v>0.1402266301369863</v>
          </cell>
        </row>
        <row r="6118">
          <cell r="I6118">
            <v>6823</v>
          </cell>
          <cell r="J6118">
            <v>0.14022843835616439</v>
          </cell>
        </row>
        <row r="6119">
          <cell r="I6119">
            <v>6824</v>
          </cell>
          <cell r="J6119">
            <v>0.14023024657534247</v>
          </cell>
        </row>
        <row r="6120">
          <cell r="I6120">
            <v>6825</v>
          </cell>
          <cell r="J6120">
            <v>0.14023205479452056</v>
          </cell>
        </row>
        <row r="6121">
          <cell r="I6121">
            <v>6826</v>
          </cell>
          <cell r="J6121">
            <v>0.14023386301369864</v>
          </cell>
        </row>
        <row r="6122">
          <cell r="I6122">
            <v>6827</v>
          </cell>
          <cell r="J6122">
            <v>0.14023567123287672</v>
          </cell>
        </row>
        <row r="6123">
          <cell r="I6123">
            <v>6828</v>
          </cell>
          <cell r="J6123">
            <v>0.14023747945205481</v>
          </cell>
        </row>
        <row r="6124">
          <cell r="I6124">
            <v>6829</v>
          </cell>
          <cell r="J6124">
            <v>0.14023928767123289</v>
          </cell>
        </row>
        <row r="6125">
          <cell r="I6125">
            <v>6830</v>
          </cell>
          <cell r="J6125">
            <v>0.14024109589041095</v>
          </cell>
        </row>
        <row r="6126">
          <cell r="I6126">
            <v>6831</v>
          </cell>
          <cell r="J6126">
            <v>0.14024290410958903</v>
          </cell>
        </row>
        <row r="6127">
          <cell r="I6127">
            <v>6832</v>
          </cell>
          <cell r="J6127">
            <v>0.14024471232876712</v>
          </cell>
        </row>
        <row r="6128">
          <cell r="I6128">
            <v>6833</v>
          </cell>
          <cell r="J6128">
            <v>0.1402465205479452</v>
          </cell>
        </row>
        <row r="6129">
          <cell r="I6129">
            <v>6834</v>
          </cell>
          <cell r="J6129">
            <v>0.14024832876712329</v>
          </cell>
        </row>
        <row r="6130">
          <cell r="I6130">
            <v>6835</v>
          </cell>
          <cell r="J6130">
            <v>0.14025013698630137</v>
          </cell>
        </row>
        <row r="6131">
          <cell r="I6131">
            <v>6836</v>
          </cell>
          <cell r="J6131">
            <v>0.14025194520547946</v>
          </cell>
        </row>
        <row r="6132">
          <cell r="I6132">
            <v>6837</v>
          </cell>
          <cell r="J6132">
            <v>0.14025375342465754</v>
          </cell>
        </row>
        <row r="6133">
          <cell r="I6133">
            <v>6838</v>
          </cell>
          <cell r="J6133">
            <v>0.14025556164383562</v>
          </cell>
        </row>
        <row r="6134">
          <cell r="I6134">
            <v>6839</v>
          </cell>
          <cell r="J6134">
            <v>0.14025736986301371</v>
          </cell>
        </row>
        <row r="6135">
          <cell r="I6135">
            <v>6840</v>
          </cell>
          <cell r="J6135">
            <v>0.14025917808219179</v>
          </cell>
        </row>
        <row r="6136">
          <cell r="I6136">
            <v>6841</v>
          </cell>
          <cell r="J6136">
            <v>0.14026098630136988</v>
          </cell>
        </row>
        <row r="6137">
          <cell r="I6137">
            <v>6842</v>
          </cell>
          <cell r="J6137">
            <v>0.14026279452054796</v>
          </cell>
        </row>
        <row r="6138">
          <cell r="I6138">
            <v>6843</v>
          </cell>
          <cell r="J6138">
            <v>0.14026460273972602</v>
          </cell>
        </row>
        <row r="6139">
          <cell r="I6139">
            <v>6844</v>
          </cell>
          <cell r="J6139">
            <v>0.1402664109589041</v>
          </cell>
        </row>
        <row r="6140">
          <cell r="I6140">
            <v>6845</v>
          </cell>
          <cell r="J6140">
            <v>0.14026821917808219</v>
          </cell>
        </row>
        <row r="6141">
          <cell r="I6141">
            <v>6846</v>
          </cell>
          <cell r="J6141">
            <v>0.14027002739726027</v>
          </cell>
        </row>
        <row r="6142">
          <cell r="I6142">
            <v>6847</v>
          </cell>
          <cell r="J6142">
            <v>0.14027183561643836</v>
          </cell>
        </row>
        <row r="6143">
          <cell r="I6143">
            <v>6848</v>
          </cell>
          <cell r="J6143">
            <v>0.14027364383561644</v>
          </cell>
        </row>
        <row r="6144">
          <cell r="I6144">
            <v>6849</v>
          </cell>
          <cell r="J6144">
            <v>0.14027545205479452</v>
          </cell>
        </row>
        <row r="6145">
          <cell r="I6145">
            <v>6850</v>
          </cell>
          <cell r="J6145">
            <v>0.14027726027397261</v>
          </cell>
        </row>
        <row r="6146">
          <cell r="I6146">
            <v>6851</v>
          </cell>
          <cell r="J6146">
            <v>0.14027906849315069</v>
          </cell>
        </row>
        <row r="6147">
          <cell r="I6147">
            <v>6852</v>
          </cell>
          <cell r="J6147">
            <v>0.14028087671232878</v>
          </cell>
        </row>
        <row r="6148">
          <cell r="I6148">
            <v>6853</v>
          </cell>
          <cell r="J6148">
            <v>0.14028268493150686</v>
          </cell>
        </row>
        <row r="6149">
          <cell r="I6149">
            <v>6854</v>
          </cell>
          <cell r="J6149">
            <v>0.14028449315068495</v>
          </cell>
        </row>
        <row r="6150">
          <cell r="I6150">
            <v>6855</v>
          </cell>
          <cell r="J6150">
            <v>0.14028630136986303</v>
          </cell>
        </row>
        <row r="6151">
          <cell r="I6151">
            <v>6856</v>
          </cell>
          <cell r="J6151">
            <v>0.14028810958904109</v>
          </cell>
        </row>
        <row r="6152">
          <cell r="I6152">
            <v>6857</v>
          </cell>
          <cell r="J6152">
            <v>0.14028991780821917</v>
          </cell>
        </row>
        <row r="6153">
          <cell r="I6153">
            <v>6858</v>
          </cell>
          <cell r="J6153">
            <v>0.14029172602739726</v>
          </cell>
        </row>
        <row r="6154">
          <cell r="I6154">
            <v>6859</v>
          </cell>
          <cell r="J6154">
            <v>0.14029353424657534</v>
          </cell>
        </row>
        <row r="6155">
          <cell r="I6155">
            <v>6860</v>
          </cell>
          <cell r="J6155">
            <v>0.14029534246575343</v>
          </cell>
        </row>
        <row r="6156">
          <cell r="I6156">
            <v>6861</v>
          </cell>
          <cell r="J6156">
            <v>0.14029715068493151</v>
          </cell>
        </row>
        <row r="6157">
          <cell r="I6157">
            <v>6862</v>
          </cell>
          <cell r="J6157">
            <v>0.14029895890410959</v>
          </cell>
        </row>
        <row r="6158">
          <cell r="I6158">
            <v>6863</v>
          </cell>
          <cell r="J6158">
            <v>0.14030076712328768</v>
          </cell>
        </row>
        <row r="6159">
          <cell r="I6159">
            <v>6864</v>
          </cell>
          <cell r="J6159">
            <v>0.14030257534246576</v>
          </cell>
        </row>
        <row r="6160">
          <cell r="I6160">
            <v>6865</v>
          </cell>
          <cell r="J6160">
            <v>0.14030438356164385</v>
          </cell>
        </row>
        <row r="6161">
          <cell r="I6161">
            <v>6866</v>
          </cell>
          <cell r="J6161">
            <v>0.14030619178082193</v>
          </cell>
        </row>
        <row r="6162">
          <cell r="I6162">
            <v>6867</v>
          </cell>
          <cell r="J6162">
            <v>0.14030800000000002</v>
          </cell>
        </row>
        <row r="6163">
          <cell r="I6163">
            <v>6868</v>
          </cell>
          <cell r="J6163">
            <v>0.14030980821917807</v>
          </cell>
        </row>
        <row r="6164">
          <cell r="I6164">
            <v>6869</v>
          </cell>
          <cell r="J6164">
            <v>0.14031161643835616</v>
          </cell>
        </row>
        <row r="6165">
          <cell r="I6165">
            <v>6870</v>
          </cell>
          <cell r="J6165">
            <v>0.14031342465753424</v>
          </cell>
        </row>
        <row r="6166">
          <cell r="I6166">
            <v>6871</v>
          </cell>
          <cell r="J6166">
            <v>0.14031523287671233</v>
          </cell>
        </row>
        <row r="6167">
          <cell r="I6167">
            <v>6872</v>
          </cell>
          <cell r="J6167">
            <v>0.14031704109589041</v>
          </cell>
        </row>
        <row r="6168">
          <cell r="I6168">
            <v>6873</v>
          </cell>
          <cell r="J6168">
            <v>0.14031884931506849</v>
          </cell>
        </row>
        <row r="6169">
          <cell r="I6169">
            <v>6874</v>
          </cell>
          <cell r="J6169">
            <v>0.14032065753424658</v>
          </cell>
        </row>
        <row r="6170">
          <cell r="I6170">
            <v>6875</v>
          </cell>
          <cell r="J6170">
            <v>0.14032246575342466</v>
          </cell>
        </row>
        <row r="6171">
          <cell r="I6171">
            <v>6876</v>
          </cell>
          <cell r="J6171">
            <v>0.14032427397260275</v>
          </cell>
        </row>
        <row r="6172">
          <cell r="I6172">
            <v>6877</v>
          </cell>
          <cell r="J6172">
            <v>0.14032608219178083</v>
          </cell>
        </row>
        <row r="6173">
          <cell r="I6173">
            <v>6878</v>
          </cell>
          <cell r="J6173">
            <v>0.14032789041095892</v>
          </cell>
        </row>
        <row r="6174">
          <cell r="I6174">
            <v>6879</v>
          </cell>
          <cell r="J6174">
            <v>0.140329698630137</v>
          </cell>
        </row>
        <row r="6175">
          <cell r="I6175">
            <v>6880</v>
          </cell>
          <cell r="J6175">
            <v>0.14033150684931509</v>
          </cell>
        </row>
        <row r="6176">
          <cell r="I6176">
            <v>6881</v>
          </cell>
          <cell r="J6176">
            <v>0.14033331506849314</v>
          </cell>
        </row>
        <row r="6177">
          <cell r="I6177">
            <v>6882</v>
          </cell>
          <cell r="J6177">
            <v>0.14033512328767123</v>
          </cell>
        </row>
        <row r="6178">
          <cell r="I6178">
            <v>6883</v>
          </cell>
          <cell r="J6178">
            <v>0.14033693150684931</v>
          </cell>
        </row>
        <row r="6179">
          <cell r="I6179">
            <v>6884</v>
          </cell>
          <cell r="J6179">
            <v>0.14033873972602739</v>
          </cell>
        </row>
        <row r="6180">
          <cell r="I6180">
            <v>6885</v>
          </cell>
          <cell r="J6180">
            <v>0.14034054794520548</v>
          </cell>
        </row>
        <row r="6181">
          <cell r="I6181">
            <v>6886</v>
          </cell>
          <cell r="J6181">
            <v>0.14034235616438356</v>
          </cell>
        </row>
        <row r="6182">
          <cell r="I6182">
            <v>6887</v>
          </cell>
          <cell r="J6182">
            <v>0.14034416438356165</v>
          </cell>
        </row>
        <row r="6183">
          <cell r="I6183">
            <v>6888</v>
          </cell>
          <cell r="J6183">
            <v>0.14034597260273973</v>
          </cell>
        </row>
        <row r="6184">
          <cell r="I6184">
            <v>6889</v>
          </cell>
          <cell r="J6184">
            <v>0.14034778082191782</v>
          </cell>
        </row>
        <row r="6185">
          <cell r="I6185">
            <v>6890</v>
          </cell>
          <cell r="J6185">
            <v>0.1403495890410959</v>
          </cell>
        </row>
        <row r="6186">
          <cell r="I6186">
            <v>6891</v>
          </cell>
          <cell r="J6186">
            <v>0.14035139726027399</v>
          </cell>
        </row>
        <row r="6187">
          <cell r="I6187">
            <v>6892</v>
          </cell>
          <cell r="J6187">
            <v>0.14035320547945207</v>
          </cell>
        </row>
        <row r="6188">
          <cell r="I6188">
            <v>6893</v>
          </cell>
          <cell r="J6188">
            <v>0.14035501369863015</v>
          </cell>
        </row>
        <row r="6189">
          <cell r="I6189">
            <v>6894</v>
          </cell>
          <cell r="J6189">
            <v>0.14035682191780821</v>
          </cell>
        </row>
        <row r="6190">
          <cell r="I6190">
            <v>6895</v>
          </cell>
          <cell r="J6190">
            <v>0.1403586301369863</v>
          </cell>
        </row>
        <row r="6191">
          <cell r="I6191">
            <v>6896</v>
          </cell>
          <cell r="J6191">
            <v>0.14036043835616438</v>
          </cell>
        </row>
        <row r="6192">
          <cell r="I6192">
            <v>6897</v>
          </cell>
          <cell r="J6192">
            <v>0.14036224657534246</v>
          </cell>
        </row>
        <row r="6193">
          <cell r="I6193">
            <v>6898</v>
          </cell>
          <cell r="J6193">
            <v>0.14036405479452055</v>
          </cell>
        </row>
        <row r="6194">
          <cell r="I6194">
            <v>6899</v>
          </cell>
          <cell r="J6194">
            <v>0.14036586301369863</v>
          </cell>
        </row>
        <row r="6195">
          <cell r="I6195">
            <v>6900</v>
          </cell>
          <cell r="J6195">
            <v>0.14036767123287672</v>
          </cell>
        </row>
        <row r="6196">
          <cell r="I6196">
            <v>6901</v>
          </cell>
          <cell r="J6196">
            <v>0.1403694794520548</v>
          </cell>
        </row>
        <row r="6197">
          <cell r="I6197">
            <v>6902</v>
          </cell>
          <cell r="J6197">
            <v>0.14037128767123289</v>
          </cell>
        </row>
        <row r="6198">
          <cell r="I6198">
            <v>6903</v>
          </cell>
          <cell r="J6198">
            <v>0.14037309589041097</v>
          </cell>
        </row>
        <row r="6199">
          <cell r="I6199">
            <v>6904</v>
          </cell>
          <cell r="J6199">
            <v>0.14037490410958905</v>
          </cell>
        </row>
        <row r="6200">
          <cell r="I6200">
            <v>6905</v>
          </cell>
          <cell r="J6200">
            <v>0.14037671232876714</v>
          </cell>
        </row>
        <row r="6201">
          <cell r="I6201">
            <v>6906</v>
          </cell>
          <cell r="J6201">
            <v>0.1403785205479452</v>
          </cell>
        </row>
        <row r="6202">
          <cell r="I6202">
            <v>6907</v>
          </cell>
          <cell r="J6202">
            <v>0.14038032876712328</v>
          </cell>
        </row>
        <row r="6203">
          <cell r="I6203">
            <v>6908</v>
          </cell>
          <cell r="J6203">
            <v>0.14038213698630136</v>
          </cell>
        </row>
        <row r="6204">
          <cell r="I6204">
            <v>6909</v>
          </cell>
          <cell r="J6204">
            <v>0.14038394520547945</v>
          </cell>
        </row>
        <row r="6205">
          <cell r="I6205">
            <v>6910</v>
          </cell>
          <cell r="J6205">
            <v>0.14038575342465753</v>
          </cell>
        </row>
        <row r="6206">
          <cell r="I6206">
            <v>6911</v>
          </cell>
          <cell r="J6206">
            <v>0.14038756164383562</v>
          </cell>
        </row>
        <row r="6207">
          <cell r="I6207">
            <v>6912</v>
          </cell>
          <cell r="J6207">
            <v>0.1403893698630137</v>
          </cell>
        </row>
        <row r="6208">
          <cell r="I6208">
            <v>6913</v>
          </cell>
          <cell r="J6208">
            <v>0.14039117808219179</v>
          </cell>
        </row>
        <row r="6209">
          <cell r="I6209">
            <v>6914</v>
          </cell>
          <cell r="J6209">
            <v>0.14039298630136987</v>
          </cell>
        </row>
        <row r="6210">
          <cell r="I6210">
            <v>6915</v>
          </cell>
          <cell r="J6210">
            <v>0.14039479452054796</v>
          </cell>
        </row>
        <row r="6211">
          <cell r="I6211">
            <v>6916</v>
          </cell>
          <cell r="J6211">
            <v>0.14039660273972604</v>
          </cell>
        </row>
        <row r="6212">
          <cell r="I6212">
            <v>6917</v>
          </cell>
          <cell r="J6212">
            <v>0.14039841095890412</v>
          </cell>
        </row>
        <row r="6213">
          <cell r="I6213">
            <v>6918</v>
          </cell>
          <cell r="J6213">
            <v>0.14040021917808221</v>
          </cell>
        </row>
        <row r="6214">
          <cell r="I6214">
            <v>6919</v>
          </cell>
          <cell r="J6214">
            <v>0.14040202739726027</v>
          </cell>
        </row>
        <row r="6215">
          <cell r="I6215">
            <v>6920</v>
          </cell>
          <cell r="J6215">
            <v>0.14040383561643835</v>
          </cell>
        </row>
        <row r="6216">
          <cell r="I6216">
            <v>6921</v>
          </cell>
          <cell r="J6216">
            <v>0.14040564383561643</v>
          </cell>
        </row>
        <row r="6217">
          <cell r="I6217">
            <v>6922</v>
          </cell>
          <cell r="J6217">
            <v>0.14040745205479452</v>
          </cell>
        </row>
        <row r="6218">
          <cell r="I6218">
            <v>6923</v>
          </cell>
          <cell r="J6218">
            <v>0.1404092602739726</v>
          </cell>
        </row>
        <row r="6219">
          <cell r="I6219">
            <v>6924</v>
          </cell>
          <cell r="J6219">
            <v>0.14041106849315069</v>
          </cell>
        </row>
        <row r="6220">
          <cell r="I6220">
            <v>6925</v>
          </cell>
          <cell r="J6220">
            <v>0.14041287671232877</v>
          </cell>
        </row>
        <row r="6221">
          <cell r="I6221">
            <v>6926</v>
          </cell>
          <cell r="J6221">
            <v>0.14041468493150686</v>
          </cell>
        </row>
        <row r="6222">
          <cell r="I6222">
            <v>6927</v>
          </cell>
          <cell r="J6222">
            <v>0.14041649315068494</v>
          </cell>
        </row>
        <row r="6223">
          <cell r="I6223">
            <v>6928</v>
          </cell>
          <cell r="J6223">
            <v>0.14041830136986302</v>
          </cell>
        </row>
        <row r="6224">
          <cell r="I6224">
            <v>6929</v>
          </cell>
          <cell r="J6224">
            <v>0.14042010958904111</v>
          </cell>
        </row>
        <row r="6225">
          <cell r="I6225">
            <v>6930</v>
          </cell>
          <cell r="J6225">
            <v>0.14042191780821919</v>
          </cell>
        </row>
        <row r="6226">
          <cell r="I6226">
            <v>6931</v>
          </cell>
          <cell r="J6226">
            <v>0.14042372602739728</v>
          </cell>
        </row>
        <row r="6227">
          <cell r="I6227">
            <v>6932</v>
          </cell>
          <cell r="J6227">
            <v>0.14042553424657533</v>
          </cell>
        </row>
        <row r="6228">
          <cell r="I6228">
            <v>6933</v>
          </cell>
          <cell r="J6228">
            <v>0.14042734246575342</v>
          </cell>
        </row>
        <row r="6229">
          <cell r="I6229">
            <v>6934</v>
          </cell>
          <cell r="J6229">
            <v>0.1404291506849315</v>
          </cell>
        </row>
        <row r="6230">
          <cell r="I6230">
            <v>6935</v>
          </cell>
          <cell r="J6230">
            <v>0.14043095890410959</v>
          </cell>
        </row>
        <row r="6231">
          <cell r="I6231">
            <v>6936</v>
          </cell>
          <cell r="J6231">
            <v>0.14043276712328767</v>
          </cell>
        </row>
        <row r="6232">
          <cell r="I6232">
            <v>6937</v>
          </cell>
          <cell r="J6232">
            <v>0.14043457534246576</v>
          </cell>
        </row>
        <row r="6233">
          <cell r="I6233">
            <v>6938</v>
          </cell>
          <cell r="J6233">
            <v>0.14043638356164384</v>
          </cell>
        </row>
        <row r="6234">
          <cell r="I6234">
            <v>6939</v>
          </cell>
          <cell r="J6234">
            <v>0.14043819178082192</v>
          </cell>
        </row>
        <row r="6235">
          <cell r="I6235">
            <v>6940</v>
          </cell>
          <cell r="J6235">
            <v>0.14044000000000001</v>
          </cell>
        </row>
        <row r="6236">
          <cell r="I6236">
            <v>6941</v>
          </cell>
          <cell r="J6236">
            <v>0.14044180821917809</v>
          </cell>
        </row>
        <row r="6237">
          <cell r="I6237">
            <v>6942</v>
          </cell>
          <cell r="J6237">
            <v>0.14044361643835618</v>
          </cell>
        </row>
        <row r="6238">
          <cell r="I6238">
            <v>6943</v>
          </cell>
          <cell r="J6238">
            <v>0.14044542465753426</v>
          </cell>
        </row>
        <row r="6239">
          <cell r="I6239">
            <v>6944</v>
          </cell>
          <cell r="J6239">
            <v>0.14044723287671232</v>
          </cell>
        </row>
        <row r="6240">
          <cell r="I6240">
            <v>6945</v>
          </cell>
          <cell r="J6240">
            <v>0.1404490410958904</v>
          </cell>
        </row>
        <row r="6241">
          <cell r="I6241">
            <v>6946</v>
          </cell>
          <cell r="J6241">
            <v>0.14045084931506849</v>
          </cell>
        </row>
        <row r="6242">
          <cell r="I6242">
            <v>6947</v>
          </cell>
          <cell r="J6242">
            <v>0.14045265753424657</v>
          </cell>
        </row>
        <row r="6243">
          <cell r="I6243">
            <v>6948</v>
          </cell>
          <cell r="J6243">
            <v>0.14045446575342466</v>
          </cell>
        </row>
        <row r="6244">
          <cell r="I6244">
            <v>6949</v>
          </cell>
          <cell r="J6244">
            <v>0.14045627397260274</v>
          </cell>
        </row>
        <row r="6245">
          <cell r="I6245">
            <v>6950</v>
          </cell>
          <cell r="J6245">
            <v>0.14045808219178083</v>
          </cell>
        </row>
        <row r="6246">
          <cell r="I6246">
            <v>6951</v>
          </cell>
          <cell r="J6246">
            <v>0.14045989041095891</v>
          </cell>
        </row>
        <row r="6247">
          <cell r="I6247">
            <v>6952</v>
          </cell>
          <cell r="J6247">
            <v>0.14046169863013699</v>
          </cell>
        </row>
        <row r="6248">
          <cell r="I6248">
            <v>6953</v>
          </cell>
          <cell r="J6248">
            <v>0.14046350684931508</v>
          </cell>
        </row>
        <row r="6249">
          <cell r="I6249">
            <v>6954</v>
          </cell>
          <cell r="J6249">
            <v>0.14046531506849316</v>
          </cell>
        </row>
        <row r="6250">
          <cell r="I6250">
            <v>6955</v>
          </cell>
          <cell r="J6250">
            <v>0.14046712328767125</v>
          </cell>
        </row>
        <row r="6251">
          <cell r="I6251">
            <v>6956</v>
          </cell>
          <cell r="J6251">
            <v>0.14046893150684933</v>
          </cell>
        </row>
        <row r="6252">
          <cell r="I6252">
            <v>6957</v>
          </cell>
          <cell r="J6252">
            <v>0.14047073972602739</v>
          </cell>
        </row>
        <row r="6253">
          <cell r="I6253">
            <v>6958</v>
          </cell>
          <cell r="J6253">
            <v>0.14047254794520547</v>
          </cell>
        </row>
        <row r="6254">
          <cell r="I6254">
            <v>6959</v>
          </cell>
          <cell r="J6254">
            <v>0.14047435616438356</v>
          </cell>
        </row>
        <row r="6255">
          <cell r="I6255">
            <v>6960</v>
          </cell>
          <cell r="J6255">
            <v>0.14047616438356164</v>
          </cell>
        </row>
        <row r="6256">
          <cell r="I6256">
            <v>6961</v>
          </cell>
          <cell r="J6256">
            <v>0.14047797260273973</v>
          </cell>
        </row>
        <row r="6257">
          <cell r="I6257">
            <v>6962</v>
          </cell>
          <cell r="J6257">
            <v>0.14047978082191781</v>
          </cell>
        </row>
        <row r="6258">
          <cell r="I6258">
            <v>6963</v>
          </cell>
          <cell r="J6258">
            <v>0.14048158904109589</v>
          </cell>
        </row>
        <row r="6259">
          <cell r="I6259">
            <v>6964</v>
          </cell>
          <cell r="J6259">
            <v>0.14048339726027398</v>
          </cell>
        </row>
        <row r="6260">
          <cell r="I6260">
            <v>6965</v>
          </cell>
          <cell r="J6260">
            <v>0.14048520547945206</v>
          </cell>
        </row>
        <row r="6261">
          <cell r="I6261">
            <v>6966</v>
          </cell>
          <cell r="J6261">
            <v>0.14048701369863015</v>
          </cell>
        </row>
        <row r="6262">
          <cell r="I6262">
            <v>6967</v>
          </cell>
          <cell r="J6262">
            <v>0.14048882191780823</v>
          </cell>
        </row>
        <row r="6263">
          <cell r="I6263">
            <v>6968</v>
          </cell>
          <cell r="J6263">
            <v>0.14049063013698632</v>
          </cell>
        </row>
        <row r="6264">
          <cell r="I6264">
            <v>6969</v>
          </cell>
          <cell r="J6264">
            <v>0.1404924383561644</v>
          </cell>
        </row>
        <row r="6265">
          <cell r="I6265">
            <v>6970</v>
          </cell>
          <cell r="J6265">
            <v>0.14049424657534246</v>
          </cell>
        </row>
        <row r="6266">
          <cell r="I6266">
            <v>6971</v>
          </cell>
          <cell r="J6266">
            <v>0.14049605479452054</v>
          </cell>
        </row>
        <row r="6267">
          <cell r="I6267">
            <v>6972</v>
          </cell>
          <cell r="J6267">
            <v>0.14049786301369863</v>
          </cell>
        </row>
        <row r="6268">
          <cell r="I6268">
            <v>6973</v>
          </cell>
          <cell r="J6268">
            <v>0.14049967123287671</v>
          </cell>
        </row>
        <row r="6269">
          <cell r="I6269">
            <v>6974</v>
          </cell>
          <cell r="J6269">
            <v>0.14050147945205479</v>
          </cell>
        </row>
        <row r="6270">
          <cell r="I6270">
            <v>6975</v>
          </cell>
          <cell r="J6270">
            <v>0.14050328767123288</v>
          </cell>
        </row>
        <row r="6271">
          <cell r="I6271">
            <v>6976</v>
          </cell>
          <cell r="J6271">
            <v>0.14050509589041096</v>
          </cell>
        </row>
        <row r="6272">
          <cell r="I6272">
            <v>6977</v>
          </cell>
          <cell r="J6272">
            <v>0.14050690410958905</v>
          </cell>
        </row>
        <row r="6273">
          <cell r="I6273">
            <v>6978</v>
          </cell>
          <cell r="J6273">
            <v>0.14050871232876713</v>
          </cell>
        </row>
        <row r="6274">
          <cell r="I6274">
            <v>6979</v>
          </cell>
          <cell r="J6274">
            <v>0.14051052054794522</v>
          </cell>
        </row>
        <row r="6275">
          <cell r="I6275">
            <v>6980</v>
          </cell>
          <cell r="J6275">
            <v>0.1405123287671233</v>
          </cell>
        </row>
        <row r="6276">
          <cell r="I6276">
            <v>6981</v>
          </cell>
          <cell r="J6276">
            <v>0.14051413698630139</v>
          </cell>
        </row>
        <row r="6277">
          <cell r="I6277">
            <v>6982</v>
          </cell>
          <cell r="J6277">
            <v>0.14051594520547944</v>
          </cell>
        </row>
        <row r="6278">
          <cell r="I6278">
            <v>6983</v>
          </cell>
          <cell r="J6278">
            <v>0.14051775342465753</v>
          </cell>
        </row>
        <row r="6279">
          <cell r="I6279">
            <v>6984</v>
          </cell>
          <cell r="J6279">
            <v>0.14051956164383561</v>
          </cell>
        </row>
        <row r="6280">
          <cell r="I6280">
            <v>6985</v>
          </cell>
          <cell r="J6280">
            <v>0.1405213698630137</v>
          </cell>
        </row>
        <row r="6281">
          <cell r="I6281">
            <v>6986</v>
          </cell>
          <cell r="J6281">
            <v>0.14052317808219178</v>
          </cell>
        </row>
        <row r="6282">
          <cell r="I6282">
            <v>6987</v>
          </cell>
          <cell r="J6282">
            <v>0.14052498630136986</v>
          </cell>
        </row>
        <row r="6283">
          <cell r="I6283">
            <v>6988</v>
          </cell>
          <cell r="J6283">
            <v>0.14052679452054795</v>
          </cell>
        </row>
        <row r="6284">
          <cell r="I6284">
            <v>6989</v>
          </cell>
          <cell r="J6284">
            <v>0.14052860273972603</v>
          </cell>
        </row>
        <row r="6285">
          <cell r="I6285">
            <v>6990</v>
          </cell>
          <cell r="J6285">
            <v>0.14053041095890412</v>
          </cell>
        </row>
        <row r="6286">
          <cell r="I6286">
            <v>6991</v>
          </cell>
          <cell r="J6286">
            <v>0.1405322191780822</v>
          </cell>
        </row>
        <row r="6287">
          <cell r="I6287">
            <v>6992</v>
          </cell>
          <cell r="J6287">
            <v>0.14053402739726029</v>
          </cell>
        </row>
        <row r="6288">
          <cell r="I6288">
            <v>6993</v>
          </cell>
          <cell r="J6288">
            <v>0.14053583561643837</v>
          </cell>
        </row>
        <row r="6289">
          <cell r="I6289">
            <v>6994</v>
          </cell>
          <cell r="J6289">
            <v>0.14053764383561645</v>
          </cell>
        </row>
        <row r="6290">
          <cell r="I6290">
            <v>6995</v>
          </cell>
          <cell r="J6290">
            <v>0.14053945205479451</v>
          </cell>
        </row>
        <row r="6291">
          <cell r="I6291">
            <v>6996</v>
          </cell>
          <cell r="J6291">
            <v>0.1405412602739726</v>
          </cell>
        </row>
        <row r="6292">
          <cell r="I6292">
            <v>6997</v>
          </cell>
          <cell r="J6292">
            <v>0.14054306849315068</v>
          </cell>
        </row>
        <row r="6293">
          <cell r="I6293">
            <v>6998</v>
          </cell>
          <cell r="J6293">
            <v>0.14054487671232876</v>
          </cell>
        </row>
        <row r="6294">
          <cell r="I6294">
            <v>6999</v>
          </cell>
          <cell r="J6294">
            <v>0.14054668493150685</v>
          </cell>
        </row>
        <row r="6295">
          <cell r="I6295">
            <v>7000</v>
          </cell>
          <cell r="J6295">
            <v>0.14054849315068493</v>
          </cell>
        </row>
        <row r="6296">
          <cell r="I6296">
            <v>7001</v>
          </cell>
          <cell r="J6296">
            <v>0.14055030136986302</v>
          </cell>
        </row>
        <row r="6297">
          <cell r="I6297">
            <v>7002</v>
          </cell>
          <cell r="J6297">
            <v>0.1405521095890411</v>
          </cell>
        </row>
        <row r="6298">
          <cell r="I6298">
            <v>7003</v>
          </cell>
          <cell r="J6298">
            <v>0.14055391780821919</v>
          </cell>
        </row>
        <row r="6299">
          <cell r="I6299">
            <v>7004</v>
          </cell>
          <cell r="J6299">
            <v>0.14055572602739727</v>
          </cell>
        </row>
        <row r="6300">
          <cell r="I6300">
            <v>7005</v>
          </cell>
          <cell r="J6300">
            <v>0.14055753424657536</v>
          </cell>
        </row>
        <row r="6301">
          <cell r="I6301">
            <v>7006</v>
          </cell>
          <cell r="J6301">
            <v>0.14055934246575344</v>
          </cell>
        </row>
        <row r="6302">
          <cell r="I6302">
            <v>7007</v>
          </cell>
          <cell r="J6302">
            <v>0.14056115068493152</v>
          </cell>
        </row>
        <row r="6303">
          <cell r="I6303">
            <v>7008</v>
          </cell>
          <cell r="J6303">
            <v>0.14056295890410958</v>
          </cell>
        </row>
        <row r="6304">
          <cell r="I6304">
            <v>7009</v>
          </cell>
          <cell r="J6304">
            <v>0.14056476712328766</v>
          </cell>
        </row>
        <row r="6305">
          <cell r="I6305">
            <v>7010</v>
          </cell>
          <cell r="J6305">
            <v>0.14056657534246575</v>
          </cell>
        </row>
        <row r="6306">
          <cell r="I6306">
            <v>7011</v>
          </cell>
          <cell r="J6306">
            <v>0.14056838356164383</v>
          </cell>
        </row>
        <row r="6307">
          <cell r="I6307">
            <v>7012</v>
          </cell>
          <cell r="J6307">
            <v>0.14057019178082192</v>
          </cell>
        </row>
        <row r="6308">
          <cell r="I6308">
            <v>7013</v>
          </cell>
          <cell r="J6308">
            <v>0.140572</v>
          </cell>
        </row>
        <row r="6309">
          <cell r="I6309">
            <v>7014</v>
          </cell>
          <cell r="J6309">
            <v>0.14057380821917809</v>
          </cell>
        </row>
        <row r="6310">
          <cell r="I6310">
            <v>7015</v>
          </cell>
          <cell r="J6310">
            <v>0.14057561643835617</v>
          </cell>
        </row>
        <row r="6311">
          <cell r="I6311">
            <v>7016</v>
          </cell>
          <cell r="J6311">
            <v>0.14057742465753426</v>
          </cell>
        </row>
        <row r="6312">
          <cell r="I6312">
            <v>7017</v>
          </cell>
          <cell r="J6312">
            <v>0.14057923287671234</v>
          </cell>
        </row>
        <row r="6313">
          <cell r="I6313">
            <v>7018</v>
          </cell>
          <cell r="J6313">
            <v>0.14058104109589042</v>
          </cell>
        </row>
        <row r="6314">
          <cell r="I6314">
            <v>7019</v>
          </cell>
          <cell r="J6314">
            <v>0.14058284931506851</v>
          </cell>
        </row>
        <row r="6315">
          <cell r="I6315">
            <v>7020</v>
          </cell>
          <cell r="J6315">
            <v>0.14058465753424657</v>
          </cell>
        </row>
        <row r="6316">
          <cell r="I6316">
            <v>7021</v>
          </cell>
          <cell r="J6316">
            <v>0.14058646575342465</v>
          </cell>
        </row>
        <row r="6317">
          <cell r="I6317">
            <v>7022</v>
          </cell>
          <cell r="J6317">
            <v>0.14058827397260273</v>
          </cell>
        </row>
        <row r="6318">
          <cell r="I6318">
            <v>7023</v>
          </cell>
          <cell r="J6318">
            <v>0.14059008219178082</v>
          </cell>
        </row>
        <row r="6319">
          <cell r="I6319">
            <v>7024</v>
          </cell>
          <cell r="J6319">
            <v>0.1405918904109589</v>
          </cell>
        </row>
        <row r="6320">
          <cell r="I6320">
            <v>7025</v>
          </cell>
          <cell r="J6320">
            <v>0.14059369863013699</v>
          </cell>
        </row>
        <row r="6321">
          <cell r="I6321">
            <v>7026</v>
          </cell>
          <cell r="J6321">
            <v>0.14059550684931507</v>
          </cell>
        </row>
        <row r="6322">
          <cell r="I6322">
            <v>7027</v>
          </cell>
          <cell r="J6322">
            <v>0.14059731506849316</v>
          </cell>
        </row>
        <row r="6323">
          <cell r="I6323">
            <v>7028</v>
          </cell>
          <cell r="J6323">
            <v>0.14059912328767124</v>
          </cell>
        </row>
        <row r="6324">
          <cell r="I6324">
            <v>7029</v>
          </cell>
          <cell r="J6324">
            <v>0.14060093150684932</v>
          </cell>
        </row>
        <row r="6325">
          <cell r="I6325">
            <v>7030</v>
          </cell>
          <cell r="J6325">
            <v>0.14060273972602741</v>
          </cell>
        </row>
        <row r="6326">
          <cell r="I6326">
            <v>7031</v>
          </cell>
          <cell r="J6326">
            <v>0.14060454794520549</v>
          </cell>
        </row>
        <row r="6327">
          <cell r="I6327">
            <v>7032</v>
          </cell>
          <cell r="J6327">
            <v>0.14060635616438358</v>
          </cell>
        </row>
        <row r="6328">
          <cell r="I6328">
            <v>7033</v>
          </cell>
          <cell r="J6328">
            <v>0.14060816438356163</v>
          </cell>
        </row>
        <row r="6329">
          <cell r="I6329">
            <v>7034</v>
          </cell>
          <cell r="J6329">
            <v>0.14060997260273972</v>
          </cell>
        </row>
        <row r="6330">
          <cell r="I6330">
            <v>7035</v>
          </cell>
          <cell r="J6330">
            <v>0.1406117808219178</v>
          </cell>
        </row>
        <row r="6331">
          <cell r="I6331">
            <v>7036</v>
          </cell>
          <cell r="J6331">
            <v>0.14061358904109589</v>
          </cell>
        </row>
        <row r="6332">
          <cell r="I6332">
            <v>7037</v>
          </cell>
          <cell r="J6332">
            <v>0.14061539726027397</v>
          </cell>
        </row>
        <row r="6333">
          <cell r="I6333">
            <v>7038</v>
          </cell>
          <cell r="J6333">
            <v>0.14061720547945206</v>
          </cell>
        </row>
        <row r="6334">
          <cell r="I6334">
            <v>7039</v>
          </cell>
          <cell r="J6334">
            <v>0.14061901369863014</v>
          </cell>
        </row>
        <row r="6335">
          <cell r="I6335">
            <v>7040</v>
          </cell>
          <cell r="J6335">
            <v>0.14062082191780823</v>
          </cell>
        </row>
        <row r="6336">
          <cell r="I6336">
            <v>7041</v>
          </cell>
          <cell r="J6336">
            <v>0.14062263013698631</v>
          </cell>
        </row>
        <row r="6337">
          <cell r="I6337">
            <v>7042</v>
          </cell>
          <cell r="J6337">
            <v>0.14062443835616439</v>
          </cell>
        </row>
        <row r="6338">
          <cell r="I6338">
            <v>7043</v>
          </cell>
          <cell r="J6338">
            <v>0.14062624657534248</v>
          </cell>
        </row>
        <row r="6339">
          <cell r="I6339">
            <v>7044</v>
          </cell>
          <cell r="J6339">
            <v>0.14062805479452056</v>
          </cell>
        </row>
        <row r="6340">
          <cell r="I6340">
            <v>7045</v>
          </cell>
          <cell r="J6340">
            <v>0.14062986301369865</v>
          </cell>
        </row>
        <row r="6341">
          <cell r="I6341">
            <v>7046</v>
          </cell>
          <cell r="J6341">
            <v>0.1406316712328767</v>
          </cell>
        </row>
        <row r="6342">
          <cell r="I6342">
            <v>7047</v>
          </cell>
          <cell r="J6342">
            <v>0.14063347945205479</v>
          </cell>
        </row>
        <row r="6343">
          <cell r="I6343">
            <v>7048</v>
          </cell>
          <cell r="J6343">
            <v>0.14063528767123287</v>
          </cell>
        </row>
        <row r="6344">
          <cell r="I6344">
            <v>7049</v>
          </cell>
          <cell r="J6344">
            <v>0.14063709589041096</v>
          </cell>
        </row>
        <row r="6345">
          <cell r="I6345">
            <v>7050</v>
          </cell>
          <cell r="J6345">
            <v>0.14063890410958904</v>
          </cell>
        </row>
        <row r="6346">
          <cell r="I6346">
            <v>7051</v>
          </cell>
          <cell r="J6346">
            <v>0.14064071232876713</v>
          </cell>
        </row>
        <row r="6347">
          <cell r="I6347">
            <v>7052</v>
          </cell>
          <cell r="J6347">
            <v>0.14064252054794521</v>
          </cell>
        </row>
        <row r="6348">
          <cell r="I6348">
            <v>7053</v>
          </cell>
          <cell r="J6348">
            <v>0.14064432876712329</v>
          </cell>
        </row>
        <row r="6349">
          <cell r="I6349">
            <v>7054</v>
          </cell>
          <cell r="J6349">
            <v>0.14064613698630138</v>
          </cell>
        </row>
        <row r="6350">
          <cell r="I6350">
            <v>7055</v>
          </cell>
          <cell r="J6350">
            <v>0.14064794520547946</v>
          </cell>
        </row>
        <row r="6351">
          <cell r="I6351">
            <v>7056</v>
          </cell>
          <cell r="J6351">
            <v>0.14064975342465755</v>
          </cell>
        </row>
        <row r="6352">
          <cell r="I6352">
            <v>7057</v>
          </cell>
          <cell r="J6352">
            <v>0.14065156164383563</v>
          </cell>
        </row>
        <row r="6353">
          <cell r="I6353">
            <v>7058</v>
          </cell>
          <cell r="J6353">
            <v>0.14065336986301369</v>
          </cell>
        </row>
        <row r="6354">
          <cell r="I6354">
            <v>7059</v>
          </cell>
          <cell r="J6354">
            <v>0.14065517808219177</v>
          </cell>
        </row>
        <row r="6355">
          <cell r="I6355">
            <v>7060</v>
          </cell>
          <cell r="J6355">
            <v>0.14065698630136986</v>
          </cell>
        </row>
        <row r="6356">
          <cell r="I6356">
            <v>7061</v>
          </cell>
          <cell r="J6356">
            <v>0.14065879452054794</v>
          </cell>
        </row>
        <row r="6357">
          <cell r="I6357">
            <v>7062</v>
          </cell>
          <cell r="J6357">
            <v>0.14066060273972603</v>
          </cell>
        </row>
        <row r="6358">
          <cell r="I6358">
            <v>7063</v>
          </cell>
          <cell r="J6358">
            <v>0.14066241095890411</v>
          </cell>
        </row>
        <row r="6359">
          <cell r="I6359">
            <v>7064</v>
          </cell>
          <cell r="J6359">
            <v>0.14066421917808219</v>
          </cell>
        </row>
        <row r="6360">
          <cell r="I6360">
            <v>7065</v>
          </cell>
          <cell r="J6360">
            <v>0.14066602739726028</v>
          </cell>
        </row>
        <row r="6361">
          <cell r="I6361">
            <v>7066</v>
          </cell>
          <cell r="J6361">
            <v>0.14066783561643836</v>
          </cell>
        </row>
        <row r="6362">
          <cell r="I6362">
            <v>7067</v>
          </cell>
          <cell r="J6362">
            <v>0.14066964383561645</v>
          </cell>
        </row>
        <row r="6363">
          <cell r="I6363">
            <v>7068</v>
          </cell>
          <cell r="J6363">
            <v>0.14067145205479453</v>
          </cell>
        </row>
        <row r="6364">
          <cell r="I6364">
            <v>7069</v>
          </cell>
          <cell r="J6364">
            <v>0.14067326027397262</v>
          </cell>
        </row>
        <row r="6365">
          <cell r="I6365">
            <v>7070</v>
          </cell>
          <cell r="J6365">
            <v>0.1406750684931507</v>
          </cell>
        </row>
        <row r="6366">
          <cell r="I6366">
            <v>7071</v>
          </cell>
          <cell r="J6366">
            <v>0.14067687671232876</v>
          </cell>
        </row>
        <row r="6367">
          <cell r="I6367">
            <v>7072</v>
          </cell>
          <cell r="J6367">
            <v>0.14067868493150684</v>
          </cell>
        </row>
        <row r="6368">
          <cell r="I6368">
            <v>7073</v>
          </cell>
          <cell r="J6368">
            <v>0.14068049315068493</v>
          </cell>
        </row>
        <row r="6369">
          <cell r="I6369">
            <v>7074</v>
          </cell>
          <cell r="J6369">
            <v>0.14068230136986301</v>
          </cell>
        </row>
        <row r="6370">
          <cell r="I6370">
            <v>7075</v>
          </cell>
          <cell r="J6370">
            <v>0.1406841095890411</v>
          </cell>
        </row>
        <row r="6371">
          <cell r="I6371">
            <v>7076</v>
          </cell>
          <cell r="J6371">
            <v>0.14068591780821918</v>
          </cell>
        </row>
        <row r="6372">
          <cell r="I6372">
            <v>7077</v>
          </cell>
          <cell r="J6372">
            <v>0.14068772602739726</v>
          </cell>
        </row>
        <row r="6373">
          <cell r="I6373">
            <v>7078</v>
          </cell>
          <cell r="J6373">
            <v>0.14068953424657535</v>
          </cell>
        </row>
        <row r="6374">
          <cell r="I6374">
            <v>7079</v>
          </cell>
          <cell r="J6374">
            <v>0.14069134246575343</v>
          </cell>
        </row>
        <row r="6375">
          <cell r="I6375">
            <v>7080</v>
          </cell>
          <cell r="J6375">
            <v>0.14069315068493152</v>
          </cell>
        </row>
        <row r="6376">
          <cell r="I6376">
            <v>7081</v>
          </cell>
          <cell r="J6376">
            <v>0.1406949589041096</v>
          </cell>
        </row>
        <row r="6377">
          <cell r="I6377">
            <v>7082</v>
          </cell>
          <cell r="J6377">
            <v>0.14069676712328769</v>
          </cell>
        </row>
        <row r="6378">
          <cell r="I6378">
            <v>7083</v>
          </cell>
          <cell r="J6378">
            <v>0.14069857534246577</v>
          </cell>
        </row>
        <row r="6379">
          <cell r="I6379">
            <v>7084</v>
          </cell>
          <cell r="J6379">
            <v>0.14070038356164383</v>
          </cell>
        </row>
        <row r="6380">
          <cell r="I6380">
            <v>7085</v>
          </cell>
          <cell r="J6380">
            <v>0.14070219178082191</v>
          </cell>
        </row>
        <row r="6381">
          <cell r="I6381">
            <v>7086</v>
          </cell>
          <cell r="J6381">
            <v>0.140704</v>
          </cell>
        </row>
        <row r="6382">
          <cell r="I6382">
            <v>7087</v>
          </cell>
          <cell r="J6382">
            <v>0.14070580821917808</v>
          </cell>
        </row>
        <row r="6383">
          <cell r="I6383">
            <v>7088</v>
          </cell>
          <cell r="J6383">
            <v>0.14070761643835616</v>
          </cell>
        </row>
        <row r="6384">
          <cell r="I6384">
            <v>7089</v>
          </cell>
          <cell r="J6384">
            <v>0.14070942465753425</v>
          </cell>
        </row>
        <row r="6385">
          <cell r="I6385">
            <v>7090</v>
          </cell>
          <cell r="J6385">
            <v>0.14071123287671233</v>
          </cell>
        </row>
        <row r="6386">
          <cell r="I6386">
            <v>7091</v>
          </cell>
          <cell r="J6386">
            <v>0.14071304109589042</v>
          </cell>
        </row>
        <row r="6387">
          <cell r="I6387">
            <v>7092</v>
          </cell>
          <cell r="J6387">
            <v>0.1407148493150685</v>
          </cell>
        </row>
        <row r="6388">
          <cell r="I6388">
            <v>7093</v>
          </cell>
          <cell r="J6388">
            <v>0.14071665753424659</v>
          </cell>
        </row>
        <row r="6389">
          <cell r="I6389">
            <v>7094</v>
          </cell>
          <cell r="J6389">
            <v>0.14071846575342467</v>
          </cell>
        </row>
        <row r="6390">
          <cell r="I6390">
            <v>7095</v>
          </cell>
          <cell r="J6390">
            <v>0.14072027397260276</v>
          </cell>
        </row>
        <row r="6391">
          <cell r="I6391">
            <v>7096</v>
          </cell>
          <cell r="J6391">
            <v>0.14072208219178084</v>
          </cell>
        </row>
        <row r="6392">
          <cell r="I6392">
            <v>7097</v>
          </cell>
          <cell r="J6392">
            <v>0.1407238904109589</v>
          </cell>
        </row>
        <row r="6393">
          <cell r="I6393">
            <v>7098</v>
          </cell>
          <cell r="J6393">
            <v>0.14072569863013698</v>
          </cell>
        </row>
        <row r="6394">
          <cell r="I6394">
            <v>7099</v>
          </cell>
          <cell r="J6394">
            <v>0.14072750684931506</v>
          </cell>
        </row>
        <row r="6395">
          <cell r="I6395">
            <v>7100</v>
          </cell>
          <cell r="J6395">
            <v>0.14072931506849315</v>
          </cell>
        </row>
        <row r="6396">
          <cell r="I6396">
            <v>7101</v>
          </cell>
          <cell r="J6396">
            <v>0.14073112328767123</v>
          </cell>
        </row>
        <row r="6397">
          <cell r="I6397">
            <v>7102</v>
          </cell>
          <cell r="J6397">
            <v>0.14073293150684932</v>
          </cell>
        </row>
        <row r="6398">
          <cell r="I6398">
            <v>7103</v>
          </cell>
          <cell r="J6398">
            <v>0.1407347397260274</v>
          </cell>
        </row>
        <row r="6399">
          <cell r="I6399">
            <v>7104</v>
          </cell>
          <cell r="J6399">
            <v>0.14073654794520549</v>
          </cell>
        </row>
        <row r="6400">
          <cell r="I6400">
            <v>7105</v>
          </cell>
          <cell r="J6400">
            <v>0.14073835616438357</v>
          </cell>
        </row>
        <row r="6401">
          <cell r="I6401">
            <v>7106</v>
          </cell>
          <cell r="J6401">
            <v>0.14074016438356166</v>
          </cell>
        </row>
        <row r="6402">
          <cell r="I6402">
            <v>7107</v>
          </cell>
          <cell r="J6402">
            <v>0.14074197260273974</v>
          </cell>
        </row>
        <row r="6403">
          <cell r="I6403">
            <v>7108</v>
          </cell>
          <cell r="J6403">
            <v>0.14074378082191782</v>
          </cell>
        </row>
        <row r="6404">
          <cell r="I6404">
            <v>7109</v>
          </cell>
          <cell r="J6404">
            <v>0.14074558904109588</v>
          </cell>
        </row>
        <row r="6405">
          <cell r="I6405">
            <v>7110</v>
          </cell>
          <cell r="J6405">
            <v>0.14074739726027397</v>
          </cell>
        </row>
        <row r="6406">
          <cell r="I6406">
            <v>7111</v>
          </cell>
          <cell r="J6406">
            <v>0.14074920547945205</v>
          </cell>
        </row>
        <row r="6407">
          <cell r="I6407">
            <v>7112</v>
          </cell>
          <cell r="J6407">
            <v>0.14075101369863013</v>
          </cell>
        </row>
        <row r="6408">
          <cell r="I6408">
            <v>7113</v>
          </cell>
          <cell r="J6408">
            <v>0.14075282191780822</v>
          </cell>
        </row>
        <row r="6409">
          <cell r="I6409">
            <v>7114</v>
          </cell>
          <cell r="J6409">
            <v>0.1407546301369863</v>
          </cell>
        </row>
        <row r="6410">
          <cell r="I6410">
            <v>7115</v>
          </cell>
          <cell r="J6410">
            <v>0.14075643835616439</v>
          </cell>
        </row>
        <row r="6411">
          <cell r="I6411">
            <v>7116</v>
          </cell>
          <cell r="J6411">
            <v>0.14075824657534247</v>
          </cell>
        </row>
        <row r="6412">
          <cell r="I6412">
            <v>7117</v>
          </cell>
          <cell r="J6412">
            <v>0.14076005479452056</v>
          </cell>
        </row>
        <row r="6413">
          <cell r="I6413">
            <v>7118</v>
          </cell>
          <cell r="J6413">
            <v>0.14076186301369864</v>
          </cell>
        </row>
        <row r="6414">
          <cell r="I6414">
            <v>7119</v>
          </cell>
          <cell r="J6414">
            <v>0.14076367123287672</v>
          </cell>
        </row>
        <row r="6415">
          <cell r="I6415">
            <v>7120</v>
          </cell>
          <cell r="J6415">
            <v>0.14076547945205481</v>
          </cell>
        </row>
        <row r="6416">
          <cell r="I6416">
            <v>7121</v>
          </cell>
          <cell r="J6416">
            <v>0.14076728767123289</v>
          </cell>
        </row>
        <row r="6417">
          <cell r="I6417">
            <v>7122</v>
          </cell>
          <cell r="J6417">
            <v>0.14076909589041095</v>
          </cell>
        </row>
        <row r="6418">
          <cell r="I6418">
            <v>7123</v>
          </cell>
          <cell r="J6418">
            <v>0.14077090410958903</v>
          </cell>
        </row>
        <row r="6419">
          <cell r="I6419">
            <v>7124</v>
          </cell>
          <cell r="J6419">
            <v>0.14077271232876712</v>
          </cell>
        </row>
        <row r="6420">
          <cell r="I6420">
            <v>7125</v>
          </cell>
          <cell r="J6420">
            <v>0.1407745205479452</v>
          </cell>
        </row>
        <row r="6421">
          <cell r="I6421">
            <v>7126</v>
          </cell>
          <cell r="J6421">
            <v>0.14077632876712329</v>
          </cell>
        </row>
        <row r="6422">
          <cell r="I6422">
            <v>7127</v>
          </cell>
          <cell r="J6422">
            <v>0.14077813698630137</v>
          </cell>
        </row>
        <row r="6423">
          <cell r="I6423">
            <v>7128</v>
          </cell>
          <cell r="J6423">
            <v>0.14077994520547946</v>
          </cell>
        </row>
        <row r="6424">
          <cell r="I6424">
            <v>7129</v>
          </cell>
          <cell r="J6424">
            <v>0.14078175342465754</v>
          </cell>
        </row>
        <row r="6425">
          <cell r="I6425">
            <v>7130</v>
          </cell>
          <cell r="J6425">
            <v>0.14078356164383563</v>
          </cell>
        </row>
        <row r="6426">
          <cell r="I6426">
            <v>7131</v>
          </cell>
          <cell r="J6426">
            <v>0.14078536986301371</v>
          </cell>
        </row>
        <row r="6427">
          <cell r="I6427">
            <v>7132</v>
          </cell>
          <cell r="J6427">
            <v>0.14078717808219179</v>
          </cell>
        </row>
        <row r="6428">
          <cell r="I6428">
            <v>7133</v>
          </cell>
          <cell r="J6428">
            <v>0.14078898630136988</v>
          </cell>
        </row>
        <row r="6429">
          <cell r="I6429">
            <v>7134</v>
          </cell>
          <cell r="J6429">
            <v>0.14079079452054793</v>
          </cell>
        </row>
        <row r="6430">
          <cell r="I6430">
            <v>7135</v>
          </cell>
          <cell r="J6430">
            <v>0.14079260273972602</v>
          </cell>
        </row>
        <row r="6431">
          <cell r="I6431">
            <v>7136</v>
          </cell>
          <cell r="J6431">
            <v>0.1407944109589041</v>
          </cell>
        </row>
        <row r="6432">
          <cell r="I6432">
            <v>7137</v>
          </cell>
          <cell r="J6432">
            <v>0.14079621917808219</v>
          </cell>
        </row>
        <row r="6433">
          <cell r="I6433">
            <v>7138</v>
          </cell>
          <cell r="J6433">
            <v>0.14079802739726027</v>
          </cell>
        </row>
        <row r="6434">
          <cell r="I6434">
            <v>7139</v>
          </cell>
          <cell r="J6434">
            <v>0.14079983561643836</v>
          </cell>
        </row>
        <row r="6435">
          <cell r="I6435">
            <v>7140</v>
          </cell>
          <cell r="J6435">
            <v>0.14080164383561644</v>
          </cell>
        </row>
        <row r="6436">
          <cell r="I6436">
            <v>7141</v>
          </cell>
          <cell r="J6436">
            <v>0.14080345205479453</v>
          </cell>
        </row>
        <row r="6437">
          <cell r="I6437">
            <v>7142</v>
          </cell>
          <cell r="J6437">
            <v>0.14080526027397261</v>
          </cell>
        </row>
        <row r="6438">
          <cell r="I6438">
            <v>7143</v>
          </cell>
          <cell r="J6438">
            <v>0.14080706849315069</v>
          </cell>
        </row>
        <row r="6439">
          <cell r="I6439">
            <v>7144</v>
          </cell>
          <cell r="J6439">
            <v>0.14080887671232878</v>
          </cell>
        </row>
        <row r="6440">
          <cell r="I6440">
            <v>7145</v>
          </cell>
          <cell r="J6440">
            <v>0.14081068493150686</v>
          </cell>
        </row>
        <row r="6441">
          <cell r="I6441">
            <v>7146</v>
          </cell>
          <cell r="J6441">
            <v>0.14081249315068495</v>
          </cell>
        </row>
        <row r="6442">
          <cell r="I6442">
            <v>7147</v>
          </cell>
          <cell r="J6442">
            <v>0.140814301369863</v>
          </cell>
        </row>
        <row r="6443">
          <cell r="I6443">
            <v>7148</v>
          </cell>
          <cell r="J6443">
            <v>0.14081610958904109</v>
          </cell>
        </row>
        <row r="6444">
          <cell r="I6444">
            <v>7149</v>
          </cell>
          <cell r="J6444">
            <v>0.14081791780821917</v>
          </cell>
        </row>
        <row r="6445">
          <cell r="I6445">
            <v>7150</v>
          </cell>
          <cell r="J6445">
            <v>0.14081972602739726</v>
          </cell>
        </row>
        <row r="6446">
          <cell r="I6446">
            <v>7151</v>
          </cell>
          <cell r="J6446">
            <v>0.14082153424657534</v>
          </cell>
        </row>
        <row r="6447">
          <cell r="I6447">
            <v>7152</v>
          </cell>
          <cell r="J6447">
            <v>0.14082334246575343</v>
          </cell>
        </row>
        <row r="6448">
          <cell r="I6448">
            <v>7153</v>
          </cell>
          <cell r="J6448">
            <v>0.14082515068493151</v>
          </cell>
        </row>
        <row r="6449">
          <cell r="I6449">
            <v>7154</v>
          </cell>
          <cell r="J6449">
            <v>0.14082695890410959</v>
          </cell>
        </row>
        <row r="6450">
          <cell r="I6450">
            <v>7155</v>
          </cell>
          <cell r="J6450">
            <v>0.14082876712328768</v>
          </cell>
        </row>
        <row r="6451">
          <cell r="I6451">
            <v>7156</v>
          </cell>
          <cell r="J6451">
            <v>0.14083057534246576</v>
          </cell>
        </row>
        <row r="6452">
          <cell r="I6452">
            <v>7157</v>
          </cell>
          <cell r="J6452">
            <v>0.14083238356164385</v>
          </cell>
        </row>
        <row r="6453">
          <cell r="I6453">
            <v>7158</v>
          </cell>
          <cell r="J6453">
            <v>0.14083419178082193</v>
          </cell>
        </row>
        <row r="6454">
          <cell r="I6454">
            <v>7159</v>
          </cell>
          <cell r="J6454">
            <v>0.14083600000000002</v>
          </cell>
        </row>
        <row r="6455">
          <cell r="I6455">
            <v>7160</v>
          </cell>
          <cell r="J6455">
            <v>0.14083780821917807</v>
          </cell>
        </row>
        <row r="6456">
          <cell r="I6456">
            <v>7161</v>
          </cell>
          <cell r="J6456">
            <v>0.14083961643835616</v>
          </cell>
        </row>
        <row r="6457">
          <cell r="I6457">
            <v>7162</v>
          </cell>
          <cell r="J6457">
            <v>0.14084142465753424</v>
          </cell>
        </row>
        <row r="6458">
          <cell r="I6458">
            <v>7163</v>
          </cell>
          <cell r="J6458">
            <v>0.14084323287671233</v>
          </cell>
        </row>
        <row r="6459">
          <cell r="I6459">
            <v>7164</v>
          </cell>
          <cell r="J6459">
            <v>0.14084504109589041</v>
          </cell>
        </row>
        <row r="6460">
          <cell r="I6460">
            <v>7165</v>
          </cell>
          <cell r="J6460">
            <v>0.1408468493150685</v>
          </cell>
        </row>
        <row r="6461">
          <cell r="I6461">
            <v>7166</v>
          </cell>
          <cell r="J6461">
            <v>0.14084865753424658</v>
          </cell>
        </row>
        <row r="6462">
          <cell r="I6462">
            <v>7167</v>
          </cell>
          <cell r="J6462">
            <v>0.14085046575342466</v>
          </cell>
        </row>
        <row r="6463">
          <cell r="I6463">
            <v>7168</v>
          </cell>
          <cell r="J6463">
            <v>0.14085227397260275</v>
          </cell>
        </row>
        <row r="6464">
          <cell r="I6464">
            <v>7169</v>
          </cell>
          <cell r="J6464">
            <v>0.14085408219178083</v>
          </cell>
        </row>
        <row r="6465">
          <cell r="I6465">
            <v>7170</v>
          </cell>
          <cell r="J6465">
            <v>0.14085589041095892</v>
          </cell>
        </row>
        <row r="6466">
          <cell r="I6466">
            <v>7171</v>
          </cell>
          <cell r="J6466">
            <v>0.140857698630137</v>
          </cell>
        </row>
        <row r="6467">
          <cell r="I6467">
            <v>7172</v>
          </cell>
          <cell r="J6467">
            <v>0.14085950684931509</v>
          </cell>
        </row>
        <row r="6468">
          <cell r="I6468">
            <v>7173</v>
          </cell>
          <cell r="J6468">
            <v>0.14086131506849314</v>
          </cell>
        </row>
        <row r="6469">
          <cell r="I6469">
            <v>7174</v>
          </cell>
          <cell r="J6469">
            <v>0.14086312328767123</v>
          </cell>
        </row>
        <row r="6470">
          <cell r="I6470">
            <v>7175</v>
          </cell>
          <cell r="J6470">
            <v>0.14086493150684931</v>
          </cell>
        </row>
        <row r="6471">
          <cell r="I6471">
            <v>7176</v>
          </cell>
          <cell r="J6471">
            <v>0.1408667397260274</v>
          </cell>
        </row>
        <row r="6472">
          <cell r="I6472">
            <v>7177</v>
          </cell>
          <cell r="J6472">
            <v>0.14086854794520548</v>
          </cell>
        </row>
        <row r="6473">
          <cell r="I6473">
            <v>7178</v>
          </cell>
          <cell r="J6473">
            <v>0.14087035616438356</v>
          </cell>
        </row>
        <row r="6474">
          <cell r="I6474">
            <v>7179</v>
          </cell>
          <cell r="J6474">
            <v>0.14087216438356165</v>
          </cell>
        </row>
        <row r="6475">
          <cell r="I6475">
            <v>7180</v>
          </cell>
          <cell r="J6475">
            <v>0.14087397260273973</v>
          </cell>
        </row>
        <row r="6476">
          <cell r="I6476">
            <v>7181</v>
          </cell>
          <cell r="J6476">
            <v>0.14087578082191782</v>
          </cell>
        </row>
        <row r="6477">
          <cell r="I6477">
            <v>7182</v>
          </cell>
          <cell r="J6477">
            <v>0.1408775890410959</v>
          </cell>
        </row>
        <row r="6478">
          <cell r="I6478">
            <v>7183</v>
          </cell>
          <cell r="J6478">
            <v>0.14087939726027399</v>
          </cell>
        </row>
        <row r="6479">
          <cell r="I6479">
            <v>7184</v>
          </cell>
          <cell r="J6479">
            <v>0.14088120547945207</v>
          </cell>
        </row>
        <row r="6480">
          <cell r="I6480">
            <v>7185</v>
          </cell>
          <cell r="J6480">
            <v>0.14088301369863013</v>
          </cell>
        </row>
        <row r="6481">
          <cell r="I6481">
            <v>7186</v>
          </cell>
          <cell r="J6481">
            <v>0.14088482191780821</v>
          </cell>
        </row>
        <row r="6482">
          <cell r="I6482">
            <v>7187</v>
          </cell>
          <cell r="J6482">
            <v>0.1408866301369863</v>
          </cell>
        </row>
        <row r="6483">
          <cell r="I6483">
            <v>7188</v>
          </cell>
          <cell r="J6483">
            <v>0.14088843835616438</v>
          </cell>
        </row>
        <row r="6484">
          <cell r="I6484">
            <v>7189</v>
          </cell>
          <cell r="J6484">
            <v>0.14089024657534246</v>
          </cell>
        </row>
        <row r="6485">
          <cell r="I6485">
            <v>7190</v>
          </cell>
          <cell r="J6485">
            <v>0.14089205479452055</v>
          </cell>
        </row>
        <row r="6486">
          <cell r="I6486">
            <v>7191</v>
          </cell>
          <cell r="J6486">
            <v>0.14089386301369863</v>
          </cell>
        </row>
        <row r="6487">
          <cell r="I6487">
            <v>7192</v>
          </cell>
          <cell r="J6487">
            <v>0.14089567123287672</v>
          </cell>
        </row>
        <row r="6488">
          <cell r="I6488">
            <v>7193</v>
          </cell>
          <cell r="J6488">
            <v>0.1408974794520548</v>
          </cell>
        </row>
        <row r="6489">
          <cell r="I6489">
            <v>7194</v>
          </cell>
          <cell r="J6489">
            <v>0.14089928767123289</v>
          </cell>
        </row>
        <row r="6490">
          <cell r="I6490">
            <v>7195</v>
          </cell>
          <cell r="J6490">
            <v>0.14090109589041097</v>
          </cell>
        </row>
        <row r="6491">
          <cell r="I6491">
            <v>7196</v>
          </cell>
          <cell r="J6491">
            <v>0.14090290410958906</v>
          </cell>
        </row>
        <row r="6492">
          <cell r="I6492">
            <v>7197</v>
          </cell>
          <cell r="J6492">
            <v>0.14090471232876714</v>
          </cell>
        </row>
        <row r="6493">
          <cell r="I6493">
            <v>7198</v>
          </cell>
          <cell r="J6493">
            <v>0.1409065205479452</v>
          </cell>
        </row>
        <row r="6494">
          <cell r="I6494">
            <v>7199</v>
          </cell>
          <cell r="J6494">
            <v>0.14090832876712328</v>
          </cell>
        </row>
        <row r="6495">
          <cell r="I6495">
            <v>7200</v>
          </cell>
          <cell r="J6495">
            <v>0.14091013698630137</v>
          </cell>
        </row>
        <row r="6496">
          <cell r="I6496">
            <v>7201</v>
          </cell>
          <cell r="J6496">
            <v>0.14091194520547945</v>
          </cell>
        </row>
        <row r="6497">
          <cell r="I6497">
            <v>7202</v>
          </cell>
          <cell r="J6497">
            <v>0.14091375342465753</v>
          </cell>
        </row>
        <row r="6498">
          <cell r="I6498">
            <v>7203</v>
          </cell>
          <cell r="J6498">
            <v>0.14091556164383562</v>
          </cell>
        </row>
        <row r="6499">
          <cell r="I6499">
            <v>7204</v>
          </cell>
          <cell r="J6499">
            <v>0.1409173698630137</v>
          </cell>
        </row>
        <row r="6500">
          <cell r="I6500">
            <v>7205</v>
          </cell>
          <cell r="J6500">
            <v>0.14091917808219179</v>
          </cell>
        </row>
        <row r="6501">
          <cell r="I6501">
            <v>7206</v>
          </cell>
          <cell r="J6501">
            <v>0.14092098630136987</v>
          </cell>
        </row>
        <row r="6502">
          <cell r="I6502">
            <v>7207</v>
          </cell>
          <cell r="J6502">
            <v>0.14092279452054796</v>
          </cell>
        </row>
        <row r="6503">
          <cell r="I6503">
            <v>7208</v>
          </cell>
          <cell r="J6503">
            <v>0.14092460273972604</v>
          </cell>
        </row>
        <row r="6504">
          <cell r="I6504">
            <v>7209</v>
          </cell>
          <cell r="J6504">
            <v>0.14092641095890412</v>
          </cell>
        </row>
        <row r="6505">
          <cell r="I6505">
            <v>7210</v>
          </cell>
          <cell r="J6505">
            <v>0.14092821917808218</v>
          </cell>
        </row>
        <row r="6506">
          <cell r="I6506">
            <v>7211</v>
          </cell>
          <cell r="J6506">
            <v>0.14093002739726027</v>
          </cell>
        </row>
        <row r="6507">
          <cell r="I6507">
            <v>7212</v>
          </cell>
          <cell r="J6507">
            <v>0.14093183561643835</v>
          </cell>
        </row>
        <row r="6508">
          <cell r="I6508">
            <v>7213</v>
          </cell>
          <cell r="J6508">
            <v>0.14093364383561643</v>
          </cell>
        </row>
        <row r="6509">
          <cell r="I6509">
            <v>7214</v>
          </cell>
          <cell r="J6509">
            <v>0.14093545205479452</v>
          </cell>
        </row>
        <row r="6510">
          <cell r="I6510">
            <v>7215</v>
          </cell>
          <cell r="J6510">
            <v>0.1409372602739726</v>
          </cell>
        </row>
        <row r="6511">
          <cell r="I6511">
            <v>7216</v>
          </cell>
          <cell r="J6511">
            <v>0.14093906849315069</v>
          </cell>
        </row>
        <row r="6512">
          <cell r="I6512">
            <v>7217</v>
          </cell>
          <cell r="J6512">
            <v>0.14094087671232877</v>
          </cell>
        </row>
        <row r="6513">
          <cell r="I6513">
            <v>7218</v>
          </cell>
          <cell r="J6513">
            <v>0.14094268493150686</v>
          </cell>
        </row>
        <row r="6514">
          <cell r="I6514">
            <v>7219</v>
          </cell>
          <cell r="J6514">
            <v>0.14094449315068494</v>
          </cell>
        </row>
        <row r="6515">
          <cell r="I6515">
            <v>7220</v>
          </cell>
          <cell r="J6515">
            <v>0.14094630136986303</v>
          </cell>
        </row>
        <row r="6516">
          <cell r="I6516">
            <v>7221</v>
          </cell>
          <cell r="J6516">
            <v>0.14094810958904111</v>
          </cell>
        </row>
        <row r="6517">
          <cell r="I6517">
            <v>7222</v>
          </cell>
          <cell r="J6517">
            <v>0.14094991780821919</v>
          </cell>
        </row>
        <row r="6518">
          <cell r="I6518">
            <v>7223</v>
          </cell>
          <cell r="J6518">
            <v>0.14095172602739725</v>
          </cell>
        </row>
        <row r="6519">
          <cell r="I6519">
            <v>7224</v>
          </cell>
          <cell r="J6519">
            <v>0.14095353424657533</v>
          </cell>
        </row>
        <row r="6520">
          <cell r="I6520">
            <v>7225</v>
          </cell>
          <cell r="J6520">
            <v>0.14095534246575342</v>
          </cell>
        </row>
        <row r="6521">
          <cell r="I6521">
            <v>7226</v>
          </cell>
          <cell r="J6521">
            <v>0.1409571506849315</v>
          </cell>
        </row>
        <row r="6522">
          <cell r="I6522">
            <v>7227</v>
          </cell>
          <cell r="J6522">
            <v>0.14095895890410959</v>
          </cell>
        </row>
        <row r="6523">
          <cell r="I6523">
            <v>7228</v>
          </cell>
          <cell r="J6523">
            <v>0.14096076712328767</v>
          </cell>
        </row>
        <row r="6524">
          <cell r="I6524">
            <v>7229</v>
          </cell>
          <cell r="J6524">
            <v>0.14096257534246576</v>
          </cell>
        </row>
        <row r="6525">
          <cell r="I6525">
            <v>7230</v>
          </cell>
          <cell r="J6525">
            <v>0.14096438356164384</v>
          </cell>
        </row>
        <row r="6526">
          <cell r="I6526">
            <v>7231</v>
          </cell>
          <cell r="J6526">
            <v>0.14096619178082193</v>
          </cell>
        </row>
        <row r="6527">
          <cell r="I6527">
            <v>7232</v>
          </cell>
          <cell r="J6527">
            <v>0.14096800000000001</v>
          </cell>
        </row>
        <row r="6528">
          <cell r="I6528">
            <v>7233</v>
          </cell>
          <cell r="J6528">
            <v>0.14096980821917809</v>
          </cell>
        </row>
        <row r="6529">
          <cell r="I6529">
            <v>7234</v>
          </cell>
          <cell r="J6529">
            <v>0.14097161643835618</v>
          </cell>
        </row>
        <row r="6530">
          <cell r="I6530">
            <v>7235</v>
          </cell>
          <cell r="J6530">
            <v>0.14097342465753426</v>
          </cell>
        </row>
        <row r="6531">
          <cell r="I6531">
            <v>7236</v>
          </cell>
          <cell r="J6531">
            <v>0.14097523287671232</v>
          </cell>
        </row>
        <row r="6532">
          <cell r="I6532">
            <v>7237</v>
          </cell>
          <cell r="J6532">
            <v>0.1409770410958904</v>
          </cell>
        </row>
        <row r="6533">
          <cell r="I6533">
            <v>7238</v>
          </cell>
          <cell r="J6533">
            <v>0.14097884931506849</v>
          </cell>
        </row>
        <row r="6534">
          <cell r="I6534">
            <v>7239</v>
          </cell>
          <cell r="J6534">
            <v>0.14098065753424657</v>
          </cell>
        </row>
        <row r="6535">
          <cell r="I6535">
            <v>7240</v>
          </cell>
          <cell r="J6535">
            <v>0.14098246575342466</v>
          </cell>
        </row>
        <row r="6536">
          <cell r="I6536">
            <v>7241</v>
          </cell>
          <cell r="J6536">
            <v>0.14098427397260274</v>
          </cell>
        </row>
        <row r="6537">
          <cell r="I6537">
            <v>7242</v>
          </cell>
          <cell r="J6537">
            <v>0.14098608219178083</v>
          </cell>
        </row>
        <row r="6538">
          <cell r="I6538">
            <v>7243</v>
          </cell>
          <cell r="J6538">
            <v>0.14098789041095891</v>
          </cell>
        </row>
        <row r="6539">
          <cell r="I6539">
            <v>7244</v>
          </cell>
          <cell r="J6539">
            <v>0.14098969863013699</v>
          </cell>
        </row>
        <row r="6540">
          <cell r="I6540">
            <v>7245</v>
          </cell>
          <cell r="J6540">
            <v>0.14099150684931508</v>
          </cell>
        </row>
        <row r="6541">
          <cell r="I6541">
            <v>7246</v>
          </cell>
          <cell r="J6541">
            <v>0.14099331506849316</v>
          </cell>
        </row>
        <row r="6542">
          <cell r="I6542">
            <v>7247</v>
          </cell>
          <cell r="J6542">
            <v>0.14099512328767125</v>
          </cell>
        </row>
        <row r="6543">
          <cell r="I6543">
            <v>7248</v>
          </cell>
          <cell r="J6543">
            <v>0.14099693150684933</v>
          </cell>
        </row>
        <row r="6544">
          <cell r="I6544">
            <v>7249</v>
          </cell>
          <cell r="J6544">
            <v>0.14099873972602739</v>
          </cell>
        </row>
        <row r="6545">
          <cell r="I6545">
            <v>7250</v>
          </cell>
          <cell r="J6545">
            <v>0.14100054794520547</v>
          </cell>
        </row>
        <row r="6546">
          <cell r="I6546">
            <v>7251</v>
          </cell>
          <cell r="J6546">
            <v>0.14100235616438356</v>
          </cell>
        </row>
        <row r="6547">
          <cell r="I6547">
            <v>7252</v>
          </cell>
          <cell r="J6547">
            <v>0.14100416438356164</v>
          </cell>
        </row>
        <row r="6548">
          <cell r="I6548">
            <v>7253</v>
          </cell>
          <cell r="J6548">
            <v>0.14100597260273973</v>
          </cell>
        </row>
        <row r="6549">
          <cell r="I6549">
            <v>7254</v>
          </cell>
          <cell r="J6549">
            <v>0.14100778082191781</v>
          </cell>
        </row>
        <row r="6550">
          <cell r="I6550">
            <v>7255</v>
          </cell>
          <cell r="J6550">
            <v>0.1410095890410959</v>
          </cell>
        </row>
        <row r="6551">
          <cell r="I6551">
            <v>7256</v>
          </cell>
          <cell r="J6551">
            <v>0.14101139726027398</v>
          </cell>
        </row>
        <row r="6552">
          <cell r="I6552">
            <v>7257</v>
          </cell>
          <cell r="J6552">
            <v>0.14101320547945206</v>
          </cell>
        </row>
        <row r="6553">
          <cell r="I6553">
            <v>7258</v>
          </cell>
          <cell r="J6553">
            <v>0.14101501369863015</v>
          </cell>
        </row>
        <row r="6554">
          <cell r="I6554">
            <v>7259</v>
          </cell>
          <cell r="J6554">
            <v>0.14101682191780823</v>
          </cell>
        </row>
        <row r="6555">
          <cell r="I6555">
            <v>7260</v>
          </cell>
          <cell r="J6555">
            <v>0.14101863013698632</v>
          </cell>
        </row>
        <row r="6556">
          <cell r="I6556">
            <v>7261</v>
          </cell>
          <cell r="J6556">
            <v>0.14102043835616437</v>
          </cell>
        </row>
        <row r="6557">
          <cell r="I6557">
            <v>7262</v>
          </cell>
          <cell r="J6557">
            <v>0.14102224657534246</v>
          </cell>
        </row>
        <row r="6558">
          <cell r="I6558">
            <v>7263</v>
          </cell>
          <cell r="J6558">
            <v>0.14102405479452054</v>
          </cell>
        </row>
        <row r="6559">
          <cell r="I6559">
            <v>7264</v>
          </cell>
          <cell r="J6559">
            <v>0.14102586301369863</v>
          </cell>
        </row>
        <row r="6560">
          <cell r="I6560">
            <v>7265</v>
          </cell>
          <cell r="J6560">
            <v>0.14102767123287671</v>
          </cell>
        </row>
        <row r="6561">
          <cell r="I6561">
            <v>7266</v>
          </cell>
          <cell r="J6561">
            <v>0.1410294794520548</v>
          </cell>
        </row>
        <row r="6562">
          <cell r="I6562">
            <v>7267</v>
          </cell>
          <cell r="J6562">
            <v>0.14103128767123288</v>
          </cell>
        </row>
        <row r="6563">
          <cell r="I6563">
            <v>7268</v>
          </cell>
          <cell r="J6563">
            <v>0.14103309589041096</v>
          </cell>
        </row>
        <row r="6564">
          <cell r="I6564">
            <v>7269</v>
          </cell>
          <cell r="J6564">
            <v>0.14103490410958905</v>
          </cell>
        </row>
        <row r="6565">
          <cell r="I6565">
            <v>7270</v>
          </cell>
          <cell r="J6565">
            <v>0.14103671232876713</v>
          </cell>
        </row>
        <row r="6566">
          <cell r="I6566">
            <v>7271</v>
          </cell>
          <cell r="J6566">
            <v>0.14103852054794522</v>
          </cell>
        </row>
        <row r="6567">
          <cell r="I6567">
            <v>7272</v>
          </cell>
          <cell r="J6567">
            <v>0.1410403287671233</v>
          </cell>
        </row>
        <row r="6568">
          <cell r="I6568">
            <v>7273</v>
          </cell>
          <cell r="J6568">
            <v>0.14104213698630139</v>
          </cell>
        </row>
        <row r="6569">
          <cell r="I6569">
            <v>7274</v>
          </cell>
          <cell r="J6569">
            <v>0.14104394520547944</v>
          </cell>
        </row>
        <row r="6570">
          <cell r="I6570">
            <v>7275</v>
          </cell>
          <cell r="J6570">
            <v>0.14104575342465753</v>
          </cell>
        </row>
        <row r="6571">
          <cell r="I6571">
            <v>7276</v>
          </cell>
          <cell r="J6571">
            <v>0.14104756164383561</v>
          </cell>
        </row>
        <row r="6572">
          <cell r="I6572">
            <v>7277</v>
          </cell>
          <cell r="J6572">
            <v>0.1410493698630137</v>
          </cell>
        </row>
        <row r="6573">
          <cell r="I6573">
            <v>7278</v>
          </cell>
          <cell r="J6573">
            <v>0.14105117808219178</v>
          </cell>
        </row>
        <row r="6574">
          <cell r="I6574">
            <v>7279</v>
          </cell>
          <cell r="J6574">
            <v>0.14105298630136986</v>
          </cell>
        </row>
        <row r="6575">
          <cell r="I6575">
            <v>7280</v>
          </cell>
          <cell r="J6575">
            <v>0.14105479452054795</v>
          </cell>
        </row>
        <row r="6576">
          <cell r="I6576">
            <v>7281</v>
          </cell>
          <cell r="J6576">
            <v>0.14105660273972603</v>
          </cell>
        </row>
        <row r="6577">
          <cell r="I6577">
            <v>7282</v>
          </cell>
          <cell r="J6577">
            <v>0.14105841095890412</v>
          </cell>
        </row>
        <row r="6578">
          <cell r="I6578">
            <v>7283</v>
          </cell>
          <cell r="J6578">
            <v>0.1410602191780822</v>
          </cell>
        </row>
        <row r="6579">
          <cell r="I6579">
            <v>7284</v>
          </cell>
          <cell r="J6579">
            <v>0.14106202739726029</v>
          </cell>
        </row>
        <row r="6580">
          <cell r="I6580">
            <v>7285</v>
          </cell>
          <cell r="J6580">
            <v>0.14106383561643837</v>
          </cell>
        </row>
        <row r="6581">
          <cell r="I6581">
            <v>7286</v>
          </cell>
          <cell r="J6581">
            <v>0.14106564383561643</v>
          </cell>
        </row>
        <row r="6582">
          <cell r="I6582">
            <v>7287</v>
          </cell>
          <cell r="J6582">
            <v>0.14106745205479451</v>
          </cell>
        </row>
        <row r="6583">
          <cell r="I6583">
            <v>7288</v>
          </cell>
          <cell r="J6583">
            <v>0.1410692602739726</v>
          </cell>
        </row>
        <row r="6584">
          <cell r="I6584">
            <v>7289</v>
          </cell>
          <cell r="J6584">
            <v>0.14107106849315068</v>
          </cell>
        </row>
        <row r="6585">
          <cell r="I6585">
            <v>7290</v>
          </cell>
          <cell r="J6585">
            <v>0.14107287671232877</v>
          </cell>
        </row>
        <row r="6586">
          <cell r="I6586">
            <v>7291</v>
          </cell>
          <cell r="J6586">
            <v>0.14107468493150685</v>
          </cell>
        </row>
        <row r="6587">
          <cell r="I6587">
            <v>7292</v>
          </cell>
          <cell r="J6587">
            <v>0.14107649315068493</v>
          </cell>
        </row>
        <row r="6588">
          <cell r="I6588">
            <v>7293</v>
          </cell>
          <cell r="J6588">
            <v>0.14107830136986302</v>
          </cell>
        </row>
        <row r="6589">
          <cell r="I6589">
            <v>7294</v>
          </cell>
          <cell r="J6589">
            <v>0.1410801095890411</v>
          </cell>
        </row>
        <row r="6590">
          <cell r="I6590">
            <v>7295</v>
          </cell>
          <cell r="J6590">
            <v>0.14108191780821919</v>
          </cell>
        </row>
        <row r="6591">
          <cell r="I6591">
            <v>7296</v>
          </cell>
          <cell r="J6591">
            <v>0.14108372602739727</v>
          </cell>
        </row>
        <row r="6592">
          <cell r="I6592">
            <v>7297</v>
          </cell>
          <cell r="J6592">
            <v>0.14108553424657536</v>
          </cell>
        </row>
        <row r="6593">
          <cell r="I6593">
            <v>7298</v>
          </cell>
          <cell r="J6593">
            <v>0.14108734246575344</v>
          </cell>
        </row>
        <row r="6594">
          <cell r="I6594">
            <v>7299</v>
          </cell>
          <cell r="J6594">
            <v>0.1410891506849315</v>
          </cell>
        </row>
        <row r="6595">
          <cell r="I6595">
            <v>7300</v>
          </cell>
          <cell r="J6595">
            <v>0.14109095890410958</v>
          </cell>
        </row>
        <row r="6596">
          <cell r="I6596">
            <v>7301</v>
          </cell>
          <cell r="J6596">
            <v>0.14109276712328767</v>
          </cell>
        </row>
        <row r="6597">
          <cell r="I6597">
            <v>7302</v>
          </cell>
          <cell r="J6597">
            <v>0.14109457534246575</v>
          </cell>
        </row>
        <row r="6598">
          <cell r="I6598">
            <v>7303</v>
          </cell>
          <cell r="J6598">
            <v>0.14109638356164383</v>
          </cell>
        </row>
        <row r="6599">
          <cell r="I6599">
            <v>7304</v>
          </cell>
          <cell r="J6599">
            <v>0.14109819178082192</v>
          </cell>
        </row>
        <row r="6600">
          <cell r="I6600">
            <v>7305</v>
          </cell>
          <cell r="J6600">
            <v>0.1411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tured-Sold history"/>
      <sheetName val="carrying Value"/>
      <sheetName val="broker sheet-2"/>
      <sheetName val="LINK-SHEET"/>
      <sheetName val="Chart1"/>
      <sheetName val="OUTPUT"/>
      <sheetName val="Repo-EM"/>
      <sheetName val="Rev.Repo-EM"/>
    </sheetNames>
    <sheetDataSet>
      <sheetData sheetId="0">
        <row r="25">
          <cell r="I25">
            <v>730</v>
          </cell>
          <cell r="J25">
            <v>0.1232</v>
          </cell>
        </row>
        <row r="26">
          <cell r="I26">
            <v>731</v>
          </cell>
          <cell r="J26">
            <v>0.12320575342465753</v>
          </cell>
        </row>
        <row r="27">
          <cell r="I27">
            <v>732</v>
          </cell>
          <cell r="J27">
            <v>0.12321150684931508</v>
          </cell>
        </row>
        <row r="28">
          <cell r="I28">
            <v>733</v>
          </cell>
          <cell r="J28">
            <v>0.1232172602739726</v>
          </cell>
        </row>
        <row r="29">
          <cell r="I29">
            <v>734</v>
          </cell>
          <cell r="J29">
            <v>0.12322301369863015</v>
          </cell>
        </row>
        <row r="30">
          <cell r="I30">
            <v>735</v>
          </cell>
          <cell r="J30">
            <v>0.12322876712328767</v>
          </cell>
        </row>
        <row r="31">
          <cell r="I31">
            <v>736</v>
          </cell>
          <cell r="J31">
            <v>0.1232345205479452</v>
          </cell>
        </row>
        <row r="32">
          <cell r="I32">
            <v>737</v>
          </cell>
          <cell r="J32">
            <v>0.12324027397260275</v>
          </cell>
        </row>
        <row r="33">
          <cell r="I33">
            <v>738</v>
          </cell>
          <cell r="J33">
            <v>0.12324602739726027</v>
          </cell>
        </row>
        <row r="34">
          <cell r="I34">
            <v>739</v>
          </cell>
          <cell r="J34">
            <v>0.12325178082191782</v>
          </cell>
        </row>
        <row r="35">
          <cell r="I35">
            <v>740</v>
          </cell>
          <cell r="J35">
            <v>0.12325753424657535</v>
          </cell>
        </row>
        <row r="36">
          <cell r="I36">
            <v>741</v>
          </cell>
          <cell r="J36">
            <v>0.12326328767123287</v>
          </cell>
        </row>
        <row r="37">
          <cell r="I37">
            <v>742</v>
          </cell>
          <cell r="J37">
            <v>0.12326904109589042</v>
          </cell>
        </row>
        <row r="38">
          <cell r="I38">
            <v>743</v>
          </cell>
          <cell r="J38">
            <v>0.12327479452054795</v>
          </cell>
        </row>
        <row r="39">
          <cell r="I39">
            <v>744</v>
          </cell>
          <cell r="J39">
            <v>0.12328054794520549</v>
          </cell>
        </row>
        <row r="40">
          <cell r="I40">
            <v>745</v>
          </cell>
          <cell r="J40">
            <v>0.12328630136986302</v>
          </cell>
        </row>
        <row r="41">
          <cell r="I41">
            <v>746</v>
          </cell>
          <cell r="J41">
            <v>0.12329205479452054</v>
          </cell>
        </row>
        <row r="42">
          <cell r="I42">
            <v>747</v>
          </cell>
          <cell r="J42">
            <v>0.12329780821917809</v>
          </cell>
        </row>
        <row r="43">
          <cell r="I43">
            <v>748</v>
          </cell>
          <cell r="J43">
            <v>0.12330356164383562</v>
          </cell>
        </row>
        <row r="44">
          <cell r="I44">
            <v>749</v>
          </cell>
          <cell r="J44">
            <v>0.12330931506849316</v>
          </cell>
        </row>
        <row r="45">
          <cell r="I45">
            <v>750</v>
          </cell>
          <cell r="J45">
            <v>0.12331506849315069</v>
          </cell>
        </row>
        <row r="46">
          <cell r="I46">
            <v>751</v>
          </cell>
          <cell r="J46">
            <v>0.12332082191780823</v>
          </cell>
        </row>
        <row r="47">
          <cell r="I47">
            <v>752</v>
          </cell>
          <cell r="J47">
            <v>0.12332657534246576</v>
          </cell>
        </row>
        <row r="48">
          <cell r="I48">
            <v>753</v>
          </cell>
          <cell r="J48">
            <v>0.12333232876712329</v>
          </cell>
        </row>
        <row r="49">
          <cell r="I49">
            <v>754</v>
          </cell>
          <cell r="J49">
            <v>0.12333808219178083</v>
          </cell>
        </row>
        <row r="50">
          <cell r="I50">
            <v>755</v>
          </cell>
          <cell r="J50">
            <v>0.12334383561643836</v>
          </cell>
        </row>
        <row r="51">
          <cell r="I51">
            <v>756</v>
          </cell>
          <cell r="J51">
            <v>0.1233495890410959</v>
          </cell>
        </row>
        <row r="52">
          <cell r="I52">
            <v>757</v>
          </cell>
          <cell r="J52">
            <v>0.12335534246575343</v>
          </cell>
        </row>
        <row r="53">
          <cell r="I53">
            <v>758</v>
          </cell>
          <cell r="J53">
            <v>0.12336109589041096</v>
          </cell>
        </row>
        <row r="54">
          <cell r="I54">
            <v>759</v>
          </cell>
          <cell r="J54">
            <v>0.1233668493150685</v>
          </cell>
        </row>
        <row r="55">
          <cell r="I55">
            <v>760</v>
          </cell>
          <cell r="J55">
            <v>0.12337260273972603</v>
          </cell>
        </row>
        <row r="56">
          <cell r="I56">
            <v>761</v>
          </cell>
          <cell r="J56">
            <v>0.12337835616438357</v>
          </cell>
        </row>
        <row r="57">
          <cell r="I57">
            <v>762</v>
          </cell>
          <cell r="J57">
            <v>0.1233841095890411</v>
          </cell>
        </row>
        <row r="58">
          <cell r="I58">
            <v>763</v>
          </cell>
          <cell r="J58">
            <v>0.12338986301369863</v>
          </cell>
        </row>
        <row r="59">
          <cell r="I59">
            <v>764</v>
          </cell>
          <cell r="J59">
            <v>0.12339561643835617</v>
          </cell>
        </row>
        <row r="60">
          <cell r="I60">
            <v>765</v>
          </cell>
          <cell r="J60">
            <v>0.1234013698630137</v>
          </cell>
        </row>
        <row r="61">
          <cell r="I61">
            <v>766</v>
          </cell>
          <cell r="J61">
            <v>0.12340712328767124</v>
          </cell>
        </row>
        <row r="62">
          <cell r="I62">
            <v>767</v>
          </cell>
          <cell r="J62">
            <v>0.12341287671232877</v>
          </cell>
        </row>
        <row r="63">
          <cell r="I63">
            <v>768</v>
          </cell>
          <cell r="J63">
            <v>0.1234186301369863</v>
          </cell>
        </row>
        <row r="64">
          <cell r="I64">
            <v>769</v>
          </cell>
          <cell r="J64">
            <v>0.12342438356164384</v>
          </cell>
        </row>
        <row r="65">
          <cell r="I65">
            <v>770</v>
          </cell>
          <cell r="J65">
            <v>0.12343013698630137</v>
          </cell>
        </row>
        <row r="66">
          <cell r="I66">
            <v>771</v>
          </cell>
          <cell r="J66">
            <v>0.12343589041095891</v>
          </cell>
        </row>
        <row r="67">
          <cell r="I67">
            <v>772</v>
          </cell>
          <cell r="J67">
            <v>0.12344164383561644</v>
          </cell>
        </row>
        <row r="68">
          <cell r="I68">
            <v>773</v>
          </cell>
          <cell r="J68">
            <v>0.12344739726027397</v>
          </cell>
        </row>
        <row r="69">
          <cell r="I69">
            <v>774</v>
          </cell>
          <cell r="J69">
            <v>0.12345315068493151</v>
          </cell>
        </row>
        <row r="70">
          <cell r="I70">
            <v>775</v>
          </cell>
          <cell r="J70">
            <v>0.12345890410958904</v>
          </cell>
        </row>
        <row r="71">
          <cell r="I71">
            <v>776</v>
          </cell>
          <cell r="J71">
            <v>0.12346465753424658</v>
          </cell>
        </row>
        <row r="72">
          <cell r="I72">
            <v>777</v>
          </cell>
          <cell r="J72">
            <v>0.12347041095890411</v>
          </cell>
        </row>
        <row r="73">
          <cell r="I73">
            <v>778</v>
          </cell>
          <cell r="J73">
            <v>0.12347616438356164</v>
          </cell>
        </row>
        <row r="74">
          <cell r="I74">
            <v>779</v>
          </cell>
          <cell r="J74">
            <v>0.12348191780821918</v>
          </cell>
        </row>
        <row r="75">
          <cell r="I75">
            <v>780</v>
          </cell>
          <cell r="J75">
            <v>0.12348767123287671</v>
          </cell>
        </row>
        <row r="76">
          <cell r="I76">
            <v>781</v>
          </cell>
          <cell r="J76">
            <v>0.12349342465753425</v>
          </cell>
        </row>
        <row r="77">
          <cell r="I77">
            <v>782</v>
          </cell>
          <cell r="J77">
            <v>0.12349917808219178</v>
          </cell>
        </row>
        <row r="78">
          <cell r="I78">
            <v>783</v>
          </cell>
          <cell r="J78">
            <v>0.12350493150684931</v>
          </cell>
        </row>
        <row r="79">
          <cell r="I79">
            <v>784</v>
          </cell>
          <cell r="J79">
            <v>0.12351068493150685</v>
          </cell>
        </row>
        <row r="80">
          <cell r="I80">
            <v>785</v>
          </cell>
          <cell r="J80">
            <v>0.12351643835616438</v>
          </cell>
        </row>
        <row r="81">
          <cell r="I81">
            <v>786</v>
          </cell>
          <cell r="J81">
            <v>0.12352219178082192</v>
          </cell>
        </row>
        <row r="82">
          <cell r="I82">
            <v>787</v>
          </cell>
          <cell r="J82">
            <v>0.12352794520547945</v>
          </cell>
        </row>
        <row r="83">
          <cell r="I83">
            <v>788</v>
          </cell>
          <cell r="J83">
            <v>0.123533698630137</v>
          </cell>
        </row>
        <row r="84">
          <cell r="I84">
            <v>789</v>
          </cell>
          <cell r="J84">
            <v>0.12353945205479452</v>
          </cell>
        </row>
        <row r="85">
          <cell r="I85">
            <v>790</v>
          </cell>
          <cell r="J85">
            <v>0.12354520547945205</v>
          </cell>
        </row>
        <row r="86">
          <cell r="I86">
            <v>791</v>
          </cell>
          <cell r="J86">
            <v>0.1235509589041096</v>
          </cell>
        </row>
        <row r="87">
          <cell r="I87">
            <v>792</v>
          </cell>
          <cell r="J87">
            <v>0.12355671232876712</v>
          </cell>
        </row>
        <row r="88">
          <cell r="I88">
            <v>793</v>
          </cell>
          <cell r="J88">
            <v>0.12356246575342467</v>
          </cell>
        </row>
        <row r="89">
          <cell r="I89">
            <v>794</v>
          </cell>
          <cell r="J89">
            <v>0.12356821917808219</v>
          </cell>
        </row>
        <row r="90">
          <cell r="I90">
            <v>795</v>
          </cell>
          <cell r="J90">
            <v>0.12357397260273972</v>
          </cell>
        </row>
        <row r="91">
          <cell r="I91">
            <v>796</v>
          </cell>
          <cell r="J91">
            <v>0.12357972602739727</v>
          </cell>
        </row>
        <row r="92">
          <cell r="I92">
            <v>797</v>
          </cell>
          <cell r="J92">
            <v>0.12358547945205479</v>
          </cell>
        </row>
        <row r="93">
          <cell r="I93">
            <v>798</v>
          </cell>
          <cell r="J93">
            <v>0.12359123287671234</v>
          </cell>
        </row>
        <row r="94">
          <cell r="I94">
            <v>799</v>
          </cell>
          <cell r="J94">
            <v>0.12359698630136987</v>
          </cell>
        </row>
        <row r="95">
          <cell r="I95">
            <v>800</v>
          </cell>
          <cell r="J95">
            <v>0.12360273972602739</v>
          </cell>
        </row>
        <row r="96">
          <cell r="I96">
            <v>801</v>
          </cell>
          <cell r="J96">
            <v>0.12360849315068494</v>
          </cell>
        </row>
        <row r="97">
          <cell r="I97">
            <v>802</v>
          </cell>
          <cell r="J97">
            <v>0.12361424657534247</v>
          </cell>
        </row>
        <row r="98">
          <cell r="I98">
            <v>803</v>
          </cell>
          <cell r="J98">
            <v>0.12362000000000001</v>
          </cell>
        </row>
        <row r="99">
          <cell r="I99">
            <v>804</v>
          </cell>
          <cell r="J99">
            <v>0.12362575342465754</v>
          </cell>
        </row>
        <row r="100">
          <cell r="I100">
            <v>805</v>
          </cell>
          <cell r="J100">
            <v>0.12363150684931506</v>
          </cell>
        </row>
        <row r="101">
          <cell r="I101">
            <v>806</v>
          </cell>
          <cell r="J101">
            <v>0.12363726027397261</v>
          </cell>
        </row>
        <row r="102">
          <cell r="I102">
            <v>807</v>
          </cell>
          <cell r="J102">
            <v>0.12364301369863014</v>
          </cell>
        </row>
        <row r="103">
          <cell r="I103">
            <v>808</v>
          </cell>
          <cell r="J103">
            <v>0.12364876712328768</v>
          </cell>
        </row>
        <row r="104">
          <cell r="I104">
            <v>809</v>
          </cell>
          <cell r="J104">
            <v>0.12365452054794521</v>
          </cell>
        </row>
        <row r="105">
          <cell r="I105">
            <v>810</v>
          </cell>
          <cell r="J105">
            <v>0.12366027397260274</v>
          </cell>
        </row>
        <row r="106">
          <cell r="I106">
            <v>811</v>
          </cell>
          <cell r="J106">
            <v>0.12366602739726028</v>
          </cell>
        </row>
        <row r="107">
          <cell r="I107">
            <v>812</v>
          </cell>
          <cell r="J107">
            <v>0.12367178082191781</v>
          </cell>
        </row>
        <row r="108">
          <cell r="I108">
            <v>813</v>
          </cell>
          <cell r="J108">
            <v>0.12367753424657535</v>
          </cell>
        </row>
        <row r="109">
          <cell r="I109">
            <v>814</v>
          </cell>
          <cell r="J109">
            <v>0.12368328767123288</v>
          </cell>
        </row>
        <row r="110">
          <cell r="I110">
            <v>815</v>
          </cell>
          <cell r="J110">
            <v>0.12368904109589041</v>
          </cell>
        </row>
        <row r="111">
          <cell r="I111">
            <v>816</v>
          </cell>
          <cell r="J111">
            <v>0.12369479452054795</v>
          </cell>
        </row>
        <row r="112">
          <cell r="I112">
            <v>817</v>
          </cell>
          <cell r="J112">
            <v>0.12370054794520548</v>
          </cell>
        </row>
        <row r="113">
          <cell r="I113">
            <v>818</v>
          </cell>
          <cell r="J113">
            <v>0.12370630136986302</v>
          </cell>
        </row>
        <row r="114">
          <cell r="I114">
            <v>819</v>
          </cell>
          <cell r="J114">
            <v>0.12371205479452055</v>
          </cell>
        </row>
        <row r="115">
          <cell r="I115">
            <v>820</v>
          </cell>
          <cell r="J115">
            <v>0.12371780821917808</v>
          </cell>
        </row>
        <row r="116">
          <cell r="I116">
            <v>821</v>
          </cell>
          <cell r="J116">
            <v>0.12372356164383562</v>
          </cell>
        </row>
        <row r="117">
          <cell r="I117">
            <v>822</v>
          </cell>
          <cell r="J117">
            <v>0.12372931506849315</v>
          </cell>
        </row>
        <row r="118">
          <cell r="I118">
            <v>823</v>
          </cell>
          <cell r="J118">
            <v>0.12373506849315069</v>
          </cell>
        </row>
        <row r="119">
          <cell r="I119">
            <v>824</v>
          </cell>
          <cell r="J119">
            <v>0.12374082191780822</v>
          </cell>
        </row>
        <row r="120">
          <cell r="I120">
            <v>825</v>
          </cell>
          <cell r="J120">
            <v>0.12374657534246576</v>
          </cell>
        </row>
        <row r="121">
          <cell r="I121">
            <v>826</v>
          </cell>
          <cell r="J121">
            <v>0.12375232876712329</v>
          </cell>
        </row>
        <row r="122">
          <cell r="I122">
            <v>827</v>
          </cell>
          <cell r="J122">
            <v>0.12375808219178082</v>
          </cell>
        </row>
        <row r="123">
          <cell r="I123">
            <v>828</v>
          </cell>
          <cell r="J123">
            <v>0.12376383561643836</v>
          </cell>
        </row>
        <row r="124">
          <cell r="I124">
            <v>829</v>
          </cell>
          <cell r="J124">
            <v>0.12376958904109589</v>
          </cell>
        </row>
        <row r="125">
          <cell r="I125">
            <v>830</v>
          </cell>
          <cell r="J125">
            <v>0.12377534246575343</v>
          </cell>
        </row>
        <row r="126">
          <cell r="I126">
            <v>831</v>
          </cell>
          <cell r="J126">
            <v>0.12378109589041096</v>
          </cell>
        </row>
        <row r="127">
          <cell r="I127">
            <v>832</v>
          </cell>
          <cell r="J127">
            <v>0.12378684931506849</v>
          </cell>
        </row>
        <row r="128">
          <cell r="I128">
            <v>833</v>
          </cell>
          <cell r="J128">
            <v>0.12379260273972603</v>
          </cell>
        </row>
        <row r="129">
          <cell r="I129">
            <v>834</v>
          </cell>
          <cell r="J129">
            <v>0.12379835616438356</v>
          </cell>
        </row>
        <row r="130">
          <cell r="I130">
            <v>835</v>
          </cell>
          <cell r="J130">
            <v>0.1238041095890411</v>
          </cell>
        </row>
        <row r="131">
          <cell r="I131">
            <v>836</v>
          </cell>
          <cell r="J131">
            <v>0.12380986301369863</v>
          </cell>
        </row>
        <row r="132">
          <cell r="I132">
            <v>837</v>
          </cell>
          <cell r="J132">
            <v>0.12381561643835616</v>
          </cell>
        </row>
        <row r="133">
          <cell r="I133">
            <v>838</v>
          </cell>
          <cell r="J133">
            <v>0.1238213698630137</v>
          </cell>
        </row>
        <row r="134">
          <cell r="I134">
            <v>839</v>
          </cell>
          <cell r="J134">
            <v>0.12382712328767123</v>
          </cell>
        </row>
        <row r="135">
          <cell r="I135">
            <v>840</v>
          </cell>
          <cell r="J135">
            <v>0.12383287671232877</v>
          </cell>
        </row>
        <row r="136">
          <cell r="I136">
            <v>841</v>
          </cell>
          <cell r="J136">
            <v>0.1238386301369863</v>
          </cell>
        </row>
        <row r="137">
          <cell r="I137">
            <v>842</v>
          </cell>
          <cell r="J137">
            <v>0.12384438356164383</v>
          </cell>
        </row>
        <row r="138">
          <cell r="I138">
            <v>843</v>
          </cell>
          <cell r="J138">
            <v>0.12385013698630137</v>
          </cell>
        </row>
        <row r="139">
          <cell r="I139">
            <v>844</v>
          </cell>
          <cell r="J139">
            <v>0.1238558904109589</v>
          </cell>
        </row>
        <row r="140">
          <cell r="I140">
            <v>845</v>
          </cell>
          <cell r="J140">
            <v>0.12386164383561644</v>
          </cell>
        </row>
        <row r="141">
          <cell r="I141">
            <v>846</v>
          </cell>
          <cell r="J141">
            <v>0.12386739726027397</v>
          </cell>
        </row>
        <row r="142">
          <cell r="I142">
            <v>847</v>
          </cell>
          <cell r="J142">
            <v>0.1238731506849315</v>
          </cell>
        </row>
        <row r="143">
          <cell r="I143">
            <v>848</v>
          </cell>
          <cell r="J143">
            <v>0.12387890410958904</v>
          </cell>
        </row>
        <row r="144">
          <cell r="I144">
            <v>849</v>
          </cell>
          <cell r="J144">
            <v>0.12388465753424657</v>
          </cell>
        </row>
        <row r="145">
          <cell r="I145">
            <v>850</v>
          </cell>
          <cell r="J145">
            <v>0.12389041095890412</v>
          </cell>
        </row>
        <row r="146">
          <cell r="I146">
            <v>851</v>
          </cell>
          <cell r="J146">
            <v>0.12389616438356164</v>
          </cell>
        </row>
        <row r="147">
          <cell r="I147">
            <v>852</v>
          </cell>
          <cell r="J147">
            <v>0.12390191780821917</v>
          </cell>
        </row>
        <row r="148">
          <cell r="I148">
            <v>853</v>
          </cell>
          <cell r="J148">
            <v>0.12390767123287671</v>
          </cell>
        </row>
        <row r="149">
          <cell r="I149">
            <v>854</v>
          </cell>
          <cell r="J149">
            <v>0.12391342465753424</v>
          </cell>
        </row>
        <row r="150">
          <cell r="I150">
            <v>855</v>
          </cell>
          <cell r="J150">
            <v>0.12391917808219179</v>
          </cell>
        </row>
        <row r="151">
          <cell r="I151">
            <v>856</v>
          </cell>
          <cell r="J151">
            <v>0.12392493150684931</v>
          </cell>
        </row>
        <row r="152">
          <cell r="I152">
            <v>857</v>
          </cell>
          <cell r="J152">
            <v>0.12393068493150684</v>
          </cell>
        </row>
        <row r="153">
          <cell r="I153">
            <v>858</v>
          </cell>
          <cell r="J153">
            <v>0.12393643835616439</v>
          </cell>
        </row>
        <row r="154">
          <cell r="I154">
            <v>859</v>
          </cell>
          <cell r="J154">
            <v>0.12394219178082191</v>
          </cell>
        </row>
        <row r="155">
          <cell r="I155">
            <v>860</v>
          </cell>
          <cell r="J155">
            <v>0.12394794520547946</v>
          </cell>
        </row>
        <row r="156">
          <cell r="I156">
            <v>861</v>
          </cell>
          <cell r="J156">
            <v>0.12395369863013699</v>
          </cell>
        </row>
        <row r="157">
          <cell r="I157">
            <v>862</v>
          </cell>
          <cell r="J157">
            <v>0.12395945205479453</v>
          </cell>
        </row>
        <row r="158">
          <cell r="I158">
            <v>863</v>
          </cell>
          <cell r="J158">
            <v>0.12396520547945206</v>
          </cell>
        </row>
        <row r="159">
          <cell r="I159">
            <v>864</v>
          </cell>
          <cell r="J159">
            <v>0.12397095890410958</v>
          </cell>
        </row>
        <row r="160">
          <cell r="I160">
            <v>865</v>
          </cell>
          <cell r="J160">
            <v>0.12397671232876713</v>
          </cell>
        </row>
        <row r="161">
          <cell r="I161">
            <v>866</v>
          </cell>
          <cell r="J161">
            <v>0.12398246575342466</v>
          </cell>
        </row>
        <row r="162">
          <cell r="I162">
            <v>867</v>
          </cell>
          <cell r="J162">
            <v>0.1239882191780822</v>
          </cell>
        </row>
        <row r="163">
          <cell r="I163">
            <v>868</v>
          </cell>
          <cell r="J163">
            <v>0.12399397260273973</v>
          </cell>
        </row>
        <row r="164">
          <cell r="I164">
            <v>869</v>
          </cell>
          <cell r="J164">
            <v>0.12399972602739726</v>
          </cell>
        </row>
        <row r="165">
          <cell r="I165">
            <v>870</v>
          </cell>
          <cell r="J165">
            <v>0.1240054794520548</v>
          </cell>
        </row>
        <row r="166">
          <cell r="I166">
            <v>871</v>
          </cell>
          <cell r="J166">
            <v>0.12401123287671233</v>
          </cell>
        </row>
        <row r="167">
          <cell r="I167">
            <v>872</v>
          </cell>
          <cell r="J167">
            <v>0.12401698630136987</v>
          </cell>
        </row>
        <row r="168">
          <cell r="I168">
            <v>873</v>
          </cell>
          <cell r="J168">
            <v>0.1240227397260274</v>
          </cell>
        </row>
        <row r="169">
          <cell r="I169">
            <v>874</v>
          </cell>
          <cell r="J169">
            <v>0.12402849315068493</v>
          </cell>
        </row>
        <row r="170">
          <cell r="I170">
            <v>875</v>
          </cell>
          <cell r="J170">
            <v>0.12403424657534247</v>
          </cell>
        </row>
        <row r="171">
          <cell r="I171">
            <v>876</v>
          </cell>
          <cell r="J171">
            <v>0.12404</v>
          </cell>
        </row>
        <row r="172">
          <cell r="I172">
            <v>877</v>
          </cell>
          <cell r="J172">
            <v>0.12404575342465754</v>
          </cell>
        </row>
        <row r="173">
          <cell r="I173">
            <v>878</v>
          </cell>
          <cell r="J173">
            <v>0.12405150684931507</v>
          </cell>
        </row>
        <row r="174">
          <cell r="I174">
            <v>879</v>
          </cell>
          <cell r="J174">
            <v>0.1240572602739726</v>
          </cell>
        </row>
        <row r="175">
          <cell r="I175">
            <v>880</v>
          </cell>
          <cell r="J175">
            <v>0.12406301369863014</v>
          </cell>
        </row>
        <row r="176">
          <cell r="I176">
            <v>881</v>
          </cell>
          <cell r="J176">
            <v>0.12406876712328767</v>
          </cell>
        </row>
        <row r="177">
          <cell r="I177">
            <v>882</v>
          </cell>
          <cell r="J177">
            <v>0.12407452054794521</v>
          </cell>
        </row>
        <row r="178">
          <cell r="I178">
            <v>883</v>
          </cell>
          <cell r="J178">
            <v>0.12408027397260274</v>
          </cell>
        </row>
        <row r="179">
          <cell r="I179">
            <v>884</v>
          </cell>
          <cell r="J179">
            <v>0.12408602739726027</v>
          </cell>
        </row>
        <row r="180">
          <cell r="I180">
            <v>885</v>
          </cell>
          <cell r="J180">
            <v>0.12409178082191781</v>
          </cell>
        </row>
        <row r="181">
          <cell r="I181">
            <v>886</v>
          </cell>
          <cell r="J181">
            <v>0.12409753424657534</v>
          </cell>
        </row>
        <row r="182">
          <cell r="I182">
            <v>887</v>
          </cell>
          <cell r="J182">
            <v>0.12410328767123288</v>
          </cell>
        </row>
        <row r="183">
          <cell r="I183">
            <v>888</v>
          </cell>
          <cell r="J183">
            <v>0.12410904109589041</v>
          </cell>
        </row>
        <row r="184">
          <cell r="I184">
            <v>889</v>
          </cell>
          <cell r="J184">
            <v>0.12411479452054794</v>
          </cell>
        </row>
        <row r="185">
          <cell r="I185">
            <v>890</v>
          </cell>
          <cell r="J185">
            <v>0.12412054794520548</v>
          </cell>
        </row>
        <row r="186">
          <cell r="I186">
            <v>891</v>
          </cell>
          <cell r="J186">
            <v>0.12412630136986301</v>
          </cell>
        </row>
        <row r="187">
          <cell r="I187">
            <v>892</v>
          </cell>
          <cell r="J187">
            <v>0.12413205479452055</v>
          </cell>
        </row>
        <row r="188">
          <cell r="I188">
            <v>893</v>
          </cell>
          <cell r="J188">
            <v>0.12413780821917808</v>
          </cell>
        </row>
        <row r="189">
          <cell r="I189">
            <v>894</v>
          </cell>
          <cell r="J189">
            <v>0.12414356164383561</v>
          </cell>
        </row>
        <row r="190">
          <cell r="I190">
            <v>895</v>
          </cell>
          <cell r="J190">
            <v>0.12414931506849315</v>
          </cell>
        </row>
        <row r="191">
          <cell r="I191">
            <v>896</v>
          </cell>
          <cell r="J191">
            <v>0.12415506849315068</v>
          </cell>
        </row>
        <row r="192">
          <cell r="I192">
            <v>897</v>
          </cell>
          <cell r="J192">
            <v>0.12416082191780822</v>
          </cell>
        </row>
        <row r="193">
          <cell r="I193">
            <v>898</v>
          </cell>
          <cell r="J193">
            <v>0.12416657534246575</v>
          </cell>
        </row>
        <row r="194">
          <cell r="I194">
            <v>899</v>
          </cell>
          <cell r="J194">
            <v>0.12417232876712329</v>
          </cell>
        </row>
        <row r="195">
          <cell r="I195">
            <v>900</v>
          </cell>
          <cell r="J195">
            <v>0.12417808219178082</v>
          </cell>
        </row>
        <row r="196">
          <cell r="I196">
            <v>901</v>
          </cell>
          <cell r="J196">
            <v>0.12418383561643835</v>
          </cell>
        </row>
        <row r="197">
          <cell r="I197">
            <v>902</v>
          </cell>
          <cell r="J197">
            <v>0.12418958904109589</v>
          </cell>
        </row>
        <row r="198">
          <cell r="I198">
            <v>903</v>
          </cell>
          <cell r="J198">
            <v>0.12419534246575342</v>
          </cell>
        </row>
        <row r="199">
          <cell r="I199">
            <v>904</v>
          </cell>
          <cell r="J199">
            <v>0.12420109589041096</v>
          </cell>
        </row>
        <row r="200">
          <cell r="I200">
            <v>905</v>
          </cell>
          <cell r="J200">
            <v>0.12420684931506849</v>
          </cell>
        </row>
        <row r="201">
          <cell r="I201">
            <v>906</v>
          </cell>
          <cell r="J201">
            <v>0.12421260273972602</v>
          </cell>
        </row>
        <row r="202">
          <cell r="I202">
            <v>907</v>
          </cell>
          <cell r="J202">
            <v>0.12421835616438356</v>
          </cell>
        </row>
        <row r="203">
          <cell r="I203">
            <v>908</v>
          </cell>
          <cell r="J203">
            <v>0.12422410958904109</v>
          </cell>
        </row>
        <row r="204">
          <cell r="I204">
            <v>909</v>
          </cell>
          <cell r="J204">
            <v>0.12422986301369864</v>
          </cell>
        </row>
        <row r="205">
          <cell r="I205">
            <v>910</v>
          </cell>
          <cell r="J205">
            <v>0.12423561643835616</v>
          </cell>
        </row>
        <row r="206">
          <cell r="I206">
            <v>911</v>
          </cell>
          <cell r="J206">
            <v>0.12424136986301369</v>
          </cell>
        </row>
        <row r="207">
          <cell r="I207">
            <v>912</v>
          </cell>
          <cell r="J207">
            <v>0.12424712328767124</v>
          </cell>
        </row>
        <row r="208">
          <cell r="I208">
            <v>913</v>
          </cell>
          <cell r="J208">
            <v>0.12425287671232876</v>
          </cell>
        </row>
        <row r="209">
          <cell r="I209">
            <v>914</v>
          </cell>
          <cell r="J209">
            <v>0.12425863013698631</v>
          </cell>
        </row>
        <row r="210">
          <cell r="I210">
            <v>915</v>
          </cell>
          <cell r="J210">
            <v>0.12426438356164383</v>
          </cell>
        </row>
        <row r="211">
          <cell r="I211">
            <v>916</v>
          </cell>
          <cell r="J211">
            <v>0.12427013698630136</v>
          </cell>
        </row>
        <row r="212">
          <cell r="I212">
            <v>917</v>
          </cell>
          <cell r="J212">
            <v>0.12427589041095891</v>
          </cell>
        </row>
        <row r="213">
          <cell r="I213">
            <v>918</v>
          </cell>
          <cell r="J213">
            <v>0.12428164383561643</v>
          </cell>
        </row>
        <row r="214">
          <cell r="I214">
            <v>919</v>
          </cell>
          <cell r="J214">
            <v>0.12428739726027398</v>
          </cell>
        </row>
        <row r="215">
          <cell r="I215">
            <v>920</v>
          </cell>
          <cell r="J215">
            <v>0.12429315068493151</v>
          </cell>
        </row>
        <row r="216">
          <cell r="I216">
            <v>921</v>
          </cell>
          <cell r="J216">
            <v>0.12429890410958903</v>
          </cell>
        </row>
        <row r="217">
          <cell r="I217">
            <v>922</v>
          </cell>
          <cell r="J217">
            <v>0.12430465753424658</v>
          </cell>
        </row>
        <row r="218">
          <cell r="I218">
            <v>923</v>
          </cell>
          <cell r="J218">
            <v>0.12431041095890411</v>
          </cell>
        </row>
        <row r="219">
          <cell r="I219">
            <v>924</v>
          </cell>
          <cell r="J219">
            <v>0.12431616438356165</v>
          </cell>
        </row>
        <row r="220">
          <cell r="I220">
            <v>925</v>
          </cell>
          <cell r="J220">
            <v>0.12432191780821918</v>
          </cell>
        </row>
        <row r="221">
          <cell r="I221">
            <v>926</v>
          </cell>
          <cell r="J221">
            <v>0.1243276712328767</v>
          </cell>
        </row>
        <row r="222">
          <cell r="I222">
            <v>927</v>
          </cell>
          <cell r="J222">
            <v>0.12433342465753425</v>
          </cell>
        </row>
        <row r="223">
          <cell r="I223">
            <v>928</v>
          </cell>
          <cell r="J223">
            <v>0.12433917808219178</v>
          </cell>
        </row>
        <row r="224">
          <cell r="I224">
            <v>929</v>
          </cell>
          <cell r="J224">
            <v>0.12434493150684932</v>
          </cell>
        </row>
        <row r="225">
          <cell r="I225">
            <v>930</v>
          </cell>
          <cell r="J225">
            <v>0.12435068493150685</v>
          </cell>
        </row>
        <row r="226">
          <cell r="I226">
            <v>931</v>
          </cell>
          <cell r="J226">
            <v>0.12435643835616439</v>
          </cell>
        </row>
        <row r="227">
          <cell r="I227">
            <v>932</v>
          </cell>
          <cell r="J227">
            <v>0.12436219178082192</v>
          </cell>
        </row>
        <row r="228">
          <cell r="I228">
            <v>933</v>
          </cell>
          <cell r="J228">
            <v>0.12436794520547945</v>
          </cell>
        </row>
        <row r="229">
          <cell r="I229">
            <v>934</v>
          </cell>
          <cell r="J229">
            <v>0.12437369863013699</v>
          </cell>
        </row>
        <row r="230">
          <cell r="I230">
            <v>935</v>
          </cell>
          <cell r="J230">
            <v>0.12437945205479452</v>
          </cell>
        </row>
        <row r="231">
          <cell r="I231">
            <v>936</v>
          </cell>
          <cell r="J231">
            <v>0.12438520547945206</v>
          </cell>
        </row>
        <row r="232">
          <cell r="I232">
            <v>937</v>
          </cell>
          <cell r="J232">
            <v>0.12439095890410959</v>
          </cell>
        </row>
        <row r="233">
          <cell r="I233">
            <v>938</v>
          </cell>
          <cell r="J233">
            <v>0.12439671232876712</v>
          </cell>
        </row>
        <row r="234">
          <cell r="I234">
            <v>939</v>
          </cell>
          <cell r="J234">
            <v>0.12440246575342466</v>
          </cell>
        </row>
        <row r="235">
          <cell r="I235">
            <v>940</v>
          </cell>
          <cell r="J235">
            <v>0.12440821917808219</v>
          </cell>
        </row>
        <row r="236">
          <cell r="I236">
            <v>941</v>
          </cell>
          <cell r="J236">
            <v>0.12441397260273973</v>
          </cell>
        </row>
        <row r="237">
          <cell r="I237">
            <v>942</v>
          </cell>
          <cell r="J237">
            <v>0.12441972602739726</v>
          </cell>
        </row>
        <row r="238">
          <cell r="I238">
            <v>943</v>
          </cell>
          <cell r="J238">
            <v>0.12442547945205479</v>
          </cell>
        </row>
        <row r="239">
          <cell r="I239">
            <v>944</v>
          </cell>
          <cell r="J239">
            <v>0.12443123287671233</v>
          </cell>
        </row>
        <row r="240">
          <cell r="I240">
            <v>945</v>
          </cell>
          <cell r="J240">
            <v>0.12443698630136986</v>
          </cell>
        </row>
        <row r="241">
          <cell r="I241">
            <v>946</v>
          </cell>
          <cell r="J241">
            <v>0.1244427397260274</v>
          </cell>
        </row>
        <row r="242">
          <cell r="I242">
            <v>947</v>
          </cell>
          <cell r="J242">
            <v>0.12444849315068493</v>
          </cell>
        </row>
        <row r="243">
          <cell r="I243">
            <v>948</v>
          </cell>
          <cell r="J243">
            <v>0.12445424657534246</v>
          </cell>
        </row>
        <row r="244">
          <cell r="I244">
            <v>949</v>
          </cell>
          <cell r="J244">
            <v>0.12446</v>
          </cell>
        </row>
        <row r="245">
          <cell r="I245">
            <v>950</v>
          </cell>
          <cell r="J245">
            <v>0.12446575342465753</v>
          </cell>
        </row>
        <row r="246">
          <cell r="I246">
            <v>951</v>
          </cell>
          <cell r="J246">
            <v>0.12447150684931507</v>
          </cell>
        </row>
        <row r="247">
          <cell r="I247">
            <v>952</v>
          </cell>
          <cell r="J247">
            <v>0.1244772602739726</v>
          </cell>
        </row>
        <row r="248">
          <cell r="I248">
            <v>953</v>
          </cell>
          <cell r="J248">
            <v>0.12448301369863013</v>
          </cell>
        </row>
        <row r="249">
          <cell r="I249">
            <v>954</v>
          </cell>
          <cell r="J249">
            <v>0.12448876712328767</v>
          </cell>
        </row>
        <row r="250">
          <cell r="I250">
            <v>955</v>
          </cell>
          <cell r="J250">
            <v>0.1244945205479452</v>
          </cell>
        </row>
        <row r="251">
          <cell r="I251">
            <v>956</v>
          </cell>
          <cell r="J251">
            <v>0.12450027397260274</v>
          </cell>
        </row>
        <row r="252">
          <cell r="I252">
            <v>957</v>
          </cell>
          <cell r="J252">
            <v>0.12450602739726027</v>
          </cell>
        </row>
        <row r="253">
          <cell r="I253">
            <v>958</v>
          </cell>
          <cell r="J253">
            <v>0.1245117808219178</v>
          </cell>
        </row>
        <row r="254">
          <cell r="I254">
            <v>959</v>
          </cell>
          <cell r="J254">
            <v>0.12451753424657534</v>
          </cell>
        </row>
        <row r="255">
          <cell r="I255">
            <v>960</v>
          </cell>
          <cell r="J255">
            <v>0.12452328767123287</v>
          </cell>
        </row>
        <row r="256">
          <cell r="I256">
            <v>961</v>
          </cell>
          <cell r="J256">
            <v>0.12452904109589041</v>
          </cell>
        </row>
        <row r="257">
          <cell r="I257">
            <v>962</v>
          </cell>
          <cell r="J257">
            <v>0.12453479452054794</v>
          </cell>
        </row>
        <row r="258">
          <cell r="I258">
            <v>963</v>
          </cell>
          <cell r="J258">
            <v>0.12454054794520547</v>
          </cell>
        </row>
        <row r="259">
          <cell r="I259">
            <v>964</v>
          </cell>
          <cell r="J259">
            <v>0.12454630136986301</v>
          </cell>
        </row>
        <row r="260">
          <cell r="I260">
            <v>965</v>
          </cell>
          <cell r="J260">
            <v>0.12455205479452054</v>
          </cell>
        </row>
        <row r="261">
          <cell r="I261">
            <v>966</v>
          </cell>
          <cell r="J261">
            <v>0.12455780821917808</v>
          </cell>
        </row>
        <row r="262">
          <cell r="I262">
            <v>967</v>
          </cell>
          <cell r="J262">
            <v>0.12456356164383561</v>
          </cell>
        </row>
        <row r="263">
          <cell r="I263">
            <v>968</v>
          </cell>
          <cell r="J263">
            <v>0.12456931506849314</v>
          </cell>
        </row>
        <row r="264">
          <cell r="I264">
            <v>969</v>
          </cell>
          <cell r="J264">
            <v>0.12457506849315068</v>
          </cell>
        </row>
        <row r="265">
          <cell r="I265">
            <v>970</v>
          </cell>
          <cell r="J265">
            <v>0.12458082191780821</v>
          </cell>
        </row>
        <row r="266">
          <cell r="I266">
            <v>971</v>
          </cell>
          <cell r="J266">
            <v>0.12458657534246576</v>
          </cell>
        </row>
        <row r="267">
          <cell r="I267">
            <v>972</v>
          </cell>
          <cell r="J267">
            <v>0.12459232876712328</v>
          </cell>
        </row>
        <row r="268">
          <cell r="I268">
            <v>973</v>
          </cell>
          <cell r="J268">
            <v>0.12459808219178083</v>
          </cell>
        </row>
        <row r="269">
          <cell r="I269">
            <v>974</v>
          </cell>
          <cell r="J269">
            <v>0.12460383561643835</v>
          </cell>
        </row>
        <row r="270">
          <cell r="I270">
            <v>975</v>
          </cell>
          <cell r="J270">
            <v>0.12460958904109588</v>
          </cell>
        </row>
        <row r="271">
          <cell r="I271">
            <v>976</v>
          </cell>
          <cell r="J271">
            <v>0.12461534246575343</v>
          </cell>
        </row>
        <row r="272">
          <cell r="I272">
            <v>977</v>
          </cell>
          <cell r="J272">
            <v>0.12462109589041095</v>
          </cell>
        </row>
        <row r="273">
          <cell r="I273">
            <v>978</v>
          </cell>
          <cell r="J273">
            <v>0.1246268493150685</v>
          </cell>
        </row>
        <row r="274">
          <cell r="I274">
            <v>979</v>
          </cell>
          <cell r="J274">
            <v>0.12463260273972603</v>
          </cell>
        </row>
        <row r="275">
          <cell r="I275">
            <v>980</v>
          </cell>
          <cell r="J275">
            <v>0.12463835616438355</v>
          </cell>
        </row>
        <row r="276">
          <cell r="I276">
            <v>981</v>
          </cell>
          <cell r="J276">
            <v>0.1246441095890411</v>
          </cell>
        </row>
        <row r="277">
          <cell r="I277">
            <v>982</v>
          </cell>
          <cell r="J277">
            <v>0.12464986301369863</v>
          </cell>
        </row>
        <row r="278">
          <cell r="I278">
            <v>983</v>
          </cell>
          <cell r="J278">
            <v>0.12465561643835617</v>
          </cell>
        </row>
        <row r="279">
          <cell r="I279">
            <v>984</v>
          </cell>
          <cell r="J279">
            <v>0.1246613698630137</v>
          </cell>
        </row>
        <row r="280">
          <cell r="I280">
            <v>985</v>
          </cell>
          <cell r="J280">
            <v>0.12466712328767122</v>
          </cell>
        </row>
        <row r="281">
          <cell r="I281">
            <v>986</v>
          </cell>
          <cell r="J281">
            <v>0.12467287671232877</v>
          </cell>
        </row>
        <row r="282">
          <cell r="I282">
            <v>987</v>
          </cell>
          <cell r="J282">
            <v>0.1246786301369863</v>
          </cell>
        </row>
        <row r="283">
          <cell r="I283">
            <v>988</v>
          </cell>
          <cell r="J283">
            <v>0.12468438356164384</v>
          </cell>
        </row>
        <row r="284">
          <cell r="I284">
            <v>989</v>
          </cell>
          <cell r="J284">
            <v>0.12469013698630137</v>
          </cell>
        </row>
        <row r="285">
          <cell r="I285">
            <v>990</v>
          </cell>
          <cell r="J285">
            <v>0.1246958904109589</v>
          </cell>
        </row>
        <row r="286">
          <cell r="I286">
            <v>991</v>
          </cell>
          <cell r="J286">
            <v>0.12470164383561644</v>
          </cell>
        </row>
        <row r="287">
          <cell r="I287">
            <v>992</v>
          </cell>
          <cell r="J287">
            <v>0.12470739726027397</v>
          </cell>
        </row>
        <row r="288">
          <cell r="I288">
            <v>993</v>
          </cell>
          <cell r="J288">
            <v>0.12471315068493151</v>
          </cell>
        </row>
        <row r="289">
          <cell r="I289">
            <v>994</v>
          </cell>
          <cell r="J289">
            <v>0.12471890410958904</v>
          </cell>
        </row>
        <row r="290">
          <cell r="I290">
            <v>995</v>
          </cell>
          <cell r="J290">
            <v>0.12472465753424657</v>
          </cell>
        </row>
        <row r="291">
          <cell r="I291">
            <v>996</v>
          </cell>
          <cell r="J291">
            <v>0.12473041095890411</v>
          </cell>
        </row>
        <row r="292">
          <cell r="I292">
            <v>997</v>
          </cell>
          <cell r="J292">
            <v>0.12473616438356164</v>
          </cell>
        </row>
        <row r="293">
          <cell r="I293">
            <v>998</v>
          </cell>
          <cell r="J293">
            <v>0.12474191780821918</v>
          </cell>
        </row>
        <row r="294">
          <cell r="I294">
            <v>999</v>
          </cell>
          <cell r="J294">
            <v>0.12474767123287671</v>
          </cell>
        </row>
        <row r="295">
          <cell r="I295">
            <v>1000</v>
          </cell>
          <cell r="J295">
            <v>0.12475342465753424</v>
          </cell>
        </row>
        <row r="296">
          <cell r="I296">
            <v>1001</v>
          </cell>
          <cell r="J296">
            <v>0.12475917808219178</v>
          </cell>
        </row>
        <row r="297">
          <cell r="I297">
            <v>1002</v>
          </cell>
          <cell r="J297">
            <v>0.12476493150684931</v>
          </cell>
        </row>
        <row r="298">
          <cell r="I298">
            <v>1003</v>
          </cell>
          <cell r="J298">
            <v>0.12477068493150685</v>
          </cell>
        </row>
        <row r="299">
          <cell r="I299">
            <v>1004</v>
          </cell>
          <cell r="J299">
            <v>0.12477643835616438</v>
          </cell>
        </row>
        <row r="300">
          <cell r="I300">
            <v>1005</v>
          </cell>
          <cell r="J300">
            <v>0.12478219178082192</v>
          </cell>
        </row>
        <row r="301">
          <cell r="I301">
            <v>1006</v>
          </cell>
          <cell r="J301">
            <v>0.12478794520547945</v>
          </cell>
        </row>
        <row r="302">
          <cell r="I302">
            <v>1007</v>
          </cell>
          <cell r="J302">
            <v>0.12479369863013698</v>
          </cell>
        </row>
        <row r="303">
          <cell r="I303">
            <v>1008</v>
          </cell>
          <cell r="J303">
            <v>0.12479945205479452</v>
          </cell>
        </row>
        <row r="304">
          <cell r="I304">
            <v>1009</v>
          </cell>
          <cell r="J304">
            <v>0.12480520547945205</v>
          </cell>
        </row>
        <row r="305">
          <cell r="I305">
            <v>1010</v>
          </cell>
          <cell r="J305">
            <v>0.12481095890410959</v>
          </cell>
        </row>
        <row r="306">
          <cell r="I306">
            <v>1011</v>
          </cell>
          <cell r="J306">
            <v>0.12481671232876712</v>
          </cell>
        </row>
        <row r="307">
          <cell r="I307">
            <v>1012</v>
          </cell>
          <cell r="J307">
            <v>0.12482246575342465</v>
          </cell>
        </row>
        <row r="308">
          <cell r="I308">
            <v>1013</v>
          </cell>
          <cell r="J308">
            <v>0.12482821917808219</v>
          </cell>
        </row>
        <row r="309">
          <cell r="I309">
            <v>1014</v>
          </cell>
          <cell r="J309">
            <v>0.12483397260273972</v>
          </cell>
        </row>
        <row r="310">
          <cell r="I310">
            <v>1015</v>
          </cell>
          <cell r="J310">
            <v>0.12483972602739726</v>
          </cell>
        </row>
        <row r="311">
          <cell r="I311">
            <v>1016</v>
          </cell>
          <cell r="J311">
            <v>0.12484547945205479</v>
          </cell>
        </row>
        <row r="312">
          <cell r="I312">
            <v>1017</v>
          </cell>
          <cell r="J312">
            <v>0.12485123287671232</v>
          </cell>
        </row>
        <row r="313">
          <cell r="I313">
            <v>1018</v>
          </cell>
          <cell r="J313">
            <v>0.12485698630136986</v>
          </cell>
        </row>
        <row r="314">
          <cell r="I314">
            <v>1019</v>
          </cell>
          <cell r="J314">
            <v>0.12486273972602739</v>
          </cell>
        </row>
        <row r="315">
          <cell r="I315">
            <v>1020</v>
          </cell>
          <cell r="J315">
            <v>0.12486849315068493</v>
          </cell>
        </row>
        <row r="316">
          <cell r="I316">
            <v>1021</v>
          </cell>
          <cell r="J316">
            <v>0.12487424657534246</v>
          </cell>
        </row>
        <row r="317">
          <cell r="I317">
            <v>1022</v>
          </cell>
          <cell r="J317">
            <v>0.12487999999999999</v>
          </cell>
        </row>
        <row r="318">
          <cell r="I318">
            <v>1023</v>
          </cell>
          <cell r="J318">
            <v>0.12488575342465753</v>
          </cell>
        </row>
        <row r="319">
          <cell r="I319">
            <v>1024</v>
          </cell>
          <cell r="J319">
            <v>0.12489150684931506</v>
          </cell>
        </row>
        <row r="320">
          <cell r="I320">
            <v>1025</v>
          </cell>
          <cell r="J320">
            <v>0.1248972602739726</v>
          </cell>
        </row>
        <row r="321">
          <cell r="I321">
            <v>1026</v>
          </cell>
          <cell r="J321">
            <v>0.12490301369863013</v>
          </cell>
        </row>
        <row r="322">
          <cell r="I322">
            <v>1027</v>
          </cell>
          <cell r="J322">
            <v>0.12490876712328766</v>
          </cell>
        </row>
        <row r="323">
          <cell r="I323">
            <v>1028</v>
          </cell>
          <cell r="J323">
            <v>0.1249145205479452</v>
          </cell>
        </row>
        <row r="324">
          <cell r="I324">
            <v>1029</v>
          </cell>
          <cell r="J324">
            <v>0.12492027397260273</v>
          </cell>
        </row>
        <row r="325">
          <cell r="I325">
            <v>1030</v>
          </cell>
          <cell r="J325">
            <v>0.12492602739726028</v>
          </cell>
        </row>
        <row r="326">
          <cell r="I326">
            <v>1031</v>
          </cell>
          <cell r="J326">
            <v>0.1249317808219178</v>
          </cell>
        </row>
        <row r="327">
          <cell r="I327">
            <v>1032</v>
          </cell>
          <cell r="J327">
            <v>0.12493753424657533</v>
          </cell>
        </row>
        <row r="328">
          <cell r="I328">
            <v>1033</v>
          </cell>
          <cell r="J328">
            <v>0.12494328767123287</v>
          </cell>
        </row>
        <row r="329">
          <cell r="I329">
            <v>1034</v>
          </cell>
          <cell r="J329">
            <v>0.1249490410958904</v>
          </cell>
        </row>
        <row r="330">
          <cell r="I330">
            <v>1035</v>
          </cell>
          <cell r="J330">
            <v>0.12495479452054795</v>
          </cell>
        </row>
        <row r="331">
          <cell r="I331">
            <v>1036</v>
          </cell>
          <cell r="J331">
            <v>0.12496054794520547</v>
          </cell>
        </row>
        <row r="332">
          <cell r="I332">
            <v>1037</v>
          </cell>
          <cell r="J332">
            <v>0.124966301369863</v>
          </cell>
        </row>
        <row r="333">
          <cell r="I333">
            <v>1038</v>
          </cell>
          <cell r="J333">
            <v>0.12497205479452055</v>
          </cell>
        </row>
        <row r="334">
          <cell r="I334">
            <v>1039</v>
          </cell>
          <cell r="J334">
            <v>0.12497780821917807</v>
          </cell>
        </row>
        <row r="335">
          <cell r="I335">
            <v>1040</v>
          </cell>
          <cell r="J335">
            <v>0.12498356164383562</v>
          </cell>
        </row>
        <row r="336">
          <cell r="I336">
            <v>1041</v>
          </cell>
          <cell r="J336">
            <v>0.12498931506849315</v>
          </cell>
        </row>
        <row r="337">
          <cell r="I337">
            <v>1042</v>
          </cell>
          <cell r="J337">
            <v>0.12499506849315067</v>
          </cell>
        </row>
        <row r="338">
          <cell r="I338">
            <v>1043</v>
          </cell>
          <cell r="J338">
            <v>0.1250008219178082</v>
          </cell>
        </row>
        <row r="339">
          <cell r="I339">
            <v>1044</v>
          </cell>
          <cell r="J339">
            <v>0.12500657534246576</v>
          </cell>
        </row>
        <row r="340">
          <cell r="I340">
            <v>1045</v>
          </cell>
          <cell r="J340">
            <v>0.12501232876712329</v>
          </cell>
        </row>
        <row r="341">
          <cell r="I341">
            <v>1046</v>
          </cell>
          <cell r="J341">
            <v>0.12501808219178082</v>
          </cell>
        </row>
        <row r="342">
          <cell r="I342">
            <v>1047</v>
          </cell>
          <cell r="J342">
            <v>0.12502383561643834</v>
          </cell>
        </row>
        <row r="343">
          <cell r="I343">
            <v>1048</v>
          </cell>
          <cell r="J343">
            <v>0.12502958904109587</v>
          </cell>
        </row>
        <row r="344">
          <cell r="I344">
            <v>1049</v>
          </cell>
          <cell r="J344">
            <v>0.12503534246575343</v>
          </cell>
        </row>
        <row r="345">
          <cell r="I345">
            <v>1050</v>
          </cell>
          <cell r="J345">
            <v>0.12504109589041096</v>
          </cell>
        </row>
        <row r="346">
          <cell r="I346">
            <v>1051</v>
          </cell>
          <cell r="J346">
            <v>0.12504684931506849</v>
          </cell>
        </row>
        <row r="347">
          <cell r="I347">
            <v>1052</v>
          </cell>
          <cell r="J347">
            <v>0.12505260273972602</v>
          </cell>
        </row>
        <row r="348">
          <cell r="I348">
            <v>1053</v>
          </cell>
          <cell r="J348">
            <v>0.12505835616438354</v>
          </cell>
        </row>
        <row r="349">
          <cell r="I349">
            <v>1054</v>
          </cell>
          <cell r="J349">
            <v>0.1250641095890411</v>
          </cell>
        </row>
        <row r="350">
          <cell r="I350">
            <v>1055</v>
          </cell>
          <cell r="J350">
            <v>0.12506986301369863</v>
          </cell>
        </row>
        <row r="351">
          <cell r="I351">
            <v>1056</v>
          </cell>
          <cell r="J351">
            <v>0.12507561643835616</v>
          </cell>
        </row>
        <row r="352">
          <cell r="I352">
            <v>1057</v>
          </cell>
          <cell r="J352">
            <v>0.12508136986301369</v>
          </cell>
        </row>
        <row r="353">
          <cell r="I353">
            <v>1058</v>
          </cell>
          <cell r="J353">
            <v>0.12508712328767121</v>
          </cell>
        </row>
        <row r="354">
          <cell r="I354">
            <v>1059</v>
          </cell>
          <cell r="J354">
            <v>0.12509287671232877</v>
          </cell>
        </row>
        <row r="355">
          <cell r="I355">
            <v>1060</v>
          </cell>
          <cell r="J355">
            <v>0.1250986301369863</v>
          </cell>
        </row>
        <row r="356">
          <cell r="I356">
            <v>1061</v>
          </cell>
          <cell r="J356">
            <v>0.12510438356164383</v>
          </cell>
        </row>
        <row r="357">
          <cell r="I357">
            <v>1062</v>
          </cell>
          <cell r="J357">
            <v>0.12511013698630136</v>
          </cell>
        </row>
        <row r="358">
          <cell r="I358">
            <v>1063</v>
          </cell>
          <cell r="J358">
            <v>0.12511589041095891</v>
          </cell>
        </row>
        <row r="359">
          <cell r="I359">
            <v>1064</v>
          </cell>
          <cell r="J359">
            <v>0.12512164383561644</v>
          </cell>
        </row>
        <row r="360">
          <cell r="I360">
            <v>1065</v>
          </cell>
          <cell r="J360">
            <v>0.12512739726027397</v>
          </cell>
        </row>
        <row r="361">
          <cell r="I361">
            <v>1066</v>
          </cell>
          <cell r="J361">
            <v>0.1251331506849315</v>
          </cell>
        </row>
        <row r="362">
          <cell r="I362">
            <v>1067</v>
          </cell>
          <cell r="J362">
            <v>0.12513890410958903</v>
          </cell>
        </row>
        <row r="363">
          <cell r="I363">
            <v>1068</v>
          </cell>
          <cell r="J363">
            <v>0.12514465753424658</v>
          </cell>
        </row>
        <row r="364">
          <cell r="I364">
            <v>1069</v>
          </cell>
          <cell r="J364">
            <v>0.12515041095890411</v>
          </cell>
        </row>
        <row r="365">
          <cell r="I365">
            <v>1070</v>
          </cell>
          <cell r="J365">
            <v>0.12515616438356164</v>
          </cell>
        </row>
        <row r="366">
          <cell r="I366">
            <v>1071</v>
          </cell>
          <cell r="J366">
            <v>0.12516191780821917</v>
          </cell>
        </row>
        <row r="367">
          <cell r="I367">
            <v>1072</v>
          </cell>
          <cell r="J367">
            <v>0.1251676712328767</v>
          </cell>
        </row>
        <row r="368">
          <cell r="I368">
            <v>1073</v>
          </cell>
          <cell r="J368">
            <v>0.12517342465753425</v>
          </cell>
        </row>
        <row r="369">
          <cell r="I369">
            <v>1074</v>
          </cell>
          <cell r="J369">
            <v>0.12517917808219178</v>
          </cell>
        </row>
        <row r="370">
          <cell r="I370">
            <v>1075</v>
          </cell>
          <cell r="J370">
            <v>0.12518493150684931</v>
          </cell>
        </row>
        <row r="371">
          <cell r="I371">
            <v>1076</v>
          </cell>
          <cell r="J371">
            <v>0.12519068493150684</v>
          </cell>
        </row>
        <row r="372">
          <cell r="I372">
            <v>1077</v>
          </cell>
          <cell r="J372">
            <v>0.12519643835616437</v>
          </cell>
        </row>
        <row r="373">
          <cell r="I373">
            <v>1078</v>
          </cell>
          <cell r="J373">
            <v>0.12520219178082193</v>
          </cell>
        </row>
        <row r="374">
          <cell r="I374">
            <v>1079</v>
          </cell>
          <cell r="J374">
            <v>0.12520794520547945</v>
          </cell>
        </row>
        <row r="375">
          <cell r="I375">
            <v>1080</v>
          </cell>
          <cell r="J375">
            <v>0.12521369863013698</v>
          </cell>
        </row>
        <row r="376">
          <cell r="I376">
            <v>1081</v>
          </cell>
          <cell r="J376">
            <v>0.12521945205479451</v>
          </cell>
        </row>
        <row r="377">
          <cell r="I377">
            <v>1082</v>
          </cell>
          <cell r="J377">
            <v>0.12522520547945204</v>
          </cell>
        </row>
        <row r="378">
          <cell r="I378">
            <v>1083</v>
          </cell>
          <cell r="J378">
            <v>0.1252309589041096</v>
          </cell>
        </row>
        <row r="379">
          <cell r="I379">
            <v>1084</v>
          </cell>
          <cell r="J379">
            <v>0.12523671232876712</v>
          </cell>
        </row>
        <row r="380">
          <cell r="I380">
            <v>1085</v>
          </cell>
          <cell r="J380">
            <v>0.12524246575342465</v>
          </cell>
        </row>
        <row r="381">
          <cell r="I381">
            <v>1086</v>
          </cell>
          <cell r="J381">
            <v>0.12524821917808218</v>
          </cell>
        </row>
        <row r="382">
          <cell r="I382">
            <v>1087</v>
          </cell>
          <cell r="J382">
            <v>0.12525397260273971</v>
          </cell>
        </row>
        <row r="383">
          <cell r="I383">
            <v>1088</v>
          </cell>
          <cell r="J383">
            <v>0.12525972602739727</v>
          </cell>
        </row>
        <row r="384">
          <cell r="I384">
            <v>1089</v>
          </cell>
          <cell r="J384">
            <v>0.1252654794520548</v>
          </cell>
        </row>
        <row r="385">
          <cell r="I385">
            <v>1090</v>
          </cell>
          <cell r="J385">
            <v>0.12527123287671232</v>
          </cell>
        </row>
        <row r="386">
          <cell r="I386">
            <v>1091</v>
          </cell>
          <cell r="J386">
            <v>0.12527698630136985</v>
          </cell>
        </row>
        <row r="387">
          <cell r="I387">
            <v>1092</v>
          </cell>
          <cell r="J387">
            <v>0.12528273972602738</v>
          </cell>
        </row>
        <row r="388">
          <cell r="I388">
            <v>1093</v>
          </cell>
          <cell r="J388">
            <v>0.12528849315068494</v>
          </cell>
        </row>
        <row r="389">
          <cell r="I389">
            <v>1094</v>
          </cell>
          <cell r="J389">
            <v>0.12529424657534247</v>
          </cell>
        </row>
        <row r="390">
          <cell r="I390">
            <v>1095</v>
          </cell>
          <cell r="J390">
            <v>0.12529999999999999</v>
          </cell>
        </row>
        <row r="391">
          <cell r="I391">
            <v>1096</v>
          </cell>
          <cell r="J391">
            <v>0.12530931506849313</v>
          </cell>
        </row>
        <row r="392">
          <cell r="I392">
            <v>1097</v>
          </cell>
          <cell r="J392">
            <v>0.1253186301369863</v>
          </cell>
        </row>
        <row r="393">
          <cell r="I393">
            <v>1098</v>
          </cell>
          <cell r="J393">
            <v>0.12532794520547944</v>
          </cell>
        </row>
        <row r="394">
          <cell r="I394">
            <v>1099</v>
          </cell>
          <cell r="J394">
            <v>0.1253372602739726</v>
          </cell>
        </row>
        <row r="395">
          <cell r="I395">
            <v>1100</v>
          </cell>
          <cell r="J395">
            <v>0.12534657534246574</v>
          </cell>
        </row>
        <row r="396">
          <cell r="I396">
            <v>1101</v>
          </cell>
          <cell r="J396">
            <v>0.1253558904109589</v>
          </cell>
        </row>
        <row r="397">
          <cell r="I397">
            <v>1102</v>
          </cell>
          <cell r="J397">
            <v>0.12536520547945204</v>
          </cell>
        </row>
        <row r="398">
          <cell r="I398">
            <v>1103</v>
          </cell>
          <cell r="J398">
            <v>0.12537452054794521</v>
          </cell>
        </row>
        <row r="399">
          <cell r="I399">
            <v>1104</v>
          </cell>
          <cell r="J399">
            <v>0.12538383561643834</v>
          </cell>
        </row>
        <row r="400">
          <cell r="I400">
            <v>1105</v>
          </cell>
          <cell r="J400">
            <v>0.12539315068493151</v>
          </cell>
        </row>
        <row r="401">
          <cell r="I401">
            <v>1106</v>
          </cell>
          <cell r="J401">
            <v>0.12540246575342465</v>
          </cell>
        </row>
        <row r="402">
          <cell r="I402">
            <v>1107</v>
          </cell>
          <cell r="J402">
            <v>0.12541178082191781</v>
          </cell>
        </row>
        <row r="403">
          <cell r="I403">
            <v>1108</v>
          </cell>
          <cell r="J403">
            <v>0.12542109589041095</v>
          </cell>
        </row>
        <row r="404">
          <cell r="I404">
            <v>1109</v>
          </cell>
          <cell r="J404">
            <v>0.12543041095890411</v>
          </cell>
        </row>
        <row r="405">
          <cell r="I405">
            <v>1110</v>
          </cell>
          <cell r="J405">
            <v>0.12543972602739725</v>
          </cell>
        </row>
        <row r="406">
          <cell r="I406">
            <v>1111</v>
          </cell>
          <cell r="J406">
            <v>0.12544904109589042</v>
          </cell>
        </row>
        <row r="407">
          <cell r="I407">
            <v>1112</v>
          </cell>
          <cell r="J407">
            <v>0.12545835616438356</v>
          </cell>
        </row>
        <row r="408">
          <cell r="I408">
            <v>1113</v>
          </cell>
          <cell r="J408">
            <v>0.12546767123287669</v>
          </cell>
        </row>
        <row r="409">
          <cell r="I409">
            <v>1114</v>
          </cell>
          <cell r="J409">
            <v>0.12547698630136986</v>
          </cell>
        </row>
        <row r="410">
          <cell r="I410">
            <v>1115</v>
          </cell>
          <cell r="J410">
            <v>0.125486301369863</v>
          </cell>
        </row>
        <row r="411">
          <cell r="I411">
            <v>1116</v>
          </cell>
          <cell r="J411">
            <v>0.12549561643835616</v>
          </cell>
        </row>
        <row r="412">
          <cell r="I412">
            <v>1117</v>
          </cell>
          <cell r="J412">
            <v>0.1255049315068493</v>
          </cell>
        </row>
        <row r="413">
          <cell r="I413">
            <v>1118</v>
          </cell>
          <cell r="J413">
            <v>0.12551424657534246</v>
          </cell>
        </row>
        <row r="414">
          <cell r="I414">
            <v>1119</v>
          </cell>
          <cell r="J414">
            <v>0.1255235616438356</v>
          </cell>
        </row>
        <row r="415">
          <cell r="I415">
            <v>1120</v>
          </cell>
          <cell r="J415">
            <v>0.12553287671232877</v>
          </cell>
        </row>
        <row r="416">
          <cell r="I416">
            <v>1121</v>
          </cell>
          <cell r="J416">
            <v>0.1255421917808219</v>
          </cell>
        </row>
        <row r="417">
          <cell r="I417">
            <v>1122</v>
          </cell>
          <cell r="J417">
            <v>0.12555150684931507</v>
          </cell>
        </row>
        <row r="418">
          <cell r="I418">
            <v>1123</v>
          </cell>
          <cell r="J418">
            <v>0.12556082191780821</v>
          </cell>
        </row>
        <row r="419">
          <cell r="I419">
            <v>1124</v>
          </cell>
          <cell r="J419">
            <v>0.12557013698630137</v>
          </cell>
        </row>
        <row r="420">
          <cell r="I420">
            <v>1125</v>
          </cell>
          <cell r="J420">
            <v>0.12557945205479451</v>
          </cell>
        </row>
        <row r="421">
          <cell r="I421">
            <v>1126</v>
          </cell>
          <cell r="J421">
            <v>0.12558876712328768</v>
          </cell>
        </row>
        <row r="422">
          <cell r="I422">
            <v>1127</v>
          </cell>
          <cell r="J422">
            <v>0.12559808219178081</v>
          </cell>
        </row>
        <row r="423">
          <cell r="I423">
            <v>1128</v>
          </cell>
          <cell r="J423">
            <v>0.12560739726027398</v>
          </cell>
        </row>
        <row r="424">
          <cell r="I424">
            <v>1129</v>
          </cell>
          <cell r="J424">
            <v>0.12561671232876712</v>
          </cell>
        </row>
        <row r="425">
          <cell r="I425">
            <v>1130</v>
          </cell>
          <cell r="J425">
            <v>0.12562602739726025</v>
          </cell>
        </row>
        <row r="426">
          <cell r="I426">
            <v>1131</v>
          </cell>
          <cell r="J426">
            <v>0.12563534246575342</v>
          </cell>
        </row>
        <row r="427">
          <cell r="I427">
            <v>1132</v>
          </cell>
          <cell r="J427">
            <v>0.12564465753424656</v>
          </cell>
        </row>
        <row r="428">
          <cell r="I428">
            <v>1133</v>
          </cell>
          <cell r="J428">
            <v>0.12565397260273972</v>
          </cell>
        </row>
        <row r="429">
          <cell r="I429">
            <v>1134</v>
          </cell>
          <cell r="J429">
            <v>0.12566328767123286</v>
          </cell>
        </row>
        <row r="430">
          <cell r="I430">
            <v>1135</v>
          </cell>
          <cell r="J430">
            <v>0.12567260273972602</v>
          </cell>
        </row>
        <row r="431">
          <cell r="I431">
            <v>1136</v>
          </cell>
          <cell r="J431">
            <v>0.12568191780821916</v>
          </cell>
        </row>
        <row r="432">
          <cell r="I432">
            <v>1137</v>
          </cell>
          <cell r="J432">
            <v>0.12569123287671233</v>
          </cell>
        </row>
        <row r="433">
          <cell r="I433">
            <v>1138</v>
          </cell>
          <cell r="J433">
            <v>0.12570054794520547</v>
          </cell>
        </row>
        <row r="434">
          <cell r="I434">
            <v>1139</v>
          </cell>
          <cell r="J434">
            <v>0.12570986301369863</v>
          </cell>
        </row>
        <row r="435">
          <cell r="I435">
            <v>1140</v>
          </cell>
          <cell r="J435">
            <v>0.12571917808219177</v>
          </cell>
        </row>
        <row r="436">
          <cell r="I436">
            <v>1141</v>
          </cell>
          <cell r="J436">
            <v>0.12572849315068493</v>
          </cell>
        </row>
        <row r="437">
          <cell r="I437">
            <v>1142</v>
          </cell>
          <cell r="J437">
            <v>0.12573780821917807</v>
          </cell>
        </row>
        <row r="438">
          <cell r="I438">
            <v>1143</v>
          </cell>
          <cell r="J438">
            <v>0.12574712328767124</v>
          </cell>
        </row>
        <row r="439">
          <cell r="I439">
            <v>1144</v>
          </cell>
          <cell r="J439">
            <v>0.12575643835616437</v>
          </cell>
        </row>
        <row r="440">
          <cell r="I440">
            <v>1145</v>
          </cell>
          <cell r="J440">
            <v>0.12576575342465754</v>
          </cell>
        </row>
        <row r="441">
          <cell r="I441">
            <v>1146</v>
          </cell>
          <cell r="J441">
            <v>0.12577506849315068</v>
          </cell>
        </row>
        <row r="442">
          <cell r="I442">
            <v>1147</v>
          </cell>
          <cell r="J442">
            <v>0.12578438356164384</v>
          </cell>
        </row>
        <row r="443">
          <cell r="I443">
            <v>1148</v>
          </cell>
          <cell r="J443">
            <v>0.12579369863013698</v>
          </cell>
        </row>
        <row r="444">
          <cell r="I444">
            <v>1149</v>
          </cell>
          <cell r="J444">
            <v>0.12580301369863012</v>
          </cell>
        </row>
        <row r="445">
          <cell r="I445">
            <v>1150</v>
          </cell>
          <cell r="J445">
            <v>0.12581232876712328</v>
          </cell>
        </row>
        <row r="446">
          <cell r="I446">
            <v>1151</v>
          </cell>
          <cell r="J446">
            <v>0.12582164383561642</v>
          </cell>
        </row>
        <row r="447">
          <cell r="I447">
            <v>1152</v>
          </cell>
          <cell r="J447">
            <v>0.12583095890410959</v>
          </cell>
        </row>
        <row r="448">
          <cell r="I448">
            <v>1153</v>
          </cell>
          <cell r="J448">
            <v>0.12584027397260272</v>
          </cell>
        </row>
        <row r="449">
          <cell r="I449">
            <v>1154</v>
          </cell>
          <cell r="J449">
            <v>0.12584958904109589</v>
          </cell>
        </row>
        <row r="450">
          <cell r="I450">
            <v>1155</v>
          </cell>
          <cell r="J450">
            <v>0.12585890410958903</v>
          </cell>
        </row>
        <row r="451">
          <cell r="I451">
            <v>1156</v>
          </cell>
          <cell r="J451">
            <v>0.12586821917808219</v>
          </cell>
        </row>
        <row r="452">
          <cell r="I452">
            <v>1157</v>
          </cell>
          <cell r="J452">
            <v>0.12587753424657533</v>
          </cell>
        </row>
        <row r="453">
          <cell r="I453">
            <v>1158</v>
          </cell>
          <cell r="J453">
            <v>0.12588684931506849</v>
          </cell>
        </row>
        <row r="454">
          <cell r="I454">
            <v>1159</v>
          </cell>
          <cell r="J454">
            <v>0.12589616438356163</v>
          </cell>
        </row>
        <row r="455">
          <cell r="I455">
            <v>1160</v>
          </cell>
          <cell r="J455">
            <v>0.1259054794520548</v>
          </cell>
        </row>
        <row r="456">
          <cell r="I456">
            <v>1161</v>
          </cell>
          <cell r="J456">
            <v>0.12591479452054793</v>
          </cell>
        </row>
        <row r="457">
          <cell r="I457">
            <v>1162</v>
          </cell>
          <cell r="J457">
            <v>0.1259241095890411</v>
          </cell>
        </row>
        <row r="458">
          <cell r="I458">
            <v>1163</v>
          </cell>
          <cell r="J458">
            <v>0.12593342465753424</v>
          </cell>
        </row>
        <row r="459">
          <cell r="I459">
            <v>1164</v>
          </cell>
          <cell r="J459">
            <v>0.1259427397260274</v>
          </cell>
        </row>
        <row r="460">
          <cell r="I460">
            <v>1165</v>
          </cell>
          <cell r="J460">
            <v>0.12595205479452054</v>
          </cell>
        </row>
        <row r="461">
          <cell r="I461">
            <v>1166</v>
          </cell>
          <cell r="J461">
            <v>0.12596136986301368</v>
          </cell>
        </row>
        <row r="462">
          <cell r="I462">
            <v>1167</v>
          </cell>
          <cell r="J462">
            <v>0.12597068493150684</v>
          </cell>
        </row>
        <row r="463">
          <cell r="I463">
            <v>1168</v>
          </cell>
          <cell r="J463">
            <v>0.12597999999999998</v>
          </cell>
        </row>
        <row r="464">
          <cell r="I464">
            <v>1169</v>
          </cell>
          <cell r="J464">
            <v>0.12598931506849315</v>
          </cell>
        </row>
        <row r="465">
          <cell r="I465">
            <v>1170</v>
          </cell>
          <cell r="J465">
            <v>0.12599863013698628</v>
          </cell>
        </row>
        <row r="466">
          <cell r="I466">
            <v>1171</v>
          </cell>
          <cell r="J466">
            <v>0.12600794520547945</v>
          </cell>
        </row>
        <row r="467">
          <cell r="I467">
            <v>1172</v>
          </cell>
          <cell r="J467">
            <v>0.12601726027397259</v>
          </cell>
        </row>
        <row r="468">
          <cell r="I468">
            <v>1173</v>
          </cell>
          <cell r="J468">
            <v>0.12602657534246575</v>
          </cell>
        </row>
        <row r="469">
          <cell r="I469">
            <v>1174</v>
          </cell>
          <cell r="J469">
            <v>0.12603589041095889</v>
          </cell>
        </row>
        <row r="470">
          <cell r="I470">
            <v>1175</v>
          </cell>
          <cell r="J470">
            <v>0.12604520547945205</v>
          </cell>
        </row>
        <row r="471">
          <cell r="I471">
            <v>1176</v>
          </cell>
          <cell r="J471">
            <v>0.12605452054794519</v>
          </cell>
        </row>
        <row r="472">
          <cell r="I472">
            <v>1177</v>
          </cell>
          <cell r="J472">
            <v>0.12606383561643836</v>
          </cell>
        </row>
        <row r="473">
          <cell r="I473">
            <v>1178</v>
          </cell>
          <cell r="J473">
            <v>0.1260731506849315</v>
          </cell>
        </row>
        <row r="474">
          <cell r="I474">
            <v>1179</v>
          </cell>
          <cell r="J474">
            <v>0.12608246575342466</v>
          </cell>
        </row>
        <row r="475">
          <cell r="I475">
            <v>1180</v>
          </cell>
          <cell r="J475">
            <v>0.1260917808219178</v>
          </cell>
        </row>
        <row r="476">
          <cell r="I476">
            <v>1181</v>
          </cell>
          <cell r="J476">
            <v>0.12610109589041096</v>
          </cell>
        </row>
        <row r="477">
          <cell r="I477">
            <v>1182</v>
          </cell>
          <cell r="J477">
            <v>0.1261104109589041</v>
          </cell>
        </row>
        <row r="478">
          <cell r="I478">
            <v>1183</v>
          </cell>
          <cell r="J478">
            <v>0.12611972602739724</v>
          </cell>
        </row>
        <row r="479">
          <cell r="I479">
            <v>1184</v>
          </cell>
          <cell r="J479">
            <v>0.1261290410958904</v>
          </cell>
        </row>
        <row r="480">
          <cell r="I480">
            <v>1185</v>
          </cell>
          <cell r="J480">
            <v>0.12613835616438354</v>
          </cell>
        </row>
        <row r="481">
          <cell r="I481">
            <v>1186</v>
          </cell>
          <cell r="J481">
            <v>0.12614767123287671</v>
          </cell>
        </row>
        <row r="482">
          <cell r="I482">
            <v>1187</v>
          </cell>
          <cell r="J482">
            <v>0.12615698630136984</v>
          </cell>
        </row>
        <row r="483">
          <cell r="I483">
            <v>1188</v>
          </cell>
          <cell r="J483">
            <v>0.12616630136986301</v>
          </cell>
        </row>
        <row r="484">
          <cell r="I484">
            <v>1189</v>
          </cell>
          <cell r="J484">
            <v>0.12617561643835615</v>
          </cell>
        </row>
        <row r="485">
          <cell r="I485">
            <v>1190</v>
          </cell>
          <cell r="J485">
            <v>0.12618493150684931</v>
          </cell>
        </row>
        <row r="486">
          <cell r="I486">
            <v>1191</v>
          </cell>
          <cell r="J486">
            <v>0.12619424657534245</v>
          </cell>
        </row>
        <row r="487">
          <cell r="I487">
            <v>1192</v>
          </cell>
          <cell r="J487">
            <v>0.12620356164383562</v>
          </cell>
        </row>
        <row r="488">
          <cell r="I488">
            <v>1193</v>
          </cell>
          <cell r="J488">
            <v>0.12621287671232875</v>
          </cell>
        </row>
        <row r="489">
          <cell r="I489">
            <v>1194</v>
          </cell>
          <cell r="J489">
            <v>0.12622219178082192</v>
          </cell>
        </row>
        <row r="490">
          <cell r="I490">
            <v>1195</v>
          </cell>
          <cell r="J490">
            <v>0.12623150684931506</v>
          </cell>
        </row>
        <row r="491">
          <cell r="I491">
            <v>1196</v>
          </cell>
          <cell r="J491">
            <v>0.12624082191780822</v>
          </cell>
        </row>
        <row r="492">
          <cell r="I492">
            <v>1197</v>
          </cell>
          <cell r="J492">
            <v>0.12625013698630136</v>
          </cell>
        </row>
        <row r="493">
          <cell r="I493">
            <v>1198</v>
          </cell>
          <cell r="J493">
            <v>0.12625945205479452</v>
          </cell>
        </row>
        <row r="494">
          <cell r="I494">
            <v>1199</v>
          </cell>
          <cell r="J494">
            <v>0.12626876712328766</v>
          </cell>
        </row>
        <row r="495">
          <cell r="I495">
            <v>1200</v>
          </cell>
          <cell r="J495">
            <v>0.1262780821917808</v>
          </cell>
        </row>
        <row r="496">
          <cell r="I496">
            <v>1201</v>
          </cell>
          <cell r="J496">
            <v>0.12628739726027396</v>
          </cell>
        </row>
        <row r="497">
          <cell r="I497">
            <v>1202</v>
          </cell>
          <cell r="J497">
            <v>0.1262967123287671</v>
          </cell>
        </row>
        <row r="498">
          <cell r="I498">
            <v>1203</v>
          </cell>
          <cell r="J498">
            <v>0.12630602739726027</v>
          </cell>
        </row>
        <row r="499">
          <cell r="I499">
            <v>1204</v>
          </cell>
          <cell r="J499">
            <v>0.12631534246575341</v>
          </cell>
        </row>
        <row r="500">
          <cell r="I500">
            <v>1205</v>
          </cell>
          <cell r="J500">
            <v>0.12632465753424657</v>
          </cell>
        </row>
        <row r="501">
          <cell r="I501">
            <v>1206</v>
          </cell>
          <cell r="J501">
            <v>0.12633397260273971</v>
          </cell>
        </row>
        <row r="502">
          <cell r="I502">
            <v>1207</v>
          </cell>
          <cell r="J502">
            <v>0.12634328767123287</v>
          </cell>
        </row>
        <row r="503">
          <cell r="I503">
            <v>1208</v>
          </cell>
          <cell r="J503">
            <v>0.12635260273972601</v>
          </cell>
        </row>
        <row r="504">
          <cell r="I504">
            <v>1209</v>
          </cell>
          <cell r="J504">
            <v>0.12636191780821918</v>
          </cell>
        </row>
        <row r="505">
          <cell r="I505">
            <v>1210</v>
          </cell>
          <cell r="J505">
            <v>0.12637123287671231</v>
          </cell>
        </row>
        <row r="506">
          <cell r="I506">
            <v>1211</v>
          </cell>
          <cell r="J506">
            <v>0.12638054794520548</v>
          </cell>
        </row>
        <row r="507">
          <cell r="I507">
            <v>1212</v>
          </cell>
          <cell r="J507">
            <v>0.12638986301369862</v>
          </cell>
        </row>
        <row r="508">
          <cell r="I508">
            <v>1213</v>
          </cell>
          <cell r="J508">
            <v>0.12639917808219178</v>
          </cell>
        </row>
        <row r="509">
          <cell r="I509">
            <v>1214</v>
          </cell>
          <cell r="J509">
            <v>0.12640849315068492</v>
          </cell>
        </row>
        <row r="510">
          <cell r="I510">
            <v>1215</v>
          </cell>
          <cell r="J510">
            <v>0.12641780821917808</v>
          </cell>
        </row>
        <row r="511">
          <cell r="I511">
            <v>1216</v>
          </cell>
          <cell r="J511">
            <v>0.12642712328767122</v>
          </cell>
        </row>
        <row r="512">
          <cell r="I512">
            <v>1217</v>
          </cell>
          <cell r="J512">
            <v>0.12643643835616436</v>
          </cell>
        </row>
        <row r="513">
          <cell r="I513">
            <v>1218</v>
          </cell>
          <cell r="J513">
            <v>0.12644575342465753</v>
          </cell>
        </row>
        <row r="514">
          <cell r="I514">
            <v>1219</v>
          </cell>
          <cell r="J514">
            <v>0.12645506849315066</v>
          </cell>
        </row>
        <row r="515">
          <cell r="I515">
            <v>1220</v>
          </cell>
          <cell r="J515">
            <v>0.12646438356164383</v>
          </cell>
        </row>
        <row r="516">
          <cell r="I516">
            <v>1221</v>
          </cell>
          <cell r="J516">
            <v>0.12647369863013697</v>
          </cell>
        </row>
        <row r="517">
          <cell r="I517">
            <v>1222</v>
          </cell>
          <cell r="J517">
            <v>0.12648301369863013</v>
          </cell>
        </row>
        <row r="518">
          <cell r="I518">
            <v>1223</v>
          </cell>
          <cell r="J518">
            <v>0.12649232876712327</v>
          </cell>
        </row>
        <row r="519">
          <cell r="I519">
            <v>1224</v>
          </cell>
          <cell r="J519">
            <v>0.12650164383561643</v>
          </cell>
        </row>
        <row r="520">
          <cell r="I520">
            <v>1225</v>
          </cell>
          <cell r="J520">
            <v>0.12651095890410957</v>
          </cell>
        </row>
        <row r="521">
          <cell r="I521">
            <v>1226</v>
          </cell>
          <cell r="J521">
            <v>0.12652027397260274</v>
          </cell>
        </row>
        <row r="522">
          <cell r="I522">
            <v>1227</v>
          </cell>
          <cell r="J522">
            <v>0.12652958904109587</v>
          </cell>
        </row>
        <row r="523">
          <cell r="I523">
            <v>1228</v>
          </cell>
          <cell r="J523">
            <v>0.12653890410958904</v>
          </cell>
        </row>
        <row r="524">
          <cell r="I524">
            <v>1229</v>
          </cell>
          <cell r="J524">
            <v>0.12654821917808218</v>
          </cell>
        </row>
        <row r="525">
          <cell r="I525">
            <v>1230</v>
          </cell>
          <cell r="J525">
            <v>0.12655753424657534</v>
          </cell>
        </row>
        <row r="526">
          <cell r="I526">
            <v>1231</v>
          </cell>
          <cell r="J526">
            <v>0.12656684931506848</v>
          </cell>
        </row>
        <row r="527">
          <cell r="I527">
            <v>1232</v>
          </cell>
          <cell r="J527">
            <v>0.12657616438356165</v>
          </cell>
        </row>
        <row r="528">
          <cell r="I528">
            <v>1233</v>
          </cell>
          <cell r="J528">
            <v>0.12658547945205478</v>
          </cell>
        </row>
        <row r="529">
          <cell r="I529">
            <v>1234</v>
          </cell>
          <cell r="J529">
            <v>0.12659479452054795</v>
          </cell>
        </row>
        <row r="530">
          <cell r="I530">
            <v>1235</v>
          </cell>
          <cell r="J530">
            <v>0.12660410958904109</v>
          </cell>
        </row>
        <row r="531">
          <cell r="I531">
            <v>1236</v>
          </cell>
          <cell r="J531">
            <v>0.12661342465753422</v>
          </cell>
        </row>
        <row r="532">
          <cell r="I532">
            <v>1237</v>
          </cell>
          <cell r="J532">
            <v>0.12662273972602739</v>
          </cell>
        </row>
        <row r="533">
          <cell r="I533">
            <v>1238</v>
          </cell>
          <cell r="J533">
            <v>0.12663205479452053</v>
          </cell>
        </row>
        <row r="534">
          <cell r="I534">
            <v>1239</v>
          </cell>
          <cell r="J534">
            <v>0.12664136986301369</v>
          </cell>
        </row>
        <row r="535">
          <cell r="I535">
            <v>1240</v>
          </cell>
          <cell r="J535">
            <v>0.12665068493150683</v>
          </cell>
        </row>
        <row r="536">
          <cell r="I536">
            <v>1241</v>
          </cell>
          <cell r="J536">
            <v>0.12665999999999999</v>
          </cell>
        </row>
        <row r="537">
          <cell r="I537">
            <v>1242</v>
          </cell>
          <cell r="J537">
            <v>0.12666931506849313</v>
          </cell>
        </row>
        <row r="538">
          <cell r="I538">
            <v>1243</v>
          </cell>
          <cell r="J538">
            <v>0.1266786301369863</v>
          </cell>
        </row>
        <row r="539">
          <cell r="I539">
            <v>1244</v>
          </cell>
          <cell r="J539">
            <v>0.12668794520547944</v>
          </cell>
        </row>
        <row r="540">
          <cell r="I540">
            <v>1245</v>
          </cell>
          <cell r="J540">
            <v>0.1266972602739726</v>
          </cell>
        </row>
        <row r="541">
          <cell r="I541">
            <v>1246</v>
          </cell>
          <cell r="J541">
            <v>0.12670657534246574</v>
          </cell>
        </row>
        <row r="542">
          <cell r="I542">
            <v>1247</v>
          </cell>
          <cell r="J542">
            <v>0.1267158904109589</v>
          </cell>
        </row>
        <row r="543">
          <cell r="I543">
            <v>1248</v>
          </cell>
          <cell r="J543">
            <v>0.12672520547945204</v>
          </cell>
        </row>
        <row r="544">
          <cell r="I544">
            <v>1249</v>
          </cell>
          <cell r="J544">
            <v>0.12673452054794521</v>
          </cell>
        </row>
        <row r="545">
          <cell r="I545">
            <v>1250</v>
          </cell>
          <cell r="J545">
            <v>0.12674383561643834</v>
          </cell>
        </row>
        <row r="546">
          <cell r="I546">
            <v>1251</v>
          </cell>
          <cell r="J546">
            <v>0.12675315068493151</v>
          </cell>
        </row>
        <row r="547">
          <cell r="I547">
            <v>1252</v>
          </cell>
          <cell r="J547">
            <v>0.12676246575342465</v>
          </cell>
        </row>
        <row r="548">
          <cell r="I548">
            <v>1253</v>
          </cell>
          <cell r="J548">
            <v>0.12677178082191778</v>
          </cell>
        </row>
        <row r="549">
          <cell r="I549">
            <v>1254</v>
          </cell>
          <cell r="J549">
            <v>0.12678109589041095</v>
          </cell>
        </row>
        <row r="550">
          <cell r="I550">
            <v>1255</v>
          </cell>
          <cell r="J550">
            <v>0.12679041095890409</v>
          </cell>
        </row>
        <row r="551">
          <cell r="I551">
            <v>1256</v>
          </cell>
          <cell r="J551">
            <v>0.12679972602739725</v>
          </cell>
        </row>
        <row r="552">
          <cell r="I552">
            <v>1257</v>
          </cell>
          <cell r="J552">
            <v>0.12680904109589039</v>
          </cell>
        </row>
        <row r="553">
          <cell r="I553">
            <v>1258</v>
          </cell>
          <cell r="J553">
            <v>0.12681835616438356</v>
          </cell>
        </row>
        <row r="554">
          <cell r="I554">
            <v>1259</v>
          </cell>
          <cell r="J554">
            <v>0.12682767123287669</v>
          </cell>
        </row>
        <row r="555">
          <cell r="I555">
            <v>1260</v>
          </cell>
          <cell r="J555">
            <v>0.12683698630136986</v>
          </cell>
        </row>
        <row r="556">
          <cell r="I556">
            <v>1261</v>
          </cell>
          <cell r="J556">
            <v>0.126846301369863</v>
          </cell>
        </row>
        <row r="557">
          <cell r="I557">
            <v>1262</v>
          </cell>
          <cell r="J557">
            <v>0.12685561643835616</v>
          </cell>
        </row>
        <row r="558">
          <cell r="I558">
            <v>1263</v>
          </cell>
          <cell r="J558">
            <v>0.1268649315068493</v>
          </cell>
        </row>
        <row r="559">
          <cell r="I559">
            <v>1264</v>
          </cell>
          <cell r="J559">
            <v>0.12687424657534246</v>
          </cell>
        </row>
        <row r="560">
          <cell r="I560">
            <v>1265</v>
          </cell>
          <cell r="J560">
            <v>0.1268835616438356</v>
          </cell>
        </row>
        <row r="561">
          <cell r="I561">
            <v>1266</v>
          </cell>
          <cell r="J561">
            <v>0.12689287671232877</v>
          </cell>
        </row>
        <row r="562">
          <cell r="I562">
            <v>1267</v>
          </cell>
          <cell r="J562">
            <v>0.1269021917808219</v>
          </cell>
        </row>
        <row r="563">
          <cell r="I563">
            <v>1268</v>
          </cell>
          <cell r="J563">
            <v>0.12691150684931507</v>
          </cell>
        </row>
        <row r="564">
          <cell r="I564">
            <v>1269</v>
          </cell>
          <cell r="J564">
            <v>0.12692082191780821</v>
          </cell>
        </row>
        <row r="565">
          <cell r="I565">
            <v>1270</v>
          </cell>
          <cell r="J565">
            <v>0.12693013698630135</v>
          </cell>
        </row>
        <row r="566">
          <cell r="I566">
            <v>1271</v>
          </cell>
          <cell r="J566">
            <v>0.12693945205479451</v>
          </cell>
        </row>
        <row r="567">
          <cell r="I567">
            <v>1272</v>
          </cell>
          <cell r="J567">
            <v>0.12694876712328765</v>
          </cell>
        </row>
        <row r="568">
          <cell r="I568">
            <v>1273</v>
          </cell>
          <cell r="J568">
            <v>0.12695808219178081</v>
          </cell>
        </row>
        <row r="569">
          <cell r="I569">
            <v>1274</v>
          </cell>
          <cell r="J569">
            <v>0.12696739726027395</v>
          </cell>
        </row>
        <row r="570">
          <cell r="I570">
            <v>1275</v>
          </cell>
          <cell r="J570">
            <v>0.12697671232876712</v>
          </cell>
        </row>
        <row r="571">
          <cell r="I571">
            <v>1276</v>
          </cell>
          <cell r="J571">
            <v>0.12698602739726025</v>
          </cell>
        </row>
        <row r="572">
          <cell r="I572">
            <v>1277</v>
          </cell>
          <cell r="J572">
            <v>0.12699534246575342</v>
          </cell>
        </row>
        <row r="573">
          <cell r="I573">
            <v>1278</v>
          </cell>
          <cell r="J573">
            <v>0.12700465753424656</v>
          </cell>
        </row>
        <row r="574">
          <cell r="I574">
            <v>1279</v>
          </cell>
          <cell r="J574">
            <v>0.12701397260273972</v>
          </cell>
        </row>
        <row r="575">
          <cell r="I575">
            <v>1280</v>
          </cell>
          <cell r="J575">
            <v>0.12702328767123286</v>
          </cell>
        </row>
        <row r="576">
          <cell r="I576">
            <v>1281</v>
          </cell>
          <cell r="J576">
            <v>0.12703260273972602</v>
          </cell>
        </row>
        <row r="577">
          <cell r="I577">
            <v>1282</v>
          </cell>
          <cell r="J577">
            <v>0.12704191780821916</v>
          </cell>
        </row>
        <row r="578">
          <cell r="I578">
            <v>1283</v>
          </cell>
          <cell r="J578">
            <v>0.12705123287671233</v>
          </cell>
        </row>
        <row r="579">
          <cell r="I579">
            <v>1284</v>
          </cell>
          <cell r="J579">
            <v>0.12706054794520547</v>
          </cell>
        </row>
        <row r="580">
          <cell r="I580">
            <v>1285</v>
          </cell>
          <cell r="J580">
            <v>0.12706986301369863</v>
          </cell>
        </row>
        <row r="581">
          <cell r="I581">
            <v>1286</v>
          </cell>
          <cell r="J581">
            <v>0.12707917808219177</v>
          </cell>
        </row>
        <row r="582">
          <cell r="I582">
            <v>1287</v>
          </cell>
          <cell r="J582">
            <v>0.12708849315068491</v>
          </cell>
        </row>
        <row r="583">
          <cell r="I583">
            <v>1288</v>
          </cell>
          <cell r="J583">
            <v>0.12709780821917807</v>
          </cell>
        </row>
        <row r="584">
          <cell r="I584">
            <v>1289</v>
          </cell>
          <cell r="J584">
            <v>0.12710712328767121</v>
          </cell>
        </row>
        <row r="585">
          <cell r="I585">
            <v>1290</v>
          </cell>
          <cell r="J585">
            <v>0.12711643835616437</v>
          </cell>
        </row>
        <row r="586">
          <cell r="I586">
            <v>1291</v>
          </cell>
          <cell r="J586">
            <v>0.12712575342465751</v>
          </cell>
        </row>
        <row r="587">
          <cell r="I587">
            <v>1292</v>
          </cell>
          <cell r="J587">
            <v>0.12713506849315068</v>
          </cell>
        </row>
        <row r="588">
          <cell r="I588">
            <v>1293</v>
          </cell>
          <cell r="J588">
            <v>0.12714438356164381</v>
          </cell>
        </row>
        <row r="589">
          <cell r="I589">
            <v>1294</v>
          </cell>
          <cell r="J589">
            <v>0.12715369863013698</v>
          </cell>
        </row>
        <row r="590">
          <cell r="I590">
            <v>1295</v>
          </cell>
          <cell r="J590">
            <v>0.12716301369863012</v>
          </cell>
        </row>
        <row r="591">
          <cell r="I591">
            <v>1296</v>
          </cell>
          <cell r="J591">
            <v>0.12717232876712328</v>
          </cell>
        </row>
        <row r="592">
          <cell r="I592">
            <v>1297</v>
          </cell>
          <cell r="J592">
            <v>0.12718164383561642</v>
          </cell>
        </row>
        <row r="593">
          <cell r="I593">
            <v>1298</v>
          </cell>
          <cell r="J593">
            <v>0.12719095890410959</v>
          </cell>
        </row>
        <row r="594">
          <cell r="I594">
            <v>1299</v>
          </cell>
          <cell r="J594">
            <v>0.12720027397260272</v>
          </cell>
        </row>
        <row r="595">
          <cell r="I595">
            <v>1300</v>
          </cell>
          <cell r="J595">
            <v>0.12720958904109589</v>
          </cell>
        </row>
        <row r="596">
          <cell r="I596">
            <v>1301</v>
          </cell>
          <cell r="J596">
            <v>0.12721890410958903</v>
          </cell>
        </row>
        <row r="597">
          <cell r="I597">
            <v>1302</v>
          </cell>
          <cell r="J597">
            <v>0.12722821917808219</v>
          </cell>
        </row>
        <row r="598">
          <cell r="I598">
            <v>1303</v>
          </cell>
          <cell r="J598">
            <v>0.12723753424657533</v>
          </cell>
        </row>
        <row r="599">
          <cell r="I599">
            <v>1304</v>
          </cell>
          <cell r="J599">
            <v>0.12724684931506847</v>
          </cell>
        </row>
        <row r="600">
          <cell r="I600">
            <v>1305</v>
          </cell>
          <cell r="J600">
            <v>0.12725616438356163</v>
          </cell>
        </row>
        <row r="601">
          <cell r="I601">
            <v>1306</v>
          </cell>
          <cell r="J601">
            <v>0.12726547945205477</v>
          </cell>
        </row>
        <row r="602">
          <cell r="I602">
            <v>1307</v>
          </cell>
          <cell r="J602">
            <v>0.12727479452054793</v>
          </cell>
        </row>
        <row r="603">
          <cell r="I603">
            <v>1308</v>
          </cell>
          <cell r="J603">
            <v>0.12728410958904107</v>
          </cell>
        </row>
        <row r="604">
          <cell r="I604">
            <v>1309</v>
          </cell>
          <cell r="J604">
            <v>0.12729342465753424</v>
          </cell>
        </row>
        <row r="605">
          <cell r="I605">
            <v>1310</v>
          </cell>
          <cell r="J605">
            <v>0.12730273972602738</v>
          </cell>
        </row>
        <row r="606">
          <cell r="I606">
            <v>1311</v>
          </cell>
          <cell r="J606">
            <v>0.12731205479452054</v>
          </cell>
        </row>
        <row r="607">
          <cell r="I607">
            <v>1312</v>
          </cell>
          <cell r="J607">
            <v>0.12732136986301368</v>
          </cell>
        </row>
        <row r="608">
          <cell r="I608">
            <v>1313</v>
          </cell>
          <cell r="J608">
            <v>0.12733068493150684</v>
          </cell>
        </row>
        <row r="609">
          <cell r="I609">
            <v>1314</v>
          </cell>
          <cell r="J609">
            <v>0.12733999999999998</v>
          </cell>
        </row>
        <row r="610">
          <cell r="I610">
            <v>1315</v>
          </cell>
          <cell r="J610">
            <v>0.12734931506849315</v>
          </cell>
        </row>
        <row r="611">
          <cell r="I611">
            <v>1316</v>
          </cell>
          <cell r="J611">
            <v>0.12735863013698628</v>
          </cell>
        </row>
        <row r="612">
          <cell r="I612">
            <v>1317</v>
          </cell>
          <cell r="J612">
            <v>0.12736794520547945</v>
          </cell>
        </row>
        <row r="613">
          <cell r="I613">
            <v>1318</v>
          </cell>
          <cell r="J613">
            <v>0.12737726027397259</v>
          </cell>
        </row>
        <row r="614">
          <cell r="I614">
            <v>1319</v>
          </cell>
          <cell r="J614">
            <v>0.12738657534246575</v>
          </cell>
        </row>
        <row r="615">
          <cell r="I615">
            <v>1320</v>
          </cell>
          <cell r="J615">
            <v>0.12739589041095889</v>
          </cell>
        </row>
        <row r="616">
          <cell r="I616">
            <v>1321</v>
          </cell>
          <cell r="J616">
            <v>0.12740520547945205</v>
          </cell>
        </row>
        <row r="617">
          <cell r="I617">
            <v>1322</v>
          </cell>
          <cell r="J617">
            <v>0.12741452054794519</v>
          </cell>
        </row>
        <row r="618">
          <cell r="I618">
            <v>1323</v>
          </cell>
          <cell r="J618">
            <v>0.12742383561643833</v>
          </cell>
        </row>
        <row r="619">
          <cell r="I619">
            <v>1324</v>
          </cell>
          <cell r="J619">
            <v>0.1274331506849315</v>
          </cell>
        </row>
        <row r="620">
          <cell r="I620">
            <v>1325</v>
          </cell>
          <cell r="J620">
            <v>0.12744246575342463</v>
          </cell>
        </row>
        <row r="621">
          <cell r="I621">
            <v>1326</v>
          </cell>
          <cell r="J621">
            <v>0.1274517808219178</v>
          </cell>
        </row>
        <row r="622">
          <cell r="I622">
            <v>1327</v>
          </cell>
          <cell r="J622">
            <v>0.12746109589041094</v>
          </cell>
        </row>
        <row r="623">
          <cell r="I623">
            <v>1328</v>
          </cell>
          <cell r="J623">
            <v>0.1274704109589041</v>
          </cell>
        </row>
        <row r="624">
          <cell r="I624">
            <v>1329</v>
          </cell>
          <cell r="J624">
            <v>0.12747972602739724</v>
          </cell>
        </row>
        <row r="625">
          <cell r="I625">
            <v>1330</v>
          </cell>
          <cell r="J625">
            <v>0.1274890410958904</v>
          </cell>
        </row>
        <row r="626">
          <cell r="I626">
            <v>1331</v>
          </cell>
          <cell r="J626">
            <v>0.12749835616438354</v>
          </cell>
        </row>
        <row r="627">
          <cell r="I627">
            <v>1332</v>
          </cell>
          <cell r="J627">
            <v>0.12750767123287671</v>
          </cell>
        </row>
        <row r="628">
          <cell r="I628">
            <v>1333</v>
          </cell>
          <cell r="J628">
            <v>0.12751698630136984</v>
          </cell>
        </row>
        <row r="629">
          <cell r="I629">
            <v>1334</v>
          </cell>
          <cell r="J629">
            <v>0.12752630136986301</v>
          </cell>
        </row>
        <row r="630">
          <cell r="I630">
            <v>1335</v>
          </cell>
          <cell r="J630">
            <v>0.12753561643835615</v>
          </cell>
        </row>
        <row r="631">
          <cell r="I631">
            <v>1336</v>
          </cell>
          <cell r="J631">
            <v>0.12754493150684931</v>
          </cell>
        </row>
        <row r="632">
          <cell r="I632">
            <v>1337</v>
          </cell>
          <cell r="J632">
            <v>0.12755424657534245</v>
          </cell>
        </row>
        <row r="633">
          <cell r="I633">
            <v>1338</v>
          </cell>
          <cell r="J633">
            <v>0.12756356164383562</v>
          </cell>
        </row>
        <row r="634">
          <cell r="I634">
            <v>1339</v>
          </cell>
          <cell r="J634">
            <v>0.12757287671232875</v>
          </cell>
        </row>
        <row r="635">
          <cell r="I635">
            <v>1340</v>
          </cell>
          <cell r="J635">
            <v>0.12758219178082189</v>
          </cell>
        </row>
        <row r="636">
          <cell r="I636">
            <v>1341</v>
          </cell>
          <cell r="J636">
            <v>0.12759150684931506</v>
          </cell>
        </row>
        <row r="637">
          <cell r="I637">
            <v>1342</v>
          </cell>
          <cell r="J637">
            <v>0.12760082191780819</v>
          </cell>
        </row>
        <row r="638">
          <cell r="I638">
            <v>1343</v>
          </cell>
          <cell r="J638">
            <v>0.12761013698630136</v>
          </cell>
        </row>
        <row r="639">
          <cell r="I639">
            <v>1344</v>
          </cell>
          <cell r="J639">
            <v>0.1276194520547945</v>
          </cell>
        </row>
        <row r="640">
          <cell r="I640">
            <v>1345</v>
          </cell>
          <cell r="J640">
            <v>0.12762876712328766</v>
          </cell>
        </row>
        <row r="641">
          <cell r="I641">
            <v>1346</v>
          </cell>
          <cell r="J641">
            <v>0.1276380821917808</v>
          </cell>
        </row>
        <row r="642">
          <cell r="I642">
            <v>1347</v>
          </cell>
          <cell r="J642">
            <v>0.12764739726027396</v>
          </cell>
        </row>
        <row r="643">
          <cell r="I643">
            <v>1348</v>
          </cell>
          <cell r="J643">
            <v>0.1276567123287671</v>
          </cell>
        </row>
        <row r="644">
          <cell r="I644">
            <v>1349</v>
          </cell>
          <cell r="J644">
            <v>0.12766602739726027</v>
          </cell>
        </row>
        <row r="645">
          <cell r="I645">
            <v>1350</v>
          </cell>
          <cell r="J645">
            <v>0.12767534246575341</v>
          </cell>
        </row>
        <row r="646">
          <cell r="I646">
            <v>1351</v>
          </cell>
          <cell r="J646">
            <v>0.12768465753424657</v>
          </cell>
        </row>
        <row r="647">
          <cell r="I647">
            <v>1352</v>
          </cell>
          <cell r="J647">
            <v>0.12769397260273971</v>
          </cell>
        </row>
        <row r="648">
          <cell r="I648">
            <v>1353</v>
          </cell>
          <cell r="J648">
            <v>0.12770328767123287</v>
          </cell>
        </row>
        <row r="649">
          <cell r="I649">
            <v>1354</v>
          </cell>
          <cell r="J649">
            <v>0.12771260273972601</v>
          </cell>
        </row>
        <row r="650">
          <cell r="I650">
            <v>1355</v>
          </cell>
          <cell r="J650">
            <v>0.12772191780821918</v>
          </cell>
        </row>
        <row r="651">
          <cell r="I651">
            <v>1356</v>
          </cell>
          <cell r="J651">
            <v>0.12773123287671231</v>
          </cell>
        </row>
        <row r="652">
          <cell r="I652">
            <v>1357</v>
          </cell>
          <cell r="J652">
            <v>0.12774054794520545</v>
          </cell>
        </row>
        <row r="653">
          <cell r="I653">
            <v>1358</v>
          </cell>
          <cell r="J653">
            <v>0.12774986301369862</v>
          </cell>
        </row>
        <row r="654">
          <cell r="I654">
            <v>1359</v>
          </cell>
          <cell r="J654">
            <v>0.12775917808219175</v>
          </cell>
        </row>
        <row r="655">
          <cell r="I655">
            <v>1360</v>
          </cell>
          <cell r="J655">
            <v>0.12776849315068492</v>
          </cell>
        </row>
        <row r="656">
          <cell r="I656">
            <v>1361</v>
          </cell>
          <cell r="J656">
            <v>0.12777780821917806</v>
          </cell>
        </row>
        <row r="657">
          <cell r="I657">
            <v>1362</v>
          </cell>
          <cell r="J657">
            <v>0.12778712328767122</v>
          </cell>
        </row>
        <row r="658">
          <cell r="I658">
            <v>1363</v>
          </cell>
          <cell r="J658">
            <v>0.12779643835616436</v>
          </cell>
        </row>
        <row r="659">
          <cell r="I659">
            <v>1364</v>
          </cell>
          <cell r="J659">
            <v>0.12780575342465753</v>
          </cell>
        </row>
        <row r="660">
          <cell r="I660">
            <v>1365</v>
          </cell>
          <cell r="J660">
            <v>0.12781506849315066</v>
          </cell>
        </row>
        <row r="661">
          <cell r="I661">
            <v>1366</v>
          </cell>
          <cell r="J661">
            <v>0.12782438356164383</v>
          </cell>
        </row>
        <row r="662">
          <cell r="I662">
            <v>1367</v>
          </cell>
          <cell r="J662">
            <v>0.12783369863013697</v>
          </cell>
        </row>
        <row r="663">
          <cell r="I663">
            <v>1368</v>
          </cell>
          <cell r="J663">
            <v>0.12784301369863013</v>
          </cell>
        </row>
        <row r="664">
          <cell r="I664">
            <v>1369</v>
          </cell>
          <cell r="J664">
            <v>0.12785232876712327</v>
          </cell>
        </row>
        <row r="665">
          <cell r="I665">
            <v>1370</v>
          </cell>
          <cell r="J665">
            <v>0.12786164383561643</v>
          </cell>
        </row>
        <row r="666">
          <cell r="I666">
            <v>1371</v>
          </cell>
          <cell r="J666">
            <v>0.12787095890410957</v>
          </cell>
        </row>
        <row r="667">
          <cell r="I667">
            <v>1372</v>
          </cell>
          <cell r="J667">
            <v>0.12788027397260274</v>
          </cell>
        </row>
        <row r="668">
          <cell r="I668">
            <v>1373</v>
          </cell>
          <cell r="J668">
            <v>0.12788958904109587</v>
          </cell>
        </row>
        <row r="669">
          <cell r="I669">
            <v>1374</v>
          </cell>
          <cell r="J669">
            <v>0.12789890410958901</v>
          </cell>
        </row>
        <row r="670">
          <cell r="I670">
            <v>1375</v>
          </cell>
          <cell r="J670">
            <v>0.12790821917808218</v>
          </cell>
        </row>
        <row r="671">
          <cell r="I671">
            <v>1376</v>
          </cell>
          <cell r="J671">
            <v>0.12791753424657532</v>
          </cell>
        </row>
        <row r="672">
          <cell r="I672">
            <v>1377</v>
          </cell>
          <cell r="J672">
            <v>0.12792684931506848</v>
          </cell>
        </row>
        <row r="673">
          <cell r="I673">
            <v>1378</v>
          </cell>
          <cell r="J673">
            <v>0.12793616438356162</v>
          </cell>
        </row>
        <row r="674">
          <cell r="I674">
            <v>1379</v>
          </cell>
          <cell r="J674">
            <v>0.12794547945205478</v>
          </cell>
        </row>
        <row r="675">
          <cell r="I675">
            <v>1380</v>
          </cell>
          <cell r="J675">
            <v>0.12795479452054792</v>
          </cell>
        </row>
        <row r="676">
          <cell r="I676">
            <v>1381</v>
          </cell>
          <cell r="J676">
            <v>0.12796410958904109</v>
          </cell>
        </row>
        <row r="677">
          <cell r="I677">
            <v>1382</v>
          </cell>
          <cell r="J677">
            <v>0.12797342465753422</v>
          </cell>
        </row>
        <row r="678">
          <cell r="I678">
            <v>1383</v>
          </cell>
          <cell r="J678">
            <v>0.12798273972602739</v>
          </cell>
        </row>
        <row r="679">
          <cell r="I679">
            <v>1384</v>
          </cell>
          <cell r="J679">
            <v>0.12799205479452053</v>
          </cell>
        </row>
        <row r="680">
          <cell r="I680">
            <v>1385</v>
          </cell>
          <cell r="J680">
            <v>0.12800136986301369</v>
          </cell>
        </row>
        <row r="681">
          <cell r="I681">
            <v>1386</v>
          </cell>
          <cell r="J681">
            <v>0.12801068493150683</v>
          </cell>
        </row>
        <row r="682">
          <cell r="I682">
            <v>1387</v>
          </cell>
          <cell r="J682">
            <v>0.12801999999999999</v>
          </cell>
        </row>
        <row r="683">
          <cell r="I683">
            <v>1388</v>
          </cell>
          <cell r="J683">
            <v>0.12802931506849313</v>
          </cell>
        </row>
        <row r="684">
          <cell r="I684">
            <v>1389</v>
          </cell>
          <cell r="J684">
            <v>0.1280386301369863</v>
          </cell>
        </row>
        <row r="685">
          <cell r="I685">
            <v>1390</v>
          </cell>
          <cell r="J685">
            <v>0.12804794520547944</v>
          </cell>
        </row>
        <row r="686">
          <cell r="I686">
            <v>1391</v>
          </cell>
          <cell r="J686">
            <v>0.12805726027397257</v>
          </cell>
        </row>
        <row r="687">
          <cell r="I687">
            <v>1392</v>
          </cell>
          <cell r="J687">
            <v>0.12806657534246574</v>
          </cell>
        </row>
        <row r="688">
          <cell r="I688">
            <v>1393</v>
          </cell>
          <cell r="J688">
            <v>0.12807589041095888</v>
          </cell>
        </row>
        <row r="689">
          <cell r="I689">
            <v>1394</v>
          </cell>
          <cell r="J689">
            <v>0.12808520547945204</v>
          </cell>
        </row>
        <row r="690">
          <cell r="I690">
            <v>1395</v>
          </cell>
          <cell r="J690">
            <v>0.12809452054794518</v>
          </cell>
        </row>
        <row r="691">
          <cell r="I691">
            <v>1396</v>
          </cell>
          <cell r="J691">
            <v>0.12810383561643834</v>
          </cell>
        </row>
        <row r="692">
          <cell r="I692">
            <v>1397</v>
          </cell>
          <cell r="J692">
            <v>0.12811315068493148</v>
          </cell>
        </row>
        <row r="693">
          <cell r="I693">
            <v>1398</v>
          </cell>
          <cell r="J693">
            <v>0.12812246575342465</v>
          </cell>
        </row>
        <row r="694">
          <cell r="I694">
            <v>1399</v>
          </cell>
          <cell r="J694">
            <v>0.12813178082191778</v>
          </cell>
        </row>
        <row r="695">
          <cell r="I695">
            <v>1400</v>
          </cell>
          <cell r="J695">
            <v>0.12814109589041095</v>
          </cell>
        </row>
        <row r="696">
          <cell r="I696">
            <v>1401</v>
          </cell>
          <cell r="J696">
            <v>0.12815041095890409</v>
          </cell>
        </row>
        <row r="697">
          <cell r="I697">
            <v>1402</v>
          </cell>
          <cell r="J697">
            <v>0.12815972602739725</v>
          </cell>
        </row>
        <row r="698">
          <cell r="I698">
            <v>1403</v>
          </cell>
          <cell r="J698">
            <v>0.12816904109589039</v>
          </cell>
        </row>
        <row r="699">
          <cell r="I699">
            <v>1404</v>
          </cell>
          <cell r="J699">
            <v>0.12817835616438356</v>
          </cell>
        </row>
        <row r="700">
          <cell r="I700">
            <v>1405</v>
          </cell>
          <cell r="J700">
            <v>0.12818767123287669</v>
          </cell>
        </row>
        <row r="701">
          <cell r="I701">
            <v>1406</v>
          </cell>
          <cell r="J701">
            <v>0.12819698630136986</v>
          </cell>
        </row>
        <row r="702">
          <cell r="I702">
            <v>1407</v>
          </cell>
          <cell r="J702">
            <v>0.128206301369863</v>
          </cell>
        </row>
        <row r="703">
          <cell r="I703">
            <v>1408</v>
          </cell>
          <cell r="J703">
            <v>0.12821561643835616</v>
          </cell>
        </row>
        <row r="704">
          <cell r="I704">
            <v>1409</v>
          </cell>
          <cell r="J704">
            <v>0.1282249315068493</v>
          </cell>
        </row>
        <row r="705">
          <cell r="I705">
            <v>1410</v>
          </cell>
          <cell r="J705">
            <v>0.12823424657534244</v>
          </cell>
        </row>
        <row r="706">
          <cell r="I706">
            <v>1411</v>
          </cell>
          <cell r="J706">
            <v>0.1282435616438356</v>
          </cell>
        </row>
        <row r="707">
          <cell r="I707">
            <v>1412</v>
          </cell>
          <cell r="J707">
            <v>0.12825287671232874</v>
          </cell>
        </row>
        <row r="708">
          <cell r="I708">
            <v>1413</v>
          </cell>
          <cell r="J708">
            <v>0.1282621917808219</v>
          </cell>
        </row>
        <row r="709">
          <cell r="I709">
            <v>1414</v>
          </cell>
          <cell r="J709">
            <v>0.12827150684931504</v>
          </cell>
        </row>
        <row r="710">
          <cell r="I710">
            <v>1415</v>
          </cell>
          <cell r="J710">
            <v>0.12828082191780821</v>
          </cell>
        </row>
        <row r="711">
          <cell r="I711">
            <v>1416</v>
          </cell>
          <cell r="J711">
            <v>0.12829013698630135</v>
          </cell>
        </row>
        <row r="712">
          <cell r="I712">
            <v>1417</v>
          </cell>
          <cell r="J712">
            <v>0.12829945205479451</v>
          </cell>
        </row>
        <row r="713">
          <cell r="I713">
            <v>1418</v>
          </cell>
          <cell r="J713">
            <v>0.12830876712328765</v>
          </cell>
        </row>
        <row r="714">
          <cell r="I714">
            <v>1419</v>
          </cell>
          <cell r="J714">
            <v>0.12831808219178081</v>
          </cell>
        </row>
        <row r="715">
          <cell r="I715">
            <v>1420</v>
          </cell>
          <cell r="J715">
            <v>0.12832739726027395</v>
          </cell>
        </row>
        <row r="716">
          <cell r="I716">
            <v>1421</v>
          </cell>
          <cell r="J716">
            <v>0.12833671232876712</v>
          </cell>
        </row>
        <row r="717">
          <cell r="I717">
            <v>1422</v>
          </cell>
          <cell r="J717">
            <v>0.12834602739726025</v>
          </cell>
        </row>
        <row r="718">
          <cell r="I718">
            <v>1423</v>
          </cell>
          <cell r="J718">
            <v>0.12835534246575342</v>
          </cell>
        </row>
        <row r="719">
          <cell r="I719">
            <v>1424</v>
          </cell>
          <cell r="J719">
            <v>0.12836465753424656</v>
          </cell>
        </row>
        <row r="720">
          <cell r="I720">
            <v>1425</v>
          </cell>
          <cell r="J720">
            <v>0.12837397260273969</v>
          </cell>
        </row>
        <row r="721">
          <cell r="I721">
            <v>1426</v>
          </cell>
          <cell r="J721">
            <v>0.12838328767123286</v>
          </cell>
        </row>
        <row r="722">
          <cell r="I722">
            <v>1427</v>
          </cell>
          <cell r="J722">
            <v>0.128392602739726</v>
          </cell>
        </row>
        <row r="723">
          <cell r="I723">
            <v>1428</v>
          </cell>
          <cell r="J723">
            <v>0.12840191780821916</v>
          </cell>
        </row>
        <row r="724">
          <cell r="I724">
            <v>1429</v>
          </cell>
          <cell r="J724">
            <v>0.1284112328767123</v>
          </cell>
        </row>
        <row r="725">
          <cell r="I725">
            <v>1430</v>
          </cell>
          <cell r="J725">
            <v>0.12842054794520547</v>
          </cell>
        </row>
        <row r="726">
          <cell r="I726">
            <v>1431</v>
          </cell>
          <cell r="J726">
            <v>0.1284298630136986</v>
          </cell>
        </row>
        <row r="727">
          <cell r="I727">
            <v>1432</v>
          </cell>
          <cell r="J727">
            <v>0.12843917808219177</v>
          </cell>
        </row>
        <row r="728">
          <cell r="I728">
            <v>1433</v>
          </cell>
          <cell r="J728">
            <v>0.12844849315068491</v>
          </cell>
        </row>
        <row r="729">
          <cell r="I729">
            <v>1434</v>
          </cell>
          <cell r="J729">
            <v>0.12845780821917807</v>
          </cell>
        </row>
        <row r="730">
          <cell r="I730">
            <v>1435</v>
          </cell>
          <cell r="J730">
            <v>0.12846712328767121</v>
          </cell>
        </row>
        <row r="731">
          <cell r="I731">
            <v>1436</v>
          </cell>
          <cell r="J731">
            <v>0.12847643835616437</v>
          </cell>
        </row>
        <row r="732">
          <cell r="I732">
            <v>1437</v>
          </cell>
          <cell r="J732">
            <v>0.12848575342465751</v>
          </cell>
        </row>
        <row r="733">
          <cell r="I733">
            <v>1438</v>
          </cell>
          <cell r="J733">
            <v>0.12849506849315068</v>
          </cell>
        </row>
        <row r="734">
          <cell r="I734">
            <v>1439</v>
          </cell>
          <cell r="J734">
            <v>0.12850438356164381</v>
          </cell>
        </row>
        <row r="735">
          <cell r="I735">
            <v>1440</v>
          </cell>
          <cell r="J735">
            <v>0.12851369863013698</v>
          </cell>
        </row>
        <row r="736">
          <cell r="I736">
            <v>1441</v>
          </cell>
          <cell r="J736">
            <v>0.12852301369863012</v>
          </cell>
        </row>
        <row r="737">
          <cell r="I737">
            <v>1442</v>
          </cell>
          <cell r="J737">
            <v>0.12853232876712328</v>
          </cell>
        </row>
        <row r="738">
          <cell r="I738">
            <v>1443</v>
          </cell>
          <cell r="J738">
            <v>0.12854164383561642</v>
          </cell>
        </row>
        <row r="739">
          <cell r="I739">
            <v>1444</v>
          </cell>
          <cell r="J739">
            <v>0.12855095890410956</v>
          </cell>
        </row>
        <row r="740">
          <cell r="I740">
            <v>1445</v>
          </cell>
          <cell r="J740">
            <v>0.12856027397260272</v>
          </cell>
        </row>
        <row r="741">
          <cell r="I741">
            <v>1446</v>
          </cell>
          <cell r="J741">
            <v>0.12856958904109586</v>
          </cell>
        </row>
        <row r="742">
          <cell r="I742">
            <v>1447</v>
          </cell>
          <cell r="J742">
            <v>0.12857890410958903</v>
          </cell>
        </row>
        <row r="743">
          <cell r="I743">
            <v>1448</v>
          </cell>
          <cell r="J743">
            <v>0.12858821917808216</v>
          </cell>
        </row>
        <row r="744">
          <cell r="I744">
            <v>1449</v>
          </cell>
          <cell r="J744">
            <v>0.12859753424657533</v>
          </cell>
        </row>
        <row r="745">
          <cell r="I745">
            <v>1450</v>
          </cell>
          <cell r="J745">
            <v>0.12860684931506847</v>
          </cell>
        </row>
        <row r="746">
          <cell r="I746">
            <v>1451</v>
          </cell>
          <cell r="J746">
            <v>0.12861616438356163</v>
          </cell>
        </row>
        <row r="747">
          <cell r="I747">
            <v>1452</v>
          </cell>
          <cell r="J747">
            <v>0.12862547945205477</v>
          </cell>
        </row>
        <row r="748">
          <cell r="I748">
            <v>1453</v>
          </cell>
          <cell r="J748">
            <v>0.12863479452054793</v>
          </cell>
        </row>
        <row r="749">
          <cell r="I749">
            <v>1454</v>
          </cell>
          <cell r="J749">
            <v>0.12864410958904107</v>
          </cell>
        </row>
        <row r="750">
          <cell r="I750">
            <v>1455</v>
          </cell>
          <cell r="J750">
            <v>0.12865342465753424</v>
          </cell>
        </row>
        <row r="751">
          <cell r="I751">
            <v>1456</v>
          </cell>
          <cell r="J751">
            <v>0.12866273972602738</v>
          </cell>
        </row>
        <row r="752">
          <cell r="I752">
            <v>1457</v>
          </cell>
          <cell r="J752">
            <v>0.12867205479452054</v>
          </cell>
        </row>
        <row r="753">
          <cell r="I753">
            <v>1458</v>
          </cell>
          <cell r="J753">
            <v>0.12868136986301368</v>
          </cell>
        </row>
        <row r="754">
          <cell r="I754">
            <v>1459</v>
          </cell>
          <cell r="J754">
            <v>0.12869068493150684</v>
          </cell>
        </row>
        <row r="755">
          <cell r="I755">
            <v>1460</v>
          </cell>
          <cell r="J755">
            <v>0.12869999999999998</v>
          </cell>
        </row>
        <row r="756">
          <cell r="I756">
            <v>1461</v>
          </cell>
          <cell r="J756">
            <v>0.12869999999999998</v>
          </cell>
        </row>
        <row r="757">
          <cell r="I757">
            <v>1462</v>
          </cell>
          <cell r="J757">
            <v>0.12870356164383559</v>
          </cell>
        </row>
        <row r="758">
          <cell r="I758">
            <v>1463</v>
          </cell>
          <cell r="J758">
            <v>0.12870712328767123</v>
          </cell>
        </row>
        <row r="759">
          <cell r="I759">
            <v>1464</v>
          </cell>
          <cell r="J759">
            <v>0.12871068493150684</v>
          </cell>
        </row>
        <row r="760">
          <cell r="I760">
            <v>1465</v>
          </cell>
          <cell r="J760">
            <v>0.12871424657534244</v>
          </cell>
        </row>
        <row r="761">
          <cell r="I761">
            <v>1466</v>
          </cell>
          <cell r="J761">
            <v>0.12871780821917805</v>
          </cell>
        </row>
        <row r="762">
          <cell r="I762">
            <v>1467</v>
          </cell>
          <cell r="J762">
            <v>0.12872136986301369</v>
          </cell>
        </row>
        <row r="763">
          <cell r="I763">
            <v>1468</v>
          </cell>
          <cell r="J763">
            <v>0.1287249315068493</v>
          </cell>
        </row>
        <row r="764">
          <cell r="I764">
            <v>1469</v>
          </cell>
          <cell r="J764">
            <v>0.12872849315068491</v>
          </cell>
        </row>
        <row r="765">
          <cell r="I765">
            <v>1470</v>
          </cell>
          <cell r="J765">
            <v>0.12873205479452052</v>
          </cell>
        </row>
        <row r="766">
          <cell r="I766">
            <v>1471</v>
          </cell>
          <cell r="J766">
            <v>0.12873561643835615</v>
          </cell>
        </row>
        <row r="767">
          <cell r="I767">
            <v>1472</v>
          </cell>
          <cell r="J767">
            <v>0.12873917808219176</v>
          </cell>
        </row>
        <row r="768">
          <cell r="I768">
            <v>1473</v>
          </cell>
          <cell r="J768">
            <v>0.12874273972602737</v>
          </cell>
        </row>
        <row r="769">
          <cell r="I769">
            <v>1474</v>
          </cell>
          <cell r="J769">
            <v>0.12874630136986301</v>
          </cell>
        </row>
        <row r="770">
          <cell r="I770">
            <v>1475</v>
          </cell>
          <cell r="J770">
            <v>0.12874986301369862</v>
          </cell>
        </row>
        <row r="771">
          <cell r="I771">
            <v>1476</v>
          </cell>
          <cell r="J771">
            <v>0.12875342465753423</v>
          </cell>
        </row>
        <row r="772">
          <cell r="I772">
            <v>1477</v>
          </cell>
          <cell r="J772">
            <v>0.12875698630136984</v>
          </cell>
        </row>
        <row r="773">
          <cell r="I773">
            <v>1478</v>
          </cell>
          <cell r="J773">
            <v>0.12876054794520547</v>
          </cell>
        </row>
        <row r="774">
          <cell r="I774">
            <v>1479</v>
          </cell>
          <cell r="J774">
            <v>0.12876410958904108</v>
          </cell>
        </row>
        <row r="775">
          <cell r="I775">
            <v>1480</v>
          </cell>
          <cell r="J775">
            <v>0.12876767123287669</v>
          </cell>
        </row>
        <row r="776">
          <cell r="I776">
            <v>1481</v>
          </cell>
          <cell r="J776">
            <v>0.1287712328767123</v>
          </cell>
        </row>
        <row r="777">
          <cell r="I777">
            <v>1482</v>
          </cell>
          <cell r="J777">
            <v>0.12877479452054794</v>
          </cell>
        </row>
        <row r="778">
          <cell r="I778">
            <v>1483</v>
          </cell>
          <cell r="J778">
            <v>0.12877835616438355</v>
          </cell>
        </row>
        <row r="779">
          <cell r="I779">
            <v>1484</v>
          </cell>
          <cell r="J779">
            <v>0.12878191780821915</v>
          </cell>
        </row>
        <row r="780">
          <cell r="I780">
            <v>1485</v>
          </cell>
          <cell r="J780">
            <v>0.12878547945205479</v>
          </cell>
        </row>
        <row r="781">
          <cell r="I781">
            <v>1486</v>
          </cell>
          <cell r="J781">
            <v>0.1287890410958904</v>
          </cell>
        </row>
        <row r="782">
          <cell r="I782">
            <v>1487</v>
          </cell>
          <cell r="J782">
            <v>0.12879260273972601</v>
          </cell>
        </row>
        <row r="783">
          <cell r="I783">
            <v>1488</v>
          </cell>
          <cell r="J783">
            <v>0.12879616438356162</v>
          </cell>
        </row>
        <row r="784">
          <cell r="I784">
            <v>1489</v>
          </cell>
          <cell r="J784">
            <v>0.12879972602739725</v>
          </cell>
        </row>
        <row r="785">
          <cell r="I785">
            <v>1490</v>
          </cell>
          <cell r="J785">
            <v>0.12880328767123286</v>
          </cell>
        </row>
        <row r="786">
          <cell r="I786">
            <v>1491</v>
          </cell>
          <cell r="J786">
            <v>0.12880684931506847</v>
          </cell>
        </row>
        <row r="787">
          <cell r="I787">
            <v>1492</v>
          </cell>
          <cell r="J787">
            <v>0.12881041095890408</v>
          </cell>
        </row>
        <row r="788">
          <cell r="I788">
            <v>1493</v>
          </cell>
          <cell r="J788">
            <v>0.12881397260273972</v>
          </cell>
        </row>
        <row r="789">
          <cell r="I789">
            <v>1494</v>
          </cell>
          <cell r="J789">
            <v>0.12881753424657533</v>
          </cell>
        </row>
        <row r="790">
          <cell r="I790">
            <v>1495</v>
          </cell>
          <cell r="J790">
            <v>0.12882109589041094</v>
          </cell>
        </row>
        <row r="791">
          <cell r="I791">
            <v>1496</v>
          </cell>
          <cell r="J791">
            <v>0.12882465753424654</v>
          </cell>
        </row>
        <row r="792">
          <cell r="I792">
            <v>1497</v>
          </cell>
          <cell r="J792">
            <v>0.12882821917808218</v>
          </cell>
        </row>
        <row r="793">
          <cell r="I793">
            <v>1498</v>
          </cell>
          <cell r="J793">
            <v>0.12883178082191779</v>
          </cell>
        </row>
        <row r="794">
          <cell r="I794">
            <v>1499</v>
          </cell>
          <cell r="J794">
            <v>0.1288353424657534</v>
          </cell>
        </row>
        <row r="795">
          <cell r="I795">
            <v>1500</v>
          </cell>
          <cell r="J795">
            <v>0.12883890410958904</v>
          </cell>
        </row>
        <row r="796">
          <cell r="I796">
            <v>1501</v>
          </cell>
          <cell r="J796">
            <v>0.12884246575342465</v>
          </cell>
        </row>
        <row r="797">
          <cell r="I797">
            <v>1502</v>
          </cell>
          <cell r="J797">
            <v>0.12884602739726025</v>
          </cell>
        </row>
        <row r="798">
          <cell r="I798">
            <v>1503</v>
          </cell>
          <cell r="J798">
            <v>0.12884958904109586</v>
          </cell>
        </row>
        <row r="799">
          <cell r="I799">
            <v>1504</v>
          </cell>
          <cell r="J799">
            <v>0.1288531506849315</v>
          </cell>
        </row>
        <row r="800">
          <cell r="I800">
            <v>1505</v>
          </cell>
          <cell r="J800">
            <v>0.12885671232876711</v>
          </cell>
        </row>
        <row r="801">
          <cell r="I801">
            <v>1506</v>
          </cell>
          <cell r="J801">
            <v>0.12886027397260272</v>
          </cell>
        </row>
        <row r="802">
          <cell r="I802">
            <v>1507</v>
          </cell>
          <cell r="J802">
            <v>0.12886383561643833</v>
          </cell>
        </row>
        <row r="803">
          <cell r="I803">
            <v>1508</v>
          </cell>
          <cell r="J803">
            <v>0.12886739726027396</v>
          </cell>
        </row>
        <row r="804">
          <cell r="I804">
            <v>1509</v>
          </cell>
          <cell r="J804">
            <v>0.12887095890410957</v>
          </cell>
        </row>
        <row r="805">
          <cell r="I805">
            <v>1510</v>
          </cell>
          <cell r="J805">
            <v>0.12887452054794518</v>
          </cell>
        </row>
        <row r="806">
          <cell r="I806">
            <v>1511</v>
          </cell>
          <cell r="J806">
            <v>0.12887808219178082</v>
          </cell>
        </row>
        <row r="807">
          <cell r="I807">
            <v>1512</v>
          </cell>
          <cell r="J807">
            <v>0.12888164383561643</v>
          </cell>
        </row>
        <row r="808">
          <cell r="I808">
            <v>1513</v>
          </cell>
          <cell r="J808">
            <v>0.12888520547945204</v>
          </cell>
        </row>
        <row r="809">
          <cell r="I809">
            <v>1514</v>
          </cell>
          <cell r="J809">
            <v>0.12888876712328765</v>
          </cell>
        </row>
        <row r="810">
          <cell r="I810">
            <v>1515</v>
          </cell>
          <cell r="J810">
            <v>0.12889232876712328</v>
          </cell>
        </row>
        <row r="811">
          <cell r="I811">
            <v>1516</v>
          </cell>
          <cell r="J811">
            <v>0.12889589041095889</v>
          </cell>
        </row>
        <row r="812">
          <cell r="I812">
            <v>1517</v>
          </cell>
          <cell r="J812">
            <v>0.1288994520547945</v>
          </cell>
        </row>
        <row r="813">
          <cell r="I813">
            <v>1518</v>
          </cell>
          <cell r="J813">
            <v>0.12890301369863011</v>
          </cell>
        </row>
        <row r="814">
          <cell r="I814">
            <v>1519</v>
          </cell>
          <cell r="J814">
            <v>0.12890657534246575</v>
          </cell>
        </row>
        <row r="815">
          <cell r="I815">
            <v>1520</v>
          </cell>
          <cell r="J815">
            <v>0.12891013698630135</v>
          </cell>
        </row>
        <row r="816">
          <cell r="I816">
            <v>1521</v>
          </cell>
          <cell r="J816">
            <v>0.12891369863013696</v>
          </cell>
        </row>
        <row r="817">
          <cell r="I817">
            <v>1522</v>
          </cell>
          <cell r="J817">
            <v>0.1289172602739726</v>
          </cell>
        </row>
        <row r="818">
          <cell r="I818">
            <v>1523</v>
          </cell>
          <cell r="J818">
            <v>0.12892082191780821</v>
          </cell>
        </row>
        <row r="819">
          <cell r="I819">
            <v>1524</v>
          </cell>
          <cell r="J819">
            <v>0.12892438356164382</v>
          </cell>
        </row>
        <row r="820">
          <cell r="I820">
            <v>1525</v>
          </cell>
          <cell r="J820">
            <v>0.12892794520547943</v>
          </cell>
        </row>
        <row r="821">
          <cell r="I821">
            <v>1526</v>
          </cell>
          <cell r="J821">
            <v>0.12893150684931506</v>
          </cell>
        </row>
        <row r="822">
          <cell r="I822">
            <v>1527</v>
          </cell>
          <cell r="J822">
            <v>0.12893506849315067</v>
          </cell>
        </row>
        <row r="823">
          <cell r="I823">
            <v>1528</v>
          </cell>
          <cell r="J823">
            <v>0.12893863013698628</v>
          </cell>
        </row>
        <row r="824">
          <cell r="I824">
            <v>1529</v>
          </cell>
          <cell r="J824">
            <v>0.12894219178082189</v>
          </cell>
        </row>
        <row r="825">
          <cell r="I825">
            <v>1530</v>
          </cell>
          <cell r="J825">
            <v>0.12894575342465753</v>
          </cell>
        </row>
        <row r="826">
          <cell r="I826">
            <v>1531</v>
          </cell>
          <cell r="J826">
            <v>0.12894931506849314</v>
          </cell>
        </row>
        <row r="827">
          <cell r="I827">
            <v>1532</v>
          </cell>
          <cell r="J827">
            <v>0.12895287671232875</v>
          </cell>
        </row>
        <row r="828">
          <cell r="I828">
            <v>1533</v>
          </cell>
          <cell r="J828">
            <v>0.12895643835616438</v>
          </cell>
        </row>
        <row r="829">
          <cell r="I829">
            <v>1534</v>
          </cell>
          <cell r="J829">
            <v>0.12895999999999999</v>
          </cell>
        </row>
        <row r="830">
          <cell r="I830">
            <v>1535</v>
          </cell>
          <cell r="J830">
            <v>0.1289635616438356</v>
          </cell>
        </row>
        <row r="831">
          <cell r="I831">
            <v>1536</v>
          </cell>
          <cell r="J831">
            <v>0.12896712328767121</v>
          </cell>
        </row>
        <row r="832">
          <cell r="I832">
            <v>1537</v>
          </cell>
          <cell r="J832">
            <v>0.12897068493150685</v>
          </cell>
        </row>
        <row r="833">
          <cell r="I833">
            <v>1538</v>
          </cell>
          <cell r="J833">
            <v>0.12897424657534245</v>
          </cell>
        </row>
        <row r="834">
          <cell r="I834">
            <v>1539</v>
          </cell>
          <cell r="J834">
            <v>0.12897780821917806</v>
          </cell>
        </row>
        <row r="835">
          <cell r="I835">
            <v>1540</v>
          </cell>
          <cell r="J835">
            <v>0.12898136986301367</v>
          </cell>
        </row>
        <row r="836">
          <cell r="I836">
            <v>1541</v>
          </cell>
          <cell r="J836">
            <v>0.12898493150684931</v>
          </cell>
        </row>
        <row r="837">
          <cell r="I837">
            <v>1542</v>
          </cell>
          <cell r="J837">
            <v>0.12898849315068492</v>
          </cell>
        </row>
        <row r="838">
          <cell r="I838">
            <v>1543</v>
          </cell>
          <cell r="J838">
            <v>0.12899205479452053</v>
          </cell>
        </row>
        <row r="839">
          <cell r="I839">
            <v>1544</v>
          </cell>
          <cell r="J839">
            <v>0.12899561643835616</v>
          </cell>
        </row>
        <row r="840">
          <cell r="I840">
            <v>1545</v>
          </cell>
          <cell r="J840">
            <v>0.12899917808219177</v>
          </cell>
        </row>
        <row r="841">
          <cell r="I841">
            <v>1546</v>
          </cell>
          <cell r="J841">
            <v>0.12900273972602738</v>
          </cell>
        </row>
        <row r="842">
          <cell r="I842">
            <v>1547</v>
          </cell>
          <cell r="J842">
            <v>0.12900630136986299</v>
          </cell>
        </row>
        <row r="843">
          <cell r="I843">
            <v>1548</v>
          </cell>
          <cell r="J843">
            <v>0.12900986301369863</v>
          </cell>
        </row>
        <row r="844">
          <cell r="I844">
            <v>1549</v>
          </cell>
          <cell r="J844">
            <v>0.12901342465753424</v>
          </cell>
        </row>
        <row r="845">
          <cell r="I845">
            <v>1550</v>
          </cell>
          <cell r="J845">
            <v>0.12901698630136985</v>
          </cell>
        </row>
        <row r="846">
          <cell r="I846">
            <v>1551</v>
          </cell>
          <cell r="J846">
            <v>0.12902054794520545</v>
          </cell>
        </row>
        <row r="847">
          <cell r="I847">
            <v>1552</v>
          </cell>
          <cell r="J847">
            <v>0.12902410958904109</v>
          </cell>
        </row>
        <row r="848">
          <cell r="I848">
            <v>1553</v>
          </cell>
          <cell r="J848">
            <v>0.1290276712328767</v>
          </cell>
        </row>
        <row r="849">
          <cell r="I849">
            <v>1554</v>
          </cell>
          <cell r="J849">
            <v>0.12903123287671231</v>
          </cell>
        </row>
        <row r="850">
          <cell r="I850">
            <v>1555</v>
          </cell>
          <cell r="J850">
            <v>0.12903479452054792</v>
          </cell>
        </row>
        <row r="851">
          <cell r="I851">
            <v>1556</v>
          </cell>
          <cell r="J851">
            <v>0.12903835616438356</v>
          </cell>
        </row>
        <row r="852">
          <cell r="I852">
            <v>1557</v>
          </cell>
          <cell r="J852">
            <v>0.12904191780821916</v>
          </cell>
        </row>
        <row r="853">
          <cell r="I853">
            <v>1558</v>
          </cell>
          <cell r="J853">
            <v>0.12904547945205477</v>
          </cell>
        </row>
        <row r="854">
          <cell r="I854">
            <v>1559</v>
          </cell>
          <cell r="J854">
            <v>0.12904904109589041</v>
          </cell>
        </row>
        <row r="855">
          <cell r="I855">
            <v>1560</v>
          </cell>
          <cell r="J855">
            <v>0.12905260273972602</v>
          </cell>
        </row>
        <row r="856">
          <cell r="I856">
            <v>1561</v>
          </cell>
          <cell r="J856">
            <v>0.12905616438356163</v>
          </cell>
        </row>
        <row r="857">
          <cell r="I857">
            <v>1562</v>
          </cell>
          <cell r="J857">
            <v>0.12905972602739724</v>
          </cell>
        </row>
        <row r="858">
          <cell r="I858">
            <v>1563</v>
          </cell>
          <cell r="J858">
            <v>0.12906328767123287</v>
          </cell>
        </row>
        <row r="859">
          <cell r="I859">
            <v>1564</v>
          </cell>
          <cell r="J859">
            <v>0.12906684931506848</v>
          </cell>
        </row>
        <row r="860">
          <cell r="I860">
            <v>1565</v>
          </cell>
          <cell r="J860">
            <v>0.12907041095890409</v>
          </cell>
        </row>
        <row r="861">
          <cell r="I861">
            <v>1566</v>
          </cell>
          <cell r="J861">
            <v>0.1290739726027397</v>
          </cell>
        </row>
        <row r="862">
          <cell r="I862">
            <v>1567</v>
          </cell>
          <cell r="J862">
            <v>0.12907753424657534</v>
          </cell>
        </row>
        <row r="863">
          <cell r="I863">
            <v>1568</v>
          </cell>
          <cell r="J863">
            <v>0.12908109589041095</v>
          </cell>
        </row>
        <row r="864">
          <cell r="I864">
            <v>1569</v>
          </cell>
          <cell r="J864">
            <v>0.12908465753424656</v>
          </cell>
        </row>
        <row r="865">
          <cell r="I865">
            <v>1570</v>
          </cell>
          <cell r="J865">
            <v>0.12908821917808219</v>
          </cell>
        </row>
        <row r="866">
          <cell r="I866">
            <v>1571</v>
          </cell>
          <cell r="J866">
            <v>0.1290917808219178</v>
          </cell>
        </row>
        <row r="867">
          <cell r="I867">
            <v>1572</v>
          </cell>
          <cell r="J867">
            <v>0.12909534246575341</v>
          </cell>
        </row>
        <row r="868">
          <cell r="I868">
            <v>1573</v>
          </cell>
          <cell r="J868">
            <v>0.12909890410958902</v>
          </cell>
        </row>
        <row r="869">
          <cell r="I869">
            <v>1574</v>
          </cell>
          <cell r="J869">
            <v>0.12910246575342466</v>
          </cell>
        </row>
        <row r="870">
          <cell r="I870">
            <v>1575</v>
          </cell>
          <cell r="J870">
            <v>0.12910602739726026</v>
          </cell>
        </row>
        <row r="871">
          <cell r="I871">
            <v>1576</v>
          </cell>
          <cell r="J871">
            <v>0.12910958904109587</v>
          </cell>
        </row>
        <row r="872">
          <cell r="I872">
            <v>1577</v>
          </cell>
          <cell r="J872">
            <v>0.12911315068493148</v>
          </cell>
        </row>
        <row r="873">
          <cell r="I873">
            <v>1578</v>
          </cell>
          <cell r="J873">
            <v>0.12911671232876712</v>
          </cell>
        </row>
        <row r="874">
          <cell r="I874">
            <v>1579</v>
          </cell>
          <cell r="J874">
            <v>0.12912027397260273</v>
          </cell>
        </row>
        <row r="875">
          <cell r="I875">
            <v>1580</v>
          </cell>
          <cell r="J875">
            <v>0.12912383561643834</v>
          </cell>
        </row>
        <row r="876">
          <cell r="I876">
            <v>1581</v>
          </cell>
          <cell r="J876">
            <v>0.12912739726027397</v>
          </cell>
        </row>
        <row r="877">
          <cell r="I877">
            <v>1582</v>
          </cell>
          <cell r="J877">
            <v>0.12913095890410958</v>
          </cell>
        </row>
        <row r="878">
          <cell r="I878">
            <v>1583</v>
          </cell>
          <cell r="J878">
            <v>0.12913452054794519</v>
          </cell>
        </row>
        <row r="879">
          <cell r="I879">
            <v>1584</v>
          </cell>
          <cell r="J879">
            <v>0.1291380821917808</v>
          </cell>
        </row>
        <row r="880">
          <cell r="I880">
            <v>1585</v>
          </cell>
          <cell r="J880">
            <v>0.12914164383561644</v>
          </cell>
        </row>
        <row r="881">
          <cell r="I881">
            <v>1586</v>
          </cell>
          <cell r="J881">
            <v>0.12914520547945205</v>
          </cell>
        </row>
        <row r="882">
          <cell r="I882">
            <v>1587</v>
          </cell>
          <cell r="J882">
            <v>0.12914876712328766</v>
          </cell>
        </row>
        <row r="883">
          <cell r="I883">
            <v>1588</v>
          </cell>
          <cell r="J883">
            <v>0.12915232876712326</v>
          </cell>
        </row>
        <row r="884">
          <cell r="I884">
            <v>1589</v>
          </cell>
          <cell r="J884">
            <v>0.1291558904109589</v>
          </cell>
        </row>
        <row r="885">
          <cell r="I885">
            <v>1590</v>
          </cell>
          <cell r="J885">
            <v>0.12915945205479451</v>
          </cell>
        </row>
        <row r="886">
          <cell r="I886">
            <v>1591</v>
          </cell>
          <cell r="J886">
            <v>0.12916301369863012</v>
          </cell>
        </row>
        <row r="887">
          <cell r="I887">
            <v>1592</v>
          </cell>
          <cell r="J887">
            <v>0.12916657534246576</v>
          </cell>
        </row>
        <row r="888">
          <cell r="I888">
            <v>1593</v>
          </cell>
          <cell r="J888">
            <v>0.12917013698630136</v>
          </cell>
        </row>
        <row r="889">
          <cell r="I889">
            <v>1594</v>
          </cell>
          <cell r="J889">
            <v>0.12917369863013697</v>
          </cell>
        </row>
        <row r="890">
          <cell r="I890">
            <v>1595</v>
          </cell>
          <cell r="J890">
            <v>0.12917726027397258</v>
          </cell>
        </row>
        <row r="891">
          <cell r="I891">
            <v>1596</v>
          </cell>
          <cell r="J891">
            <v>0.12918082191780822</v>
          </cell>
        </row>
        <row r="892">
          <cell r="I892">
            <v>1597</v>
          </cell>
          <cell r="J892">
            <v>0.12918438356164383</v>
          </cell>
        </row>
        <row r="893">
          <cell r="I893">
            <v>1598</v>
          </cell>
          <cell r="J893">
            <v>0.12918794520547944</v>
          </cell>
        </row>
        <row r="894">
          <cell r="I894">
            <v>1599</v>
          </cell>
          <cell r="J894">
            <v>0.12919150684931505</v>
          </cell>
        </row>
        <row r="895">
          <cell r="I895">
            <v>1600</v>
          </cell>
          <cell r="J895">
            <v>0.12919506849315068</v>
          </cell>
        </row>
        <row r="896">
          <cell r="I896">
            <v>1601</v>
          </cell>
          <cell r="J896">
            <v>0.12919863013698629</v>
          </cell>
        </row>
        <row r="897">
          <cell r="I897">
            <v>1602</v>
          </cell>
          <cell r="J897">
            <v>0.1292021917808219</v>
          </cell>
        </row>
        <row r="898">
          <cell r="I898">
            <v>1603</v>
          </cell>
          <cell r="J898">
            <v>0.12920575342465754</v>
          </cell>
        </row>
        <row r="899">
          <cell r="I899">
            <v>1604</v>
          </cell>
          <cell r="J899">
            <v>0.12920931506849315</v>
          </cell>
        </row>
        <row r="900">
          <cell r="I900">
            <v>1605</v>
          </cell>
          <cell r="J900">
            <v>0.12921287671232876</v>
          </cell>
        </row>
        <row r="901">
          <cell r="I901">
            <v>1606</v>
          </cell>
          <cell r="J901">
            <v>0.12921643835616436</v>
          </cell>
        </row>
        <row r="902">
          <cell r="I902">
            <v>1607</v>
          </cell>
          <cell r="J902">
            <v>0.12922</v>
          </cell>
        </row>
        <row r="903">
          <cell r="I903">
            <v>1608</v>
          </cell>
          <cell r="J903">
            <v>0.12922356164383561</v>
          </cell>
        </row>
        <row r="904">
          <cell r="I904">
            <v>1609</v>
          </cell>
          <cell r="J904">
            <v>0.12922712328767122</v>
          </cell>
        </row>
        <row r="905">
          <cell r="I905">
            <v>1610</v>
          </cell>
          <cell r="J905">
            <v>0.12923068493150683</v>
          </cell>
        </row>
        <row r="906">
          <cell r="I906">
            <v>1611</v>
          </cell>
          <cell r="J906">
            <v>0.12923424657534247</v>
          </cell>
        </row>
        <row r="907">
          <cell r="I907">
            <v>1612</v>
          </cell>
          <cell r="J907">
            <v>0.12923780821917807</v>
          </cell>
        </row>
        <row r="908">
          <cell r="I908">
            <v>1613</v>
          </cell>
          <cell r="J908">
            <v>0.12924136986301368</v>
          </cell>
        </row>
        <row r="909">
          <cell r="I909">
            <v>1614</v>
          </cell>
          <cell r="J909">
            <v>0.12924493150684929</v>
          </cell>
        </row>
        <row r="910">
          <cell r="I910">
            <v>1615</v>
          </cell>
          <cell r="J910">
            <v>0.12924849315068493</v>
          </cell>
        </row>
        <row r="911">
          <cell r="I911">
            <v>1616</v>
          </cell>
          <cell r="J911">
            <v>0.12925205479452054</v>
          </cell>
        </row>
        <row r="912">
          <cell r="I912">
            <v>1617</v>
          </cell>
          <cell r="J912">
            <v>0.12925561643835615</v>
          </cell>
        </row>
        <row r="913">
          <cell r="I913">
            <v>1618</v>
          </cell>
          <cell r="J913">
            <v>0.12925917808219178</v>
          </cell>
        </row>
        <row r="914">
          <cell r="I914">
            <v>1619</v>
          </cell>
          <cell r="J914">
            <v>0.12926273972602739</v>
          </cell>
        </row>
        <row r="915">
          <cell r="I915">
            <v>1620</v>
          </cell>
          <cell r="J915">
            <v>0.129266301369863</v>
          </cell>
        </row>
        <row r="916">
          <cell r="I916">
            <v>1621</v>
          </cell>
          <cell r="J916">
            <v>0.12926986301369861</v>
          </cell>
        </row>
        <row r="917">
          <cell r="I917">
            <v>1622</v>
          </cell>
          <cell r="J917">
            <v>0.12927342465753425</v>
          </cell>
        </row>
        <row r="918">
          <cell r="I918">
            <v>1623</v>
          </cell>
          <cell r="J918">
            <v>0.12927698630136986</v>
          </cell>
        </row>
        <row r="919">
          <cell r="I919">
            <v>1624</v>
          </cell>
          <cell r="J919">
            <v>0.12928054794520547</v>
          </cell>
        </row>
        <row r="920">
          <cell r="I920">
            <v>1625</v>
          </cell>
          <cell r="J920">
            <v>0.12928410958904107</v>
          </cell>
        </row>
        <row r="921">
          <cell r="I921">
            <v>1626</v>
          </cell>
          <cell r="J921">
            <v>0.12928767123287671</v>
          </cell>
        </row>
        <row r="922">
          <cell r="I922">
            <v>1627</v>
          </cell>
          <cell r="J922">
            <v>0.12929123287671232</v>
          </cell>
        </row>
        <row r="923">
          <cell r="I923">
            <v>1628</v>
          </cell>
          <cell r="J923">
            <v>0.12929479452054793</v>
          </cell>
        </row>
        <row r="924">
          <cell r="I924">
            <v>1629</v>
          </cell>
          <cell r="J924">
            <v>0.12929835616438357</v>
          </cell>
        </row>
        <row r="925">
          <cell r="I925">
            <v>1630</v>
          </cell>
          <cell r="J925">
            <v>0.12930191780821917</v>
          </cell>
        </row>
        <row r="926">
          <cell r="I926">
            <v>1631</v>
          </cell>
          <cell r="J926">
            <v>0.12930547945205478</v>
          </cell>
        </row>
        <row r="927">
          <cell r="I927">
            <v>1632</v>
          </cell>
          <cell r="J927">
            <v>0.12930904109589039</v>
          </cell>
        </row>
        <row r="928">
          <cell r="I928">
            <v>1633</v>
          </cell>
          <cell r="J928">
            <v>0.12931260273972603</v>
          </cell>
        </row>
        <row r="929">
          <cell r="I929">
            <v>1634</v>
          </cell>
          <cell r="J929">
            <v>0.12931616438356164</v>
          </cell>
        </row>
        <row r="930">
          <cell r="I930">
            <v>1635</v>
          </cell>
          <cell r="J930">
            <v>0.12931972602739725</v>
          </cell>
        </row>
        <row r="931">
          <cell r="I931">
            <v>1636</v>
          </cell>
          <cell r="J931">
            <v>0.12932328767123286</v>
          </cell>
        </row>
        <row r="932">
          <cell r="I932">
            <v>1637</v>
          </cell>
          <cell r="J932">
            <v>0.12932684931506849</v>
          </cell>
        </row>
        <row r="933">
          <cell r="I933">
            <v>1638</v>
          </cell>
          <cell r="J933">
            <v>0.1293304109589041</v>
          </cell>
        </row>
        <row r="934">
          <cell r="I934">
            <v>1639</v>
          </cell>
          <cell r="J934">
            <v>0.12933397260273971</v>
          </cell>
        </row>
        <row r="935">
          <cell r="I935">
            <v>1640</v>
          </cell>
          <cell r="J935">
            <v>0.12933753424657535</v>
          </cell>
        </row>
        <row r="936">
          <cell r="I936">
            <v>1641</v>
          </cell>
          <cell r="J936">
            <v>0.12934109589041096</v>
          </cell>
        </row>
        <row r="937">
          <cell r="I937">
            <v>1642</v>
          </cell>
          <cell r="J937">
            <v>0.12934465753424657</v>
          </cell>
        </row>
        <row r="938">
          <cell r="I938">
            <v>1643</v>
          </cell>
          <cell r="J938">
            <v>0.12934821917808217</v>
          </cell>
        </row>
        <row r="939">
          <cell r="I939">
            <v>1644</v>
          </cell>
          <cell r="J939">
            <v>0.12935178082191781</v>
          </cell>
        </row>
        <row r="940">
          <cell r="I940">
            <v>1645</v>
          </cell>
          <cell r="J940">
            <v>0.12935534246575342</v>
          </cell>
        </row>
        <row r="941">
          <cell r="I941">
            <v>1646</v>
          </cell>
          <cell r="J941">
            <v>0.12935890410958903</v>
          </cell>
        </row>
        <row r="942">
          <cell r="I942">
            <v>1647</v>
          </cell>
          <cell r="J942">
            <v>0.12936246575342464</v>
          </cell>
        </row>
        <row r="943">
          <cell r="I943">
            <v>1648</v>
          </cell>
          <cell r="J943">
            <v>0.12936602739726027</v>
          </cell>
        </row>
        <row r="944">
          <cell r="I944">
            <v>1649</v>
          </cell>
          <cell r="J944">
            <v>0.12936958904109588</v>
          </cell>
        </row>
        <row r="945">
          <cell r="I945">
            <v>1650</v>
          </cell>
          <cell r="J945">
            <v>0.12937315068493149</v>
          </cell>
        </row>
        <row r="946">
          <cell r="I946">
            <v>1651</v>
          </cell>
          <cell r="J946">
            <v>0.12937671232876713</v>
          </cell>
        </row>
        <row r="947">
          <cell r="I947">
            <v>1652</v>
          </cell>
          <cell r="J947">
            <v>0.12938027397260274</v>
          </cell>
        </row>
        <row r="948">
          <cell r="I948">
            <v>1653</v>
          </cell>
          <cell r="J948">
            <v>0.12938383561643835</v>
          </cell>
        </row>
        <row r="949">
          <cell r="I949">
            <v>1654</v>
          </cell>
          <cell r="J949">
            <v>0.12938739726027396</v>
          </cell>
        </row>
        <row r="950">
          <cell r="I950">
            <v>1655</v>
          </cell>
          <cell r="J950">
            <v>0.12939095890410959</v>
          </cell>
        </row>
        <row r="951">
          <cell r="I951">
            <v>1656</v>
          </cell>
          <cell r="J951">
            <v>0.1293945205479452</v>
          </cell>
        </row>
        <row r="952">
          <cell r="I952">
            <v>1657</v>
          </cell>
          <cell r="J952">
            <v>0.12939808219178081</v>
          </cell>
        </row>
        <row r="953">
          <cell r="I953">
            <v>1658</v>
          </cell>
          <cell r="J953">
            <v>0.12940164383561642</v>
          </cell>
        </row>
        <row r="954">
          <cell r="I954">
            <v>1659</v>
          </cell>
          <cell r="J954">
            <v>0.12940520547945206</v>
          </cell>
        </row>
        <row r="955">
          <cell r="I955">
            <v>1660</v>
          </cell>
          <cell r="J955">
            <v>0.12940876712328767</v>
          </cell>
        </row>
        <row r="956">
          <cell r="I956">
            <v>1661</v>
          </cell>
          <cell r="J956">
            <v>0.12941232876712327</v>
          </cell>
        </row>
        <row r="957">
          <cell r="I957">
            <v>1662</v>
          </cell>
          <cell r="J957">
            <v>0.12941589041095891</v>
          </cell>
        </row>
        <row r="958">
          <cell r="I958">
            <v>1663</v>
          </cell>
          <cell r="J958">
            <v>0.12941945205479452</v>
          </cell>
        </row>
        <row r="959">
          <cell r="I959">
            <v>1664</v>
          </cell>
          <cell r="J959">
            <v>0.12942301369863013</v>
          </cell>
        </row>
        <row r="960">
          <cell r="I960">
            <v>1665</v>
          </cell>
          <cell r="J960">
            <v>0.12942657534246574</v>
          </cell>
        </row>
        <row r="961">
          <cell r="I961">
            <v>1666</v>
          </cell>
          <cell r="J961">
            <v>0.12943013698630138</v>
          </cell>
        </row>
        <row r="962">
          <cell r="I962">
            <v>1667</v>
          </cell>
          <cell r="J962">
            <v>0.12943369863013698</v>
          </cell>
        </row>
        <row r="963">
          <cell r="I963">
            <v>1668</v>
          </cell>
          <cell r="J963">
            <v>0.12943726027397259</v>
          </cell>
        </row>
        <row r="964">
          <cell r="I964">
            <v>1669</v>
          </cell>
          <cell r="J964">
            <v>0.1294408219178082</v>
          </cell>
        </row>
        <row r="965">
          <cell r="I965">
            <v>1670</v>
          </cell>
          <cell r="J965">
            <v>0.12944438356164384</v>
          </cell>
        </row>
        <row r="966">
          <cell r="I966">
            <v>1671</v>
          </cell>
          <cell r="J966">
            <v>0.12944794520547945</v>
          </cell>
        </row>
        <row r="967">
          <cell r="I967">
            <v>1672</v>
          </cell>
          <cell r="J967">
            <v>0.12945150684931506</v>
          </cell>
        </row>
        <row r="968">
          <cell r="I968">
            <v>1673</v>
          </cell>
          <cell r="J968">
            <v>0.12945506849315069</v>
          </cell>
        </row>
        <row r="969">
          <cell r="I969">
            <v>1674</v>
          </cell>
          <cell r="J969">
            <v>0.1294586301369863</v>
          </cell>
        </row>
        <row r="970">
          <cell r="I970">
            <v>1675</v>
          </cell>
          <cell r="J970">
            <v>0.12946219178082191</v>
          </cell>
        </row>
        <row r="971">
          <cell r="I971">
            <v>1676</v>
          </cell>
          <cell r="J971">
            <v>0.12946575342465752</v>
          </cell>
        </row>
        <row r="972">
          <cell r="I972">
            <v>1677</v>
          </cell>
          <cell r="J972">
            <v>0.12946931506849316</v>
          </cell>
        </row>
        <row r="973">
          <cell r="I973">
            <v>1678</v>
          </cell>
          <cell r="J973">
            <v>0.12947287671232877</v>
          </cell>
        </row>
        <row r="974">
          <cell r="I974">
            <v>1679</v>
          </cell>
          <cell r="J974">
            <v>0.12947643835616438</v>
          </cell>
        </row>
        <row r="975">
          <cell r="I975">
            <v>1680</v>
          </cell>
          <cell r="J975">
            <v>0.12947999999999998</v>
          </cell>
        </row>
        <row r="976">
          <cell r="I976">
            <v>1681</v>
          </cell>
          <cell r="J976">
            <v>0.12948356164383562</v>
          </cell>
        </row>
        <row r="977">
          <cell r="I977">
            <v>1682</v>
          </cell>
          <cell r="J977">
            <v>0.12948712328767123</v>
          </cell>
        </row>
        <row r="978">
          <cell r="I978">
            <v>1683</v>
          </cell>
          <cell r="J978">
            <v>0.12949068493150684</v>
          </cell>
        </row>
        <row r="979">
          <cell r="I979">
            <v>1684</v>
          </cell>
          <cell r="J979">
            <v>0.12949424657534245</v>
          </cell>
        </row>
        <row r="980">
          <cell r="I980">
            <v>1685</v>
          </cell>
          <cell r="J980">
            <v>0.12949780821917808</v>
          </cell>
        </row>
        <row r="981">
          <cell r="I981">
            <v>1686</v>
          </cell>
          <cell r="J981">
            <v>0.12950136986301369</v>
          </cell>
        </row>
        <row r="982">
          <cell r="I982">
            <v>1687</v>
          </cell>
          <cell r="J982">
            <v>0.1295049315068493</v>
          </cell>
        </row>
        <row r="983">
          <cell r="I983">
            <v>1688</v>
          </cell>
          <cell r="J983">
            <v>0.12950849315068494</v>
          </cell>
        </row>
        <row r="984">
          <cell r="I984">
            <v>1689</v>
          </cell>
          <cell r="J984">
            <v>0.12951205479452055</v>
          </cell>
        </row>
        <row r="985">
          <cell r="I985">
            <v>1690</v>
          </cell>
          <cell r="J985">
            <v>0.12951561643835616</v>
          </cell>
        </row>
        <row r="986">
          <cell r="I986">
            <v>1691</v>
          </cell>
          <cell r="J986">
            <v>0.12951917808219177</v>
          </cell>
        </row>
        <row r="987">
          <cell r="I987">
            <v>1692</v>
          </cell>
          <cell r="J987">
            <v>0.1295227397260274</v>
          </cell>
        </row>
        <row r="988">
          <cell r="I988">
            <v>1693</v>
          </cell>
          <cell r="J988">
            <v>0.12952630136986301</v>
          </cell>
        </row>
        <row r="989">
          <cell r="I989">
            <v>1694</v>
          </cell>
          <cell r="J989">
            <v>0.12952986301369862</v>
          </cell>
        </row>
        <row r="990">
          <cell r="I990">
            <v>1695</v>
          </cell>
          <cell r="J990">
            <v>0.12953342465753423</v>
          </cell>
        </row>
        <row r="991">
          <cell r="I991">
            <v>1696</v>
          </cell>
          <cell r="J991">
            <v>0.12953698630136987</v>
          </cell>
        </row>
        <row r="992">
          <cell r="I992">
            <v>1697</v>
          </cell>
          <cell r="J992">
            <v>0.12954054794520548</v>
          </cell>
        </row>
        <row r="993">
          <cell r="I993">
            <v>1698</v>
          </cell>
          <cell r="J993">
            <v>0.12954410958904108</v>
          </cell>
        </row>
        <row r="994">
          <cell r="I994">
            <v>1699</v>
          </cell>
          <cell r="J994">
            <v>0.12954767123287672</v>
          </cell>
        </row>
        <row r="995">
          <cell r="I995">
            <v>1700</v>
          </cell>
          <cell r="J995">
            <v>0.12955123287671233</v>
          </cell>
        </row>
        <row r="996">
          <cell r="I996">
            <v>1701</v>
          </cell>
          <cell r="J996">
            <v>0.12955479452054794</v>
          </cell>
        </row>
        <row r="997">
          <cell r="I997">
            <v>1702</v>
          </cell>
          <cell r="J997">
            <v>0.12955835616438355</v>
          </cell>
        </row>
        <row r="998">
          <cell r="I998">
            <v>1703</v>
          </cell>
          <cell r="J998">
            <v>0.12956191780821918</v>
          </cell>
        </row>
        <row r="999">
          <cell r="I999">
            <v>1704</v>
          </cell>
          <cell r="J999">
            <v>0.12956547945205479</v>
          </cell>
        </row>
        <row r="1000">
          <cell r="I1000">
            <v>1705</v>
          </cell>
          <cell r="J1000">
            <v>0.1295690410958904</v>
          </cell>
        </row>
        <row r="1001">
          <cell r="I1001">
            <v>1706</v>
          </cell>
          <cell r="J1001">
            <v>0.12957260273972601</v>
          </cell>
        </row>
        <row r="1002">
          <cell r="I1002">
            <v>1707</v>
          </cell>
          <cell r="J1002">
            <v>0.12957616438356165</v>
          </cell>
        </row>
        <row r="1003">
          <cell r="I1003">
            <v>1708</v>
          </cell>
          <cell r="J1003">
            <v>0.12957972602739726</v>
          </cell>
        </row>
        <row r="1004">
          <cell r="I1004">
            <v>1709</v>
          </cell>
          <cell r="J1004">
            <v>0.12958328767123287</v>
          </cell>
        </row>
        <row r="1005">
          <cell r="I1005">
            <v>1710</v>
          </cell>
          <cell r="J1005">
            <v>0.1295868493150685</v>
          </cell>
        </row>
        <row r="1006">
          <cell r="I1006">
            <v>1711</v>
          </cell>
          <cell r="J1006">
            <v>0.12959041095890411</v>
          </cell>
        </row>
        <row r="1007">
          <cell r="I1007">
            <v>1712</v>
          </cell>
          <cell r="J1007">
            <v>0.12959397260273972</v>
          </cell>
        </row>
        <row r="1008">
          <cell r="I1008">
            <v>1713</v>
          </cell>
          <cell r="J1008">
            <v>0.12959753424657533</v>
          </cell>
        </row>
        <row r="1009">
          <cell r="I1009">
            <v>1714</v>
          </cell>
          <cell r="J1009">
            <v>0.12960109589041097</v>
          </cell>
        </row>
        <row r="1010">
          <cell r="I1010">
            <v>1715</v>
          </cell>
          <cell r="J1010">
            <v>0.12960465753424658</v>
          </cell>
        </row>
        <row r="1011">
          <cell r="I1011">
            <v>1716</v>
          </cell>
          <cell r="J1011">
            <v>0.12960821917808218</v>
          </cell>
        </row>
        <row r="1012">
          <cell r="I1012">
            <v>1717</v>
          </cell>
          <cell r="J1012">
            <v>0.12961178082191779</v>
          </cell>
        </row>
        <row r="1013">
          <cell r="I1013">
            <v>1718</v>
          </cell>
          <cell r="J1013">
            <v>0.12961534246575343</v>
          </cell>
        </row>
        <row r="1014">
          <cell r="I1014">
            <v>1719</v>
          </cell>
          <cell r="J1014">
            <v>0.12961890410958904</v>
          </cell>
        </row>
        <row r="1015">
          <cell r="I1015">
            <v>1720</v>
          </cell>
          <cell r="J1015">
            <v>0.12962246575342465</v>
          </cell>
        </row>
        <row r="1016">
          <cell r="I1016">
            <v>1721</v>
          </cell>
          <cell r="J1016">
            <v>0.12962602739726029</v>
          </cell>
        </row>
        <row r="1017">
          <cell r="I1017">
            <v>1722</v>
          </cell>
          <cell r="J1017">
            <v>0.12962958904109589</v>
          </cell>
        </row>
        <row r="1018">
          <cell r="I1018">
            <v>1723</v>
          </cell>
          <cell r="J1018">
            <v>0.1296331506849315</v>
          </cell>
        </row>
        <row r="1019">
          <cell r="I1019">
            <v>1724</v>
          </cell>
          <cell r="J1019">
            <v>0.12963671232876711</v>
          </cell>
        </row>
        <row r="1020">
          <cell r="I1020">
            <v>1725</v>
          </cell>
          <cell r="J1020">
            <v>0.12964027397260275</v>
          </cell>
        </row>
        <row r="1021">
          <cell r="I1021">
            <v>1726</v>
          </cell>
          <cell r="J1021">
            <v>0.12964383561643836</v>
          </cell>
        </row>
        <row r="1022">
          <cell r="I1022">
            <v>1727</v>
          </cell>
          <cell r="J1022">
            <v>0.12964739726027397</v>
          </cell>
        </row>
        <row r="1023">
          <cell r="I1023">
            <v>1728</v>
          </cell>
          <cell r="J1023">
            <v>0.12965095890410958</v>
          </cell>
        </row>
        <row r="1024">
          <cell r="I1024">
            <v>1729</v>
          </cell>
          <cell r="J1024">
            <v>0.12965452054794521</v>
          </cell>
        </row>
        <row r="1025">
          <cell r="I1025">
            <v>1730</v>
          </cell>
          <cell r="J1025">
            <v>0.12965808219178082</v>
          </cell>
        </row>
        <row r="1026">
          <cell r="I1026">
            <v>1731</v>
          </cell>
          <cell r="J1026">
            <v>0.12966164383561643</v>
          </cell>
        </row>
        <row r="1027">
          <cell r="I1027">
            <v>1732</v>
          </cell>
          <cell r="J1027">
            <v>0.12966520547945207</v>
          </cell>
        </row>
        <row r="1028">
          <cell r="I1028">
            <v>1733</v>
          </cell>
          <cell r="J1028">
            <v>0.12966876712328768</v>
          </cell>
        </row>
        <row r="1029">
          <cell r="I1029">
            <v>1734</v>
          </cell>
          <cell r="J1029">
            <v>0.12967232876712328</v>
          </cell>
        </row>
        <row r="1030">
          <cell r="I1030">
            <v>1735</v>
          </cell>
          <cell r="J1030">
            <v>0.12967589041095889</v>
          </cell>
        </row>
        <row r="1031">
          <cell r="I1031">
            <v>1736</v>
          </cell>
          <cell r="J1031">
            <v>0.12967945205479453</v>
          </cell>
        </row>
        <row r="1032">
          <cell r="I1032">
            <v>1737</v>
          </cell>
          <cell r="J1032">
            <v>0.12968301369863014</v>
          </cell>
        </row>
        <row r="1033">
          <cell r="I1033">
            <v>1738</v>
          </cell>
          <cell r="J1033">
            <v>0.12968657534246575</v>
          </cell>
        </row>
        <row r="1034">
          <cell r="I1034">
            <v>1739</v>
          </cell>
          <cell r="J1034">
            <v>0.12969013698630136</v>
          </cell>
        </row>
        <row r="1035">
          <cell r="I1035">
            <v>1740</v>
          </cell>
          <cell r="J1035">
            <v>0.12969369863013699</v>
          </cell>
        </row>
        <row r="1036">
          <cell r="I1036">
            <v>1741</v>
          </cell>
          <cell r="J1036">
            <v>0.1296972602739726</v>
          </cell>
        </row>
        <row r="1037">
          <cell r="I1037">
            <v>1742</v>
          </cell>
          <cell r="J1037">
            <v>0.12970082191780821</v>
          </cell>
        </row>
        <row r="1038">
          <cell r="I1038">
            <v>1743</v>
          </cell>
          <cell r="J1038">
            <v>0.12970438356164382</v>
          </cell>
        </row>
        <row r="1039">
          <cell r="I1039">
            <v>1744</v>
          </cell>
          <cell r="J1039">
            <v>0.12970794520547946</v>
          </cell>
        </row>
        <row r="1040">
          <cell r="I1040">
            <v>1745</v>
          </cell>
          <cell r="J1040">
            <v>0.12971150684931507</v>
          </cell>
        </row>
        <row r="1041">
          <cell r="I1041">
            <v>1746</v>
          </cell>
          <cell r="J1041">
            <v>0.12971506849315068</v>
          </cell>
        </row>
        <row r="1042">
          <cell r="I1042">
            <v>1747</v>
          </cell>
          <cell r="J1042">
            <v>0.12971863013698631</v>
          </cell>
        </row>
        <row r="1043">
          <cell r="I1043">
            <v>1748</v>
          </cell>
          <cell r="J1043">
            <v>0.12972219178082192</v>
          </cell>
        </row>
        <row r="1044">
          <cell r="I1044">
            <v>1749</v>
          </cell>
          <cell r="J1044">
            <v>0.12972575342465753</v>
          </cell>
        </row>
        <row r="1045">
          <cell r="I1045">
            <v>1750</v>
          </cell>
          <cell r="J1045">
            <v>0.12972931506849314</v>
          </cell>
        </row>
        <row r="1046">
          <cell r="I1046">
            <v>1751</v>
          </cell>
          <cell r="J1046">
            <v>0.12973287671232878</v>
          </cell>
        </row>
        <row r="1047">
          <cell r="I1047">
            <v>1752</v>
          </cell>
          <cell r="J1047">
            <v>0.12973643835616439</v>
          </cell>
        </row>
        <row r="1048">
          <cell r="I1048">
            <v>1753</v>
          </cell>
          <cell r="J1048">
            <v>0.12973999999999999</v>
          </cell>
        </row>
        <row r="1049">
          <cell r="I1049">
            <v>1754</v>
          </cell>
          <cell r="J1049">
            <v>0.1297435616438356</v>
          </cell>
        </row>
        <row r="1050">
          <cell r="I1050">
            <v>1755</v>
          </cell>
          <cell r="J1050">
            <v>0.12974712328767124</v>
          </cell>
        </row>
        <row r="1051">
          <cell r="I1051">
            <v>1756</v>
          </cell>
          <cell r="J1051">
            <v>0.12975068493150685</v>
          </cell>
        </row>
        <row r="1052">
          <cell r="I1052">
            <v>1757</v>
          </cell>
          <cell r="J1052">
            <v>0.12975424657534246</v>
          </cell>
        </row>
        <row r="1053">
          <cell r="I1053">
            <v>1758</v>
          </cell>
          <cell r="J1053">
            <v>0.12975780821917809</v>
          </cell>
        </row>
        <row r="1054">
          <cell r="I1054">
            <v>1759</v>
          </cell>
          <cell r="J1054">
            <v>0.1297613698630137</v>
          </cell>
        </row>
        <row r="1055">
          <cell r="I1055">
            <v>1760</v>
          </cell>
          <cell r="J1055">
            <v>0.12976493150684931</v>
          </cell>
        </row>
        <row r="1056">
          <cell r="I1056">
            <v>1761</v>
          </cell>
          <cell r="J1056">
            <v>0.12976849315068492</v>
          </cell>
        </row>
        <row r="1057">
          <cell r="I1057">
            <v>1762</v>
          </cell>
          <cell r="J1057">
            <v>0.12977205479452056</v>
          </cell>
        </row>
        <row r="1058">
          <cell r="I1058">
            <v>1763</v>
          </cell>
          <cell r="J1058">
            <v>0.12977561643835617</v>
          </cell>
        </row>
        <row r="1059">
          <cell r="I1059">
            <v>1764</v>
          </cell>
          <cell r="J1059">
            <v>0.12977917808219178</v>
          </cell>
        </row>
        <row r="1060">
          <cell r="I1060">
            <v>1765</v>
          </cell>
          <cell r="J1060">
            <v>0.12978273972602739</v>
          </cell>
        </row>
        <row r="1061">
          <cell r="I1061">
            <v>1766</v>
          </cell>
          <cell r="J1061">
            <v>0.12978630136986302</v>
          </cell>
        </row>
        <row r="1062">
          <cell r="I1062">
            <v>1767</v>
          </cell>
          <cell r="J1062">
            <v>0.12978986301369863</v>
          </cell>
        </row>
        <row r="1063">
          <cell r="I1063">
            <v>1768</v>
          </cell>
          <cell r="J1063">
            <v>0.12979342465753424</v>
          </cell>
        </row>
        <row r="1064">
          <cell r="I1064">
            <v>1769</v>
          </cell>
          <cell r="J1064">
            <v>0.12979698630136988</v>
          </cell>
        </row>
        <row r="1065">
          <cell r="I1065">
            <v>1770</v>
          </cell>
          <cell r="J1065">
            <v>0.12980054794520549</v>
          </cell>
        </row>
        <row r="1066">
          <cell r="I1066">
            <v>1771</v>
          </cell>
          <cell r="J1066">
            <v>0.12980410958904109</v>
          </cell>
        </row>
        <row r="1067">
          <cell r="I1067">
            <v>1772</v>
          </cell>
          <cell r="J1067">
            <v>0.1298076712328767</v>
          </cell>
        </row>
        <row r="1068">
          <cell r="I1068">
            <v>1773</v>
          </cell>
          <cell r="J1068">
            <v>0.12981123287671234</v>
          </cell>
        </row>
        <row r="1069">
          <cell r="I1069">
            <v>1774</v>
          </cell>
          <cell r="J1069">
            <v>0.12981479452054795</v>
          </cell>
        </row>
        <row r="1070">
          <cell r="I1070">
            <v>1775</v>
          </cell>
          <cell r="J1070">
            <v>0.12981835616438356</v>
          </cell>
        </row>
        <row r="1071">
          <cell r="I1071">
            <v>1776</v>
          </cell>
          <cell r="J1071">
            <v>0.12982191780821917</v>
          </cell>
        </row>
        <row r="1072">
          <cell r="I1072">
            <v>1777</v>
          </cell>
          <cell r="J1072">
            <v>0.1298254794520548</v>
          </cell>
        </row>
        <row r="1073">
          <cell r="I1073">
            <v>1778</v>
          </cell>
          <cell r="J1073">
            <v>0.12982904109589041</v>
          </cell>
        </row>
        <row r="1074">
          <cell r="I1074">
            <v>1779</v>
          </cell>
          <cell r="J1074">
            <v>0.12983260273972602</v>
          </cell>
        </row>
        <row r="1075">
          <cell r="I1075">
            <v>1780</v>
          </cell>
          <cell r="J1075">
            <v>0.12983616438356166</v>
          </cell>
        </row>
        <row r="1076">
          <cell r="I1076">
            <v>1781</v>
          </cell>
          <cell r="J1076">
            <v>0.12983972602739727</v>
          </cell>
        </row>
        <row r="1077">
          <cell r="I1077">
            <v>1782</v>
          </cell>
          <cell r="J1077">
            <v>0.12984328767123288</v>
          </cell>
        </row>
        <row r="1078">
          <cell r="I1078">
            <v>1783</v>
          </cell>
          <cell r="J1078">
            <v>0.12984684931506849</v>
          </cell>
        </row>
        <row r="1079">
          <cell r="I1079">
            <v>1784</v>
          </cell>
          <cell r="J1079">
            <v>0.12985041095890412</v>
          </cell>
        </row>
        <row r="1080">
          <cell r="I1080">
            <v>1785</v>
          </cell>
          <cell r="J1080">
            <v>0.12985397260273973</v>
          </cell>
        </row>
        <row r="1081">
          <cell r="I1081">
            <v>1786</v>
          </cell>
          <cell r="J1081">
            <v>0.12985753424657534</v>
          </cell>
        </row>
        <row r="1082">
          <cell r="I1082">
            <v>1787</v>
          </cell>
          <cell r="J1082">
            <v>0.12986109589041095</v>
          </cell>
        </row>
        <row r="1083">
          <cell r="I1083">
            <v>1788</v>
          </cell>
          <cell r="J1083">
            <v>0.12986465753424659</v>
          </cell>
        </row>
        <row r="1084">
          <cell r="I1084">
            <v>1789</v>
          </cell>
          <cell r="J1084">
            <v>0.12986821917808219</v>
          </cell>
        </row>
        <row r="1085">
          <cell r="I1085">
            <v>1790</v>
          </cell>
          <cell r="J1085">
            <v>0.1298717808219178</v>
          </cell>
        </row>
        <row r="1086">
          <cell r="I1086">
            <v>1791</v>
          </cell>
          <cell r="J1086">
            <v>0.12987534246575344</v>
          </cell>
        </row>
        <row r="1087">
          <cell r="I1087">
            <v>1792</v>
          </cell>
          <cell r="J1087">
            <v>0.12987890410958905</v>
          </cell>
        </row>
        <row r="1088">
          <cell r="I1088">
            <v>1793</v>
          </cell>
          <cell r="J1088">
            <v>0.12988246575342466</v>
          </cell>
        </row>
        <row r="1089">
          <cell r="I1089">
            <v>1794</v>
          </cell>
          <cell r="J1089">
            <v>0.12988602739726027</v>
          </cell>
        </row>
        <row r="1090">
          <cell r="I1090">
            <v>1795</v>
          </cell>
          <cell r="J1090">
            <v>0.1298895890410959</v>
          </cell>
        </row>
        <row r="1091">
          <cell r="I1091">
            <v>1796</v>
          </cell>
          <cell r="J1091">
            <v>0.12989315068493151</v>
          </cell>
        </row>
        <row r="1092">
          <cell r="I1092">
            <v>1797</v>
          </cell>
          <cell r="J1092">
            <v>0.12989671232876712</v>
          </cell>
        </row>
        <row r="1093">
          <cell r="I1093">
            <v>1798</v>
          </cell>
          <cell r="J1093">
            <v>0.12990027397260273</v>
          </cell>
        </row>
        <row r="1094">
          <cell r="I1094">
            <v>1799</v>
          </cell>
          <cell r="J1094">
            <v>0.12990383561643837</v>
          </cell>
        </row>
        <row r="1095">
          <cell r="I1095">
            <v>1800</v>
          </cell>
          <cell r="J1095">
            <v>0.12990739726027398</v>
          </cell>
        </row>
        <row r="1096">
          <cell r="I1096">
            <v>1801</v>
          </cell>
          <cell r="J1096">
            <v>0.12991095890410959</v>
          </cell>
        </row>
        <row r="1097">
          <cell r="I1097">
            <v>1802</v>
          </cell>
          <cell r="J1097">
            <v>0.12991452054794519</v>
          </cell>
        </row>
        <row r="1098">
          <cell r="I1098">
            <v>1803</v>
          </cell>
          <cell r="J1098">
            <v>0.12991808219178083</v>
          </cell>
        </row>
        <row r="1099">
          <cell r="I1099">
            <v>1804</v>
          </cell>
          <cell r="J1099">
            <v>0.12992164383561644</v>
          </cell>
        </row>
        <row r="1100">
          <cell r="I1100">
            <v>1805</v>
          </cell>
          <cell r="J1100">
            <v>0.12992520547945205</v>
          </cell>
        </row>
        <row r="1101">
          <cell r="I1101">
            <v>1806</v>
          </cell>
          <cell r="J1101">
            <v>0.12992876712328769</v>
          </cell>
        </row>
        <row r="1102">
          <cell r="I1102">
            <v>1807</v>
          </cell>
          <cell r="J1102">
            <v>0.1299323287671233</v>
          </cell>
        </row>
        <row r="1103">
          <cell r="I1103">
            <v>1808</v>
          </cell>
          <cell r="J1103">
            <v>0.1299358904109589</v>
          </cell>
        </row>
        <row r="1104">
          <cell r="I1104">
            <v>1809</v>
          </cell>
          <cell r="J1104">
            <v>0.12993945205479451</v>
          </cell>
        </row>
        <row r="1105">
          <cell r="I1105">
            <v>1810</v>
          </cell>
          <cell r="J1105">
            <v>0.12994301369863015</v>
          </cell>
        </row>
        <row r="1106">
          <cell r="I1106">
            <v>1811</v>
          </cell>
          <cell r="J1106">
            <v>0.12994657534246576</v>
          </cell>
        </row>
        <row r="1107">
          <cell r="I1107">
            <v>1812</v>
          </cell>
          <cell r="J1107">
            <v>0.12995013698630137</v>
          </cell>
        </row>
        <row r="1108">
          <cell r="I1108">
            <v>1813</v>
          </cell>
          <cell r="J1108">
            <v>0.12995369863013698</v>
          </cell>
        </row>
        <row r="1109">
          <cell r="I1109">
            <v>1814</v>
          </cell>
          <cell r="J1109">
            <v>0.12995726027397261</v>
          </cell>
        </row>
        <row r="1110">
          <cell r="I1110">
            <v>1815</v>
          </cell>
          <cell r="J1110">
            <v>0.12996082191780822</v>
          </cell>
        </row>
        <row r="1111">
          <cell r="I1111">
            <v>1816</v>
          </cell>
          <cell r="J1111">
            <v>0.12996438356164383</v>
          </cell>
        </row>
        <row r="1112">
          <cell r="I1112">
            <v>1817</v>
          </cell>
          <cell r="J1112">
            <v>0.12996794520547947</v>
          </cell>
        </row>
        <row r="1113">
          <cell r="I1113">
            <v>1818</v>
          </cell>
          <cell r="J1113">
            <v>0.12997150684931508</v>
          </cell>
        </row>
        <row r="1114">
          <cell r="I1114">
            <v>1819</v>
          </cell>
          <cell r="J1114">
            <v>0.12997506849315069</v>
          </cell>
        </row>
        <row r="1115">
          <cell r="I1115">
            <v>1820</v>
          </cell>
          <cell r="J1115">
            <v>0.1299786301369863</v>
          </cell>
        </row>
        <row r="1116">
          <cell r="I1116">
            <v>1821</v>
          </cell>
          <cell r="J1116">
            <v>0.12998219178082193</v>
          </cell>
        </row>
        <row r="1117">
          <cell r="I1117">
            <v>1822</v>
          </cell>
          <cell r="J1117">
            <v>0.12998575342465754</v>
          </cell>
        </row>
        <row r="1118">
          <cell r="I1118">
            <v>1823</v>
          </cell>
          <cell r="J1118">
            <v>0.12998931506849315</v>
          </cell>
        </row>
        <row r="1119">
          <cell r="I1119">
            <v>1824</v>
          </cell>
          <cell r="J1119">
            <v>0.12999287671232876</v>
          </cell>
        </row>
        <row r="1120">
          <cell r="I1120">
            <v>1825</v>
          </cell>
          <cell r="J1120">
            <v>0.1299964383561644</v>
          </cell>
        </row>
        <row r="1121">
          <cell r="I1121">
            <v>1826</v>
          </cell>
          <cell r="J1121">
            <v>0.13</v>
          </cell>
        </row>
        <row r="1122">
          <cell r="I1122">
            <v>1827</v>
          </cell>
          <cell r="J1122">
            <v>0.13000164383561644</v>
          </cell>
        </row>
        <row r="1123">
          <cell r="I1123">
            <v>1828</v>
          </cell>
          <cell r="J1123">
            <v>0.13000328767123287</v>
          </cell>
        </row>
        <row r="1124">
          <cell r="I1124">
            <v>1829</v>
          </cell>
          <cell r="J1124">
            <v>0.13000493150684933</v>
          </cell>
        </row>
        <row r="1125">
          <cell r="I1125">
            <v>1830</v>
          </cell>
          <cell r="J1125">
            <v>0.13000657534246576</v>
          </cell>
        </row>
        <row r="1126">
          <cell r="I1126">
            <v>1831</v>
          </cell>
          <cell r="J1126">
            <v>0.1300082191780822</v>
          </cell>
        </row>
        <row r="1127">
          <cell r="I1127">
            <v>1832</v>
          </cell>
          <cell r="J1127">
            <v>0.13000986301369863</v>
          </cell>
        </row>
        <row r="1128">
          <cell r="I1128">
            <v>1833</v>
          </cell>
          <cell r="J1128">
            <v>0.13001150684931506</v>
          </cell>
        </row>
        <row r="1129">
          <cell r="I1129">
            <v>1834</v>
          </cell>
          <cell r="J1129">
            <v>0.13001315068493152</v>
          </cell>
        </row>
        <row r="1130">
          <cell r="I1130">
            <v>1835</v>
          </cell>
          <cell r="J1130">
            <v>0.13001479452054795</v>
          </cell>
        </row>
        <row r="1131">
          <cell r="I1131">
            <v>1836</v>
          </cell>
          <cell r="J1131">
            <v>0.13001643835616439</v>
          </cell>
        </row>
        <row r="1132">
          <cell r="I1132">
            <v>1837</v>
          </cell>
          <cell r="J1132">
            <v>0.13001808219178082</v>
          </cell>
        </row>
        <row r="1133">
          <cell r="I1133">
            <v>1838</v>
          </cell>
          <cell r="J1133">
            <v>0.13001972602739725</v>
          </cell>
        </row>
        <row r="1134">
          <cell r="I1134">
            <v>1839</v>
          </cell>
          <cell r="J1134">
            <v>0.13002136986301371</v>
          </cell>
        </row>
        <row r="1135">
          <cell r="I1135">
            <v>1840</v>
          </cell>
          <cell r="J1135">
            <v>0.13002301369863015</v>
          </cell>
        </row>
        <row r="1136">
          <cell r="I1136">
            <v>1841</v>
          </cell>
          <cell r="J1136">
            <v>0.13002465753424658</v>
          </cell>
        </row>
        <row r="1137">
          <cell r="I1137">
            <v>1842</v>
          </cell>
          <cell r="J1137">
            <v>0.13002630136986301</v>
          </cell>
        </row>
        <row r="1138">
          <cell r="I1138">
            <v>1843</v>
          </cell>
          <cell r="J1138">
            <v>0.13002794520547944</v>
          </cell>
        </row>
        <row r="1139">
          <cell r="I1139">
            <v>1844</v>
          </cell>
          <cell r="J1139">
            <v>0.13002958904109591</v>
          </cell>
        </row>
        <row r="1140">
          <cell r="I1140">
            <v>1845</v>
          </cell>
          <cell r="J1140">
            <v>0.13003123287671234</v>
          </cell>
        </row>
        <row r="1141">
          <cell r="I1141">
            <v>1846</v>
          </cell>
          <cell r="J1141">
            <v>0.13003287671232877</v>
          </cell>
        </row>
        <row r="1142">
          <cell r="I1142">
            <v>1847</v>
          </cell>
          <cell r="J1142">
            <v>0.1300345205479452</v>
          </cell>
        </row>
        <row r="1143">
          <cell r="I1143">
            <v>1848</v>
          </cell>
          <cell r="J1143">
            <v>0.13003616438356164</v>
          </cell>
        </row>
        <row r="1144">
          <cell r="I1144">
            <v>1849</v>
          </cell>
          <cell r="J1144">
            <v>0.1300378082191781</v>
          </cell>
        </row>
        <row r="1145">
          <cell r="I1145">
            <v>1850</v>
          </cell>
          <cell r="J1145">
            <v>0.13003945205479453</v>
          </cell>
        </row>
        <row r="1146">
          <cell r="I1146">
            <v>1851</v>
          </cell>
          <cell r="J1146">
            <v>0.13004109589041096</v>
          </cell>
        </row>
        <row r="1147">
          <cell r="I1147">
            <v>1852</v>
          </cell>
          <cell r="J1147">
            <v>0.1300427397260274</v>
          </cell>
        </row>
        <row r="1148">
          <cell r="I1148">
            <v>1853</v>
          </cell>
          <cell r="J1148">
            <v>0.13004438356164383</v>
          </cell>
        </row>
        <row r="1149">
          <cell r="I1149">
            <v>1854</v>
          </cell>
          <cell r="J1149">
            <v>0.13004602739726029</v>
          </cell>
        </row>
        <row r="1150">
          <cell r="I1150">
            <v>1855</v>
          </cell>
          <cell r="J1150">
            <v>0.13004767123287672</v>
          </cell>
        </row>
        <row r="1151">
          <cell r="I1151">
            <v>1856</v>
          </cell>
          <cell r="J1151">
            <v>0.13004931506849315</v>
          </cell>
        </row>
        <row r="1152">
          <cell r="I1152">
            <v>1857</v>
          </cell>
          <cell r="J1152">
            <v>0.13005095890410959</v>
          </cell>
        </row>
        <row r="1153">
          <cell r="I1153">
            <v>1858</v>
          </cell>
          <cell r="J1153">
            <v>0.13005260273972602</v>
          </cell>
        </row>
        <row r="1154">
          <cell r="I1154">
            <v>1859</v>
          </cell>
          <cell r="J1154">
            <v>0.13005424657534248</v>
          </cell>
        </row>
        <row r="1155">
          <cell r="I1155">
            <v>1860</v>
          </cell>
          <cell r="J1155">
            <v>0.13005589041095891</v>
          </cell>
        </row>
        <row r="1156">
          <cell r="I1156">
            <v>1861</v>
          </cell>
          <cell r="J1156">
            <v>0.13005753424657535</v>
          </cell>
        </row>
        <row r="1157">
          <cell r="I1157">
            <v>1862</v>
          </cell>
          <cell r="J1157">
            <v>0.13005917808219178</v>
          </cell>
        </row>
        <row r="1158">
          <cell r="I1158">
            <v>1863</v>
          </cell>
          <cell r="J1158">
            <v>0.13006082191780821</v>
          </cell>
        </row>
        <row r="1159">
          <cell r="I1159">
            <v>1864</v>
          </cell>
          <cell r="J1159">
            <v>0.13006246575342467</v>
          </cell>
        </row>
        <row r="1160">
          <cell r="I1160">
            <v>1865</v>
          </cell>
          <cell r="J1160">
            <v>0.1300641095890411</v>
          </cell>
        </row>
        <row r="1161">
          <cell r="I1161">
            <v>1866</v>
          </cell>
          <cell r="J1161">
            <v>0.13006575342465754</v>
          </cell>
        </row>
        <row r="1162">
          <cell r="I1162">
            <v>1867</v>
          </cell>
          <cell r="J1162">
            <v>0.13006739726027397</v>
          </cell>
        </row>
        <row r="1163">
          <cell r="I1163">
            <v>1868</v>
          </cell>
          <cell r="J1163">
            <v>0.1300690410958904</v>
          </cell>
        </row>
        <row r="1164">
          <cell r="I1164">
            <v>1869</v>
          </cell>
          <cell r="J1164">
            <v>0.13007068493150686</v>
          </cell>
        </row>
        <row r="1165">
          <cell r="I1165">
            <v>1870</v>
          </cell>
          <cell r="J1165">
            <v>0.1300723287671233</v>
          </cell>
        </row>
        <row r="1166">
          <cell r="I1166">
            <v>1871</v>
          </cell>
          <cell r="J1166">
            <v>0.13007397260273973</v>
          </cell>
        </row>
        <row r="1167">
          <cell r="I1167">
            <v>1872</v>
          </cell>
          <cell r="J1167">
            <v>0.13007561643835616</v>
          </cell>
        </row>
        <row r="1168">
          <cell r="I1168">
            <v>1873</v>
          </cell>
          <cell r="J1168">
            <v>0.13007726027397259</v>
          </cell>
        </row>
        <row r="1169">
          <cell r="I1169">
            <v>1874</v>
          </cell>
          <cell r="J1169">
            <v>0.13007890410958906</v>
          </cell>
        </row>
        <row r="1170">
          <cell r="I1170">
            <v>1875</v>
          </cell>
          <cell r="J1170">
            <v>0.13008054794520549</v>
          </cell>
        </row>
        <row r="1171">
          <cell r="I1171">
            <v>1876</v>
          </cell>
          <cell r="J1171">
            <v>0.13008219178082192</v>
          </cell>
        </row>
        <row r="1172">
          <cell r="I1172">
            <v>1877</v>
          </cell>
          <cell r="J1172">
            <v>0.13008383561643835</v>
          </cell>
        </row>
        <row r="1173">
          <cell r="I1173">
            <v>1878</v>
          </cell>
          <cell r="J1173">
            <v>0.13008547945205479</v>
          </cell>
        </row>
        <row r="1174">
          <cell r="I1174">
            <v>1879</v>
          </cell>
          <cell r="J1174">
            <v>0.13008712328767125</v>
          </cell>
        </row>
        <row r="1175">
          <cell r="I1175">
            <v>1880</v>
          </cell>
          <cell r="J1175">
            <v>0.13008876712328768</v>
          </cell>
        </row>
        <row r="1176">
          <cell r="I1176">
            <v>1881</v>
          </cell>
          <cell r="J1176">
            <v>0.13009041095890411</v>
          </cell>
        </row>
        <row r="1177">
          <cell r="I1177">
            <v>1882</v>
          </cell>
          <cell r="J1177">
            <v>0.13009205479452055</v>
          </cell>
        </row>
        <row r="1178">
          <cell r="I1178">
            <v>1883</v>
          </cell>
          <cell r="J1178">
            <v>0.13009369863013698</v>
          </cell>
        </row>
        <row r="1179">
          <cell r="I1179">
            <v>1884</v>
          </cell>
          <cell r="J1179">
            <v>0.13009534246575344</v>
          </cell>
        </row>
        <row r="1180">
          <cell r="I1180">
            <v>1885</v>
          </cell>
          <cell r="J1180">
            <v>0.13009698630136987</v>
          </cell>
        </row>
        <row r="1181">
          <cell r="I1181">
            <v>1886</v>
          </cell>
          <cell r="J1181">
            <v>0.1300986301369863</v>
          </cell>
        </row>
        <row r="1182">
          <cell r="I1182">
            <v>1887</v>
          </cell>
          <cell r="J1182">
            <v>0.13010027397260274</v>
          </cell>
        </row>
        <row r="1183">
          <cell r="I1183">
            <v>1888</v>
          </cell>
          <cell r="J1183">
            <v>0.13010191780821917</v>
          </cell>
        </row>
        <row r="1184">
          <cell r="I1184">
            <v>1889</v>
          </cell>
          <cell r="J1184">
            <v>0.13010356164383563</v>
          </cell>
        </row>
        <row r="1185">
          <cell r="I1185">
            <v>1890</v>
          </cell>
          <cell r="J1185">
            <v>0.13010520547945206</v>
          </cell>
        </row>
        <row r="1186">
          <cell r="I1186">
            <v>1891</v>
          </cell>
          <cell r="J1186">
            <v>0.1301068493150685</v>
          </cell>
        </row>
        <row r="1187">
          <cell r="I1187">
            <v>1892</v>
          </cell>
          <cell r="J1187">
            <v>0.13010849315068493</v>
          </cell>
        </row>
        <row r="1188">
          <cell r="I1188">
            <v>1893</v>
          </cell>
          <cell r="J1188">
            <v>0.13011013698630136</v>
          </cell>
        </row>
        <row r="1189">
          <cell r="I1189">
            <v>1894</v>
          </cell>
          <cell r="J1189">
            <v>0.13011178082191782</v>
          </cell>
        </row>
        <row r="1190">
          <cell r="I1190">
            <v>1895</v>
          </cell>
          <cell r="J1190">
            <v>0.13011342465753425</v>
          </cell>
        </row>
        <row r="1191">
          <cell r="I1191">
            <v>1896</v>
          </cell>
          <cell r="J1191">
            <v>0.13011506849315069</v>
          </cell>
        </row>
        <row r="1192">
          <cell r="I1192">
            <v>1897</v>
          </cell>
          <cell r="J1192">
            <v>0.13011671232876712</v>
          </cell>
        </row>
        <row r="1193">
          <cell r="I1193">
            <v>1898</v>
          </cell>
          <cell r="J1193">
            <v>0.13011835616438355</v>
          </cell>
        </row>
        <row r="1194">
          <cell r="I1194">
            <v>1899</v>
          </cell>
          <cell r="J1194">
            <v>0.13012000000000001</v>
          </cell>
        </row>
        <row r="1195">
          <cell r="I1195">
            <v>1900</v>
          </cell>
          <cell r="J1195">
            <v>0.13012164383561645</v>
          </cell>
        </row>
        <row r="1196">
          <cell r="I1196">
            <v>1901</v>
          </cell>
          <cell r="J1196">
            <v>0.13012328767123288</v>
          </cell>
        </row>
        <row r="1197">
          <cell r="I1197">
            <v>1902</v>
          </cell>
          <cell r="J1197">
            <v>0.13012493150684931</v>
          </cell>
        </row>
        <row r="1198">
          <cell r="I1198">
            <v>1903</v>
          </cell>
          <cell r="J1198">
            <v>0.13012657534246574</v>
          </cell>
        </row>
        <row r="1199">
          <cell r="I1199">
            <v>1904</v>
          </cell>
          <cell r="J1199">
            <v>0.13012821917808221</v>
          </cell>
        </row>
        <row r="1200">
          <cell r="I1200">
            <v>1905</v>
          </cell>
          <cell r="J1200">
            <v>0.13012986301369864</v>
          </cell>
        </row>
        <row r="1201">
          <cell r="I1201">
            <v>1906</v>
          </cell>
          <cell r="J1201">
            <v>0.13013150684931507</v>
          </cell>
        </row>
        <row r="1202">
          <cell r="I1202">
            <v>1907</v>
          </cell>
          <cell r="J1202">
            <v>0.1301331506849315</v>
          </cell>
        </row>
        <row r="1203">
          <cell r="I1203">
            <v>1908</v>
          </cell>
          <cell r="J1203">
            <v>0.13013479452054794</v>
          </cell>
        </row>
        <row r="1204">
          <cell r="I1204">
            <v>1909</v>
          </cell>
          <cell r="J1204">
            <v>0.1301364383561644</v>
          </cell>
        </row>
        <row r="1205">
          <cell r="I1205">
            <v>1910</v>
          </cell>
          <cell r="J1205">
            <v>0.13013808219178083</v>
          </cell>
        </row>
        <row r="1206">
          <cell r="I1206">
            <v>1911</v>
          </cell>
          <cell r="J1206">
            <v>0.13013972602739726</v>
          </cell>
        </row>
        <row r="1207">
          <cell r="I1207">
            <v>1912</v>
          </cell>
          <cell r="J1207">
            <v>0.1301413698630137</v>
          </cell>
        </row>
        <row r="1208">
          <cell r="I1208">
            <v>1913</v>
          </cell>
          <cell r="J1208">
            <v>0.13014301369863013</v>
          </cell>
        </row>
        <row r="1209">
          <cell r="I1209">
            <v>1914</v>
          </cell>
          <cell r="J1209">
            <v>0.13014465753424659</v>
          </cell>
        </row>
        <row r="1210">
          <cell r="I1210">
            <v>1915</v>
          </cell>
          <cell r="J1210">
            <v>0.13014630136986302</v>
          </cell>
        </row>
        <row r="1211">
          <cell r="I1211">
            <v>1916</v>
          </cell>
          <cell r="J1211">
            <v>0.13014794520547945</v>
          </cell>
        </row>
        <row r="1212">
          <cell r="I1212">
            <v>1917</v>
          </cell>
          <cell r="J1212">
            <v>0.13014958904109589</v>
          </cell>
        </row>
        <row r="1213">
          <cell r="I1213">
            <v>1918</v>
          </cell>
          <cell r="J1213">
            <v>0.13015123287671232</v>
          </cell>
        </row>
        <row r="1214">
          <cell r="I1214">
            <v>1919</v>
          </cell>
          <cell r="J1214">
            <v>0.13015287671232878</v>
          </cell>
        </row>
        <row r="1215">
          <cell r="I1215">
            <v>1920</v>
          </cell>
          <cell r="J1215">
            <v>0.13015452054794521</v>
          </cell>
        </row>
        <row r="1216">
          <cell r="I1216">
            <v>1921</v>
          </cell>
          <cell r="J1216">
            <v>0.13015616438356165</v>
          </cell>
        </row>
        <row r="1217">
          <cell r="I1217">
            <v>1922</v>
          </cell>
          <cell r="J1217">
            <v>0.13015780821917808</v>
          </cell>
        </row>
        <row r="1218">
          <cell r="I1218">
            <v>1923</v>
          </cell>
          <cell r="J1218">
            <v>0.13015945205479451</v>
          </cell>
        </row>
        <row r="1219">
          <cell r="I1219">
            <v>1924</v>
          </cell>
          <cell r="J1219">
            <v>0.13016109589041097</v>
          </cell>
        </row>
        <row r="1220">
          <cell r="I1220">
            <v>1925</v>
          </cell>
          <cell r="J1220">
            <v>0.1301627397260274</v>
          </cell>
        </row>
        <row r="1221">
          <cell r="I1221">
            <v>1926</v>
          </cell>
          <cell r="J1221">
            <v>0.13016438356164384</v>
          </cell>
        </row>
        <row r="1222">
          <cell r="I1222">
            <v>1927</v>
          </cell>
          <cell r="J1222">
            <v>0.13016602739726027</v>
          </cell>
        </row>
        <row r="1223">
          <cell r="I1223">
            <v>1928</v>
          </cell>
          <cell r="J1223">
            <v>0.1301676712328767</v>
          </cell>
        </row>
        <row r="1224">
          <cell r="I1224">
            <v>1929</v>
          </cell>
          <cell r="J1224">
            <v>0.13016931506849316</v>
          </cell>
        </row>
        <row r="1225">
          <cell r="I1225">
            <v>1930</v>
          </cell>
          <cell r="J1225">
            <v>0.1301709589041096</v>
          </cell>
        </row>
        <row r="1226">
          <cell r="I1226">
            <v>1931</v>
          </cell>
          <cell r="J1226">
            <v>0.13017260273972603</v>
          </cell>
        </row>
        <row r="1227">
          <cell r="I1227">
            <v>1932</v>
          </cell>
          <cell r="J1227">
            <v>0.13017424657534246</v>
          </cell>
        </row>
        <row r="1228">
          <cell r="I1228">
            <v>1933</v>
          </cell>
          <cell r="J1228">
            <v>0.13017589041095889</v>
          </cell>
        </row>
        <row r="1229">
          <cell r="I1229">
            <v>1934</v>
          </cell>
          <cell r="J1229">
            <v>0.13017753424657535</v>
          </cell>
        </row>
        <row r="1230">
          <cell r="I1230">
            <v>1935</v>
          </cell>
          <cell r="J1230">
            <v>0.13017917808219179</v>
          </cell>
        </row>
        <row r="1231">
          <cell r="I1231">
            <v>1936</v>
          </cell>
          <cell r="J1231">
            <v>0.13018082191780822</v>
          </cell>
        </row>
        <row r="1232">
          <cell r="I1232">
            <v>1937</v>
          </cell>
          <cell r="J1232">
            <v>0.13018246575342465</v>
          </cell>
        </row>
        <row r="1233">
          <cell r="I1233">
            <v>1938</v>
          </cell>
          <cell r="J1233">
            <v>0.13018410958904109</v>
          </cell>
        </row>
        <row r="1234">
          <cell r="I1234">
            <v>1939</v>
          </cell>
          <cell r="J1234">
            <v>0.13018575342465755</v>
          </cell>
        </row>
        <row r="1235">
          <cell r="I1235">
            <v>1940</v>
          </cell>
          <cell r="J1235">
            <v>0.13018739726027398</v>
          </cell>
        </row>
        <row r="1236">
          <cell r="I1236">
            <v>1941</v>
          </cell>
          <cell r="J1236">
            <v>0.13018904109589041</v>
          </cell>
        </row>
        <row r="1237">
          <cell r="I1237">
            <v>1942</v>
          </cell>
          <cell r="J1237">
            <v>0.13019068493150684</v>
          </cell>
        </row>
        <row r="1238">
          <cell r="I1238">
            <v>1943</v>
          </cell>
          <cell r="J1238">
            <v>0.13019232876712328</v>
          </cell>
        </row>
        <row r="1239">
          <cell r="I1239">
            <v>1944</v>
          </cell>
          <cell r="J1239">
            <v>0.13019397260273974</v>
          </cell>
        </row>
        <row r="1240">
          <cell r="I1240">
            <v>1945</v>
          </cell>
          <cell r="J1240">
            <v>0.13019561643835617</v>
          </cell>
        </row>
        <row r="1241">
          <cell r="I1241">
            <v>1946</v>
          </cell>
          <cell r="J1241">
            <v>0.1301972602739726</v>
          </cell>
        </row>
        <row r="1242">
          <cell r="I1242">
            <v>1947</v>
          </cell>
          <cell r="J1242">
            <v>0.13019890410958904</v>
          </cell>
        </row>
        <row r="1243">
          <cell r="I1243">
            <v>1948</v>
          </cell>
          <cell r="J1243">
            <v>0.13020054794520547</v>
          </cell>
        </row>
        <row r="1244">
          <cell r="I1244">
            <v>1949</v>
          </cell>
          <cell r="J1244">
            <v>0.13020219178082193</v>
          </cell>
        </row>
        <row r="1245">
          <cell r="I1245">
            <v>1950</v>
          </cell>
          <cell r="J1245">
            <v>0.13020383561643836</v>
          </cell>
        </row>
        <row r="1246">
          <cell r="I1246">
            <v>1951</v>
          </cell>
          <cell r="J1246">
            <v>0.1302054794520548</v>
          </cell>
        </row>
        <row r="1247">
          <cell r="I1247">
            <v>1952</v>
          </cell>
          <cell r="J1247">
            <v>0.13020712328767123</v>
          </cell>
        </row>
        <row r="1248">
          <cell r="I1248">
            <v>1953</v>
          </cell>
          <cell r="J1248">
            <v>0.13020876712328766</v>
          </cell>
        </row>
        <row r="1249">
          <cell r="I1249">
            <v>1954</v>
          </cell>
          <cell r="J1249">
            <v>0.13021041095890412</v>
          </cell>
        </row>
        <row r="1250">
          <cell r="I1250">
            <v>1955</v>
          </cell>
          <cell r="J1250">
            <v>0.13021205479452055</v>
          </cell>
        </row>
        <row r="1251">
          <cell r="I1251">
            <v>1956</v>
          </cell>
          <cell r="J1251">
            <v>0.13021369863013699</v>
          </cell>
        </row>
        <row r="1252">
          <cell r="I1252">
            <v>1957</v>
          </cell>
          <cell r="J1252">
            <v>0.13021534246575342</v>
          </cell>
        </row>
        <row r="1253">
          <cell r="I1253">
            <v>1958</v>
          </cell>
          <cell r="J1253">
            <v>0.13021698630136985</v>
          </cell>
        </row>
        <row r="1254">
          <cell r="I1254">
            <v>1959</v>
          </cell>
          <cell r="J1254">
            <v>0.13021863013698631</v>
          </cell>
        </row>
        <row r="1255">
          <cell r="I1255">
            <v>1960</v>
          </cell>
          <cell r="J1255">
            <v>0.13022027397260275</v>
          </cell>
        </row>
        <row r="1256">
          <cell r="I1256">
            <v>1961</v>
          </cell>
          <cell r="J1256">
            <v>0.13022191780821918</v>
          </cell>
        </row>
        <row r="1257">
          <cell r="I1257">
            <v>1962</v>
          </cell>
          <cell r="J1257">
            <v>0.13022356164383561</v>
          </cell>
        </row>
        <row r="1258">
          <cell r="I1258">
            <v>1963</v>
          </cell>
          <cell r="J1258">
            <v>0.13022520547945204</v>
          </cell>
        </row>
        <row r="1259">
          <cell r="I1259">
            <v>1964</v>
          </cell>
          <cell r="J1259">
            <v>0.1302268493150685</v>
          </cell>
        </row>
        <row r="1260">
          <cell r="I1260">
            <v>1965</v>
          </cell>
          <cell r="J1260">
            <v>0.13022849315068494</v>
          </cell>
        </row>
        <row r="1261">
          <cell r="I1261">
            <v>1966</v>
          </cell>
          <cell r="J1261">
            <v>0.13023013698630137</v>
          </cell>
        </row>
        <row r="1262">
          <cell r="I1262">
            <v>1967</v>
          </cell>
          <cell r="J1262">
            <v>0.1302317808219178</v>
          </cell>
        </row>
        <row r="1263">
          <cell r="I1263">
            <v>1968</v>
          </cell>
          <cell r="J1263">
            <v>0.13023342465753424</v>
          </cell>
        </row>
        <row r="1264">
          <cell r="I1264">
            <v>1969</v>
          </cell>
          <cell r="J1264">
            <v>0.1302350684931507</v>
          </cell>
        </row>
        <row r="1265">
          <cell r="I1265">
            <v>1970</v>
          </cell>
          <cell r="J1265">
            <v>0.13023671232876713</v>
          </cell>
        </row>
        <row r="1266">
          <cell r="I1266">
            <v>1971</v>
          </cell>
          <cell r="J1266">
            <v>0.13023835616438356</v>
          </cell>
        </row>
        <row r="1267">
          <cell r="I1267">
            <v>1972</v>
          </cell>
          <cell r="J1267">
            <v>0.13023999999999999</v>
          </cell>
        </row>
        <row r="1268">
          <cell r="I1268">
            <v>1973</v>
          </cell>
          <cell r="J1268">
            <v>0.13024164383561643</v>
          </cell>
        </row>
        <row r="1269">
          <cell r="I1269">
            <v>1974</v>
          </cell>
          <cell r="J1269">
            <v>0.13024328767123289</v>
          </cell>
        </row>
        <row r="1270">
          <cell r="I1270">
            <v>1975</v>
          </cell>
          <cell r="J1270">
            <v>0.13024493150684932</v>
          </cell>
        </row>
        <row r="1271">
          <cell r="I1271">
            <v>1976</v>
          </cell>
          <cell r="J1271">
            <v>0.13024657534246575</v>
          </cell>
        </row>
        <row r="1272">
          <cell r="I1272">
            <v>1977</v>
          </cell>
          <cell r="J1272">
            <v>0.13024821917808219</v>
          </cell>
        </row>
        <row r="1273">
          <cell r="I1273">
            <v>1978</v>
          </cell>
          <cell r="J1273">
            <v>0.13024986301369862</v>
          </cell>
        </row>
        <row r="1274">
          <cell r="I1274">
            <v>1979</v>
          </cell>
          <cell r="J1274">
            <v>0.13025150684931508</v>
          </cell>
        </row>
        <row r="1275">
          <cell r="I1275">
            <v>1980</v>
          </cell>
          <cell r="J1275">
            <v>0.13025315068493151</v>
          </cell>
        </row>
        <row r="1276">
          <cell r="I1276">
            <v>1981</v>
          </cell>
          <cell r="J1276">
            <v>0.13025479452054795</v>
          </cell>
        </row>
        <row r="1277">
          <cell r="I1277">
            <v>1982</v>
          </cell>
          <cell r="J1277">
            <v>0.13025643835616438</v>
          </cell>
        </row>
        <row r="1278">
          <cell r="I1278">
            <v>1983</v>
          </cell>
          <cell r="J1278">
            <v>0.13025808219178081</v>
          </cell>
        </row>
        <row r="1279">
          <cell r="I1279">
            <v>1984</v>
          </cell>
          <cell r="J1279">
            <v>0.13025972602739727</v>
          </cell>
        </row>
        <row r="1280">
          <cell r="I1280">
            <v>1985</v>
          </cell>
          <cell r="J1280">
            <v>0.1302613698630137</v>
          </cell>
        </row>
        <row r="1281">
          <cell r="I1281">
            <v>1986</v>
          </cell>
          <cell r="J1281">
            <v>0.13026301369863014</v>
          </cell>
        </row>
        <row r="1282">
          <cell r="I1282">
            <v>1987</v>
          </cell>
          <cell r="J1282">
            <v>0.13026465753424657</v>
          </cell>
        </row>
        <row r="1283">
          <cell r="I1283">
            <v>1988</v>
          </cell>
          <cell r="J1283">
            <v>0.130266301369863</v>
          </cell>
        </row>
        <row r="1284">
          <cell r="I1284">
            <v>1989</v>
          </cell>
          <cell r="J1284">
            <v>0.13026794520547946</v>
          </cell>
        </row>
        <row r="1285">
          <cell r="I1285">
            <v>1990</v>
          </cell>
          <cell r="J1285">
            <v>0.1302695890410959</v>
          </cell>
        </row>
        <row r="1286">
          <cell r="I1286">
            <v>1991</v>
          </cell>
          <cell r="J1286">
            <v>0.13027123287671233</v>
          </cell>
        </row>
        <row r="1287">
          <cell r="I1287">
            <v>1992</v>
          </cell>
          <cell r="J1287">
            <v>0.13027287671232876</v>
          </cell>
        </row>
        <row r="1288">
          <cell r="I1288">
            <v>1993</v>
          </cell>
          <cell r="J1288">
            <v>0.13027452054794519</v>
          </cell>
        </row>
        <row r="1289">
          <cell r="I1289">
            <v>1994</v>
          </cell>
          <cell r="J1289">
            <v>0.13027616438356165</v>
          </cell>
        </row>
        <row r="1290">
          <cell r="I1290">
            <v>1995</v>
          </cell>
          <cell r="J1290">
            <v>0.13027780821917809</v>
          </cell>
        </row>
        <row r="1291">
          <cell r="I1291">
            <v>1996</v>
          </cell>
          <cell r="J1291">
            <v>0.13027945205479452</v>
          </cell>
        </row>
        <row r="1292">
          <cell r="I1292">
            <v>1997</v>
          </cell>
          <cell r="J1292">
            <v>0.13028109589041095</v>
          </cell>
        </row>
        <row r="1293">
          <cell r="I1293">
            <v>1998</v>
          </cell>
          <cell r="J1293">
            <v>0.13028273972602739</v>
          </cell>
        </row>
        <row r="1294">
          <cell r="I1294">
            <v>1999</v>
          </cell>
          <cell r="J1294">
            <v>0.13028438356164385</v>
          </cell>
        </row>
        <row r="1295">
          <cell r="I1295">
            <v>2000</v>
          </cell>
          <cell r="J1295">
            <v>0.13028602739726028</v>
          </cell>
        </row>
        <row r="1296">
          <cell r="I1296">
            <v>2001</v>
          </cell>
          <cell r="J1296">
            <v>0.13028767123287671</v>
          </cell>
        </row>
        <row r="1297">
          <cell r="I1297">
            <v>2002</v>
          </cell>
          <cell r="J1297">
            <v>0.13028931506849314</v>
          </cell>
        </row>
        <row r="1298">
          <cell r="I1298">
            <v>2003</v>
          </cell>
          <cell r="J1298">
            <v>0.13029095890410958</v>
          </cell>
        </row>
        <row r="1299">
          <cell r="I1299">
            <v>2004</v>
          </cell>
          <cell r="J1299">
            <v>0.13029260273972604</v>
          </cell>
        </row>
        <row r="1300">
          <cell r="I1300">
            <v>2005</v>
          </cell>
          <cell r="J1300">
            <v>0.13029424657534247</v>
          </cell>
        </row>
        <row r="1301">
          <cell r="I1301">
            <v>2006</v>
          </cell>
          <cell r="J1301">
            <v>0.1302958904109589</v>
          </cell>
        </row>
        <row r="1302">
          <cell r="I1302">
            <v>2007</v>
          </cell>
          <cell r="J1302">
            <v>0.13029753424657534</v>
          </cell>
        </row>
        <row r="1303">
          <cell r="I1303">
            <v>2008</v>
          </cell>
          <cell r="J1303">
            <v>0.13029917808219177</v>
          </cell>
        </row>
        <row r="1304">
          <cell r="I1304">
            <v>2009</v>
          </cell>
          <cell r="J1304">
            <v>0.13030082191780823</v>
          </cell>
        </row>
        <row r="1305">
          <cell r="I1305">
            <v>2010</v>
          </cell>
          <cell r="J1305">
            <v>0.13030246575342466</v>
          </cell>
        </row>
        <row r="1306">
          <cell r="I1306">
            <v>2011</v>
          </cell>
          <cell r="J1306">
            <v>0.13030410958904109</v>
          </cell>
        </row>
        <row r="1307">
          <cell r="I1307">
            <v>2012</v>
          </cell>
          <cell r="J1307">
            <v>0.13030575342465753</v>
          </cell>
        </row>
        <row r="1308">
          <cell r="I1308">
            <v>2013</v>
          </cell>
          <cell r="J1308">
            <v>0.13030739726027396</v>
          </cell>
        </row>
        <row r="1309">
          <cell r="I1309">
            <v>2014</v>
          </cell>
          <cell r="J1309">
            <v>0.13030904109589042</v>
          </cell>
        </row>
        <row r="1310">
          <cell r="I1310">
            <v>2015</v>
          </cell>
          <cell r="J1310">
            <v>0.13031068493150685</v>
          </cell>
        </row>
        <row r="1311">
          <cell r="I1311">
            <v>2016</v>
          </cell>
          <cell r="J1311">
            <v>0.13031232876712329</v>
          </cell>
        </row>
        <row r="1312">
          <cell r="I1312">
            <v>2017</v>
          </cell>
          <cell r="J1312">
            <v>0.13031397260273972</v>
          </cell>
        </row>
        <row r="1313">
          <cell r="I1313">
            <v>2018</v>
          </cell>
          <cell r="J1313">
            <v>0.13031561643835615</v>
          </cell>
        </row>
        <row r="1314">
          <cell r="I1314">
            <v>2019</v>
          </cell>
          <cell r="J1314">
            <v>0.13031726027397261</v>
          </cell>
        </row>
        <row r="1315">
          <cell r="I1315">
            <v>2020</v>
          </cell>
          <cell r="J1315">
            <v>0.13031890410958905</v>
          </cell>
        </row>
        <row r="1316">
          <cell r="I1316">
            <v>2021</v>
          </cell>
          <cell r="J1316">
            <v>0.13032054794520548</v>
          </cell>
        </row>
        <row r="1317">
          <cell r="I1317">
            <v>2022</v>
          </cell>
          <cell r="J1317">
            <v>0.13032219178082191</v>
          </cell>
        </row>
        <row r="1318">
          <cell r="I1318">
            <v>2023</v>
          </cell>
          <cell r="J1318">
            <v>0.13032383561643834</v>
          </cell>
        </row>
        <row r="1319">
          <cell r="I1319">
            <v>2024</v>
          </cell>
          <cell r="J1319">
            <v>0.1303254794520548</v>
          </cell>
        </row>
        <row r="1320">
          <cell r="I1320">
            <v>2025</v>
          </cell>
          <cell r="J1320">
            <v>0.13032712328767124</v>
          </cell>
        </row>
        <row r="1321">
          <cell r="I1321">
            <v>2026</v>
          </cell>
          <cell r="J1321">
            <v>0.13032876712328767</v>
          </cell>
        </row>
        <row r="1322">
          <cell r="I1322">
            <v>2027</v>
          </cell>
          <cell r="J1322">
            <v>0.1303304109589041</v>
          </cell>
        </row>
        <row r="1323">
          <cell r="I1323">
            <v>2028</v>
          </cell>
          <cell r="J1323">
            <v>0.13033205479452054</v>
          </cell>
        </row>
        <row r="1324">
          <cell r="I1324">
            <v>2029</v>
          </cell>
          <cell r="J1324">
            <v>0.130333698630137</v>
          </cell>
        </row>
        <row r="1325">
          <cell r="I1325">
            <v>2030</v>
          </cell>
          <cell r="J1325">
            <v>0.13033534246575343</v>
          </cell>
        </row>
        <row r="1326">
          <cell r="I1326">
            <v>2031</v>
          </cell>
          <cell r="J1326">
            <v>0.13033698630136986</v>
          </cell>
        </row>
        <row r="1327">
          <cell r="I1327">
            <v>2032</v>
          </cell>
          <cell r="J1327">
            <v>0.13033863013698629</v>
          </cell>
        </row>
        <row r="1328">
          <cell r="I1328">
            <v>2033</v>
          </cell>
          <cell r="J1328">
            <v>0.13034027397260273</v>
          </cell>
        </row>
        <row r="1329">
          <cell r="I1329">
            <v>2034</v>
          </cell>
          <cell r="J1329">
            <v>0.13034191780821919</v>
          </cell>
        </row>
        <row r="1330">
          <cell r="I1330">
            <v>2035</v>
          </cell>
          <cell r="J1330">
            <v>0.13034356164383562</v>
          </cell>
        </row>
        <row r="1331">
          <cell r="I1331">
            <v>2036</v>
          </cell>
          <cell r="J1331">
            <v>0.13034520547945205</v>
          </cell>
        </row>
        <row r="1332">
          <cell r="I1332">
            <v>2037</v>
          </cell>
          <cell r="J1332">
            <v>0.13034684931506849</v>
          </cell>
        </row>
        <row r="1333">
          <cell r="I1333">
            <v>2038</v>
          </cell>
          <cell r="J1333">
            <v>0.13034849315068492</v>
          </cell>
        </row>
        <row r="1334">
          <cell r="I1334">
            <v>2039</v>
          </cell>
          <cell r="J1334">
            <v>0.13035013698630138</v>
          </cell>
        </row>
        <row r="1335">
          <cell r="I1335">
            <v>2040</v>
          </cell>
          <cell r="J1335">
            <v>0.13035178082191781</v>
          </cell>
        </row>
        <row r="1336">
          <cell r="I1336">
            <v>2041</v>
          </cell>
          <cell r="J1336">
            <v>0.13035342465753424</v>
          </cell>
        </row>
        <row r="1337">
          <cell r="I1337">
            <v>2042</v>
          </cell>
          <cell r="J1337">
            <v>0.13035506849315068</v>
          </cell>
        </row>
        <row r="1338">
          <cell r="I1338">
            <v>2043</v>
          </cell>
          <cell r="J1338">
            <v>0.13035671232876711</v>
          </cell>
        </row>
        <row r="1339">
          <cell r="I1339">
            <v>2044</v>
          </cell>
          <cell r="J1339">
            <v>0.13035835616438357</v>
          </cell>
        </row>
        <row r="1340">
          <cell r="I1340">
            <v>2045</v>
          </cell>
          <cell r="J1340">
            <v>0.13036</v>
          </cell>
        </row>
        <row r="1341">
          <cell r="I1341">
            <v>2046</v>
          </cell>
          <cell r="J1341">
            <v>0.13036164383561644</v>
          </cell>
        </row>
        <row r="1342">
          <cell r="I1342">
            <v>2047</v>
          </cell>
          <cell r="J1342">
            <v>0.13036328767123287</v>
          </cell>
        </row>
        <row r="1343">
          <cell r="I1343">
            <v>2048</v>
          </cell>
          <cell r="J1343">
            <v>0.1303649315068493</v>
          </cell>
        </row>
        <row r="1344">
          <cell r="I1344">
            <v>2049</v>
          </cell>
          <cell r="J1344">
            <v>0.13036657534246576</v>
          </cell>
        </row>
        <row r="1345">
          <cell r="I1345">
            <v>2050</v>
          </cell>
          <cell r="J1345">
            <v>0.1303682191780822</v>
          </cell>
        </row>
        <row r="1346">
          <cell r="I1346">
            <v>2051</v>
          </cell>
          <cell r="J1346">
            <v>0.13036986301369863</v>
          </cell>
        </row>
        <row r="1347">
          <cell r="I1347">
            <v>2052</v>
          </cell>
          <cell r="J1347">
            <v>0.13037150684931506</v>
          </cell>
        </row>
        <row r="1348">
          <cell r="I1348">
            <v>2053</v>
          </cell>
          <cell r="J1348">
            <v>0.13037315068493149</v>
          </cell>
        </row>
        <row r="1349">
          <cell r="I1349">
            <v>2054</v>
          </cell>
          <cell r="J1349">
            <v>0.13037479452054795</v>
          </cell>
        </row>
        <row r="1350">
          <cell r="I1350">
            <v>2055</v>
          </cell>
          <cell r="J1350">
            <v>0.13037643835616439</v>
          </cell>
        </row>
        <row r="1351">
          <cell r="I1351">
            <v>2056</v>
          </cell>
          <cell r="J1351">
            <v>0.13037808219178082</v>
          </cell>
        </row>
        <row r="1352">
          <cell r="I1352">
            <v>2057</v>
          </cell>
          <cell r="J1352">
            <v>0.13037972602739725</v>
          </cell>
        </row>
        <row r="1353">
          <cell r="I1353">
            <v>2058</v>
          </cell>
          <cell r="J1353">
            <v>0.13038136986301369</v>
          </cell>
        </row>
        <row r="1354">
          <cell r="I1354">
            <v>2059</v>
          </cell>
          <cell r="J1354">
            <v>0.13038301369863015</v>
          </cell>
        </row>
        <row r="1355">
          <cell r="I1355">
            <v>2060</v>
          </cell>
          <cell r="J1355">
            <v>0.13038465753424658</v>
          </cell>
        </row>
        <row r="1356">
          <cell r="I1356">
            <v>2061</v>
          </cell>
          <cell r="J1356">
            <v>0.13038630136986301</v>
          </cell>
        </row>
        <row r="1357">
          <cell r="I1357">
            <v>2062</v>
          </cell>
          <cell r="J1357">
            <v>0.13038794520547944</v>
          </cell>
        </row>
        <row r="1358">
          <cell r="I1358">
            <v>2063</v>
          </cell>
          <cell r="J1358">
            <v>0.13038958904109588</v>
          </cell>
        </row>
        <row r="1359">
          <cell r="I1359">
            <v>2064</v>
          </cell>
          <cell r="J1359">
            <v>0.13039123287671234</v>
          </cell>
        </row>
        <row r="1360">
          <cell r="I1360">
            <v>2065</v>
          </cell>
          <cell r="J1360">
            <v>0.13039287671232877</v>
          </cell>
        </row>
        <row r="1361">
          <cell r="I1361">
            <v>2066</v>
          </cell>
          <cell r="J1361">
            <v>0.1303945205479452</v>
          </cell>
        </row>
        <row r="1362">
          <cell r="I1362">
            <v>2067</v>
          </cell>
          <cell r="J1362">
            <v>0.13039616438356164</v>
          </cell>
        </row>
        <row r="1363">
          <cell r="I1363">
            <v>2068</v>
          </cell>
          <cell r="J1363">
            <v>0.13039780821917807</v>
          </cell>
        </row>
        <row r="1364">
          <cell r="I1364">
            <v>2069</v>
          </cell>
          <cell r="J1364">
            <v>0.13039945205479453</v>
          </cell>
        </row>
        <row r="1365">
          <cell r="I1365">
            <v>2070</v>
          </cell>
          <cell r="J1365">
            <v>0.13040109589041096</v>
          </cell>
        </row>
        <row r="1366">
          <cell r="I1366">
            <v>2071</v>
          </cell>
          <cell r="J1366">
            <v>0.13040273972602739</v>
          </cell>
        </row>
        <row r="1367">
          <cell r="I1367">
            <v>2072</v>
          </cell>
          <cell r="J1367">
            <v>0.13040438356164383</v>
          </cell>
        </row>
        <row r="1368">
          <cell r="I1368">
            <v>2073</v>
          </cell>
          <cell r="J1368">
            <v>0.13040602739726026</v>
          </cell>
        </row>
        <row r="1369">
          <cell r="I1369">
            <v>2074</v>
          </cell>
          <cell r="J1369">
            <v>0.13040767123287672</v>
          </cell>
        </row>
        <row r="1370">
          <cell r="I1370">
            <v>2075</v>
          </cell>
          <cell r="J1370">
            <v>0.13040931506849315</v>
          </cell>
        </row>
        <row r="1371">
          <cell r="I1371">
            <v>2076</v>
          </cell>
          <cell r="J1371">
            <v>0.13041095890410959</v>
          </cell>
        </row>
        <row r="1372">
          <cell r="I1372">
            <v>2077</v>
          </cell>
          <cell r="J1372">
            <v>0.13041260273972602</v>
          </cell>
        </row>
        <row r="1373">
          <cell r="I1373">
            <v>2078</v>
          </cell>
          <cell r="J1373">
            <v>0.13041424657534245</v>
          </cell>
        </row>
        <row r="1374">
          <cell r="I1374">
            <v>2079</v>
          </cell>
          <cell r="J1374">
            <v>0.13041589041095891</v>
          </cell>
        </row>
        <row r="1375">
          <cell r="I1375">
            <v>2080</v>
          </cell>
          <cell r="J1375">
            <v>0.13041753424657535</v>
          </cell>
        </row>
        <row r="1376">
          <cell r="I1376">
            <v>2081</v>
          </cell>
          <cell r="J1376">
            <v>0.13041917808219178</v>
          </cell>
        </row>
        <row r="1377">
          <cell r="I1377">
            <v>2082</v>
          </cell>
          <cell r="J1377">
            <v>0.13042082191780821</v>
          </cell>
        </row>
        <row r="1378">
          <cell r="I1378">
            <v>2083</v>
          </cell>
          <cell r="J1378">
            <v>0.13042246575342464</v>
          </cell>
        </row>
        <row r="1379">
          <cell r="I1379">
            <v>2084</v>
          </cell>
          <cell r="J1379">
            <v>0.1304241095890411</v>
          </cell>
        </row>
        <row r="1380">
          <cell r="I1380">
            <v>2085</v>
          </cell>
          <cell r="J1380">
            <v>0.13042575342465754</v>
          </cell>
        </row>
        <row r="1381">
          <cell r="I1381">
            <v>2086</v>
          </cell>
          <cell r="J1381">
            <v>0.13042739726027397</v>
          </cell>
        </row>
        <row r="1382">
          <cell r="I1382">
            <v>2087</v>
          </cell>
          <cell r="J1382">
            <v>0.1304290410958904</v>
          </cell>
        </row>
        <row r="1383">
          <cell r="I1383">
            <v>2088</v>
          </cell>
          <cell r="J1383">
            <v>0.13043068493150684</v>
          </cell>
        </row>
        <row r="1384">
          <cell r="I1384">
            <v>2089</v>
          </cell>
          <cell r="J1384">
            <v>0.1304323287671233</v>
          </cell>
        </row>
        <row r="1385">
          <cell r="I1385">
            <v>2090</v>
          </cell>
          <cell r="J1385">
            <v>0.13043397260273973</v>
          </cell>
        </row>
        <row r="1386">
          <cell r="I1386">
            <v>2091</v>
          </cell>
          <cell r="J1386">
            <v>0.13043561643835616</v>
          </cell>
        </row>
        <row r="1387">
          <cell r="I1387">
            <v>2092</v>
          </cell>
          <cell r="J1387">
            <v>0.13043726027397259</v>
          </cell>
        </row>
        <row r="1388">
          <cell r="I1388">
            <v>2093</v>
          </cell>
          <cell r="J1388">
            <v>0.13043890410958903</v>
          </cell>
        </row>
        <row r="1389">
          <cell r="I1389">
            <v>2094</v>
          </cell>
          <cell r="J1389">
            <v>0.13044054794520549</v>
          </cell>
        </row>
        <row r="1390">
          <cell r="I1390">
            <v>2095</v>
          </cell>
          <cell r="J1390">
            <v>0.13044219178082192</v>
          </cell>
        </row>
        <row r="1391">
          <cell r="I1391">
            <v>2096</v>
          </cell>
          <cell r="J1391">
            <v>0.13044383561643835</v>
          </cell>
        </row>
        <row r="1392">
          <cell r="I1392">
            <v>2097</v>
          </cell>
          <cell r="J1392">
            <v>0.13044547945205479</v>
          </cell>
        </row>
        <row r="1393">
          <cell r="I1393">
            <v>2098</v>
          </cell>
          <cell r="J1393">
            <v>0.13044712328767122</v>
          </cell>
        </row>
        <row r="1394">
          <cell r="I1394">
            <v>2099</v>
          </cell>
          <cell r="J1394">
            <v>0.13044876712328768</v>
          </cell>
        </row>
        <row r="1395">
          <cell r="I1395">
            <v>2100</v>
          </cell>
          <cell r="J1395">
            <v>0.13045041095890411</v>
          </cell>
        </row>
        <row r="1396">
          <cell r="I1396">
            <v>2101</v>
          </cell>
          <cell r="J1396">
            <v>0.13045205479452054</v>
          </cell>
        </row>
        <row r="1397">
          <cell r="I1397">
            <v>2102</v>
          </cell>
          <cell r="J1397">
            <v>0.13045369863013698</v>
          </cell>
        </row>
        <row r="1398">
          <cell r="I1398">
            <v>2103</v>
          </cell>
          <cell r="J1398">
            <v>0.13045534246575341</v>
          </cell>
        </row>
        <row r="1399">
          <cell r="I1399">
            <v>2104</v>
          </cell>
          <cell r="J1399">
            <v>0.13045698630136987</v>
          </cell>
        </row>
        <row r="1400">
          <cell r="I1400">
            <v>2105</v>
          </cell>
          <cell r="J1400">
            <v>0.1304586301369863</v>
          </cell>
        </row>
        <row r="1401">
          <cell r="I1401">
            <v>2106</v>
          </cell>
          <cell r="J1401">
            <v>0.13046027397260274</v>
          </cell>
        </row>
        <row r="1402">
          <cell r="I1402">
            <v>2107</v>
          </cell>
          <cell r="J1402">
            <v>0.13046191780821917</v>
          </cell>
        </row>
        <row r="1403">
          <cell r="I1403">
            <v>2108</v>
          </cell>
          <cell r="J1403">
            <v>0.1304635616438356</v>
          </cell>
        </row>
        <row r="1404">
          <cell r="I1404">
            <v>2109</v>
          </cell>
          <cell r="J1404">
            <v>0.13046520547945206</v>
          </cell>
        </row>
        <row r="1405">
          <cell r="I1405">
            <v>2110</v>
          </cell>
          <cell r="J1405">
            <v>0.13046684931506849</v>
          </cell>
        </row>
        <row r="1406">
          <cell r="I1406">
            <v>2111</v>
          </cell>
          <cell r="J1406">
            <v>0.13046849315068493</v>
          </cell>
        </row>
        <row r="1407">
          <cell r="I1407">
            <v>2112</v>
          </cell>
          <cell r="J1407">
            <v>0.13047013698630136</v>
          </cell>
        </row>
        <row r="1408">
          <cell r="I1408">
            <v>2113</v>
          </cell>
          <cell r="J1408">
            <v>0.13047178082191779</v>
          </cell>
        </row>
        <row r="1409">
          <cell r="I1409">
            <v>2114</v>
          </cell>
          <cell r="J1409">
            <v>0.13047342465753425</v>
          </cell>
        </row>
        <row r="1410">
          <cell r="I1410">
            <v>2115</v>
          </cell>
          <cell r="J1410">
            <v>0.13047506849315069</v>
          </cell>
        </row>
        <row r="1411">
          <cell r="I1411">
            <v>2116</v>
          </cell>
          <cell r="J1411">
            <v>0.13047671232876712</v>
          </cell>
        </row>
        <row r="1412">
          <cell r="I1412">
            <v>2117</v>
          </cell>
          <cell r="J1412">
            <v>0.13047835616438355</v>
          </cell>
        </row>
        <row r="1413">
          <cell r="I1413">
            <v>2118</v>
          </cell>
          <cell r="J1413">
            <v>0.13047999999999998</v>
          </cell>
        </row>
        <row r="1414">
          <cell r="I1414">
            <v>2119</v>
          </cell>
          <cell r="J1414">
            <v>0.13048164383561645</v>
          </cell>
        </row>
        <row r="1415">
          <cell r="I1415">
            <v>2120</v>
          </cell>
          <cell r="J1415">
            <v>0.13048328767123288</v>
          </cell>
        </row>
        <row r="1416">
          <cell r="I1416">
            <v>2121</v>
          </cell>
          <cell r="J1416">
            <v>0.13048493150684931</v>
          </cell>
        </row>
        <row r="1417">
          <cell r="I1417">
            <v>2122</v>
          </cell>
          <cell r="J1417">
            <v>0.13048657534246574</v>
          </cell>
        </row>
        <row r="1418">
          <cell r="I1418">
            <v>2123</v>
          </cell>
          <cell r="J1418">
            <v>0.13048821917808218</v>
          </cell>
        </row>
        <row r="1419">
          <cell r="I1419">
            <v>2124</v>
          </cell>
          <cell r="J1419">
            <v>0.13048986301369864</v>
          </cell>
        </row>
        <row r="1420">
          <cell r="I1420">
            <v>2125</v>
          </cell>
          <cell r="J1420">
            <v>0.13049150684931507</v>
          </cell>
        </row>
        <row r="1421">
          <cell r="I1421">
            <v>2126</v>
          </cell>
          <cell r="J1421">
            <v>0.1304931506849315</v>
          </cell>
        </row>
        <row r="1422">
          <cell r="I1422">
            <v>2127</v>
          </cell>
          <cell r="J1422">
            <v>0.13049479452054794</v>
          </cell>
        </row>
        <row r="1423">
          <cell r="I1423">
            <v>2128</v>
          </cell>
          <cell r="J1423">
            <v>0.13049643835616437</v>
          </cell>
        </row>
        <row r="1424">
          <cell r="I1424">
            <v>2129</v>
          </cell>
          <cell r="J1424">
            <v>0.13049808219178083</v>
          </cell>
        </row>
        <row r="1425">
          <cell r="I1425">
            <v>2130</v>
          </cell>
          <cell r="J1425">
            <v>0.13049972602739726</v>
          </cell>
        </row>
        <row r="1426">
          <cell r="I1426">
            <v>2131</v>
          </cell>
          <cell r="J1426">
            <v>0.13050136986301369</v>
          </cell>
        </row>
        <row r="1427">
          <cell r="I1427">
            <v>2132</v>
          </cell>
          <cell r="J1427">
            <v>0.13050301369863013</v>
          </cell>
        </row>
        <row r="1428">
          <cell r="I1428">
            <v>2133</v>
          </cell>
          <cell r="J1428">
            <v>0.13050465753424656</v>
          </cell>
        </row>
        <row r="1429">
          <cell r="I1429">
            <v>2134</v>
          </cell>
          <cell r="J1429">
            <v>0.13050630136986302</v>
          </cell>
        </row>
        <row r="1430">
          <cell r="I1430">
            <v>2135</v>
          </cell>
          <cell r="J1430">
            <v>0.13050794520547945</v>
          </cell>
        </row>
        <row r="1431">
          <cell r="I1431">
            <v>2136</v>
          </cell>
          <cell r="J1431">
            <v>0.13050958904109589</v>
          </cell>
        </row>
        <row r="1432">
          <cell r="I1432">
            <v>2137</v>
          </cell>
          <cell r="J1432">
            <v>0.13051123287671232</v>
          </cell>
        </row>
        <row r="1433">
          <cell r="I1433">
            <v>2138</v>
          </cell>
          <cell r="J1433">
            <v>0.13051287671232875</v>
          </cell>
        </row>
        <row r="1434">
          <cell r="I1434">
            <v>2139</v>
          </cell>
          <cell r="J1434">
            <v>0.13051452054794521</v>
          </cell>
        </row>
        <row r="1435">
          <cell r="I1435">
            <v>2140</v>
          </cell>
          <cell r="J1435">
            <v>0.13051616438356164</v>
          </cell>
        </row>
        <row r="1436">
          <cell r="I1436">
            <v>2141</v>
          </cell>
          <cell r="J1436">
            <v>0.13051780821917808</v>
          </cell>
        </row>
        <row r="1437">
          <cell r="I1437">
            <v>2142</v>
          </cell>
          <cell r="J1437">
            <v>0.13051945205479451</v>
          </cell>
        </row>
        <row r="1438">
          <cell r="I1438">
            <v>2143</v>
          </cell>
          <cell r="J1438">
            <v>0.13052109589041094</v>
          </cell>
        </row>
        <row r="1439">
          <cell r="I1439">
            <v>2144</v>
          </cell>
          <cell r="J1439">
            <v>0.1305227397260274</v>
          </cell>
        </row>
        <row r="1440">
          <cell r="I1440">
            <v>2145</v>
          </cell>
          <cell r="J1440">
            <v>0.13052438356164384</v>
          </cell>
        </row>
        <row r="1441">
          <cell r="I1441">
            <v>2146</v>
          </cell>
          <cell r="J1441">
            <v>0.13052602739726027</v>
          </cell>
        </row>
        <row r="1442">
          <cell r="I1442">
            <v>2147</v>
          </cell>
          <cell r="J1442">
            <v>0.1305276712328767</v>
          </cell>
        </row>
        <row r="1443">
          <cell r="I1443">
            <v>2148</v>
          </cell>
          <cell r="J1443">
            <v>0.13052931506849313</v>
          </cell>
        </row>
        <row r="1444">
          <cell r="I1444">
            <v>2149</v>
          </cell>
          <cell r="J1444">
            <v>0.1305309589041096</v>
          </cell>
        </row>
        <row r="1445">
          <cell r="I1445">
            <v>2150</v>
          </cell>
          <cell r="J1445">
            <v>0.13053260273972603</v>
          </cell>
        </row>
        <row r="1446">
          <cell r="I1446">
            <v>2151</v>
          </cell>
          <cell r="J1446">
            <v>0.13053424657534246</v>
          </cell>
        </row>
        <row r="1447">
          <cell r="I1447">
            <v>2152</v>
          </cell>
          <cell r="J1447">
            <v>0.13053589041095889</v>
          </cell>
        </row>
        <row r="1448">
          <cell r="I1448">
            <v>2153</v>
          </cell>
          <cell r="J1448">
            <v>0.13053753424657533</v>
          </cell>
        </row>
        <row r="1449">
          <cell r="I1449">
            <v>2154</v>
          </cell>
          <cell r="J1449">
            <v>0.13053917808219179</v>
          </cell>
        </row>
        <row r="1450">
          <cell r="I1450">
            <v>2155</v>
          </cell>
          <cell r="J1450">
            <v>0.13054082191780822</v>
          </cell>
        </row>
        <row r="1451">
          <cell r="I1451">
            <v>2156</v>
          </cell>
          <cell r="J1451">
            <v>0.13054246575342465</v>
          </cell>
        </row>
        <row r="1452">
          <cell r="I1452">
            <v>2157</v>
          </cell>
          <cell r="J1452">
            <v>0.13054410958904109</v>
          </cell>
        </row>
        <row r="1453">
          <cell r="I1453">
            <v>2158</v>
          </cell>
          <cell r="J1453">
            <v>0.13054575342465752</v>
          </cell>
        </row>
        <row r="1454">
          <cell r="I1454">
            <v>2159</v>
          </cell>
          <cell r="J1454">
            <v>0.13054739726027398</v>
          </cell>
        </row>
        <row r="1455">
          <cell r="I1455">
            <v>2160</v>
          </cell>
          <cell r="J1455">
            <v>0.13054904109589041</v>
          </cell>
        </row>
        <row r="1456">
          <cell r="I1456">
            <v>2161</v>
          </cell>
          <cell r="J1456">
            <v>0.13055068493150684</v>
          </cell>
        </row>
        <row r="1457">
          <cell r="I1457">
            <v>2162</v>
          </cell>
          <cell r="J1457">
            <v>0.13055232876712328</v>
          </cell>
        </row>
        <row r="1458">
          <cell r="I1458">
            <v>2163</v>
          </cell>
          <cell r="J1458">
            <v>0.13055397260273971</v>
          </cell>
        </row>
        <row r="1459">
          <cell r="I1459">
            <v>2164</v>
          </cell>
          <cell r="J1459">
            <v>0.13055561643835617</v>
          </cell>
        </row>
        <row r="1460">
          <cell r="I1460">
            <v>2165</v>
          </cell>
          <cell r="J1460">
            <v>0.1305572602739726</v>
          </cell>
        </row>
        <row r="1461">
          <cell r="I1461">
            <v>2166</v>
          </cell>
          <cell r="J1461">
            <v>0.13055890410958904</v>
          </cell>
        </row>
        <row r="1462">
          <cell r="I1462">
            <v>2167</v>
          </cell>
          <cell r="J1462">
            <v>0.13056054794520547</v>
          </cell>
        </row>
        <row r="1463">
          <cell r="I1463">
            <v>2168</v>
          </cell>
          <cell r="J1463">
            <v>0.1305621917808219</v>
          </cell>
        </row>
        <row r="1464">
          <cell r="I1464">
            <v>2169</v>
          </cell>
          <cell r="J1464">
            <v>0.13056383561643836</v>
          </cell>
        </row>
        <row r="1465">
          <cell r="I1465">
            <v>2170</v>
          </cell>
          <cell r="J1465">
            <v>0.13056547945205479</v>
          </cell>
        </row>
        <row r="1466">
          <cell r="I1466">
            <v>2171</v>
          </cell>
          <cell r="J1466">
            <v>0.13056712328767123</v>
          </cell>
        </row>
        <row r="1467">
          <cell r="I1467">
            <v>2172</v>
          </cell>
          <cell r="J1467">
            <v>0.13056876712328766</v>
          </cell>
        </row>
        <row r="1468">
          <cell r="I1468">
            <v>2173</v>
          </cell>
          <cell r="J1468">
            <v>0.13057041095890409</v>
          </cell>
        </row>
        <row r="1469">
          <cell r="I1469">
            <v>2174</v>
          </cell>
          <cell r="J1469">
            <v>0.13057205479452055</v>
          </cell>
        </row>
        <row r="1470">
          <cell r="I1470">
            <v>2175</v>
          </cell>
          <cell r="J1470">
            <v>0.13057369863013699</v>
          </cell>
        </row>
        <row r="1471">
          <cell r="I1471">
            <v>2176</v>
          </cell>
          <cell r="J1471">
            <v>0.13057534246575342</v>
          </cell>
        </row>
        <row r="1472">
          <cell r="I1472">
            <v>2177</v>
          </cell>
          <cell r="J1472">
            <v>0.13057698630136985</v>
          </cell>
        </row>
        <row r="1473">
          <cell r="I1473">
            <v>2178</v>
          </cell>
          <cell r="J1473">
            <v>0.13057863013698628</v>
          </cell>
        </row>
        <row r="1474">
          <cell r="I1474">
            <v>2179</v>
          </cell>
          <cell r="J1474">
            <v>0.13058027397260275</v>
          </cell>
        </row>
        <row r="1475">
          <cell r="I1475">
            <v>2180</v>
          </cell>
          <cell r="J1475">
            <v>0.13058191780821918</v>
          </cell>
        </row>
        <row r="1476">
          <cell r="I1476">
            <v>2181</v>
          </cell>
          <cell r="J1476">
            <v>0.13058356164383561</v>
          </cell>
        </row>
        <row r="1477">
          <cell r="I1477">
            <v>2182</v>
          </cell>
          <cell r="J1477">
            <v>0.13058520547945204</v>
          </cell>
        </row>
        <row r="1478">
          <cell r="I1478">
            <v>2183</v>
          </cell>
          <cell r="J1478">
            <v>0.13058684931506848</v>
          </cell>
        </row>
        <row r="1479">
          <cell r="I1479">
            <v>2184</v>
          </cell>
          <cell r="J1479">
            <v>0.13058849315068494</v>
          </cell>
        </row>
        <row r="1480">
          <cell r="I1480">
            <v>2185</v>
          </cell>
          <cell r="J1480">
            <v>0.13059013698630137</v>
          </cell>
        </row>
        <row r="1481">
          <cell r="I1481">
            <v>2186</v>
          </cell>
          <cell r="J1481">
            <v>0.1305917808219178</v>
          </cell>
        </row>
        <row r="1482">
          <cell r="I1482">
            <v>2187</v>
          </cell>
          <cell r="J1482">
            <v>0.13059342465753424</v>
          </cell>
        </row>
        <row r="1483">
          <cell r="I1483">
            <v>2188</v>
          </cell>
          <cell r="J1483">
            <v>0.13059506849315067</v>
          </cell>
        </row>
        <row r="1484">
          <cell r="I1484">
            <v>2189</v>
          </cell>
          <cell r="J1484">
            <v>0.13059671232876713</v>
          </cell>
        </row>
        <row r="1485">
          <cell r="I1485">
            <v>2190</v>
          </cell>
          <cell r="J1485">
            <v>0.13059835616438356</v>
          </cell>
        </row>
        <row r="1486">
          <cell r="I1486">
            <v>2191</v>
          </cell>
          <cell r="J1486">
            <v>0.13059999999999999</v>
          </cell>
        </row>
        <row r="1487">
          <cell r="I1487">
            <v>2192</v>
          </cell>
          <cell r="J1487">
            <v>0.13060191780821917</v>
          </cell>
        </row>
        <row r="1488">
          <cell r="I1488">
            <v>2193</v>
          </cell>
          <cell r="J1488">
            <v>0.13060383561643835</v>
          </cell>
        </row>
        <row r="1489">
          <cell r="I1489">
            <v>2194</v>
          </cell>
          <cell r="J1489">
            <v>0.13060575342465752</v>
          </cell>
        </row>
        <row r="1490">
          <cell r="I1490">
            <v>2195</v>
          </cell>
          <cell r="J1490">
            <v>0.1306076712328767</v>
          </cell>
        </row>
        <row r="1491">
          <cell r="I1491">
            <v>2196</v>
          </cell>
          <cell r="J1491">
            <v>0.13060958904109587</v>
          </cell>
        </row>
        <row r="1492">
          <cell r="I1492">
            <v>2197</v>
          </cell>
          <cell r="J1492">
            <v>0.13061150684931505</v>
          </cell>
        </row>
        <row r="1493">
          <cell r="I1493">
            <v>2198</v>
          </cell>
          <cell r="J1493">
            <v>0.13061342465753423</v>
          </cell>
        </row>
        <row r="1494">
          <cell r="I1494">
            <v>2199</v>
          </cell>
          <cell r="J1494">
            <v>0.13061534246575343</v>
          </cell>
        </row>
        <row r="1495">
          <cell r="I1495">
            <v>2200</v>
          </cell>
          <cell r="J1495">
            <v>0.13061726027397261</v>
          </cell>
        </row>
        <row r="1496">
          <cell r="I1496">
            <v>2201</v>
          </cell>
          <cell r="J1496">
            <v>0.13061917808219178</v>
          </cell>
        </row>
        <row r="1497">
          <cell r="I1497">
            <v>2202</v>
          </cell>
          <cell r="J1497">
            <v>0.13062109589041096</v>
          </cell>
        </row>
        <row r="1498">
          <cell r="I1498">
            <v>2203</v>
          </cell>
          <cell r="J1498">
            <v>0.13062301369863014</v>
          </cell>
        </row>
        <row r="1499">
          <cell r="I1499">
            <v>2204</v>
          </cell>
          <cell r="J1499">
            <v>0.13062493150684931</v>
          </cell>
        </row>
        <row r="1500">
          <cell r="I1500">
            <v>2205</v>
          </cell>
          <cell r="J1500">
            <v>0.13062684931506849</v>
          </cell>
        </row>
        <row r="1501">
          <cell r="I1501">
            <v>2206</v>
          </cell>
          <cell r="J1501">
            <v>0.13062876712328766</v>
          </cell>
        </row>
        <row r="1502">
          <cell r="I1502">
            <v>2207</v>
          </cell>
          <cell r="J1502">
            <v>0.13063068493150684</v>
          </cell>
        </row>
        <row r="1503">
          <cell r="I1503">
            <v>2208</v>
          </cell>
          <cell r="J1503">
            <v>0.13063260273972602</v>
          </cell>
        </row>
        <row r="1504">
          <cell r="I1504">
            <v>2209</v>
          </cell>
          <cell r="J1504">
            <v>0.13063452054794519</v>
          </cell>
        </row>
        <row r="1505">
          <cell r="I1505">
            <v>2210</v>
          </cell>
          <cell r="J1505">
            <v>0.13063643835616437</v>
          </cell>
        </row>
        <row r="1506">
          <cell r="I1506">
            <v>2211</v>
          </cell>
          <cell r="J1506">
            <v>0.13063835616438355</v>
          </cell>
        </row>
        <row r="1507">
          <cell r="I1507">
            <v>2212</v>
          </cell>
          <cell r="J1507">
            <v>0.13064027397260272</v>
          </cell>
        </row>
        <row r="1508">
          <cell r="I1508">
            <v>2213</v>
          </cell>
          <cell r="J1508">
            <v>0.13064219178082193</v>
          </cell>
        </row>
        <row r="1509">
          <cell r="I1509">
            <v>2214</v>
          </cell>
          <cell r="J1509">
            <v>0.1306441095890411</v>
          </cell>
        </row>
        <row r="1510">
          <cell r="I1510">
            <v>2215</v>
          </cell>
          <cell r="J1510">
            <v>0.13064602739726028</v>
          </cell>
        </row>
        <row r="1511">
          <cell r="I1511">
            <v>2216</v>
          </cell>
          <cell r="J1511">
            <v>0.13064794520547945</v>
          </cell>
        </row>
        <row r="1512">
          <cell r="I1512">
            <v>2217</v>
          </cell>
          <cell r="J1512">
            <v>0.13064986301369863</v>
          </cell>
        </row>
        <row r="1513">
          <cell r="I1513">
            <v>2218</v>
          </cell>
          <cell r="J1513">
            <v>0.13065178082191781</v>
          </cell>
        </row>
        <row r="1514">
          <cell r="I1514">
            <v>2219</v>
          </cell>
          <cell r="J1514">
            <v>0.13065369863013698</v>
          </cell>
        </row>
        <row r="1515">
          <cell r="I1515">
            <v>2220</v>
          </cell>
          <cell r="J1515">
            <v>0.13065561643835616</v>
          </cell>
        </row>
        <row r="1516">
          <cell r="I1516">
            <v>2221</v>
          </cell>
          <cell r="J1516">
            <v>0.13065753424657534</v>
          </cell>
        </row>
        <row r="1517">
          <cell r="I1517">
            <v>2222</v>
          </cell>
          <cell r="J1517">
            <v>0.13065945205479451</v>
          </cell>
        </row>
        <row r="1518">
          <cell r="I1518">
            <v>2223</v>
          </cell>
          <cell r="J1518">
            <v>0.13066136986301369</v>
          </cell>
        </row>
        <row r="1519">
          <cell r="I1519">
            <v>2224</v>
          </cell>
          <cell r="J1519">
            <v>0.13066328767123286</v>
          </cell>
        </row>
        <row r="1520">
          <cell r="I1520">
            <v>2225</v>
          </cell>
          <cell r="J1520">
            <v>0.13066520547945204</v>
          </cell>
        </row>
        <row r="1521">
          <cell r="I1521">
            <v>2226</v>
          </cell>
          <cell r="J1521">
            <v>0.13066712328767122</v>
          </cell>
        </row>
        <row r="1522">
          <cell r="I1522">
            <v>2227</v>
          </cell>
          <cell r="J1522">
            <v>0.13066904109589039</v>
          </cell>
        </row>
        <row r="1523">
          <cell r="I1523">
            <v>2228</v>
          </cell>
          <cell r="J1523">
            <v>0.1306709589041096</v>
          </cell>
        </row>
        <row r="1524">
          <cell r="I1524">
            <v>2229</v>
          </cell>
          <cell r="J1524">
            <v>0.13067287671232877</v>
          </cell>
        </row>
        <row r="1525">
          <cell r="I1525">
            <v>2230</v>
          </cell>
          <cell r="J1525">
            <v>0.13067479452054795</v>
          </cell>
        </row>
        <row r="1526">
          <cell r="I1526">
            <v>2231</v>
          </cell>
          <cell r="J1526">
            <v>0.13067671232876713</v>
          </cell>
        </row>
        <row r="1527">
          <cell r="I1527">
            <v>2232</v>
          </cell>
          <cell r="J1527">
            <v>0.1306786301369863</v>
          </cell>
        </row>
        <row r="1528">
          <cell r="I1528">
            <v>2233</v>
          </cell>
          <cell r="J1528">
            <v>0.13068054794520548</v>
          </cell>
        </row>
        <row r="1529">
          <cell r="I1529">
            <v>2234</v>
          </cell>
          <cell r="J1529">
            <v>0.13068246575342465</v>
          </cell>
        </row>
        <row r="1530">
          <cell r="I1530">
            <v>2235</v>
          </cell>
          <cell r="J1530">
            <v>0.13068438356164383</v>
          </cell>
        </row>
        <row r="1531">
          <cell r="I1531">
            <v>2236</v>
          </cell>
          <cell r="J1531">
            <v>0.13068630136986301</v>
          </cell>
        </row>
        <row r="1532">
          <cell r="I1532">
            <v>2237</v>
          </cell>
          <cell r="J1532">
            <v>0.13068821917808218</v>
          </cell>
        </row>
        <row r="1533">
          <cell r="I1533">
            <v>2238</v>
          </cell>
          <cell r="J1533">
            <v>0.13069013698630136</v>
          </cell>
        </row>
        <row r="1534">
          <cell r="I1534">
            <v>2239</v>
          </cell>
          <cell r="J1534">
            <v>0.13069205479452053</v>
          </cell>
        </row>
        <row r="1535">
          <cell r="I1535">
            <v>2240</v>
          </cell>
          <cell r="J1535">
            <v>0.13069397260273971</v>
          </cell>
        </row>
        <row r="1536">
          <cell r="I1536">
            <v>2241</v>
          </cell>
          <cell r="J1536">
            <v>0.13069589041095889</v>
          </cell>
        </row>
        <row r="1537">
          <cell r="I1537">
            <v>2242</v>
          </cell>
          <cell r="J1537">
            <v>0.13069780821917806</v>
          </cell>
        </row>
        <row r="1538">
          <cell r="I1538">
            <v>2243</v>
          </cell>
          <cell r="J1538">
            <v>0.13069972602739727</v>
          </cell>
        </row>
        <row r="1539">
          <cell r="I1539">
            <v>2244</v>
          </cell>
          <cell r="J1539">
            <v>0.13070164383561644</v>
          </cell>
        </row>
        <row r="1540">
          <cell r="I1540">
            <v>2245</v>
          </cell>
          <cell r="J1540">
            <v>0.13070356164383562</v>
          </cell>
        </row>
        <row r="1541">
          <cell r="I1541">
            <v>2246</v>
          </cell>
          <cell r="J1541">
            <v>0.1307054794520548</v>
          </cell>
        </row>
        <row r="1542">
          <cell r="I1542">
            <v>2247</v>
          </cell>
          <cell r="J1542">
            <v>0.13070739726027397</v>
          </cell>
        </row>
        <row r="1543">
          <cell r="I1543">
            <v>2248</v>
          </cell>
          <cell r="J1543">
            <v>0.13070931506849315</v>
          </cell>
        </row>
        <row r="1544">
          <cell r="I1544">
            <v>2249</v>
          </cell>
          <cell r="J1544">
            <v>0.13071123287671232</v>
          </cell>
        </row>
        <row r="1545">
          <cell r="I1545">
            <v>2250</v>
          </cell>
          <cell r="J1545">
            <v>0.1307131506849315</v>
          </cell>
        </row>
        <row r="1546">
          <cell r="I1546">
            <v>2251</v>
          </cell>
          <cell r="J1546">
            <v>0.13071506849315068</v>
          </cell>
        </row>
        <row r="1547">
          <cell r="I1547">
            <v>2252</v>
          </cell>
          <cell r="J1547">
            <v>0.13071698630136985</v>
          </cell>
        </row>
        <row r="1548">
          <cell r="I1548">
            <v>2253</v>
          </cell>
          <cell r="J1548">
            <v>0.13071890410958903</v>
          </cell>
        </row>
        <row r="1549">
          <cell r="I1549">
            <v>2254</v>
          </cell>
          <cell r="J1549">
            <v>0.13072082191780821</v>
          </cell>
        </row>
        <row r="1550">
          <cell r="I1550">
            <v>2255</v>
          </cell>
          <cell r="J1550">
            <v>0.13072273972602738</v>
          </cell>
        </row>
        <row r="1551">
          <cell r="I1551">
            <v>2256</v>
          </cell>
          <cell r="J1551">
            <v>0.13072465753424656</v>
          </cell>
        </row>
        <row r="1552">
          <cell r="I1552">
            <v>2257</v>
          </cell>
          <cell r="J1552">
            <v>0.13072657534246576</v>
          </cell>
        </row>
        <row r="1553">
          <cell r="I1553">
            <v>2258</v>
          </cell>
          <cell r="J1553">
            <v>0.13072849315068494</v>
          </cell>
        </row>
        <row r="1554">
          <cell r="I1554">
            <v>2259</v>
          </cell>
          <cell r="J1554">
            <v>0.13073041095890411</v>
          </cell>
        </row>
        <row r="1555">
          <cell r="I1555">
            <v>2260</v>
          </cell>
          <cell r="J1555">
            <v>0.13073232876712329</v>
          </cell>
        </row>
        <row r="1556">
          <cell r="I1556">
            <v>2261</v>
          </cell>
          <cell r="J1556">
            <v>0.13073424657534247</v>
          </cell>
        </row>
        <row r="1557">
          <cell r="I1557">
            <v>2262</v>
          </cell>
          <cell r="J1557">
            <v>0.13073616438356164</v>
          </cell>
        </row>
        <row r="1558">
          <cell r="I1558">
            <v>2263</v>
          </cell>
          <cell r="J1558">
            <v>0.13073808219178082</v>
          </cell>
        </row>
        <row r="1559">
          <cell r="I1559">
            <v>2264</v>
          </cell>
          <cell r="J1559">
            <v>0.13074</v>
          </cell>
        </row>
        <row r="1560">
          <cell r="I1560">
            <v>2265</v>
          </cell>
          <cell r="J1560">
            <v>0.13074191780821917</v>
          </cell>
        </row>
        <row r="1561">
          <cell r="I1561">
            <v>2266</v>
          </cell>
          <cell r="J1561">
            <v>0.13074383561643835</v>
          </cell>
        </row>
        <row r="1562">
          <cell r="I1562">
            <v>2267</v>
          </cell>
          <cell r="J1562">
            <v>0.13074575342465752</v>
          </cell>
        </row>
        <row r="1563">
          <cell r="I1563">
            <v>2268</v>
          </cell>
          <cell r="J1563">
            <v>0.1307476712328767</v>
          </cell>
        </row>
        <row r="1564">
          <cell r="I1564">
            <v>2269</v>
          </cell>
          <cell r="J1564">
            <v>0.13074958904109588</v>
          </cell>
        </row>
        <row r="1565">
          <cell r="I1565">
            <v>2270</v>
          </cell>
          <cell r="J1565">
            <v>0.13075150684931505</v>
          </cell>
        </row>
        <row r="1566">
          <cell r="I1566">
            <v>2271</v>
          </cell>
          <cell r="J1566">
            <v>0.13075342465753423</v>
          </cell>
        </row>
        <row r="1567">
          <cell r="I1567">
            <v>2272</v>
          </cell>
          <cell r="J1567">
            <v>0.13075534246575343</v>
          </cell>
        </row>
        <row r="1568">
          <cell r="I1568">
            <v>2273</v>
          </cell>
          <cell r="J1568">
            <v>0.13075726027397261</v>
          </cell>
        </row>
        <row r="1569">
          <cell r="I1569">
            <v>2274</v>
          </cell>
          <cell r="J1569">
            <v>0.13075917808219178</v>
          </cell>
        </row>
        <row r="1570">
          <cell r="I1570">
            <v>2275</v>
          </cell>
          <cell r="J1570">
            <v>0.13076109589041096</v>
          </cell>
        </row>
        <row r="1571">
          <cell r="I1571">
            <v>2276</v>
          </cell>
          <cell r="J1571">
            <v>0.13076301369863014</v>
          </cell>
        </row>
        <row r="1572">
          <cell r="I1572">
            <v>2277</v>
          </cell>
          <cell r="J1572">
            <v>0.13076493150684931</v>
          </cell>
        </row>
        <row r="1573">
          <cell r="I1573">
            <v>2278</v>
          </cell>
          <cell r="J1573">
            <v>0.13076684931506849</v>
          </cell>
        </row>
        <row r="1574">
          <cell r="I1574">
            <v>2279</v>
          </cell>
          <cell r="J1574">
            <v>0.13076876712328767</v>
          </cell>
        </row>
        <row r="1575">
          <cell r="I1575">
            <v>2280</v>
          </cell>
          <cell r="J1575">
            <v>0.13077068493150684</v>
          </cell>
        </row>
        <row r="1576">
          <cell r="I1576">
            <v>2281</v>
          </cell>
          <cell r="J1576">
            <v>0.13077260273972602</v>
          </cell>
        </row>
        <row r="1577">
          <cell r="I1577">
            <v>2282</v>
          </cell>
          <cell r="J1577">
            <v>0.13077452054794519</v>
          </cell>
        </row>
        <row r="1578">
          <cell r="I1578">
            <v>2283</v>
          </cell>
          <cell r="J1578">
            <v>0.13077643835616437</v>
          </cell>
        </row>
        <row r="1579">
          <cell r="I1579">
            <v>2284</v>
          </cell>
          <cell r="J1579">
            <v>0.13077835616438355</v>
          </cell>
        </row>
        <row r="1580">
          <cell r="I1580">
            <v>2285</v>
          </cell>
          <cell r="J1580">
            <v>0.13078027397260272</v>
          </cell>
        </row>
        <row r="1581">
          <cell r="I1581">
            <v>2286</v>
          </cell>
          <cell r="J1581">
            <v>0.13078219178082193</v>
          </cell>
        </row>
        <row r="1582">
          <cell r="I1582">
            <v>2287</v>
          </cell>
          <cell r="J1582">
            <v>0.1307841095890411</v>
          </cell>
        </row>
        <row r="1583">
          <cell r="I1583">
            <v>2288</v>
          </cell>
          <cell r="J1583">
            <v>0.13078602739726028</v>
          </cell>
        </row>
        <row r="1584">
          <cell r="I1584">
            <v>2289</v>
          </cell>
          <cell r="J1584">
            <v>0.13078794520547946</v>
          </cell>
        </row>
        <row r="1585">
          <cell r="I1585">
            <v>2290</v>
          </cell>
          <cell r="J1585">
            <v>0.13078986301369863</v>
          </cell>
        </row>
        <row r="1586">
          <cell r="I1586">
            <v>2291</v>
          </cell>
          <cell r="J1586">
            <v>0.13079178082191781</v>
          </cell>
        </row>
        <row r="1587">
          <cell r="I1587">
            <v>2292</v>
          </cell>
          <cell r="J1587">
            <v>0.13079369863013698</v>
          </cell>
        </row>
        <row r="1588">
          <cell r="I1588">
            <v>2293</v>
          </cell>
          <cell r="J1588">
            <v>0.13079561643835616</v>
          </cell>
        </row>
        <row r="1589">
          <cell r="I1589">
            <v>2294</v>
          </cell>
          <cell r="J1589">
            <v>0.13079753424657534</v>
          </cell>
        </row>
        <row r="1590">
          <cell r="I1590">
            <v>2295</v>
          </cell>
          <cell r="J1590">
            <v>0.13079945205479451</v>
          </cell>
        </row>
        <row r="1591">
          <cell r="I1591">
            <v>2296</v>
          </cell>
          <cell r="J1591">
            <v>0.13080136986301369</v>
          </cell>
        </row>
        <row r="1592">
          <cell r="I1592">
            <v>2297</v>
          </cell>
          <cell r="J1592">
            <v>0.13080328767123287</v>
          </cell>
        </row>
        <row r="1593">
          <cell r="I1593">
            <v>2298</v>
          </cell>
          <cell r="J1593">
            <v>0.13080520547945204</v>
          </cell>
        </row>
        <row r="1594">
          <cell r="I1594">
            <v>2299</v>
          </cell>
          <cell r="J1594">
            <v>0.13080712328767122</v>
          </cell>
        </row>
        <row r="1595">
          <cell r="I1595">
            <v>2300</v>
          </cell>
          <cell r="J1595">
            <v>0.13080904109589039</v>
          </cell>
        </row>
        <row r="1596">
          <cell r="I1596">
            <v>2301</v>
          </cell>
          <cell r="J1596">
            <v>0.1308109589041096</v>
          </cell>
        </row>
        <row r="1597">
          <cell r="I1597">
            <v>2302</v>
          </cell>
          <cell r="J1597">
            <v>0.13081287671232877</v>
          </cell>
        </row>
        <row r="1598">
          <cell r="I1598">
            <v>2303</v>
          </cell>
          <cell r="J1598">
            <v>0.13081479452054795</v>
          </cell>
        </row>
        <row r="1599">
          <cell r="I1599">
            <v>2304</v>
          </cell>
          <cell r="J1599">
            <v>0.13081671232876713</v>
          </cell>
        </row>
        <row r="1600">
          <cell r="I1600">
            <v>2305</v>
          </cell>
          <cell r="J1600">
            <v>0.1308186301369863</v>
          </cell>
        </row>
        <row r="1601">
          <cell r="I1601">
            <v>2306</v>
          </cell>
          <cell r="J1601">
            <v>0.13082054794520548</v>
          </cell>
        </row>
        <row r="1602">
          <cell r="I1602">
            <v>2307</v>
          </cell>
          <cell r="J1602">
            <v>0.13082246575342465</v>
          </cell>
        </row>
        <row r="1603">
          <cell r="I1603">
            <v>2308</v>
          </cell>
          <cell r="J1603">
            <v>0.13082438356164383</v>
          </cell>
        </row>
        <row r="1604">
          <cell r="I1604">
            <v>2309</v>
          </cell>
          <cell r="J1604">
            <v>0.13082630136986301</v>
          </cell>
        </row>
        <row r="1605">
          <cell r="I1605">
            <v>2310</v>
          </cell>
          <cell r="J1605">
            <v>0.13082821917808218</v>
          </cell>
        </row>
        <row r="1606">
          <cell r="I1606">
            <v>2311</v>
          </cell>
          <cell r="J1606">
            <v>0.13083013698630136</v>
          </cell>
        </row>
        <row r="1607">
          <cell r="I1607">
            <v>2312</v>
          </cell>
          <cell r="J1607">
            <v>0.13083205479452054</v>
          </cell>
        </row>
        <row r="1608">
          <cell r="I1608">
            <v>2313</v>
          </cell>
          <cell r="J1608">
            <v>0.13083397260273971</v>
          </cell>
        </row>
        <row r="1609">
          <cell r="I1609">
            <v>2314</v>
          </cell>
          <cell r="J1609">
            <v>0.13083589041095889</v>
          </cell>
        </row>
        <row r="1610">
          <cell r="I1610">
            <v>2315</v>
          </cell>
          <cell r="J1610">
            <v>0.13083780821917806</v>
          </cell>
        </row>
        <row r="1611">
          <cell r="I1611">
            <v>2316</v>
          </cell>
          <cell r="J1611">
            <v>0.13083972602739727</v>
          </cell>
        </row>
        <row r="1612">
          <cell r="I1612">
            <v>2317</v>
          </cell>
          <cell r="J1612">
            <v>0.13084164383561644</v>
          </cell>
        </row>
        <row r="1613">
          <cell r="I1613">
            <v>2318</v>
          </cell>
          <cell r="J1613">
            <v>0.13084356164383562</v>
          </cell>
        </row>
        <row r="1614">
          <cell r="I1614">
            <v>2319</v>
          </cell>
          <cell r="J1614">
            <v>0.1308454794520548</v>
          </cell>
        </row>
        <row r="1615">
          <cell r="I1615">
            <v>2320</v>
          </cell>
          <cell r="J1615">
            <v>0.13084739726027397</v>
          </cell>
        </row>
        <row r="1616">
          <cell r="I1616">
            <v>2321</v>
          </cell>
          <cell r="J1616">
            <v>0.13084931506849315</v>
          </cell>
        </row>
        <row r="1617">
          <cell r="I1617">
            <v>2322</v>
          </cell>
          <cell r="J1617">
            <v>0.13085123287671233</v>
          </cell>
        </row>
        <row r="1618">
          <cell r="I1618">
            <v>2323</v>
          </cell>
          <cell r="J1618">
            <v>0.1308531506849315</v>
          </cell>
        </row>
        <row r="1619">
          <cell r="I1619">
            <v>2324</v>
          </cell>
          <cell r="J1619">
            <v>0.13085506849315068</v>
          </cell>
        </row>
        <row r="1620">
          <cell r="I1620">
            <v>2325</v>
          </cell>
          <cell r="J1620">
            <v>0.13085698630136985</v>
          </cell>
        </row>
        <row r="1621">
          <cell r="I1621">
            <v>2326</v>
          </cell>
          <cell r="J1621">
            <v>0.13085890410958903</v>
          </cell>
        </row>
        <row r="1622">
          <cell r="I1622">
            <v>2327</v>
          </cell>
          <cell r="J1622">
            <v>0.13086082191780821</v>
          </cell>
        </row>
        <row r="1623">
          <cell r="I1623">
            <v>2328</v>
          </cell>
          <cell r="J1623">
            <v>0.13086273972602738</v>
          </cell>
        </row>
        <row r="1624">
          <cell r="I1624">
            <v>2329</v>
          </cell>
          <cell r="J1624">
            <v>0.13086465753424656</v>
          </cell>
        </row>
        <row r="1625">
          <cell r="I1625">
            <v>2330</v>
          </cell>
          <cell r="J1625">
            <v>0.13086657534246576</v>
          </cell>
        </row>
        <row r="1626">
          <cell r="I1626">
            <v>2331</v>
          </cell>
          <cell r="J1626">
            <v>0.13086849315068494</v>
          </cell>
        </row>
        <row r="1627">
          <cell r="I1627">
            <v>2332</v>
          </cell>
          <cell r="J1627">
            <v>0.13087041095890412</v>
          </cell>
        </row>
        <row r="1628">
          <cell r="I1628">
            <v>2333</v>
          </cell>
          <cell r="J1628">
            <v>0.13087232876712329</v>
          </cell>
        </row>
        <row r="1629">
          <cell r="I1629">
            <v>2334</v>
          </cell>
          <cell r="J1629">
            <v>0.13087424657534247</v>
          </cell>
        </row>
        <row r="1630">
          <cell r="I1630">
            <v>2335</v>
          </cell>
          <cell r="J1630">
            <v>0.13087616438356164</v>
          </cell>
        </row>
        <row r="1631">
          <cell r="I1631">
            <v>2336</v>
          </cell>
          <cell r="J1631">
            <v>0.13087808219178082</v>
          </cell>
        </row>
        <row r="1632">
          <cell r="I1632">
            <v>2337</v>
          </cell>
          <cell r="J1632">
            <v>0.13088</v>
          </cell>
        </row>
        <row r="1633">
          <cell r="I1633">
            <v>2338</v>
          </cell>
          <cell r="J1633">
            <v>0.13088191780821917</v>
          </cell>
        </row>
        <row r="1634">
          <cell r="I1634">
            <v>2339</v>
          </cell>
          <cell r="J1634">
            <v>0.13088383561643835</v>
          </cell>
        </row>
        <row r="1635">
          <cell r="I1635">
            <v>2340</v>
          </cell>
          <cell r="J1635">
            <v>0.13088575342465752</v>
          </cell>
        </row>
        <row r="1636">
          <cell r="I1636">
            <v>2341</v>
          </cell>
          <cell r="J1636">
            <v>0.1308876712328767</v>
          </cell>
        </row>
        <row r="1637">
          <cell r="I1637">
            <v>2342</v>
          </cell>
          <cell r="J1637">
            <v>0.13088958904109588</v>
          </cell>
        </row>
        <row r="1638">
          <cell r="I1638">
            <v>2343</v>
          </cell>
          <cell r="J1638">
            <v>0.13089150684931505</v>
          </cell>
        </row>
        <row r="1639">
          <cell r="I1639">
            <v>2344</v>
          </cell>
          <cell r="J1639">
            <v>0.13089342465753423</v>
          </cell>
        </row>
        <row r="1640">
          <cell r="I1640">
            <v>2345</v>
          </cell>
          <cell r="J1640">
            <v>0.13089534246575343</v>
          </cell>
        </row>
        <row r="1641">
          <cell r="I1641">
            <v>2346</v>
          </cell>
          <cell r="J1641">
            <v>0.13089726027397261</v>
          </cell>
        </row>
        <row r="1642">
          <cell r="I1642">
            <v>2347</v>
          </cell>
          <cell r="J1642">
            <v>0.13089917808219179</v>
          </cell>
        </row>
        <row r="1643">
          <cell r="I1643">
            <v>2348</v>
          </cell>
          <cell r="J1643">
            <v>0.13090109589041096</v>
          </cell>
        </row>
        <row r="1644">
          <cell r="I1644">
            <v>2349</v>
          </cell>
          <cell r="J1644">
            <v>0.13090301369863014</v>
          </cell>
        </row>
        <row r="1645">
          <cell r="I1645">
            <v>2350</v>
          </cell>
          <cell r="J1645">
            <v>0.13090493150684931</v>
          </cell>
        </row>
        <row r="1646">
          <cell r="I1646">
            <v>2351</v>
          </cell>
          <cell r="J1646">
            <v>0.13090684931506849</v>
          </cell>
        </row>
        <row r="1647">
          <cell r="I1647">
            <v>2352</v>
          </cell>
          <cell r="J1647">
            <v>0.13090876712328767</v>
          </cell>
        </row>
        <row r="1648">
          <cell r="I1648">
            <v>2353</v>
          </cell>
          <cell r="J1648">
            <v>0.13091068493150684</v>
          </cell>
        </row>
        <row r="1649">
          <cell r="I1649">
            <v>2354</v>
          </cell>
          <cell r="J1649">
            <v>0.13091260273972602</v>
          </cell>
        </row>
        <row r="1650">
          <cell r="I1650">
            <v>2355</v>
          </cell>
          <cell r="J1650">
            <v>0.1309145205479452</v>
          </cell>
        </row>
        <row r="1651">
          <cell r="I1651">
            <v>2356</v>
          </cell>
          <cell r="J1651">
            <v>0.13091643835616437</v>
          </cell>
        </row>
        <row r="1652">
          <cell r="I1652">
            <v>2357</v>
          </cell>
          <cell r="J1652">
            <v>0.13091835616438355</v>
          </cell>
        </row>
        <row r="1653">
          <cell r="I1653">
            <v>2358</v>
          </cell>
          <cell r="J1653">
            <v>0.13092027397260272</v>
          </cell>
        </row>
        <row r="1654">
          <cell r="I1654">
            <v>2359</v>
          </cell>
          <cell r="J1654">
            <v>0.13092219178082193</v>
          </cell>
        </row>
        <row r="1655">
          <cell r="I1655">
            <v>2360</v>
          </cell>
          <cell r="J1655">
            <v>0.1309241095890411</v>
          </cell>
        </row>
        <row r="1656">
          <cell r="I1656">
            <v>2361</v>
          </cell>
          <cell r="J1656">
            <v>0.13092602739726028</v>
          </cell>
        </row>
        <row r="1657">
          <cell r="I1657">
            <v>2362</v>
          </cell>
          <cell r="J1657">
            <v>0.13092794520547946</v>
          </cell>
        </row>
        <row r="1658">
          <cell r="I1658">
            <v>2363</v>
          </cell>
          <cell r="J1658">
            <v>0.13092986301369863</v>
          </cell>
        </row>
        <row r="1659">
          <cell r="I1659">
            <v>2364</v>
          </cell>
          <cell r="J1659">
            <v>0.13093178082191781</v>
          </cell>
        </row>
        <row r="1660">
          <cell r="I1660">
            <v>2365</v>
          </cell>
          <cell r="J1660">
            <v>0.13093369863013699</v>
          </cell>
        </row>
        <row r="1661">
          <cell r="I1661">
            <v>2366</v>
          </cell>
          <cell r="J1661">
            <v>0.13093561643835616</v>
          </cell>
        </row>
        <row r="1662">
          <cell r="I1662">
            <v>2367</v>
          </cell>
          <cell r="J1662">
            <v>0.13093753424657534</v>
          </cell>
        </row>
        <row r="1663">
          <cell r="I1663">
            <v>2368</v>
          </cell>
          <cell r="J1663">
            <v>0.13093945205479451</v>
          </cell>
        </row>
        <row r="1664">
          <cell r="I1664">
            <v>2369</v>
          </cell>
          <cell r="J1664">
            <v>0.13094136986301369</v>
          </cell>
        </row>
        <row r="1665">
          <cell r="I1665">
            <v>2370</v>
          </cell>
          <cell r="J1665">
            <v>0.13094328767123287</v>
          </cell>
        </row>
        <row r="1666">
          <cell r="I1666">
            <v>2371</v>
          </cell>
          <cell r="J1666">
            <v>0.13094520547945204</v>
          </cell>
        </row>
        <row r="1667">
          <cell r="I1667">
            <v>2372</v>
          </cell>
          <cell r="J1667">
            <v>0.13094712328767122</v>
          </cell>
        </row>
        <row r="1668">
          <cell r="I1668">
            <v>2373</v>
          </cell>
          <cell r="J1668">
            <v>0.13094904109589039</v>
          </cell>
        </row>
        <row r="1669">
          <cell r="I1669">
            <v>2374</v>
          </cell>
          <cell r="J1669">
            <v>0.1309509589041096</v>
          </cell>
        </row>
        <row r="1670">
          <cell r="I1670">
            <v>2375</v>
          </cell>
          <cell r="J1670">
            <v>0.13095287671232878</v>
          </cell>
        </row>
        <row r="1671">
          <cell r="I1671">
            <v>2376</v>
          </cell>
          <cell r="J1671">
            <v>0.13095479452054795</v>
          </cell>
        </row>
        <row r="1672">
          <cell r="I1672">
            <v>2377</v>
          </cell>
          <cell r="J1672">
            <v>0.13095671232876713</v>
          </cell>
        </row>
        <row r="1673">
          <cell r="I1673">
            <v>2378</v>
          </cell>
          <cell r="J1673">
            <v>0.1309586301369863</v>
          </cell>
        </row>
        <row r="1674">
          <cell r="I1674">
            <v>2379</v>
          </cell>
          <cell r="J1674">
            <v>0.13096054794520548</v>
          </cell>
        </row>
        <row r="1675">
          <cell r="I1675">
            <v>2380</v>
          </cell>
          <cell r="J1675">
            <v>0.13096246575342466</v>
          </cell>
        </row>
        <row r="1676">
          <cell r="I1676">
            <v>2381</v>
          </cell>
          <cell r="J1676">
            <v>0.13096438356164383</v>
          </cell>
        </row>
        <row r="1677">
          <cell r="I1677">
            <v>2382</v>
          </cell>
          <cell r="J1677">
            <v>0.13096630136986301</v>
          </cell>
        </row>
        <row r="1678">
          <cell r="I1678">
            <v>2383</v>
          </cell>
          <cell r="J1678">
            <v>0.13096821917808218</v>
          </cell>
        </row>
        <row r="1679">
          <cell r="I1679">
            <v>2384</v>
          </cell>
          <cell r="J1679">
            <v>0.13097013698630136</v>
          </cell>
        </row>
        <row r="1680">
          <cell r="I1680">
            <v>2385</v>
          </cell>
          <cell r="J1680">
            <v>0.13097205479452054</v>
          </cell>
        </row>
        <row r="1681">
          <cell r="I1681">
            <v>2386</v>
          </cell>
          <cell r="J1681">
            <v>0.13097397260273971</v>
          </cell>
        </row>
        <row r="1682">
          <cell r="I1682">
            <v>2387</v>
          </cell>
          <cell r="J1682">
            <v>0.13097589041095889</v>
          </cell>
        </row>
        <row r="1683">
          <cell r="I1683">
            <v>2388</v>
          </cell>
          <cell r="J1683">
            <v>0.13097780821917807</v>
          </cell>
        </row>
        <row r="1684">
          <cell r="I1684">
            <v>2389</v>
          </cell>
          <cell r="J1684">
            <v>0.13097972602739727</v>
          </cell>
        </row>
        <row r="1685">
          <cell r="I1685">
            <v>2390</v>
          </cell>
          <cell r="J1685">
            <v>0.13098164383561645</v>
          </cell>
        </row>
        <row r="1686">
          <cell r="I1686">
            <v>2391</v>
          </cell>
          <cell r="J1686">
            <v>0.13098356164383562</v>
          </cell>
        </row>
        <row r="1687">
          <cell r="I1687">
            <v>2392</v>
          </cell>
          <cell r="J1687">
            <v>0.1309854794520548</v>
          </cell>
        </row>
        <row r="1688">
          <cell r="I1688">
            <v>2393</v>
          </cell>
          <cell r="J1688">
            <v>0.13098739726027397</v>
          </cell>
        </row>
        <row r="1689">
          <cell r="I1689">
            <v>2394</v>
          </cell>
          <cell r="J1689">
            <v>0.13098931506849315</v>
          </cell>
        </row>
        <row r="1690">
          <cell r="I1690">
            <v>2395</v>
          </cell>
          <cell r="J1690">
            <v>0.13099123287671233</v>
          </cell>
        </row>
        <row r="1691">
          <cell r="I1691">
            <v>2396</v>
          </cell>
          <cell r="J1691">
            <v>0.1309931506849315</v>
          </cell>
        </row>
        <row r="1692">
          <cell r="I1692">
            <v>2397</v>
          </cell>
          <cell r="J1692">
            <v>0.13099506849315068</v>
          </cell>
        </row>
        <row r="1693">
          <cell r="I1693">
            <v>2398</v>
          </cell>
          <cell r="J1693">
            <v>0.13099698630136986</v>
          </cell>
        </row>
        <row r="1694">
          <cell r="I1694">
            <v>2399</v>
          </cell>
          <cell r="J1694">
            <v>0.13099890410958903</v>
          </cell>
        </row>
        <row r="1695">
          <cell r="I1695">
            <v>2400</v>
          </cell>
          <cell r="J1695">
            <v>0.13100082191780821</v>
          </cell>
        </row>
        <row r="1696">
          <cell r="I1696">
            <v>2401</v>
          </cell>
          <cell r="J1696">
            <v>0.13100273972602738</v>
          </cell>
        </row>
        <row r="1697">
          <cell r="I1697">
            <v>2402</v>
          </cell>
          <cell r="J1697">
            <v>0.13100465753424656</v>
          </cell>
        </row>
        <row r="1698">
          <cell r="I1698">
            <v>2403</v>
          </cell>
          <cell r="J1698">
            <v>0.13100657534246576</v>
          </cell>
        </row>
        <row r="1699">
          <cell r="I1699">
            <v>2404</v>
          </cell>
          <cell r="J1699">
            <v>0.13100849315068494</v>
          </cell>
        </row>
        <row r="1700">
          <cell r="I1700">
            <v>2405</v>
          </cell>
          <cell r="J1700">
            <v>0.13101041095890412</v>
          </cell>
        </row>
        <row r="1701">
          <cell r="I1701">
            <v>2406</v>
          </cell>
          <cell r="J1701">
            <v>0.13101232876712329</v>
          </cell>
        </row>
        <row r="1702">
          <cell r="I1702">
            <v>2407</v>
          </cell>
          <cell r="J1702">
            <v>0.13101424657534247</v>
          </cell>
        </row>
        <row r="1703">
          <cell r="I1703">
            <v>2408</v>
          </cell>
          <cell r="J1703">
            <v>0.13101616438356165</v>
          </cell>
        </row>
        <row r="1704">
          <cell r="I1704">
            <v>2409</v>
          </cell>
          <cell r="J1704">
            <v>0.13101808219178082</v>
          </cell>
        </row>
        <row r="1705">
          <cell r="I1705">
            <v>2410</v>
          </cell>
          <cell r="J1705">
            <v>0.13102</v>
          </cell>
        </row>
        <row r="1706">
          <cell r="I1706">
            <v>2411</v>
          </cell>
          <cell r="J1706">
            <v>0.13102191780821917</v>
          </cell>
        </row>
        <row r="1707">
          <cell r="I1707">
            <v>2412</v>
          </cell>
          <cell r="J1707">
            <v>0.13102383561643835</v>
          </cell>
        </row>
        <row r="1708">
          <cell r="I1708">
            <v>2413</v>
          </cell>
          <cell r="J1708">
            <v>0.13102575342465753</v>
          </cell>
        </row>
        <row r="1709">
          <cell r="I1709">
            <v>2414</v>
          </cell>
          <cell r="J1709">
            <v>0.1310276712328767</v>
          </cell>
        </row>
        <row r="1710">
          <cell r="I1710">
            <v>2415</v>
          </cell>
          <cell r="J1710">
            <v>0.13102958904109588</v>
          </cell>
        </row>
        <row r="1711">
          <cell r="I1711">
            <v>2416</v>
          </cell>
          <cell r="J1711">
            <v>0.13103150684931505</v>
          </cell>
        </row>
        <row r="1712">
          <cell r="I1712">
            <v>2417</v>
          </cell>
          <cell r="J1712">
            <v>0.13103342465753423</v>
          </cell>
        </row>
        <row r="1713">
          <cell r="I1713">
            <v>2418</v>
          </cell>
          <cell r="J1713">
            <v>0.13103534246575343</v>
          </cell>
        </row>
        <row r="1714">
          <cell r="I1714">
            <v>2419</v>
          </cell>
          <cell r="J1714">
            <v>0.13103726027397261</v>
          </cell>
        </row>
        <row r="1715">
          <cell r="I1715">
            <v>2420</v>
          </cell>
          <cell r="J1715">
            <v>0.13103917808219179</v>
          </cell>
        </row>
        <row r="1716">
          <cell r="I1716">
            <v>2421</v>
          </cell>
          <cell r="J1716">
            <v>0.13104109589041096</v>
          </cell>
        </row>
        <row r="1717">
          <cell r="I1717">
            <v>2422</v>
          </cell>
          <cell r="J1717">
            <v>0.13104301369863014</v>
          </cell>
        </row>
        <row r="1718">
          <cell r="I1718">
            <v>2423</v>
          </cell>
          <cell r="J1718">
            <v>0.13104493150684932</v>
          </cell>
        </row>
        <row r="1719">
          <cell r="I1719">
            <v>2424</v>
          </cell>
          <cell r="J1719">
            <v>0.13104684931506849</v>
          </cell>
        </row>
        <row r="1720">
          <cell r="I1720">
            <v>2425</v>
          </cell>
          <cell r="J1720">
            <v>0.13104876712328767</v>
          </cell>
        </row>
        <row r="1721">
          <cell r="I1721">
            <v>2426</v>
          </cell>
          <cell r="J1721">
            <v>0.13105068493150684</v>
          </cell>
        </row>
        <row r="1722">
          <cell r="I1722">
            <v>2427</v>
          </cell>
          <cell r="J1722">
            <v>0.13105260273972602</v>
          </cell>
        </row>
        <row r="1723">
          <cell r="I1723">
            <v>2428</v>
          </cell>
          <cell r="J1723">
            <v>0.1310545205479452</v>
          </cell>
        </row>
        <row r="1724">
          <cell r="I1724">
            <v>2429</v>
          </cell>
          <cell r="J1724">
            <v>0.13105643835616437</v>
          </cell>
        </row>
        <row r="1725">
          <cell r="I1725">
            <v>2430</v>
          </cell>
          <cell r="J1725">
            <v>0.13105835616438355</v>
          </cell>
        </row>
        <row r="1726">
          <cell r="I1726">
            <v>2431</v>
          </cell>
          <cell r="J1726">
            <v>0.13106027397260273</v>
          </cell>
        </row>
        <row r="1727">
          <cell r="I1727">
            <v>2432</v>
          </cell>
          <cell r="J1727">
            <v>0.13106219178082193</v>
          </cell>
        </row>
        <row r="1728">
          <cell r="I1728">
            <v>2433</v>
          </cell>
          <cell r="J1728">
            <v>0.13106410958904111</v>
          </cell>
        </row>
        <row r="1729">
          <cell r="I1729">
            <v>2434</v>
          </cell>
          <cell r="J1729">
            <v>0.13106602739726028</v>
          </cell>
        </row>
        <row r="1730">
          <cell r="I1730">
            <v>2435</v>
          </cell>
          <cell r="J1730">
            <v>0.13106794520547946</v>
          </cell>
        </row>
        <row r="1731">
          <cell r="I1731">
            <v>2436</v>
          </cell>
          <cell r="J1731">
            <v>0.13106986301369863</v>
          </cell>
        </row>
        <row r="1732">
          <cell r="I1732">
            <v>2437</v>
          </cell>
          <cell r="J1732">
            <v>0.13107178082191781</v>
          </cell>
        </row>
        <row r="1733">
          <cell r="I1733">
            <v>2438</v>
          </cell>
          <cell r="J1733">
            <v>0.13107369863013699</v>
          </cell>
        </row>
        <row r="1734">
          <cell r="I1734">
            <v>2439</v>
          </cell>
          <cell r="J1734">
            <v>0.13107561643835616</v>
          </cell>
        </row>
        <row r="1735">
          <cell r="I1735">
            <v>2440</v>
          </cell>
          <cell r="J1735">
            <v>0.13107753424657534</v>
          </cell>
        </row>
        <row r="1736">
          <cell r="I1736">
            <v>2441</v>
          </cell>
          <cell r="J1736">
            <v>0.13107945205479452</v>
          </cell>
        </row>
        <row r="1737">
          <cell r="I1737">
            <v>2442</v>
          </cell>
          <cell r="J1737">
            <v>0.13108136986301369</v>
          </cell>
        </row>
        <row r="1738">
          <cell r="I1738">
            <v>2443</v>
          </cell>
          <cell r="J1738">
            <v>0.13108328767123287</v>
          </cell>
        </row>
        <row r="1739">
          <cell r="I1739">
            <v>2444</v>
          </cell>
          <cell r="J1739">
            <v>0.13108520547945204</v>
          </cell>
        </row>
        <row r="1740">
          <cell r="I1740">
            <v>2445</v>
          </cell>
          <cell r="J1740">
            <v>0.13108712328767122</v>
          </cell>
        </row>
        <row r="1741">
          <cell r="I1741">
            <v>2446</v>
          </cell>
          <cell r="J1741">
            <v>0.1310890410958904</v>
          </cell>
        </row>
        <row r="1742">
          <cell r="I1742">
            <v>2447</v>
          </cell>
          <cell r="J1742">
            <v>0.1310909589041096</v>
          </cell>
        </row>
        <row r="1743">
          <cell r="I1743">
            <v>2448</v>
          </cell>
          <cell r="J1743">
            <v>0.13109287671232878</v>
          </cell>
        </row>
        <row r="1744">
          <cell r="I1744">
            <v>2449</v>
          </cell>
          <cell r="J1744">
            <v>0.13109479452054795</v>
          </cell>
        </row>
        <row r="1745">
          <cell r="I1745">
            <v>2450</v>
          </cell>
          <cell r="J1745">
            <v>0.13109671232876713</v>
          </cell>
        </row>
        <row r="1746">
          <cell r="I1746">
            <v>2451</v>
          </cell>
          <cell r="J1746">
            <v>0.1310986301369863</v>
          </cell>
        </row>
        <row r="1747">
          <cell r="I1747">
            <v>2452</v>
          </cell>
          <cell r="J1747">
            <v>0.13110054794520548</v>
          </cell>
        </row>
        <row r="1748">
          <cell r="I1748">
            <v>2453</v>
          </cell>
          <cell r="J1748">
            <v>0.13110246575342466</v>
          </cell>
        </row>
        <row r="1749">
          <cell r="I1749">
            <v>2454</v>
          </cell>
          <cell r="J1749">
            <v>0.13110438356164383</v>
          </cell>
        </row>
        <row r="1750">
          <cell r="I1750">
            <v>2455</v>
          </cell>
          <cell r="J1750">
            <v>0.13110630136986301</v>
          </cell>
        </row>
        <row r="1751">
          <cell r="I1751">
            <v>2456</v>
          </cell>
          <cell r="J1751">
            <v>0.13110821917808219</v>
          </cell>
        </row>
        <row r="1752">
          <cell r="I1752">
            <v>2457</v>
          </cell>
          <cell r="J1752">
            <v>0.13111013698630136</v>
          </cell>
        </row>
        <row r="1753">
          <cell r="I1753">
            <v>2458</v>
          </cell>
          <cell r="J1753">
            <v>0.13111205479452054</v>
          </cell>
        </row>
        <row r="1754">
          <cell r="I1754">
            <v>2459</v>
          </cell>
          <cell r="J1754">
            <v>0.13111397260273971</v>
          </cell>
        </row>
        <row r="1755">
          <cell r="I1755">
            <v>2460</v>
          </cell>
          <cell r="J1755">
            <v>0.13111589041095889</v>
          </cell>
        </row>
        <row r="1756">
          <cell r="I1756">
            <v>2461</v>
          </cell>
          <cell r="J1756">
            <v>0.13111780821917807</v>
          </cell>
        </row>
        <row r="1757">
          <cell r="I1757">
            <v>2462</v>
          </cell>
          <cell r="J1757">
            <v>0.13111972602739727</v>
          </cell>
        </row>
        <row r="1758">
          <cell r="I1758">
            <v>2463</v>
          </cell>
          <cell r="J1758">
            <v>0.13112164383561645</v>
          </cell>
        </row>
        <row r="1759">
          <cell r="I1759">
            <v>2464</v>
          </cell>
          <cell r="J1759">
            <v>0.13112356164383562</v>
          </cell>
        </row>
        <row r="1760">
          <cell r="I1760">
            <v>2465</v>
          </cell>
          <cell r="J1760">
            <v>0.1311254794520548</v>
          </cell>
        </row>
        <row r="1761">
          <cell r="I1761">
            <v>2466</v>
          </cell>
          <cell r="J1761">
            <v>0.13112739726027398</v>
          </cell>
        </row>
        <row r="1762">
          <cell r="I1762">
            <v>2467</v>
          </cell>
          <cell r="J1762">
            <v>0.13112931506849315</v>
          </cell>
        </row>
        <row r="1763">
          <cell r="I1763">
            <v>2468</v>
          </cell>
          <cell r="J1763">
            <v>0.13113123287671233</v>
          </cell>
        </row>
        <row r="1764">
          <cell r="I1764">
            <v>2469</v>
          </cell>
          <cell r="J1764">
            <v>0.1311331506849315</v>
          </cell>
        </row>
        <row r="1765">
          <cell r="I1765">
            <v>2470</v>
          </cell>
          <cell r="J1765">
            <v>0.13113506849315068</v>
          </cell>
        </row>
        <row r="1766">
          <cell r="I1766">
            <v>2471</v>
          </cell>
          <cell r="J1766">
            <v>0.13113698630136986</v>
          </cell>
        </row>
        <row r="1767">
          <cell r="I1767">
            <v>2472</v>
          </cell>
          <cell r="J1767">
            <v>0.13113890410958903</v>
          </cell>
        </row>
        <row r="1768">
          <cell r="I1768">
            <v>2473</v>
          </cell>
          <cell r="J1768">
            <v>0.13114082191780821</v>
          </cell>
        </row>
        <row r="1769">
          <cell r="I1769">
            <v>2474</v>
          </cell>
          <cell r="J1769">
            <v>0.13114273972602739</v>
          </cell>
        </row>
        <row r="1770">
          <cell r="I1770">
            <v>2475</v>
          </cell>
          <cell r="J1770">
            <v>0.13114465753424656</v>
          </cell>
        </row>
        <row r="1771">
          <cell r="I1771">
            <v>2476</v>
          </cell>
          <cell r="J1771">
            <v>0.13114657534246577</v>
          </cell>
        </row>
        <row r="1772">
          <cell r="I1772">
            <v>2477</v>
          </cell>
          <cell r="J1772">
            <v>0.13114849315068494</v>
          </cell>
        </row>
        <row r="1773">
          <cell r="I1773">
            <v>2478</v>
          </cell>
          <cell r="J1773">
            <v>0.13115041095890412</v>
          </cell>
        </row>
        <row r="1774">
          <cell r="I1774">
            <v>2479</v>
          </cell>
          <cell r="J1774">
            <v>0.13115232876712329</v>
          </cell>
        </row>
        <row r="1775">
          <cell r="I1775">
            <v>2480</v>
          </cell>
          <cell r="J1775">
            <v>0.13115424657534247</v>
          </cell>
        </row>
        <row r="1776">
          <cell r="I1776">
            <v>2481</v>
          </cell>
          <cell r="J1776">
            <v>0.13115616438356165</v>
          </cell>
        </row>
        <row r="1777">
          <cell r="I1777">
            <v>2482</v>
          </cell>
          <cell r="J1777">
            <v>0.13115808219178082</v>
          </cell>
        </row>
        <row r="1778">
          <cell r="I1778">
            <v>2483</v>
          </cell>
          <cell r="J1778">
            <v>0.13116</v>
          </cell>
        </row>
        <row r="1779">
          <cell r="I1779">
            <v>2484</v>
          </cell>
          <cell r="J1779">
            <v>0.13116191780821918</v>
          </cell>
        </row>
        <row r="1780">
          <cell r="I1780">
            <v>2485</v>
          </cell>
          <cell r="J1780">
            <v>0.13116383561643835</v>
          </cell>
        </row>
        <row r="1781">
          <cell r="I1781">
            <v>2486</v>
          </cell>
          <cell r="J1781">
            <v>0.13116575342465753</v>
          </cell>
        </row>
        <row r="1782">
          <cell r="I1782">
            <v>2487</v>
          </cell>
          <cell r="J1782">
            <v>0.1311676712328767</v>
          </cell>
        </row>
        <row r="1783">
          <cell r="I1783">
            <v>2488</v>
          </cell>
          <cell r="J1783">
            <v>0.13116958904109588</v>
          </cell>
        </row>
        <row r="1784">
          <cell r="I1784">
            <v>2489</v>
          </cell>
          <cell r="J1784">
            <v>0.13117150684931506</v>
          </cell>
        </row>
        <row r="1785">
          <cell r="I1785">
            <v>2490</v>
          </cell>
          <cell r="J1785">
            <v>0.13117342465753423</v>
          </cell>
        </row>
        <row r="1786">
          <cell r="I1786">
            <v>2491</v>
          </cell>
          <cell r="J1786">
            <v>0.13117534246575344</v>
          </cell>
        </row>
        <row r="1787">
          <cell r="I1787">
            <v>2492</v>
          </cell>
          <cell r="J1787">
            <v>0.13117726027397261</v>
          </cell>
        </row>
        <row r="1788">
          <cell r="I1788">
            <v>2493</v>
          </cell>
          <cell r="J1788">
            <v>0.13117917808219179</v>
          </cell>
        </row>
        <row r="1789">
          <cell r="I1789">
            <v>2494</v>
          </cell>
          <cell r="J1789">
            <v>0.13118109589041096</v>
          </cell>
        </row>
        <row r="1790">
          <cell r="I1790">
            <v>2495</v>
          </cell>
          <cell r="J1790">
            <v>0.13118301369863014</v>
          </cell>
        </row>
        <row r="1791">
          <cell r="I1791">
            <v>2496</v>
          </cell>
          <cell r="J1791">
            <v>0.13118493150684932</v>
          </cell>
        </row>
        <row r="1792">
          <cell r="I1792">
            <v>2497</v>
          </cell>
          <cell r="J1792">
            <v>0.13118684931506849</v>
          </cell>
        </row>
        <row r="1793">
          <cell r="I1793">
            <v>2498</v>
          </cell>
          <cell r="J1793">
            <v>0.13118876712328767</v>
          </cell>
        </row>
        <row r="1794">
          <cell r="I1794">
            <v>2499</v>
          </cell>
          <cell r="J1794">
            <v>0.13119068493150685</v>
          </cell>
        </row>
        <row r="1795">
          <cell r="I1795">
            <v>2500</v>
          </cell>
          <cell r="J1795">
            <v>0.13119260273972602</v>
          </cell>
        </row>
        <row r="1796">
          <cell r="I1796">
            <v>2501</v>
          </cell>
          <cell r="J1796">
            <v>0.1311945205479452</v>
          </cell>
        </row>
        <row r="1797">
          <cell r="I1797">
            <v>2502</v>
          </cell>
          <cell r="J1797">
            <v>0.13119643835616437</v>
          </cell>
        </row>
        <row r="1798">
          <cell r="I1798">
            <v>2503</v>
          </cell>
          <cell r="J1798">
            <v>0.13119835616438355</v>
          </cell>
        </row>
        <row r="1799">
          <cell r="I1799">
            <v>2504</v>
          </cell>
          <cell r="J1799">
            <v>0.13120027397260273</v>
          </cell>
        </row>
        <row r="1800">
          <cell r="I1800">
            <v>2505</v>
          </cell>
          <cell r="J1800">
            <v>0.13120219178082193</v>
          </cell>
        </row>
        <row r="1801">
          <cell r="I1801">
            <v>2506</v>
          </cell>
          <cell r="J1801">
            <v>0.13120410958904111</v>
          </cell>
        </row>
        <row r="1802">
          <cell r="I1802">
            <v>2507</v>
          </cell>
          <cell r="J1802">
            <v>0.13120602739726028</v>
          </cell>
        </row>
        <row r="1803">
          <cell r="I1803">
            <v>2508</v>
          </cell>
          <cell r="J1803">
            <v>0.13120794520547946</v>
          </cell>
        </row>
        <row r="1804">
          <cell r="I1804">
            <v>2509</v>
          </cell>
          <cell r="J1804">
            <v>0.13120986301369864</v>
          </cell>
        </row>
        <row r="1805">
          <cell r="I1805">
            <v>2510</v>
          </cell>
          <cell r="J1805">
            <v>0.13121178082191781</v>
          </cell>
        </row>
        <row r="1806">
          <cell r="I1806">
            <v>2511</v>
          </cell>
          <cell r="J1806">
            <v>0.13121369863013699</v>
          </cell>
        </row>
        <row r="1807">
          <cell r="I1807">
            <v>2512</v>
          </cell>
          <cell r="J1807">
            <v>0.13121561643835616</v>
          </cell>
        </row>
        <row r="1808">
          <cell r="I1808">
            <v>2513</v>
          </cell>
          <cell r="J1808">
            <v>0.13121753424657534</v>
          </cell>
        </row>
        <row r="1809">
          <cell r="I1809">
            <v>2514</v>
          </cell>
          <cell r="J1809">
            <v>0.13121945205479452</v>
          </cell>
        </row>
        <row r="1810">
          <cell r="I1810">
            <v>2515</v>
          </cell>
          <cell r="J1810">
            <v>0.13122136986301369</v>
          </cell>
        </row>
        <row r="1811">
          <cell r="I1811">
            <v>2516</v>
          </cell>
          <cell r="J1811">
            <v>0.13122328767123287</v>
          </cell>
        </row>
        <row r="1812">
          <cell r="I1812">
            <v>2517</v>
          </cell>
          <cell r="J1812">
            <v>0.13122520547945205</v>
          </cell>
        </row>
        <row r="1813">
          <cell r="I1813">
            <v>2518</v>
          </cell>
          <cell r="J1813">
            <v>0.13122712328767122</v>
          </cell>
        </row>
        <row r="1814">
          <cell r="I1814">
            <v>2519</v>
          </cell>
          <cell r="J1814">
            <v>0.1312290410958904</v>
          </cell>
        </row>
        <row r="1815">
          <cell r="I1815">
            <v>2520</v>
          </cell>
          <cell r="J1815">
            <v>0.1312309589041096</v>
          </cell>
        </row>
        <row r="1816">
          <cell r="I1816">
            <v>2521</v>
          </cell>
          <cell r="J1816">
            <v>0.13123287671232878</v>
          </cell>
        </row>
        <row r="1817">
          <cell r="I1817">
            <v>2522</v>
          </cell>
          <cell r="J1817">
            <v>0.13123479452054795</v>
          </cell>
        </row>
        <row r="1818">
          <cell r="I1818">
            <v>2523</v>
          </cell>
          <cell r="J1818">
            <v>0.13123671232876713</v>
          </cell>
        </row>
        <row r="1819">
          <cell r="I1819">
            <v>2524</v>
          </cell>
          <cell r="J1819">
            <v>0.13123863013698631</v>
          </cell>
        </row>
        <row r="1820">
          <cell r="I1820">
            <v>2525</v>
          </cell>
          <cell r="J1820">
            <v>0.13124054794520548</v>
          </cell>
        </row>
        <row r="1821">
          <cell r="I1821">
            <v>2526</v>
          </cell>
          <cell r="J1821">
            <v>0.13124246575342466</v>
          </cell>
        </row>
        <row r="1822">
          <cell r="I1822">
            <v>2527</v>
          </cell>
          <cell r="J1822">
            <v>0.13124438356164383</v>
          </cell>
        </row>
        <row r="1823">
          <cell r="I1823">
            <v>2528</v>
          </cell>
          <cell r="J1823">
            <v>0.13124630136986301</v>
          </cell>
        </row>
        <row r="1824">
          <cell r="I1824">
            <v>2529</v>
          </cell>
          <cell r="J1824">
            <v>0.13124821917808219</v>
          </cell>
        </row>
        <row r="1825">
          <cell r="I1825">
            <v>2530</v>
          </cell>
          <cell r="J1825">
            <v>0.13125013698630136</v>
          </cell>
        </row>
        <row r="1826">
          <cell r="I1826">
            <v>2531</v>
          </cell>
          <cell r="J1826">
            <v>0.13125205479452054</v>
          </cell>
        </row>
        <row r="1827">
          <cell r="I1827">
            <v>2532</v>
          </cell>
          <cell r="J1827">
            <v>0.13125397260273972</v>
          </cell>
        </row>
        <row r="1828">
          <cell r="I1828">
            <v>2533</v>
          </cell>
          <cell r="J1828">
            <v>0.13125589041095889</v>
          </cell>
        </row>
        <row r="1829">
          <cell r="I1829">
            <v>2534</v>
          </cell>
          <cell r="J1829">
            <v>0.13125780821917807</v>
          </cell>
        </row>
        <row r="1830">
          <cell r="I1830">
            <v>2535</v>
          </cell>
          <cell r="J1830">
            <v>0.13125972602739727</v>
          </cell>
        </row>
        <row r="1831">
          <cell r="I1831">
            <v>2536</v>
          </cell>
          <cell r="J1831">
            <v>0.13126164383561645</v>
          </cell>
        </row>
        <row r="1832">
          <cell r="I1832">
            <v>2537</v>
          </cell>
          <cell r="J1832">
            <v>0.13126356164383562</v>
          </cell>
        </row>
        <row r="1833">
          <cell r="I1833">
            <v>2538</v>
          </cell>
          <cell r="J1833">
            <v>0.1312654794520548</v>
          </cell>
        </row>
        <row r="1834">
          <cell r="I1834">
            <v>2539</v>
          </cell>
          <cell r="J1834">
            <v>0.13126739726027398</v>
          </cell>
        </row>
        <row r="1835">
          <cell r="I1835">
            <v>2540</v>
          </cell>
          <cell r="J1835">
            <v>0.13126931506849315</v>
          </cell>
        </row>
        <row r="1836">
          <cell r="I1836">
            <v>2541</v>
          </cell>
          <cell r="J1836">
            <v>0.13127123287671233</v>
          </cell>
        </row>
        <row r="1837">
          <cell r="I1837">
            <v>2542</v>
          </cell>
          <cell r="J1837">
            <v>0.13127315068493151</v>
          </cell>
        </row>
        <row r="1838">
          <cell r="I1838">
            <v>2543</v>
          </cell>
          <cell r="J1838">
            <v>0.13127506849315068</v>
          </cell>
        </row>
        <row r="1839">
          <cell r="I1839">
            <v>2544</v>
          </cell>
          <cell r="J1839">
            <v>0.13127698630136986</v>
          </cell>
        </row>
        <row r="1840">
          <cell r="I1840">
            <v>2545</v>
          </cell>
          <cell r="J1840">
            <v>0.13127890410958903</v>
          </cell>
        </row>
        <row r="1841">
          <cell r="I1841">
            <v>2546</v>
          </cell>
          <cell r="J1841">
            <v>0.13128082191780821</v>
          </cell>
        </row>
        <row r="1842">
          <cell r="I1842">
            <v>2547</v>
          </cell>
          <cell r="J1842">
            <v>0.13128273972602739</v>
          </cell>
        </row>
        <row r="1843">
          <cell r="I1843">
            <v>2548</v>
          </cell>
          <cell r="J1843">
            <v>0.13128465753424656</v>
          </cell>
        </row>
        <row r="1844">
          <cell r="I1844">
            <v>2549</v>
          </cell>
          <cell r="J1844">
            <v>0.13128657534246577</v>
          </cell>
        </row>
        <row r="1845">
          <cell r="I1845">
            <v>2550</v>
          </cell>
          <cell r="J1845">
            <v>0.13128849315068494</v>
          </cell>
        </row>
        <row r="1846">
          <cell r="I1846">
            <v>2551</v>
          </cell>
          <cell r="J1846">
            <v>0.13129041095890412</v>
          </cell>
        </row>
        <row r="1847">
          <cell r="I1847">
            <v>2552</v>
          </cell>
          <cell r="J1847">
            <v>0.1312923287671233</v>
          </cell>
        </row>
        <row r="1848">
          <cell r="I1848">
            <v>2553</v>
          </cell>
          <cell r="J1848">
            <v>0.13129424657534247</v>
          </cell>
        </row>
        <row r="1849">
          <cell r="I1849">
            <v>2554</v>
          </cell>
          <cell r="J1849">
            <v>0.13129616438356165</v>
          </cell>
        </row>
        <row r="1850">
          <cell r="I1850">
            <v>2555</v>
          </cell>
          <cell r="J1850">
            <v>0.13129808219178082</v>
          </cell>
        </row>
        <row r="1851">
          <cell r="I1851">
            <v>2556</v>
          </cell>
          <cell r="J1851">
            <v>0.1313</v>
          </cell>
        </row>
        <row r="1852">
          <cell r="I1852">
            <v>2557</v>
          </cell>
          <cell r="J1852">
            <v>0.1313</v>
          </cell>
        </row>
        <row r="1853">
          <cell r="I1853">
            <v>2558</v>
          </cell>
          <cell r="J1853">
            <v>0.13130136986301369</v>
          </cell>
        </row>
        <row r="1854">
          <cell r="I1854">
            <v>2559</v>
          </cell>
          <cell r="J1854">
            <v>0.13130273972602741</v>
          </cell>
        </row>
        <row r="1855">
          <cell r="I1855">
            <v>2560</v>
          </cell>
          <cell r="J1855">
            <v>0.1313041095890411</v>
          </cell>
        </row>
        <row r="1856">
          <cell r="I1856">
            <v>2561</v>
          </cell>
          <cell r="J1856">
            <v>0.13130547945205479</v>
          </cell>
        </row>
        <row r="1857">
          <cell r="I1857">
            <v>2562</v>
          </cell>
          <cell r="J1857">
            <v>0.1313068493150685</v>
          </cell>
        </row>
        <row r="1858">
          <cell r="I1858">
            <v>2563</v>
          </cell>
          <cell r="J1858">
            <v>0.13130821917808219</v>
          </cell>
        </row>
        <row r="1859">
          <cell r="I1859">
            <v>2564</v>
          </cell>
          <cell r="J1859">
            <v>0.13130958904109588</v>
          </cell>
        </row>
        <row r="1860">
          <cell r="I1860">
            <v>2565</v>
          </cell>
          <cell r="J1860">
            <v>0.1313109589041096</v>
          </cell>
        </row>
        <row r="1861">
          <cell r="I1861">
            <v>2566</v>
          </cell>
          <cell r="J1861">
            <v>0.13131232876712329</v>
          </cell>
        </row>
        <row r="1862">
          <cell r="I1862">
            <v>2567</v>
          </cell>
          <cell r="J1862">
            <v>0.13131369863013698</v>
          </cell>
        </row>
        <row r="1863">
          <cell r="I1863">
            <v>2568</v>
          </cell>
          <cell r="J1863">
            <v>0.13131506849315069</v>
          </cell>
        </row>
        <row r="1864">
          <cell r="I1864">
            <v>2569</v>
          </cell>
          <cell r="J1864">
            <v>0.13131643835616438</v>
          </cell>
        </row>
        <row r="1865">
          <cell r="I1865">
            <v>2570</v>
          </cell>
          <cell r="J1865">
            <v>0.13131780821917807</v>
          </cell>
        </row>
        <row r="1866">
          <cell r="I1866">
            <v>2571</v>
          </cell>
          <cell r="J1866">
            <v>0.13131917808219179</v>
          </cell>
        </row>
        <row r="1867">
          <cell r="I1867">
            <v>2572</v>
          </cell>
          <cell r="J1867">
            <v>0.13132054794520548</v>
          </cell>
        </row>
        <row r="1868">
          <cell r="I1868">
            <v>2573</v>
          </cell>
          <cell r="J1868">
            <v>0.13132191780821917</v>
          </cell>
        </row>
        <row r="1869">
          <cell r="I1869">
            <v>2574</v>
          </cell>
          <cell r="J1869">
            <v>0.13132328767123289</v>
          </cell>
        </row>
        <row r="1870">
          <cell r="I1870">
            <v>2575</v>
          </cell>
          <cell r="J1870">
            <v>0.13132465753424657</v>
          </cell>
        </row>
        <row r="1871">
          <cell r="I1871">
            <v>2576</v>
          </cell>
          <cell r="J1871">
            <v>0.13132602739726026</v>
          </cell>
        </row>
        <row r="1872">
          <cell r="I1872">
            <v>2577</v>
          </cell>
          <cell r="J1872">
            <v>0.13132739726027398</v>
          </cell>
        </row>
        <row r="1873">
          <cell r="I1873">
            <v>2578</v>
          </cell>
          <cell r="J1873">
            <v>0.13132876712328767</v>
          </cell>
        </row>
        <row r="1874">
          <cell r="I1874">
            <v>2579</v>
          </cell>
          <cell r="J1874">
            <v>0.13133013698630136</v>
          </cell>
        </row>
        <row r="1875">
          <cell r="I1875">
            <v>2580</v>
          </cell>
          <cell r="J1875">
            <v>0.13133150684931508</v>
          </cell>
        </row>
        <row r="1876">
          <cell r="I1876">
            <v>2581</v>
          </cell>
          <cell r="J1876">
            <v>0.13133287671232877</v>
          </cell>
        </row>
        <row r="1877">
          <cell r="I1877">
            <v>2582</v>
          </cell>
          <cell r="J1877">
            <v>0.13133424657534246</v>
          </cell>
        </row>
        <row r="1878">
          <cell r="I1878">
            <v>2583</v>
          </cell>
          <cell r="J1878">
            <v>0.13133561643835617</v>
          </cell>
        </row>
        <row r="1879">
          <cell r="I1879">
            <v>2584</v>
          </cell>
          <cell r="J1879">
            <v>0.13133698630136986</v>
          </cell>
        </row>
        <row r="1880">
          <cell r="I1880">
            <v>2585</v>
          </cell>
          <cell r="J1880">
            <v>0.13133835616438355</v>
          </cell>
        </row>
        <row r="1881">
          <cell r="I1881">
            <v>2586</v>
          </cell>
          <cell r="J1881">
            <v>0.13133972602739727</v>
          </cell>
        </row>
        <row r="1882">
          <cell r="I1882">
            <v>2587</v>
          </cell>
          <cell r="J1882">
            <v>0.13134109589041096</v>
          </cell>
        </row>
        <row r="1883">
          <cell r="I1883">
            <v>2588</v>
          </cell>
          <cell r="J1883">
            <v>0.13134246575342465</v>
          </cell>
        </row>
        <row r="1884">
          <cell r="I1884">
            <v>2589</v>
          </cell>
          <cell r="J1884">
            <v>0.13134383561643836</v>
          </cell>
        </row>
        <row r="1885">
          <cell r="I1885">
            <v>2590</v>
          </cell>
          <cell r="J1885">
            <v>0.13134520547945205</v>
          </cell>
        </row>
        <row r="1886">
          <cell r="I1886">
            <v>2591</v>
          </cell>
          <cell r="J1886">
            <v>0.13134657534246574</v>
          </cell>
        </row>
        <row r="1887">
          <cell r="I1887">
            <v>2592</v>
          </cell>
          <cell r="J1887">
            <v>0.13134794520547946</v>
          </cell>
        </row>
        <row r="1888">
          <cell r="I1888">
            <v>2593</v>
          </cell>
          <cell r="J1888">
            <v>0.13134931506849315</v>
          </cell>
        </row>
        <row r="1889">
          <cell r="I1889">
            <v>2594</v>
          </cell>
          <cell r="J1889">
            <v>0.13135068493150684</v>
          </cell>
        </row>
        <row r="1890">
          <cell r="I1890">
            <v>2595</v>
          </cell>
          <cell r="J1890">
            <v>0.13135205479452056</v>
          </cell>
        </row>
        <row r="1891">
          <cell r="I1891">
            <v>2596</v>
          </cell>
          <cell r="J1891">
            <v>0.13135342465753425</v>
          </cell>
        </row>
        <row r="1892">
          <cell r="I1892">
            <v>2597</v>
          </cell>
          <cell r="J1892">
            <v>0.13135479452054794</v>
          </cell>
        </row>
        <row r="1893">
          <cell r="I1893">
            <v>2598</v>
          </cell>
          <cell r="J1893">
            <v>0.13135616438356165</v>
          </cell>
        </row>
        <row r="1894">
          <cell r="I1894">
            <v>2599</v>
          </cell>
          <cell r="J1894">
            <v>0.13135753424657534</v>
          </cell>
        </row>
        <row r="1895">
          <cell r="I1895">
            <v>2600</v>
          </cell>
          <cell r="J1895">
            <v>0.13135890410958903</v>
          </cell>
        </row>
        <row r="1896">
          <cell r="I1896">
            <v>2601</v>
          </cell>
          <cell r="J1896">
            <v>0.13136027397260275</v>
          </cell>
        </row>
        <row r="1897">
          <cell r="I1897">
            <v>2602</v>
          </cell>
          <cell r="J1897">
            <v>0.13136164383561644</v>
          </cell>
        </row>
        <row r="1898">
          <cell r="I1898">
            <v>2603</v>
          </cell>
          <cell r="J1898">
            <v>0.13136301369863013</v>
          </cell>
        </row>
        <row r="1899">
          <cell r="I1899">
            <v>2604</v>
          </cell>
          <cell r="J1899">
            <v>0.13136438356164384</v>
          </cell>
        </row>
        <row r="1900">
          <cell r="I1900">
            <v>2605</v>
          </cell>
          <cell r="J1900">
            <v>0.13136575342465753</v>
          </cell>
        </row>
        <row r="1901">
          <cell r="I1901">
            <v>2606</v>
          </cell>
          <cell r="J1901">
            <v>0.13136712328767122</v>
          </cell>
        </row>
        <row r="1902">
          <cell r="I1902">
            <v>2607</v>
          </cell>
          <cell r="J1902">
            <v>0.13136849315068494</v>
          </cell>
        </row>
        <row r="1903">
          <cell r="I1903">
            <v>2608</v>
          </cell>
          <cell r="J1903">
            <v>0.13136986301369863</v>
          </cell>
        </row>
        <row r="1904">
          <cell r="I1904">
            <v>2609</v>
          </cell>
          <cell r="J1904">
            <v>0.13137123287671232</v>
          </cell>
        </row>
        <row r="1905">
          <cell r="I1905">
            <v>2610</v>
          </cell>
          <cell r="J1905">
            <v>0.13137260273972604</v>
          </cell>
        </row>
        <row r="1906">
          <cell r="I1906">
            <v>2611</v>
          </cell>
          <cell r="J1906">
            <v>0.13137397260273972</v>
          </cell>
        </row>
        <row r="1907">
          <cell r="I1907">
            <v>2612</v>
          </cell>
          <cell r="J1907">
            <v>0.13137534246575341</v>
          </cell>
        </row>
        <row r="1908">
          <cell r="I1908">
            <v>2613</v>
          </cell>
          <cell r="J1908">
            <v>0.13137671232876713</v>
          </cell>
        </row>
        <row r="1909">
          <cell r="I1909">
            <v>2614</v>
          </cell>
          <cell r="J1909">
            <v>0.13137808219178082</v>
          </cell>
        </row>
        <row r="1910">
          <cell r="I1910">
            <v>2615</v>
          </cell>
          <cell r="J1910">
            <v>0.13137945205479451</v>
          </cell>
        </row>
        <row r="1911">
          <cell r="I1911">
            <v>2616</v>
          </cell>
          <cell r="J1911">
            <v>0.13138082191780823</v>
          </cell>
        </row>
        <row r="1912">
          <cell r="I1912">
            <v>2617</v>
          </cell>
          <cell r="J1912">
            <v>0.13138219178082192</v>
          </cell>
        </row>
        <row r="1913">
          <cell r="I1913">
            <v>2618</v>
          </cell>
          <cell r="J1913">
            <v>0.13138356164383561</v>
          </cell>
        </row>
        <row r="1914">
          <cell r="I1914">
            <v>2619</v>
          </cell>
          <cell r="J1914">
            <v>0.13138493150684932</v>
          </cell>
        </row>
        <row r="1915">
          <cell r="I1915">
            <v>2620</v>
          </cell>
          <cell r="J1915">
            <v>0.13138630136986301</v>
          </cell>
        </row>
        <row r="1916">
          <cell r="I1916">
            <v>2621</v>
          </cell>
          <cell r="J1916">
            <v>0.1313876712328767</v>
          </cell>
        </row>
        <row r="1917">
          <cell r="I1917">
            <v>2622</v>
          </cell>
          <cell r="J1917">
            <v>0.13138904109589042</v>
          </cell>
        </row>
        <row r="1918">
          <cell r="I1918">
            <v>2623</v>
          </cell>
          <cell r="J1918">
            <v>0.13139041095890411</v>
          </cell>
        </row>
        <row r="1919">
          <cell r="I1919">
            <v>2624</v>
          </cell>
          <cell r="J1919">
            <v>0.1313917808219178</v>
          </cell>
        </row>
        <row r="1920">
          <cell r="I1920">
            <v>2625</v>
          </cell>
          <cell r="J1920">
            <v>0.13139315068493151</v>
          </cell>
        </row>
        <row r="1921">
          <cell r="I1921">
            <v>2626</v>
          </cell>
          <cell r="J1921">
            <v>0.1313945205479452</v>
          </cell>
        </row>
        <row r="1922">
          <cell r="I1922">
            <v>2627</v>
          </cell>
          <cell r="J1922">
            <v>0.13139589041095889</v>
          </cell>
        </row>
        <row r="1923">
          <cell r="I1923">
            <v>2628</v>
          </cell>
          <cell r="J1923">
            <v>0.13139726027397261</v>
          </cell>
        </row>
        <row r="1924">
          <cell r="I1924">
            <v>2629</v>
          </cell>
          <cell r="J1924">
            <v>0.1313986301369863</v>
          </cell>
        </row>
        <row r="1925">
          <cell r="I1925">
            <v>2630</v>
          </cell>
          <cell r="J1925">
            <v>0.13139999999999999</v>
          </cell>
        </row>
        <row r="1926">
          <cell r="I1926">
            <v>2631</v>
          </cell>
          <cell r="J1926">
            <v>0.13140136986301371</v>
          </cell>
        </row>
        <row r="1927">
          <cell r="I1927">
            <v>2632</v>
          </cell>
          <cell r="J1927">
            <v>0.1314027397260274</v>
          </cell>
        </row>
        <row r="1928">
          <cell r="I1928">
            <v>2633</v>
          </cell>
          <cell r="J1928">
            <v>0.13140410958904108</v>
          </cell>
        </row>
        <row r="1929">
          <cell r="I1929">
            <v>2634</v>
          </cell>
          <cell r="J1929">
            <v>0.1314054794520548</v>
          </cell>
        </row>
        <row r="1930">
          <cell r="I1930">
            <v>2635</v>
          </cell>
          <cell r="J1930">
            <v>0.13140684931506849</v>
          </cell>
        </row>
        <row r="1931">
          <cell r="I1931">
            <v>2636</v>
          </cell>
          <cell r="J1931">
            <v>0.13140821917808218</v>
          </cell>
        </row>
        <row r="1932">
          <cell r="I1932">
            <v>2637</v>
          </cell>
          <cell r="J1932">
            <v>0.1314095890410959</v>
          </cell>
        </row>
        <row r="1933">
          <cell r="I1933">
            <v>2638</v>
          </cell>
          <cell r="J1933">
            <v>0.13141095890410959</v>
          </cell>
        </row>
        <row r="1934">
          <cell r="I1934">
            <v>2639</v>
          </cell>
          <cell r="J1934">
            <v>0.13141232876712328</v>
          </cell>
        </row>
        <row r="1935">
          <cell r="I1935">
            <v>2640</v>
          </cell>
          <cell r="J1935">
            <v>0.13141369863013699</v>
          </cell>
        </row>
        <row r="1936">
          <cell r="I1936">
            <v>2641</v>
          </cell>
          <cell r="J1936">
            <v>0.13141506849315068</v>
          </cell>
        </row>
        <row r="1937">
          <cell r="I1937">
            <v>2642</v>
          </cell>
          <cell r="J1937">
            <v>0.13141643835616437</v>
          </cell>
        </row>
        <row r="1938">
          <cell r="I1938">
            <v>2643</v>
          </cell>
          <cell r="J1938">
            <v>0.13141780821917809</v>
          </cell>
        </row>
        <row r="1939">
          <cell r="I1939">
            <v>2644</v>
          </cell>
          <cell r="J1939">
            <v>0.13141917808219178</v>
          </cell>
        </row>
        <row r="1940">
          <cell r="I1940">
            <v>2645</v>
          </cell>
          <cell r="J1940">
            <v>0.13142054794520547</v>
          </cell>
        </row>
        <row r="1941">
          <cell r="I1941">
            <v>2646</v>
          </cell>
          <cell r="J1941">
            <v>0.13142191780821919</v>
          </cell>
        </row>
        <row r="1942">
          <cell r="I1942">
            <v>2647</v>
          </cell>
          <cell r="J1942">
            <v>0.13142328767123287</v>
          </cell>
        </row>
        <row r="1943">
          <cell r="I1943">
            <v>2648</v>
          </cell>
          <cell r="J1943">
            <v>0.13142465753424656</v>
          </cell>
        </row>
        <row r="1944">
          <cell r="I1944">
            <v>2649</v>
          </cell>
          <cell r="J1944">
            <v>0.13142602739726028</v>
          </cell>
        </row>
        <row r="1945">
          <cell r="I1945">
            <v>2650</v>
          </cell>
          <cell r="J1945">
            <v>0.13142739726027397</v>
          </cell>
        </row>
        <row r="1946">
          <cell r="I1946">
            <v>2651</v>
          </cell>
          <cell r="J1946">
            <v>0.13142876712328766</v>
          </cell>
        </row>
        <row r="1947">
          <cell r="I1947">
            <v>2652</v>
          </cell>
          <cell r="J1947">
            <v>0.13143013698630138</v>
          </cell>
        </row>
        <row r="1948">
          <cell r="I1948">
            <v>2653</v>
          </cell>
          <cell r="J1948">
            <v>0.13143150684931507</v>
          </cell>
        </row>
        <row r="1949">
          <cell r="I1949">
            <v>2654</v>
          </cell>
          <cell r="J1949">
            <v>0.13143287671232876</v>
          </cell>
        </row>
        <row r="1950">
          <cell r="I1950">
            <v>2655</v>
          </cell>
          <cell r="J1950">
            <v>0.13143424657534247</v>
          </cell>
        </row>
        <row r="1951">
          <cell r="I1951">
            <v>2656</v>
          </cell>
          <cell r="J1951">
            <v>0.13143561643835616</v>
          </cell>
        </row>
        <row r="1952">
          <cell r="I1952">
            <v>2657</v>
          </cell>
          <cell r="J1952">
            <v>0.13143698630136985</v>
          </cell>
        </row>
        <row r="1953">
          <cell r="I1953">
            <v>2658</v>
          </cell>
          <cell r="J1953">
            <v>0.13143835616438357</v>
          </cell>
        </row>
        <row r="1954">
          <cell r="I1954">
            <v>2659</v>
          </cell>
          <cell r="J1954">
            <v>0.13143972602739726</v>
          </cell>
        </row>
        <row r="1955">
          <cell r="I1955">
            <v>2660</v>
          </cell>
          <cell r="J1955">
            <v>0.13144109589041095</v>
          </cell>
        </row>
        <row r="1956">
          <cell r="I1956">
            <v>2661</v>
          </cell>
          <cell r="J1956">
            <v>0.13144246575342466</v>
          </cell>
        </row>
        <row r="1957">
          <cell r="I1957">
            <v>2662</v>
          </cell>
          <cell r="J1957">
            <v>0.13144383561643835</v>
          </cell>
        </row>
        <row r="1958">
          <cell r="I1958">
            <v>2663</v>
          </cell>
          <cell r="J1958">
            <v>0.13144520547945204</v>
          </cell>
        </row>
        <row r="1959">
          <cell r="I1959">
            <v>2664</v>
          </cell>
          <cell r="J1959">
            <v>0.13144657534246576</v>
          </cell>
        </row>
        <row r="1960">
          <cell r="I1960">
            <v>2665</v>
          </cell>
          <cell r="J1960">
            <v>0.13144794520547945</v>
          </cell>
        </row>
        <row r="1961">
          <cell r="I1961">
            <v>2666</v>
          </cell>
          <cell r="J1961">
            <v>0.13144931506849314</v>
          </cell>
        </row>
        <row r="1962">
          <cell r="I1962">
            <v>2667</v>
          </cell>
          <cell r="J1962">
            <v>0.13145068493150686</v>
          </cell>
        </row>
        <row r="1963">
          <cell r="I1963">
            <v>2668</v>
          </cell>
          <cell r="J1963">
            <v>0.13145205479452055</v>
          </cell>
        </row>
        <row r="1964">
          <cell r="I1964">
            <v>2669</v>
          </cell>
          <cell r="J1964">
            <v>0.13145342465753423</v>
          </cell>
        </row>
        <row r="1965">
          <cell r="I1965">
            <v>2670</v>
          </cell>
          <cell r="J1965">
            <v>0.13145479452054795</v>
          </cell>
        </row>
        <row r="1966">
          <cell r="I1966">
            <v>2671</v>
          </cell>
          <cell r="J1966">
            <v>0.13145616438356164</v>
          </cell>
        </row>
        <row r="1967">
          <cell r="I1967">
            <v>2672</v>
          </cell>
          <cell r="J1967">
            <v>0.13145753424657533</v>
          </cell>
        </row>
        <row r="1968">
          <cell r="I1968">
            <v>2673</v>
          </cell>
          <cell r="J1968">
            <v>0.13145890410958905</v>
          </cell>
        </row>
        <row r="1969">
          <cell r="I1969">
            <v>2674</v>
          </cell>
          <cell r="J1969">
            <v>0.13146027397260274</v>
          </cell>
        </row>
        <row r="1970">
          <cell r="I1970">
            <v>2675</v>
          </cell>
          <cell r="J1970">
            <v>0.13146164383561643</v>
          </cell>
        </row>
        <row r="1971">
          <cell r="I1971">
            <v>2676</v>
          </cell>
          <cell r="J1971">
            <v>0.13146301369863014</v>
          </cell>
        </row>
        <row r="1972">
          <cell r="I1972">
            <v>2677</v>
          </cell>
          <cell r="J1972">
            <v>0.13146438356164383</v>
          </cell>
        </row>
        <row r="1973">
          <cell r="I1973">
            <v>2678</v>
          </cell>
          <cell r="J1973">
            <v>0.13146575342465752</v>
          </cell>
        </row>
        <row r="1974">
          <cell r="I1974">
            <v>2679</v>
          </cell>
          <cell r="J1974">
            <v>0.13146712328767124</v>
          </cell>
        </row>
        <row r="1975">
          <cell r="I1975">
            <v>2680</v>
          </cell>
          <cell r="J1975">
            <v>0.13146849315068493</v>
          </cell>
        </row>
        <row r="1976">
          <cell r="I1976">
            <v>2681</v>
          </cell>
          <cell r="J1976">
            <v>0.13146986301369862</v>
          </cell>
        </row>
        <row r="1977">
          <cell r="I1977">
            <v>2682</v>
          </cell>
          <cell r="J1977">
            <v>0.13147123287671234</v>
          </cell>
        </row>
        <row r="1978">
          <cell r="I1978">
            <v>2683</v>
          </cell>
          <cell r="J1978">
            <v>0.13147260273972602</v>
          </cell>
        </row>
        <row r="1979">
          <cell r="I1979">
            <v>2684</v>
          </cell>
          <cell r="J1979">
            <v>0.13147397260273971</v>
          </cell>
        </row>
        <row r="1980">
          <cell r="I1980">
            <v>2685</v>
          </cell>
          <cell r="J1980">
            <v>0.13147534246575343</v>
          </cell>
        </row>
        <row r="1981">
          <cell r="I1981">
            <v>2686</v>
          </cell>
          <cell r="J1981">
            <v>0.13147671232876712</v>
          </cell>
        </row>
        <row r="1982">
          <cell r="I1982">
            <v>2687</v>
          </cell>
          <cell r="J1982">
            <v>0.13147808219178081</v>
          </cell>
        </row>
        <row r="1983">
          <cell r="I1983">
            <v>2688</v>
          </cell>
          <cell r="J1983">
            <v>0.13147945205479453</v>
          </cell>
        </row>
        <row r="1984">
          <cell r="I1984">
            <v>2689</v>
          </cell>
          <cell r="J1984">
            <v>0.13148082191780822</v>
          </cell>
        </row>
        <row r="1985">
          <cell r="I1985">
            <v>2690</v>
          </cell>
          <cell r="J1985">
            <v>0.13148219178082191</v>
          </cell>
        </row>
        <row r="1986">
          <cell r="I1986">
            <v>2691</v>
          </cell>
          <cell r="J1986">
            <v>0.13148356164383562</v>
          </cell>
        </row>
        <row r="1987">
          <cell r="I1987">
            <v>2692</v>
          </cell>
          <cell r="J1987">
            <v>0.13148493150684931</v>
          </cell>
        </row>
        <row r="1988">
          <cell r="I1988">
            <v>2693</v>
          </cell>
          <cell r="J1988">
            <v>0.131486301369863</v>
          </cell>
        </row>
        <row r="1989">
          <cell r="I1989">
            <v>2694</v>
          </cell>
          <cell r="J1989">
            <v>0.13148767123287672</v>
          </cell>
        </row>
        <row r="1990">
          <cell r="I1990">
            <v>2695</v>
          </cell>
          <cell r="J1990">
            <v>0.13148904109589041</v>
          </cell>
        </row>
        <row r="1991">
          <cell r="I1991">
            <v>2696</v>
          </cell>
          <cell r="J1991">
            <v>0.1314904109589041</v>
          </cell>
        </row>
        <row r="1992">
          <cell r="I1992">
            <v>2697</v>
          </cell>
          <cell r="J1992">
            <v>0.13149178082191781</v>
          </cell>
        </row>
        <row r="1993">
          <cell r="I1993">
            <v>2698</v>
          </cell>
          <cell r="J1993">
            <v>0.1314931506849315</v>
          </cell>
        </row>
        <row r="1994">
          <cell r="I1994">
            <v>2699</v>
          </cell>
          <cell r="J1994">
            <v>0.13149452054794519</v>
          </cell>
        </row>
        <row r="1995">
          <cell r="I1995">
            <v>2700</v>
          </cell>
          <cell r="J1995">
            <v>0.13149589041095891</v>
          </cell>
        </row>
        <row r="1996">
          <cell r="I1996">
            <v>2701</v>
          </cell>
          <cell r="J1996">
            <v>0.1314972602739726</v>
          </cell>
        </row>
        <row r="1997">
          <cell r="I1997">
            <v>2702</v>
          </cell>
          <cell r="J1997">
            <v>0.13149863013698629</v>
          </cell>
        </row>
        <row r="1998">
          <cell r="I1998">
            <v>2703</v>
          </cell>
          <cell r="J1998">
            <v>0.13150000000000001</v>
          </cell>
        </row>
        <row r="1999">
          <cell r="I1999">
            <v>2704</v>
          </cell>
          <cell r="J1999">
            <v>0.1315013698630137</v>
          </cell>
        </row>
        <row r="2000">
          <cell r="I2000">
            <v>2705</v>
          </cell>
          <cell r="J2000">
            <v>0.13150273972602738</v>
          </cell>
        </row>
        <row r="2001">
          <cell r="I2001">
            <v>2706</v>
          </cell>
          <cell r="J2001">
            <v>0.1315041095890411</v>
          </cell>
        </row>
        <row r="2002">
          <cell r="I2002">
            <v>2707</v>
          </cell>
          <cell r="J2002">
            <v>0.13150547945205479</v>
          </cell>
        </row>
        <row r="2003">
          <cell r="I2003">
            <v>2708</v>
          </cell>
          <cell r="J2003">
            <v>0.13150684931506848</v>
          </cell>
        </row>
        <row r="2004">
          <cell r="I2004">
            <v>2709</v>
          </cell>
          <cell r="J2004">
            <v>0.1315082191780822</v>
          </cell>
        </row>
        <row r="2005">
          <cell r="I2005">
            <v>2710</v>
          </cell>
          <cell r="J2005">
            <v>0.13150958904109589</v>
          </cell>
        </row>
        <row r="2006">
          <cell r="I2006">
            <v>2711</v>
          </cell>
          <cell r="J2006">
            <v>0.13151095890410958</v>
          </cell>
        </row>
        <row r="2007">
          <cell r="I2007">
            <v>2712</v>
          </cell>
          <cell r="J2007">
            <v>0.13151232876712329</v>
          </cell>
        </row>
        <row r="2008">
          <cell r="I2008">
            <v>2713</v>
          </cell>
          <cell r="J2008">
            <v>0.13151369863013698</v>
          </cell>
        </row>
        <row r="2009">
          <cell r="I2009">
            <v>2714</v>
          </cell>
          <cell r="J2009">
            <v>0.13151506849315067</v>
          </cell>
        </row>
        <row r="2010">
          <cell r="I2010">
            <v>2715</v>
          </cell>
          <cell r="J2010">
            <v>0.13151643835616439</v>
          </cell>
        </row>
        <row r="2011">
          <cell r="I2011">
            <v>2716</v>
          </cell>
          <cell r="J2011">
            <v>0.13151780821917808</v>
          </cell>
        </row>
        <row r="2012">
          <cell r="I2012">
            <v>2717</v>
          </cell>
          <cell r="J2012">
            <v>0.13151917808219177</v>
          </cell>
        </row>
        <row r="2013">
          <cell r="I2013">
            <v>2718</v>
          </cell>
          <cell r="J2013">
            <v>0.13152054794520548</v>
          </cell>
        </row>
        <row r="2014">
          <cell r="I2014">
            <v>2719</v>
          </cell>
          <cell r="J2014">
            <v>0.13152191780821917</v>
          </cell>
        </row>
        <row r="2015">
          <cell r="I2015">
            <v>2720</v>
          </cell>
          <cell r="J2015">
            <v>0.13152328767123286</v>
          </cell>
        </row>
        <row r="2016">
          <cell r="I2016">
            <v>2721</v>
          </cell>
          <cell r="J2016">
            <v>0.13152465753424658</v>
          </cell>
        </row>
        <row r="2017">
          <cell r="I2017">
            <v>2722</v>
          </cell>
          <cell r="J2017">
            <v>0.13152602739726027</v>
          </cell>
        </row>
        <row r="2018">
          <cell r="I2018">
            <v>2723</v>
          </cell>
          <cell r="J2018">
            <v>0.13152739726027396</v>
          </cell>
        </row>
        <row r="2019">
          <cell r="I2019">
            <v>2724</v>
          </cell>
          <cell r="J2019">
            <v>0.13152876712328768</v>
          </cell>
        </row>
        <row r="2020">
          <cell r="I2020">
            <v>2725</v>
          </cell>
          <cell r="J2020">
            <v>0.13153013698630137</v>
          </cell>
        </row>
        <row r="2021">
          <cell r="I2021">
            <v>2726</v>
          </cell>
          <cell r="J2021">
            <v>0.13153150684931506</v>
          </cell>
        </row>
        <row r="2022">
          <cell r="I2022">
            <v>2727</v>
          </cell>
          <cell r="J2022">
            <v>0.13153287671232877</v>
          </cell>
        </row>
        <row r="2023">
          <cell r="I2023">
            <v>2728</v>
          </cell>
          <cell r="J2023">
            <v>0.13153424657534246</v>
          </cell>
        </row>
        <row r="2024">
          <cell r="I2024">
            <v>2729</v>
          </cell>
          <cell r="J2024">
            <v>0.13153561643835615</v>
          </cell>
        </row>
        <row r="2025">
          <cell r="I2025">
            <v>2730</v>
          </cell>
          <cell r="J2025">
            <v>0.13153698630136987</v>
          </cell>
        </row>
        <row r="2026">
          <cell r="I2026">
            <v>2731</v>
          </cell>
          <cell r="J2026">
            <v>0.13153835616438356</v>
          </cell>
        </row>
        <row r="2027">
          <cell r="I2027">
            <v>2732</v>
          </cell>
          <cell r="J2027">
            <v>0.13153972602739725</v>
          </cell>
        </row>
        <row r="2028">
          <cell r="I2028">
            <v>2733</v>
          </cell>
          <cell r="J2028">
            <v>0.13154109589041096</v>
          </cell>
        </row>
        <row r="2029">
          <cell r="I2029">
            <v>2734</v>
          </cell>
          <cell r="J2029">
            <v>0.13154246575342465</v>
          </cell>
        </row>
        <row r="2030">
          <cell r="I2030">
            <v>2735</v>
          </cell>
          <cell r="J2030">
            <v>0.13154383561643834</v>
          </cell>
        </row>
        <row r="2031">
          <cell r="I2031">
            <v>2736</v>
          </cell>
          <cell r="J2031">
            <v>0.13154520547945206</v>
          </cell>
        </row>
        <row r="2032">
          <cell r="I2032">
            <v>2737</v>
          </cell>
          <cell r="J2032">
            <v>0.13154657534246575</v>
          </cell>
        </row>
        <row r="2033">
          <cell r="I2033">
            <v>2738</v>
          </cell>
          <cell r="J2033">
            <v>0.13154794520547944</v>
          </cell>
        </row>
        <row r="2034">
          <cell r="I2034">
            <v>2739</v>
          </cell>
          <cell r="J2034">
            <v>0.13154931506849316</v>
          </cell>
        </row>
        <row r="2035">
          <cell r="I2035">
            <v>2740</v>
          </cell>
          <cell r="J2035">
            <v>0.13155068493150684</v>
          </cell>
        </row>
        <row r="2036">
          <cell r="I2036">
            <v>2741</v>
          </cell>
          <cell r="J2036">
            <v>0.13155205479452056</v>
          </cell>
        </row>
        <row r="2037">
          <cell r="I2037">
            <v>2742</v>
          </cell>
          <cell r="J2037">
            <v>0.13155342465753425</v>
          </cell>
        </row>
        <row r="2038">
          <cell r="I2038">
            <v>2743</v>
          </cell>
          <cell r="J2038">
            <v>0.13155479452054794</v>
          </cell>
        </row>
        <row r="2039">
          <cell r="I2039">
            <v>2744</v>
          </cell>
          <cell r="J2039">
            <v>0.13155616438356166</v>
          </cell>
        </row>
        <row r="2040">
          <cell r="I2040">
            <v>2745</v>
          </cell>
          <cell r="J2040">
            <v>0.13155753424657535</v>
          </cell>
        </row>
        <row r="2041">
          <cell r="I2041">
            <v>2746</v>
          </cell>
          <cell r="J2041">
            <v>0.13155890410958904</v>
          </cell>
        </row>
        <row r="2042">
          <cell r="I2042">
            <v>2747</v>
          </cell>
          <cell r="J2042">
            <v>0.13156027397260275</v>
          </cell>
        </row>
        <row r="2043">
          <cell r="I2043">
            <v>2748</v>
          </cell>
          <cell r="J2043">
            <v>0.13156164383561644</v>
          </cell>
        </row>
        <row r="2044">
          <cell r="I2044">
            <v>2749</v>
          </cell>
          <cell r="J2044">
            <v>0.13156301369863013</v>
          </cell>
        </row>
        <row r="2045">
          <cell r="I2045">
            <v>2750</v>
          </cell>
          <cell r="J2045">
            <v>0.13156438356164385</v>
          </cell>
        </row>
        <row r="2046">
          <cell r="I2046">
            <v>2751</v>
          </cell>
          <cell r="J2046">
            <v>0.13156575342465754</v>
          </cell>
        </row>
        <row r="2047">
          <cell r="I2047">
            <v>2752</v>
          </cell>
          <cell r="J2047">
            <v>0.13156712328767123</v>
          </cell>
        </row>
        <row r="2048">
          <cell r="I2048">
            <v>2753</v>
          </cell>
          <cell r="J2048">
            <v>0.13156849315068495</v>
          </cell>
        </row>
        <row r="2049">
          <cell r="I2049">
            <v>2754</v>
          </cell>
          <cell r="J2049">
            <v>0.13156986301369863</v>
          </cell>
        </row>
        <row r="2050">
          <cell r="I2050">
            <v>2755</v>
          </cell>
          <cell r="J2050">
            <v>0.13157123287671232</v>
          </cell>
        </row>
        <row r="2051">
          <cell r="I2051">
            <v>2756</v>
          </cell>
          <cell r="J2051">
            <v>0.13157260273972604</v>
          </cell>
        </row>
        <row r="2052">
          <cell r="I2052">
            <v>2757</v>
          </cell>
          <cell r="J2052">
            <v>0.13157397260273973</v>
          </cell>
        </row>
        <row r="2053">
          <cell r="I2053">
            <v>2758</v>
          </cell>
          <cell r="J2053">
            <v>0.13157534246575342</v>
          </cell>
        </row>
        <row r="2054">
          <cell r="I2054">
            <v>2759</v>
          </cell>
          <cell r="J2054">
            <v>0.13157671232876714</v>
          </cell>
        </row>
        <row r="2055">
          <cell r="I2055">
            <v>2760</v>
          </cell>
          <cell r="J2055">
            <v>0.13157808219178083</v>
          </cell>
        </row>
        <row r="2056">
          <cell r="I2056">
            <v>2761</v>
          </cell>
          <cell r="J2056">
            <v>0.13157945205479452</v>
          </cell>
        </row>
        <row r="2057">
          <cell r="I2057">
            <v>2762</v>
          </cell>
          <cell r="J2057">
            <v>0.13158082191780823</v>
          </cell>
        </row>
        <row r="2058">
          <cell r="I2058">
            <v>2763</v>
          </cell>
          <cell r="J2058">
            <v>0.13158219178082192</v>
          </cell>
        </row>
        <row r="2059">
          <cell r="I2059">
            <v>2764</v>
          </cell>
          <cell r="J2059">
            <v>0.13158356164383561</v>
          </cell>
        </row>
        <row r="2060">
          <cell r="I2060">
            <v>2765</v>
          </cell>
          <cell r="J2060">
            <v>0.13158493150684933</v>
          </cell>
        </row>
        <row r="2061">
          <cell r="I2061">
            <v>2766</v>
          </cell>
          <cell r="J2061">
            <v>0.13158630136986302</v>
          </cell>
        </row>
        <row r="2062">
          <cell r="I2062">
            <v>2767</v>
          </cell>
          <cell r="J2062">
            <v>0.13158767123287671</v>
          </cell>
        </row>
        <row r="2063">
          <cell r="I2063">
            <v>2768</v>
          </cell>
          <cell r="J2063">
            <v>0.13158904109589042</v>
          </cell>
        </row>
        <row r="2064">
          <cell r="I2064">
            <v>2769</v>
          </cell>
          <cell r="J2064">
            <v>0.13159041095890411</v>
          </cell>
        </row>
        <row r="2065">
          <cell r="I2065">
            <v>2770</v>
          </cell>
          <cell r="J2065">
            <v>0.1315917808219178</v>
          </cell>
        </row>
        <row r="2066">
          <cell r="I2066">
            <v>2771</v>
          </cell>
          <cell r="J2066">
            <v>0.13159315068493152</v>
          </cell>
        </row>
        <row r="2067">
          <cell r="I2067">
            <v>2772</v>
          </cell>
          <cell r="J2067">
            <v>0.13159452054794521</v>
          </cell>
        </row>
        <row r="2068">
          <cell r="I2068">
            <v>2773</v>
          </cell>
          <cell r="J2068">
            <v>0.1315958904109589</v>
          </cell>
        </row>
        <row r="2069">
          <cell r="I2069">
            <v>2774</v>
          </cell>
          <cell r="J2069">
            <v>0.13159726027397262</v>
          </cell>
        </row>
        <row r="2070">
          <cell r="I2070">
            <v>2775</v>
          </cell>
          <cell r="J2070">
            <v>0.13159863013698631</v>
          </cell>
        </row>
        <row r="2071">
          <cell r="I2071">
            <v>2776</v>
          </cell>
          <cell r="J2071">
            <v>0.13159999999999999</v>
          </cell>
        </row>
        <row r="2072">
          <cell r="I2072">
            <v>2777</v>
          </cell>
          <cell r="J2072">
            <v>0.13160136986301371</v>
          </cell>
        </row>
        <row r="2073">
          <cell r="I2073">
            <v>2778</v>
          </cell>
          <cell r="J2073">
            <v>0.1316027397260274</v>
          </cell>
        </row>
        <row r="2074">
          <cell r="I2074">
            <v>2779</v>
          </cell>
          <cell r="J2074">
            <v>0.13160410958904109</v>
          </cell>
        </row>
        <row r="2075">
          <cell r="I2075">
            <v>2780</v>
          </cell>
          <cell r="J2075">
            <v>0.13160547945205481</v>
          </cell>
        </row>
        <row r="2076">
          <cell r="I2076">
            <v>2781</v>
          </cell>
          <cell r="J2076">
            <v>0.1316068493150685</v>
          </cell>
        </row>
        <row r="2077">
          <cell r="I2077">
            <v>2782</v>
          </cell>
          <cell r="J2077">
            <v>0.13160821917808219</v>
          </cell>
        </row>
        <row r="2078">
          <cell r="I2078">
            <v>2783</v>
          </cell>
          <cell r="J2078">
            <v>0.1316095890410959</v>
          </cell>
        </row>
        <row r="2079">
          <cell r="I2079">
            <v>2784</v>
          </cell>
          <cell r="J2079">
            <v>0.13161095890410959</v>
          </cell>
        </row>
        <row r="2080">
          <cell r="I2080">
            <v>2785</v>
          </cell>
          <cell r="J2080">
            <v>0.13161232876712328</v>
          </cell>
        </row>
        <row r="2081">
          <cell r="I2081">
            <v>2786</v>
          </cell>
          <cell r="J2081">
            <v>0.131613698630137</v>
          </cell>
        </row>
        <row r="2082">
          <cell r="I2082">
            <v>2787</v>
          </cell>
          <cell r="J2082">
            <v>0.13161506849315069</v>
          </cell>
        </row>
        <row r="2083">
          <cell r="I2083">
            <v>2788</v>
          </cell>
          <cell r="J2083">
            <v>0.13161643835616438</v>
          </cell>
        </row>
        <row r="2084">
          <cell r="I2084">
            <v>2789</v>
          </cell>
          <cell r="J2084">
            <v>0.1316178082191781</v>
          </cell>
        </row>
        <row r="2085">
          <cell r="I2085">
            <v>2790</v>
          </cell>
          <cell r="J2085">
            <v>0.13161917808219178</v>
          </cell>
        </row>
        <row r="2086">
          <cell r="I2086">
            <v>2791</v>
          </cell>
          <cell r="J2086">
            <v>0.13162054794520547</v>
          </cell>
        </row>
        <row r="2087">
          <cell r="I2087">
            <v>2792</v>
          </cell>
          <cell r="J2087">
            <v>0.13162191780821919</v>
          </cell>
        </row>
        <row r="2088">
          <cell r="I2088">
            <v>2793</v>
          </cell>
          <cell r="J2088">
            <v>0.13162328767123288</v>
          </cell>
        </row>
        <row r="2089">
          <cell r="I2089">
            <v>2794</v>
          </cell>
          <cell r="J2089">
            <v>0.13162465753424657</v>
          </cell>
        </row>
        <row r="2090">
          <cell r="I2090">
            <v>2795</v>
          </cell>
          <cell r="J2090">
            <v>0.13162602739726029</v>
          </cell>
        </row>
        <row r="2091">
          <cell r="I2091">
            <v>2796</v>
          </cell>
          <cell r="J2091">
            <v>0.13162739726027398</v>
          </cell>
        </row>
        <row r="2092">
          <cell r="I2092">
            <v>2797</v>
          </cell>
          <cell r="J2092">
            <v>0.13162876712328767</v>
          </cell>
        </row>
        <row r="2093">
          <cell r="I2093">
            <v>2798</v>
          </cell>
          <cell r="J2093">
            <v>0.13163013698630138</v>
          </cell>
        </row>
        <row r="2094">
          <cell r="I2094">
            <v>2799</v>
          </cell>
          <cell r="J2094">
            <v>0.13163150684931507</v>
          </cell>
        </row>
        <row r="2095">
          <cell r="I2095">
            <v>2800</v>
          </cell>
          <cell r="J2095">
            <v>0.13163287671232876</v>
          </cell>
        </row>
        <row r="2096">
          <cell r="I2096">
            <v>2801</v>
          </cell>
          <cell r="J2096">
            <v>0.13163424657534248</v>
          </cell>
        </row>
        <row r="2097">
          <cell r="I2097">
            <v>2802</v>
          </cell>
          <cell r="J2097">
            <v>0.13163561643835617</v>
          </cell>
        </row>
        <row r="2098">
          <cell r="I2098">
            <v>2803</v>
          </cell>
          <cell r="J2098">
            <v>0.13163698630136986</v>
          </cell>
        </row>
        <row r="2099">
          <cell r="I2099">
            <v>2804</v>
          </cell>
          <cell r="J2099">
            <v>0.13163835616438357</v>
          </cell>
        </row>
        <row r="2100">
          <cell r="I2100">
            <v>2805</v>
          </cell>
          <cell r="J2100">
            <v>0.13163972602739726</v>
          </cell>
        </row>
        <row r="2101">
          <cell r="I2101">
            <v>2806</v>
          </cell>
          <cell r="J2101">
            <v>0.13164109589041095</v>
          </cell>
        </row>
        <row r="2102">
          <cell r="I2102">
            <v>2807</v>
          </cell>
          <cell r="J2102">
            <v>0.13164246575342467</v>
          </cell>
        </row>
        <row r="2103">
          <cell r="I2103">
            <v>2808</v>
          </cell>
          <cell r="J2103">
            <v>0.13164383561643836</v>
          </cell>
        </row>
        <row r="2104">
          <cell r="I2104">
            <v>2809</v>
          </cell>
          <cell r="J2104">
            <v>0.13164520547945205</v>
          </cell>
        </row>
        <row r="2105">
          <cell r="I2105">
            <v>2810</v>
          </cell>
          <cell r="J2105">
            <v>0.13164657534246577</v>
          </cell>
        </row>
        <row r="2106">
          <cell r="I2106">
            <v>2811</v>
          </cell>
          <cell r="J2106">
            <v>0.13164794520547946</v>
          </cell>
        </row>
        <row r="2107">
          <cell r="I2107">
            <v>2812</v>
          </cell>
          <cell r="J2107">
            <v>0.13164931506849314</v>
          </cell>
        </row>
        <row r="2108">
          <cell r="I2108">
            <v>2813</v>
          </cell>
          <cell r="J2108">
            <v>0.13165068493150686</v>
          </cell>
        </row>
        <row r="2109">
          <cell r="I2109">
            <v>2814</v>
          </cell>
          <cell r="J2109">
            <v>0.13165205479452055</v>
          </cell>
        </row>
        <row r="2110">
          <cell r="I2110">
            <v>2815</v>
          </cell>
          <cell r="J2110">
            <v>0.13165342465753424</v>
          </cell>
        </row>
        <row r="2111">
          <cell r="I2111">
            <v>2816</v>
          </cell>
          <cell r="J2111">
            <v>0.13165479452054796</v>
          </cell>
        </row>
        <row r="2112">
          <cell r="I2112">
            <v>2817</v>
          </cell>
          <cell r="J2112">
            <v>0.13165616438356165</v>
          </cell>
        </row>
        <row r="2113">
          <cell r="I2113">
            <v>2818</v>
          </cell>
          <cell r="J2113">
            <v>0.13165753424657534</v>
          </cell>
        </row>
        <row r="2114">
          <cell r="I2114">
            <v>2819</v>
          </cell>
          <cell r="J2114">
            <v>0.13165890410958905</v>
          </cell>
        </row>
        <row r="2115">
          <cell r="I2115">
            <v>2820</v>
          </cell>
          <cell r="J2115">
            <v>0.13166027397260274</v>
          </cell>
        </row>
        <row r="2116">
          <cell r="I2116">
            <v>2821</v>
          </cell>
          <cell r="J2116">
            <v>0.13166164383561643</v>
          </cell>
        </row>
        <row r="2117">
          <cell r="I2117">
            <v>2822</v>
          </cell>
          <cell r="J2117">
            <v>0.13166301369863015</v>
          </cell>
        </row>
        <row r="2118">
          <cell r="I2118">
            <v>2823</v>
          </cell>
          <cell r="J2118">
            <v>0.13166438356164384</v>
          </cell>
        </row>
        <row r="2119">
          <cell r="I2119">
            <v>2824</v>
          </cell>
          <cell r="J2119">
            <v>0.13166575342465753</v>
          </cell>
        </row>
        <row r="2120">
          <cell r="I2120">
            <v>2825</v>
          </cell>
          <cell r="J2120">
            <v>0.13166712328767124</v>
          </cell>
        </row>
        <row r="2121">
          <cell r="I2121">
            <v>2826</v>
          </cell>
          <cell r="J2121">
            <v>0.13166849315068493</v>
          </cell>
        </row>
        <row r="2122">
          <cell r="I2122">
            <v>2827</v>
          </cell>
          <cell r="J2122">
            <v>0.13166986301369862</v>
          </cell>
        </row>
        <row r="2123">
          <cell r="I2123">
            <v>2828</v>
          </cell>
          <cell r="J2123">
            <v>0.13167123287671234</v>
          </cell>
        </row>
        <row r="2124">
          <cell r="I2124">
            <v>2829</v>
          </cell>
          <cell r="J2124">
            <v>0.13167260273972603</v>
          </cell>
        </row>
        <row r="2125">
          <cell r="I2125">
            <v>2830</v>
          </cell>
          <cell r="J2125">
            <v>0.13167397260273972</v>
          </cell>
        </row>
        <row r="2126">
          <cell r="I2126">
            <v>2831</v>
          </cell>
          <cell r="J2126">
            <v>0.13167534246575344</v>
          </cell>
        </row>
        <row r="2127">
          <cell r="I2127">
            <v>2832</v>
          </cell>
          <cell r="J2127">
            <v>0.13167671232876713</v>
          </cell>
        </row>
        <row r="2128">
          <cell r="I2128">
            <v>2833</v>
          </cell>
          <cell r="J2128">
            <v>0.13167808219178082</v>
          </cell>
        </row>
        <row r="2129">
          <cell r="I2129">
            <v>2834</v>
          </cell>
          <cell r="J2129">
            <v>0.13167945205479453</v>
          </cell>
        </row>
        <row r="2130">
          <cell r="I2130">
            <v>2835</v>
          </cell>
          <cell r="J2130">
            <v>0.13168082191780822</v>
          </cell>
        </row>
        <row r="2131">
          <cell r="I2131">
            <v>2836</v>
          </cell>
          <cell r="J2131">
            <v>0.13168219178082191</v>
          </cell>
        </row>
        <row r="2132">
          <cell r="I2132">
            <v>2837</v>
          </cell>
          <cell r="J2132">
            <v>0.13168356164383563</v>
          </cell>
        </row>
        <row r="2133">
          <cell r="I2133">
            <v>2838</v>
          </cell>
          <cell r="J2133">
            <v>0.13168493150684932</v>
          </cell>
        </row>
        <row r="2134">
          <cell r="I2134">
            <v>2839</v>
          </cell>
          <cell r="J2134">
            <v>0.13168630136986301</v>
          </cell>
        </row>
        <row r="2135">
          <cell r="I2135">
            <v>2840</v>
          </cell>
          <cell r="J2135">
            <v>0.13168767123287672</v>
          </cell>
        </row>
        <row r="2136">
          <cell r="I2136">
            <v>2841</v>
          </cell>
          <cell r="J2136">
            <v>0.13168904109589041</v>
          </cell>
        </row>
        <row r="2137">
          <cell r="I2137">
            <v>2842</v>
          </cell>
          <cell r="J2137">
            <v>0.1316904109589041</v>
          </cell>
        </row>
        <row r="2138">
          <cell r="I2138">
            <v>2843</v>
          </cell>
          <cell r="J2138">
            <v>0.13169178082191782</v>
          </cell>
        </row>
        <row r="2139">
          <cell r="I2139">
            <v>2844</v>
          </cell>
          <cell r="J2139">
            <v>0.13169315068493151</v>
          </cell>
        </row>
        <row r="2140">
          <cell r="I2140">
            <v>2845</v>
          </cell>
          <cell r="J2140">
            <v>0.1316945205479452</v>
          </cell>
        </row>
        <row r="2141">
          <cell r="I2141">
            <v>2846</v>
          </cell>
          <cell r="J2141">
            <v>0.13169589041095892</v>
          </cell>
        </row>
        <row r="2142">
          <cell r="I2142">
            <v>2847</v>
          </cell>
          <cell r="J2142">
            <v>0.13169726027397261</v>
          </cell>
        </row>
        <row r="2143">
          <cell r="I2143">
            <v>2848</v>
          </cell>
          <cell r="J2143">
            <v>0.13169863013698629</v>
          </cell>
        </row>
        <row r="2144">
          <cell r="I2144">
            <v>2849</v>
          </cell>
          <cell r="J2144">
            <v>0.13170000000000001</v>
          </cell>
        </row>
        <row r="2145">
          <cell r="I2145">
            <v>2850</v>
          </cell>
          <cell r="J2145">
            <v>0.1317013698630137</v>
          </cell>
        </row>
        <row r="2146">
          <cell r="I2146">
            <v>2851</v>
          </cell>
          <cell r="J2146">
            <v>0.13170273972602739</v>
          </cell>
        </row>
        <row r="2147">
          <cell r="I2147">
            <v>2852</v>
          </cell>
          <cell r="J2147">
            <v>0.13170410958904111</v>
          </cell>
        </row>
        <row r="2148">
          <cell r="I2148">
            <v>2853</v>
          </cell>
          <cell r="J2148">
            <v>0.1317054794520548</v>
          </cell>
        </row>
        <row r="2149">
          <cell r="I2149">
            <v>2854</v>
          </cell>
          <cell r="J2149">
            <v>0.13170684931506849</v>
          </cell>
        </row>
        <row r="2150">
          <cell r="I2150">
            <v>2855</v>
          </cell>
          <cell r="J2150">
            <v>0.1317082191780822</v>
          </cell>
        </row>
        <row r="2151">
          <cell r="I2151">
            <v>2856</v>
          </cell>
          <cell r="J2151">
            <v>0.13170958904109589</v>
          </cell>
        </row>
        <row r="2152">
          <cell r="I2152">
            <v>2857</v>
          </cell>
          <cell r="J2152">
            <v>0.13171095890410958</v>
          </cell>
        </row>
        <row r="2153">
          <cell r="I2153">
            <v>2858</v>
          </cell>
          <cell r="J2153">
            <v>0.1317123287671233</v>
          </cell>
        </row>
        <row r="2154">
          <cell r="I2154">
            <v>2859</v>
          </cell>
          <cell r="J2154">
            <v>0.13171369863013699</v>
          </cell>
        </row>
        <row r="2155">
          <cell r="I2155">
            <v>2860</v>
          </cell>
          <cell r="J2155">
            <v>0.13171506849315068</v>
          </cell>
        </row>
        <row r="2156">
          <cell r="I2156">
            <v>2861</v>
          </cell>
          <cell r="J2156">
            <v>0.13171643835616439</v>
          </cell>
        </row>
        <row r="2157">
          <cell r="I2157">
            <v>2862</v>
          </cell>
          <cell r="J2157">
            <v>0.13171780821917808</v>
          </cell>
        </row>
        <row r="2158">
          <cell r="I2158">
            <v>2863</v>
          </cell>
          <cell r="J2158">
            <v>0.13171917808219177</v>
          </cell>
        </row>
        <row r="2159">
          <cell r="I2159">
            <v>2864</v>
          </cell>
          <cell r="J2159">
            <v>0.13172054794520549</v>
          </cell>
        </row>
        <row r="2160">
          <cell r="I2160">
            <v>2865</v>
          </cell>
          <cell r="J2160">
            <v>0.13172191780821918</v>
          </cell>
        </row>
        <row r="2161">
          <cell r="I2161">
            <v>2866</v>
          </cell>
          <cell r="J2161">
            <v>0.13172328767123287</v>
          </cell>
        </row>
        <row r="2162">
          <cell r="I2162">
            <v>2867</v>
          </cell>
          <cell r="J2162">
            <v>0.13172465753424659</v>
          </cell>
        </row>
        <row r="2163">
          <cell r="I2163">
            <v>2868</v>
          </cell>
          <cell r="J2163">
            <v>0.13172602739726028</v>
          </cell>
        </row>
        <row r="2164">
          <cell r="I2164">
            <v>2869</v>
          </cell>
          <cell r="J2164">
            <v>0.13172739726027397</v>
          </cell>
        </row>
        <row r="2165">
          <cell r="I2165">
            <v>2870</v>
          </cell>
          <cell r="J2165">
            <v>0.13172876712328768</v>
          </cell>
        </row>
        <row r="2166">
          <cell r="I2166">
            <v>2871</v>
          </cell>
          <cell r="J2166">
            <v>0.13173013698630137</v>
          </cell>
        </row>
        <row r="2167">
          <cell r="I2167">
            <v>2872</v>
          </cell>
          <cell r="J2167">
            <v>0.13173150684931506</v>
          </cell>
        </row>
        <row r="2168">
          <cell r="I2168">
            <v>2873</v>
          </cell>
          <cell r="J2168">
            <v>0.13173287671232878</v>
          </cell>
        </row>
        <row r="2169">
          <cell r="I2169">
            <v>2874</v>
          </cell>
          <cell r="J2169">
            <v>0.13173424657534247</v>
          </cell>
        </row>
        <row r="2170">
          <cell r="I2170">
            <v>2875</v>
          </cell>
          <cell r="J2170">
            <v>0.13173561643835616</v>
          </cell>
        </row>
        <row r="2171">
          <cell r="I2171">
            <v>2876</v>
          </cell>
          <cell r="J2171">
            <v>0.13173698630136987</v>
          </cell>
        </row>
        <row r="2172">
          <cell r="I2172">
            <v>2877</v>
          </cell>
          <cell r="J2172">
            <v>0.13173835616438356</v>
          </cell>
        </row>
        <row r="2173">
          <cell r="I2173">
            <v>2878</v>
          </cell>
          <cell r="J2173">
            <v>0.13173972602739725</v>
          </cell>
        </row>
        <row r="2174">
          <cell r="I2174">
            <v>2879</v>
          </cell>
          <cell r="J2174">
            <v>0.13174109589041097</v>
          </cell>
        </row>
        <row r="2175">
          <cell r="I2175">
            <v>2880</v>
          </cell>
          <cell r="J2175">
            <v>0.13174246575342466</v>
          </cell>
        </row>
        <row r="2176">
          <cell r="I2176">
            <v>2881</v>
          </cell>
          <cell r="J2176">
            <v>0.13174383561643835</v>
          </cell>
        </row>
        <row r="2177">
          <cell r="I2177">
            <v>2882</v>
          </cell>
          <cell r="J2177">
            <v>0.13174520547945207</v>
          </cell>
        </row>
        <row r="2178">
          <cell r="I2178">
            <v>2883</v>
          </cell>
          <cell r="J2178">
            <v>0.13174657534246575</v>
          </cell>
        </row>
        <row r="2179">
          <cell r="I2179">
            <v>2884</v>
          </cell>
          <cell r="J2179">
            <v>0.13174794520547944</v>
          </cell>
        </row>
        <row r="2180">
          <cell r="I2180">
            <v>2885</v>
          </cell>
          <cell r="J2180">
            <v>0.13174931506849316</v>
          </cell>
        </row>
        <row r="2181">
          <cell r="I2181">
            <v>2886</v>
          </cell>
          <cell r="J2181">
            <v>0.13175068493150685</v>
          </cell>
        </row>
        <row r="2182">
          <cell r="I2182">
            <v>2887</v>
          </cell>
          <cell r="J2182">
            <v>0.13175205479452054</v>
          </cell>
        </row>
        <row r="2183">
          <cell r="I2183">
            <v>2888</v>
          </cell>
          <cell r="J2183">
            <v>0.13175342465753426</v>
          </cell>
        </row>
        <row r="2184">
          <cell r="I2184">
            <v>2889</v>
          </cell>
          <cell r="J2184">
            <v>0.13175479452054795</v>
          </cell>
        </row>
        <row r="2185">
          <cell r="I2185">
            <v>2890</v>
          </cell>
          <cell r="J2185">
            <v>0.13175616438356164</v>
          </cell>
        </row>
        <row r="2186">
          <cell r="I2186">
            <v>2891</v>
          </cell>
          <cell r="J2186">
            <v>0.13175753424657535</v>
          </cell>
        </row>
        <row r="2187">
          <cell r="I2187">
            <v>2892</v>
          </cell>
          <cell r="J2187">
            <v>0.13175890410958904</v>
          </cell>
        </row>
        <row r="2188">
          <cell r="I2188">
            <v>2893</v>
          </cell>
          <cell r="J2188">
            <v>0.13176027397260273</v>
          </cell>
        </row>
        <row r="2189">
          <cell r="I2189">
            <v>2894</v>
          </cell>
          <cell r="J2189">
            <v>0.13176164383561645</v>
          </cell>
        </row>
        <row r="2190">
          <cell r="I2190">
            <v>2895</v>
          </cell>
          <cell r="J2190">
            <v>0.13176301369863014</v>
          </cell>
        </row>
        <row r="2191">
          <cell r="I2191">
            <v>2896</v>
          </cell>
          <cell r="J2191">
            <v>0.13176438356164383</v>
          </cell>
        </row>
        <row r="2192">
          <cell r="I2192">
            <v>2897</v>
          </cell>
          <cell r="J2192">
            <v>0.13176575342465754</v>
          </cell>
        </row>
        <row r="2193">
          <cell r="I2193">
            <v>2898</v>
          </cell>
          <cell r="J2193">
            <v>0.13176712328767123</v>
          </cell>
        </row>
        <row r="2194">
          <cell r="I2194">
            <v>2899</v>
          </cell>
          <cell r="J2194">
            <v>0.13176849315068492</v>
          </cell>
        </row>
        <row r="2195">
          <cell r="I2195">
            <v>2900</v>
          </cell>
          <cell r="J2195">
            <v>0.13176986301369864</v>
          </cell>
        </row>
        <row r="2196">
          <cell r="I2196">
            <v>2901</v>
          </cell>
          <cell r="J2196">
            <v>0.13177123287671233</v>
          </cell>
        </row>
        <row r="2197">
          <cell r="I2197">
            <v>2902</v>
          </cell>
          <cell r="J2197">
            <v>0.13177260273972602</v>
          </cell>
        </row>
        <row r="2198">
          <cell r="I2198">
            <v>2903</v>
          </cell>
          <cell r="J2198">
            <v>0.13177397260273974</v>
          </cell>
        </row>
        <row r="2199">
          <cell r="I2199">
            <v>2904</v>
          </cell>
          <cell r="J2199">
            <v>0.13177534246575343</v>
          </cell>
        </row>
        <row r="2200">
          <cell r="I2200">
            <v>2905</v>
          </cell>
          <cell r="J2200">
            <v>0.13177671232876711</v>
          </cell>
        </row>
        <row r="2201">
          <cell r="I2201">
            <v>2906</v>
          </cell>
          <cell r="J2201">
            <v>0.13177808219178083</v>
          </cell>
        </row>
        <row r="2202">
          <cell r="I2202">
            <v>2907</v>
          </cell>
          <cell r="J2202">
            <v>0.13177945205479452</v>
          </cell>
        </row>
        <row r="2203">
          <cell r="I2203">
            <v>2908</v>
          </cell>
          <cell r="J2203">
            <v>0.13178082191780821</v>
          </cell>
        </row>
        <row r="2204">
          <cell r="I2204">
            <v>2909</v>
          </cell>
          <cell r="J2204">
            <v>0.13178219178082193</v>
          </cell>
        </row>
        <row r="2205">
          <cell r="I2205">
            <v>2910</v>
          </cell>
          <cell r="J2205">
            <v>0.13178356164383562</v>
          </cell>
        </row>
        <row r="2206">
          <cell r="I2206">
            <v>2911</v>
          </cell>
          <cell r="J2206">
            <v>0.13178493150684931</v>
          </cell>
        </row>
        <row r="2207">
          <cell r="I2207">
            <v>2912</v>
          </cell>
          <cell r="J2207">
            <v>0.13178630136986302</v>
          </cell>
        </row>
        <row r="2208">
          <cell r="I2208">
            <v>2913</v>
          </cell>
          <cell r="J2208">
            <v>0.13178767123287671</v>
          </cell>
        </row>
        <row r="2209">
          <cell r="I2209">
            <v>2914</v>
          </cell>
          <cell r="J2209">
            <v>0.1317890410958904</v>
          </cell>
        </row>
        <row r="2210">
          <cell r="I2210">
            <v>2915</v>
          </cell>
          <cell r="J2210">
            <v>0.13179041095890412</v>
          </cell>
        </row>
        <row r="2211">
          <cell r="I2211">
            <v>2916</v>
          </cell>
          <cell r="J2211">
            <v>0.13179178082191781</v>
          </cell>
        </row>
        <row r="2212">
          <cell r="I2212">
            <v>2917</v>
          </cell>
          <cell r="J2212">
            <v>0.1317931506849315</v>
          </cell>
        </row>
        <row r="2213">
          <cell r="I2213">
            <v>2918</v>
          </cell>
          <cell r="J2213">
            <v>0.13179452054794522</v>
          </cell>
        </row>
        <row r="2214">
          <cell r="I2214">
            <v>2919</v>
          </cell>
          <cell r="J2214">
            <v>0.1317958904109589</v>
          </cell>
        </row>
        <row r="2215">
          <cell r="I2215">
            <v>2920</v>
          </cell>
          <cell r="J2215">
            <v>0.13179726027397259</v>
          </cell>
        </row>
        <row r="2216">
          <cell r="I2216">
            <v>2921</v>
          </cell>
          <cell r="J2216">
            <v>0.13179863013698631</v>
          </cell>
        </row>
        <row r="2217">
          <cell r="I2217">
            <v>2922</v>
          </cell>
          <cell r="J2217">
            <v>0.1318</v>
          </cell>
        </row>
        <row r="2218">
          <cell r="I2218">
            <v>2923</v>
          </cell>
          <cell r="J2218">
            <v>0.13180136986301369</v>
          </cell>
        </row>
        <row r="2219">
          <cell r="I2219">
            <v>2924</v>
          </cell>
          <cell r="J2219">
            <v>0.13180273972602741</v>
          </cell>
        </row>
        <row r="2220">
          <cell r="I2220">
            <v>2925</v>
          </cell>
          <cell r="J2220">
            <v>0.1318041095890411</v>
          </cell>
        </row>
        <row r="2221">
          <cell r="I2221">
            <v>2926</v>
          </cell>
          <cell r="J2221">
            <v>0.13180547945205479</v>
          </cell>
        </row>
        <row r="2222">
          <cell r="I2222">
            <v>2927</v>
          </cell>
          <cell r="J2222">
            <v>0.1318068493150685</v>
          </cell>
        </row>
        <row r="2223">
          <cell r="I2223">
            <v>2928</v>
          </cell>
          <cell r="J2223">
            <v>0.13180821917808219</v>
          </cell>
        </row>
        <row r="2224">
          <cell r="I2224">
            <v>2929</v>
          </cell>
          <cell r="J2224">
            <v>0.13180958904109588</v>
          </cell>
        </row>
        <row r="2225">
          <cell r="I2225">
            <v>2930</v>
          </cell>
          <cell r="J2225">
            <v>0.1318109589041096</v>
          </cell>
        </row>
        <row r="2226">
          <cell r="I2226">
            <v>2931</v>
          </cell>
          <cell r="J2226">
            <v>0.13181232876712329</v>
          </cell>
        </row>
        <row r="2227">
          <cell r="I2227">
            <v>2932</v>
          </cell>
          <cell r="J2227">
            <v>0.13181369863013698</v>
          </cell>
        </row>
        <row r="2228">
          <cell r="I2228">
            <v>2933</v>
          </cell>
          <cell r="J2228">
            <v>0.13181506849315069</v>
          </cell>
        </row>
        <row r="2229">
          <cell r="I2229">
            <v>2934</v>
          </cell>
          <cell r="J2229">
            <v>0.13181643835616438</v>
          </cell>
        </row>
        <row r="2230">
          <cell r="I2230">
            <v>2935</v>
          </cell>
          <cell r="J2230">
            <v>0.13181780821917807</v>
          </cell>
        </row>
        <row r="2231">
          <cell r="I2231">
            <v>2936</v>
          </cell>
          <cell r="J2231">
            <v>0.13181917808219179</v>
          </cell>
        </row>
        <row r="2232">
          <cell r="I2232">
            <v>2937</v>
          </cell>
          <cell r="J2232">
            <v>0.13182054794520548</v>
          </cell>
        </row>
        <row r="2233">
          <cell r="I2233">
            <v>2938</v>
          </cell>
          <cell r="J2233">
            <v>0.13182191780821917</v>
          </cell>
        </row>
        <row r="2234">
          <cell r="I2234">
            <v>2939</v>
          </cell>
          <cell r="J2234">
            <v>0.13182328767123289</v>
          </cell>
        </row>
        <row r="2235">
          <cell r="I2235">
            <v>2940</v>
          </cell>
          <cell r="J2235">
            <v>0.13182465753424658</v>
          </cell>
        </row>
        <row r="2236">
          <cell r="I2236">
            <v>2941</v>
          </cell>
          <cell r="J2236">
            <v>0.13182602739726026</v>
          </cell>
        </row>
        <row r="2237">
          <cell r="I2237">
            <v>2942</v>
          </cell>
          <cell r="J2237">
            <v>0.13182739726027398</v>
          </cell>
        </row>
        <row r="2238">
          <cell r="I2238">
            <v>2943</v>
          </cell>
          <cell r="J2238">
            <v>0.13182876712328767</v>
          </cell>
        </row>
        <row r="2239">
          <cell r="I2239">
            <v>2944</v>
          </cell>
          <cell r="J2239">
            <v>0.13183013698630136</v>
          </cell>
        </row>
        <row r="2240">
          <cell r="I2240">
            <v>2945</v>
          </cell>
          <cell r="J2240">
            <v>0.13183150684931508</v>
          </cell>
        </row>
        <row r="2241">
          <cell r="I2241">
            <v>2946</v>
          </cell>
          <cell r="J2241">
            <v>0.13183287671232877</v>
          </cell>
        </row>
        <row r="2242">
          <cell r="I2242">
            <v>2947</v>
          </cell>
          <cell r="J2242">
            <v>0.13183424657534246</v>
          </cell>
        </row>
        <row r="2243">
          <cell r="I2243">
            <v>2948</v>
          </cell>
          <cell r="J2243">
            <v>0.13183561643835617</v>
          </cell>
        </row>
        <row r="2244">
          <cell r="I2244">
            <v>2949</v>
          </cell>
          <cell r="J2244">
            <v>0.13183698630136986</v>
          </cell>
        </row>
        <row r="2245">
          <cell r="I2245">
            <v>2950</v>
          </cell>
          <cell r="J2245">
            <v>0.13183835616438355</v>
          </cell>
        </row>
        <row r="2246">
          <cell r="I2246">
            <v>2951</v>
          </cell>
          <cell r="J2246">
            <v>0.13183972602739727</v>
          </cell>
        </row>
        <row r="2247">
          <cell r="I2247">
            <v>2952</v>
          </cell>
          <cell r="J2247">
            <v>0.13184109589041096</v>
          </cell>
        </row>
        <row r="2248">
          <cell r="I2248">
            <v>2953</v>
          </cell>
          <cell r="J2248">
            <v>0.13184246575342465</v>
          </cell>
        </row>
        <row r="2249">
          <cell r="I2249">
            <v>2954</v>
          </cell>
          <cell r="J2249">
            <v>0.13184383561643837</v>
          </cell>
        </row>
        <row r="2250">
          <cell r="I2250">
            <v>2955</v>
          </cell>
          <cell r="J2250">
            <v>0.13184520547945205</v>
          </cell>
        </row>
        <row r="2251">
          <cell r="I2251">
            <v>2956</v>
          </cell>
          <cell r="J2251">
            <v>0.13184657534246574</v>
          </cell>
        </row>
        <row r="2252">
          <cell r="I2252">
            <v>2957</v>
          </cell>
          <cell r="J2252">
            <v>0.13184794520547946</v>
          </cell>
        </row>
        <row r="2253">
          <cell r="I2253">
            <v>2958</v>
          </cell>
          <cell r="J2253">
            <v>0.13184931506849315</v>
          </cell>
        </row>
        <row r="2254">
          <cell r="I2254">
            <v>2959</v>
          </cell>
          <cell r="J2254">
            <v>0.13185068493150684</v>
          </cell>
        </row>
        <row r="2255">
          <cell r="I2255">
            <v>2960</v>
          </cell>
          <cell r="J2255">
            <v>0.13185205479452056</v>
          </cell>
        </row>
        <row r="2256">
          <cell r="I2256">
            <v>2961</v>
          </cell>
          <cell r="J2256">
            <v>0.13185342465753425</v>
          </cell>
        </row>
        <row r="2257">
          <cell r="I2257">
            <v>2962</v>
          </cell>
          <cell r="J2257">
            <v>0.13185479452054794</v>
          </cell>
        </row>
        <row r="2258">
          <cell r="I2258">
            <v>2963</v>
          </cell>
          <cell r="J2258">
            <v>0.13185616438356165</v>
          </cell>
        </row>
        <row r="2259">
          <cell r="I2259">
            <v>2964</v>
          </cell>
          <cell r="J2259">
            <v>0.13185753424657534</v>
          </cell>
        </row>
        <row r="2260">
          <cell r="I2260">
            <v>2965</v>
          </cell>
          <cell r="J2260">
            <v>0.13185890410958903</v>
          </cell>
        </row>
        <row r="2261">
          <cell r="I2261">
            <v>2966</v>
          </cell>
          <cell r="J2261">
            <v>0.13186027397260275</v>
          </cell>
        </row>
        <row r="2262">
          <cell r="I2262">
            <v>2967</v>
          </cell>
          <cell r="J2262">
            <v>0.13186164383561644</v>
          </cell>
        </row>
        <row r="2263">
          <cell r="I2263">
            <v>2968</v>
          </cell>
          <cell r="J2263">
            <v>0.13186301369863013</v>
          </cell>
        </row>
        <row r="2264">
          <cell r="I2264">
            <v>2969</v>
          </cell>
          <cell r="J2264">
            <v>0.13186438356164384</v>
          </cell>
        </row>
        <row r="2265">
          <cell r="I2265">
            <v>2970</v>
          </cell>
          <cell r="J2265">
            <v>0.13186575342465753</v>
          </cell>
        </row>
        <row r="2266">
          <cell r="I2266">
            <v>2971</v>
          </cell>
          <cell r="J2266">
            <v>0.13186712328767122</v>
          </cell>
        </row>
        <row r="2267">
          <cell r="I2267">
            <v>2972</v>
          </cell>
          <cell r="J2267">
            <v>0.13186849315068494</v>
          </cell>
        </row>
        <row r="2268">
          <cell r="I2268">
            <v>2973</v>
          </cell>
          <cell r="J2268">
            <v>0.13186986301369863</v>
          </cell>
        </row>
        <row r="2269">
          <cell r="I2269">
            <v>2974</v>
          </cell>
          <cell r="J2269">
            <v>0.13187123287671232</v>
          </cell>
        </row>
        <row r="2270">
          <cell r="I2270">
            <v>2975</v>
          </cell>
          <cell r="J2270">
            <v>0.13187260273972604</v>
          </cell>
        </row>
        <row r="2271">
          <cell r="I2271">
            <v>2976</v>
          </cell>
          <cell r="J2271">
            <v>0.13187397260273973</v>
          </cell>
        </row>
        <row r="2272">
          <cell r="I2272">
            <v>2977</v>
          </cell>
          <cell r="J2272">
            <v>0.13187534246575341</v>
          </cell>
        </row>
        <row r="2273">
          <cell r="I2273">
            <v>2978</v>
          </cell>
          <cell r="J2273">
            <v>0.13187671232876713</v>
          </cell>
        </row>
        <row r="2274">
          <cell r="I2274">
            <v>2979</v>
          </cell>
          <cell r="J2274">
            <v>0.13187808219178082</v>
          </cell>
        </row>
        <row r="2275">
          <cell r="I2275">
            <v>2980</v>
          </cell>
          <cell r="J2275">
            <v>0.13187945205479451</v>
          </cell>
        </row>
        <row r="2276">
          <cell r="I2276">
            <v>2981</v>
          </cell>
          <cell r="J2276">
            <v>0.13188082191780823</v>
          </cell>
        </row>
        <row r="2277">
          <cell r="I2277">
            <v>2982</v>
          </cell>
          <cell r="J2277">
            <v>0.13188219178082192</v>
          </cell>
        </row>
        <row r="2278">
          <cell r="I2278">
            <v>2983</v>
          </cell>
          <cell r="J2278">
            <v>0.13188356164383561</v>
          </cell>
        </row>
        <row r="2279">
          <cell r="I2279">
            <v>2984</v>
          </cell>
          <cell r="J2279">
            <v>0.13188493150684932</v>
          </cell>
        </row>
        <row r="2280">
          <cell r="I2280">
            <v>2985</v>
          </cell>
          <cell r="J2280">
            <v>0.13188630136986301</v>
          </cell>
        </row>
        <row r="2281">
          <cell r="I2281">
            <v>2986</v>
          </cell>
          <cell r="J2281">
            <v>0.1318876712328767</v>
          </cell>
        </row>
        <row r="2282">
          <cell r="I2282">
            <v>2987</v>
          </cell>
          <cell r="J2282">
            <v>0.13188904109589042</v>
          </cell>
        </row>
        <row r="2283">
          <cell r="I2283">
            <v>2988</v>
          </cell>
          <cell r="J2283">
            <v>0.13189041095890411</v>
          </cell>
        </row>
        <row r="2284">
          <cell r="I2284">
            <v>2989</v>
          </cell>
          <cell r="J2284">
            <v>0.1318917808219178</v>
          </cell>
        </row>
        <row r="2285">
          <cell r="I2285">
            <v>2990</v>
          </cell>
          <cell r="J2285">
            <v>0.13189315068493151</v>
          </cell>
        </row>
        <row r="2286">
          <cell r="I2286">
            <v>2991</v>
          </cell>
          <cell r="J2286">
            <v>0.1318945205479452</v>
          </cell>
        </row>
        <row r="2287">
          <cell r="I2287">
            <v>2992</v>
          </cell>
          <cell r="J2287">
            <v>0.13189589041095889</v>
          </cell>
        </row>
        <row r="2288">
          <cell r="I2288">
            <v>2993</v>
          </cell>
          <cell r="J2288">
            <v>0.13189726027397261</v>
          </cell>
        </row>
        <row r="2289">
          <cell r="I2289">
            <v>2994</v>
          </cell>
          <cell r="J2289">
            <v>0.1318986301369863</v>
          </cell>
        </row>
        <row r="2290">
          <cell r="I2290">
            <v>2995</v>
          </cell>
          <cell r="J2290">
            <v>0.13189999999999999</v>
          </cell>
        </row>
        <row r="2291">
          <cell r="I2291">
            <v>2996</v>
          </cell>
          <cell r="J2291">
            <v>0.13190136986301371</v>
          </cell>
        </row>
        <row r="2292">
          <cell r="I2292">
            <v>2997</v>
          </cell>
          <cell r="J2292">
            <v>0.1319027397260274</v>
          </cell>
        </row>
        <row r="2293">
          <cell r="I2293">
            <v>2998</v>
          </cell>
          <cell r="J2293">
            <v>0.13190410958904109</v>
          </cell>
        </row>
        <row r="2294">
          <cell r="I2294">
            <v>2999</v>
          </cell>
          <cell r="J2294">
            <v>0.1319054794520548</v>
          </cell>
        </row>
        <row r="2295">
          <cell r="I2295">
            <v>3000</v>
          </cell>
          <cell r="J2295">
            <v>0.13190684931506849</v>
          </cell>
        </row>
        <row r="2296">
          <cell r="I2296">
            <v>3001</v>
          </cell>
          <cell r="J2296">
            <v>0.13190821917808218</v>
          </cell>
        </row>
        <row r="2297">
          <cell r="I2297">
            <v>3002</v>
          </cell>
          <cell r="J2297">
            <v>0.1319095890410959</v>
          </cell>
        </row>
        <row r="2298">
          <cell r="I2298">
            <v>3003</v>
          </cell>
          <cell r="J2298">
            <v>0.13191095890410959</v>
          </cell>
        </row>
        <row r="2299">
          <cell r="I2299">
            <v>3004</v>
          </cell>
          <cell r="J2299">
            <v>0.13191232876712328</v>
          </cell>
        </row>
        <row r="2300">
          <cell r="I2300">
            <v>3005</v>
          </cell>
          <cell r="J2300">
            <v>0.13191369863013699</v>
          </cell>
        </row>
        <row r="2301">
          <cell r="I2301">
            <v>3006</v>
          </cell>
          <cell r="J2301">
            <v>0.13191506849315068</v>
          </cell>
        </row>
        <row r="2302">
          <cell r="I2302">
            <v>3007</v>
          </cell>
          <cell r="J2302">
            <v>0.13191643835616437</v>
          </cell>
        </row>
        <row r="2303">
          <cell r="I2303">
            <v>3008</v>
          </cell>
          <cell r="J2303">
            <v>0.13191780821917809</v>
          </cell>
        </row>
        <row r="2304">
          <cell r="I2304">
            <v>3009</v>
          </cell>
          <cell r="J2304">
            <v>0.13191917808219178</v>
          </cell>
        </row>
        <row r="2305">
          <cell r="I2305">
            <v>3010</v>
          </cell>
          <cell r="J2305">
            <v>0.13192054794520547</v>
          </cell>
        </row>
        <row r="2306">
          <cell r="I2306">
            <v>3011</v>
          </cell>
          <cell r="J2306">
            <v>0.13192191780821919</v>
          </cell>
        </row>
        <row r="2307">
          <cell r="I2307">
            <v>3012</v>
          </cell>
          <cell r="J2307">
            <v>0.13192328767123288</v>
          </cell>
        </row>
        <row r="2308">
          <cell r="I2308">
            <v>3013</v>
          </cell>
          <cell r="J2308">
            <v>0.13192465753424656</v>
          </cell>
        </row>
        <row r="2309">
          <cell r="I2309">
            <v>3014</v>
          </cell>
          <cell r="J2309">
            <v>0.13192602739726028</v>
          </cell>
        </row>
        <row r="2310">
          <cell r="I2310">
            <v>3015</v>
          </cell>
          <cell r="J2310">
            <v>0.13192739726027397</v>
          </cell>
        </row>
        <row r="2311">
          <cell r="I2311">
            <v>3016</v>
          </cell>
          <cell r="J2311">
            <v>0.13192876712328766</v>
          </cell>
        </row>
        <row r="2312">
          <cell r="I2312">
            <v>3017</v>
          </cell>
          <cell r="J2312">
            <v>0.13193013698630138</v>
          </cell>
        </row>
        <row r="2313">
          <cell r="I2313">
            <v>3018</v>
          </cell>
          <cell r="J2313">
            <v>0.13193150684931507</v>
          </cell>
        </row>
        <row r="2314">
          <cell r="I2314">
            <v>3019</v>
          </cell>
          <cell r="J2314">
            <v>0.13193287671232876</v>
          </cell>
        </row>
        <row r="2315">
          <cell r="I2315">
            <v>3020</v>
          </cell>
          <cell r="J2315">
            <v>0.13193424657534247</v>
          </cell>
        </row>
        <row r="2316">
          <cell r="I2316">
            <v>3021</v>
          </cell>
          <cell r="J2316">
            <v>0.13193561643835616</v>
          </cell>
        </row>
        <row r="2317">
          <cell r="I2317">
            <v>3022</v>
          </cell>
          <cell r="J2317">
            <v>0.13193698630136985</v>
          </cell>
        </row>
        <row r="2318">
          <cell r="I2318">
            <v>3023</v>
          </cell>
          <cell r="J2318">
            <v>0.13193835616438357</v>
          </cell>
        </row>
        <row r="2319">
          <cell r="I2319">
            <v>3024</v>
          </cell>
          <cell r="J2319">
            <v>0.13193972602739726</v>
          </cell>
        </row>
        <row r="2320">
          <cell r="I2320">
            <v>3025</v>
          </cell>
          <cell r="J2320">
            <v>0.13194109589041095</v>
          </cell>
        </row>
        <row r="2321">
          <cell r="I2321">
            <v>3026</v>
          </cell>
          <cell r="J2321">
            <v>0.13194246575342466</v>
          </cell>
        </row>
        <row r="2322">
          <cell r="I2322">
            <v>3027</v>
          </cell>
          <cell r="J2322">
            <v>0.13194383561643835</v>
          </cell>
        </row>
        <row r="2323">
          <cell r="I2323">
            <v>3028</v>
          </cell>
          <cell r="J2323">
            <v>0.13194520547945204</v>
          </cell>
        </row>
        <row r="2324">
          <cell r="I2324">
            <v>3029</v>
          </cell>
          <cell r="J2324">
            <v>0.13194657534246576</v>
          </cell>
        </row>
        <row r="2325">
          <cell r="I2325">
            <v>3030</v>
          </cell>
          <cell r="J2325">
            <v>0.13194794520547945</v>
          </cell>
        </row>
        <row r="2326">
          <cell r="I2326">
            <v>3031</v>
          </cell>
          <cell r="J2326">
            <v>0.13194931506849314</v>
          </cell>
        </row>
        <row r="2327">
          <cell r="I2327">
            <v>3032</v>
          </cell>
          <cell r="J2327">
            <v>0.13195068493150686</v>
          </cell>
        </row>
        <row r="2328">
          <cell r="I2328">
            <v>3033</v>
          </cell>
          <cell r="J2328">
            <v>0.13195205479452055</v>
          </cell>
        </row>
        <row r="2329">
          <cell r="I2329">
            <v>3034</v>
          </cell>
          <cell r="J2329">
            <v>0.13195342465753424</v>
          </cell>
        </row>
        <row r="2330">
          <cell r="I2330">
            <v>3035</v>
          </cell>
          <cell r="J2330">
            <v>0.13195479452054795</v>
          </cell>
        </row>
        <row r="2331">
          <cell r="I2331">
            <v>3036</v>
          </cell>
          <cell r="J2331">
            <v>0.13195616438356164</v>
          </cell>
        </row>
        <row r="2332">
          <cell r="I2332">
            <v>3037</v>
          </cell>
          <cell r="J2332">
            <v>0.13195753424657533</v>
          </cell>
        </row>
        <row r="2333">
          <cell r="I2333">
            <v>3038</v>
          </cell>
          <cell r="J2333">
            <v>0.13195890410958905</v>
          </cell>
        </row>
        <row r="2334">
          <cell r="I2334">
            <v>3039</v>
          </cell>
          <cell r="J2334">
            <v>0.13196027397260274</v>
          </cell>
        </row>
        <row r="2335">
          <cell r="I2335">
            <v>3040</v>
          </cell>
          <cell r="J2335">
            <v>0.13196164383561643</v>
          </cell>
        </row>
        <row r="2336">
          <cell r="I2336">
            <v>3041</v>
          </cell>
          <cell r="J2336">
            <v>0.13196301369863014</v>
          </cell>
        </row>
        <row r="2337">
          <cell r="I2337">
            <v>3042</v>
          </cell>
          <cell r="J2337">
            <v>0.13196438356164383</v>
          </cell>
        </row>
        <row r="2338">
          <cell r="I2338">
            <v>3043</v>
          </cell>
          <cell r="J2338">
            <v>0.13196575342465752</v>
          </cell>
        </row>
        <row r="2339">
          <cell r="I2339">
            <v>3044</v>
          </cell>
          <cell r="J2339">
            <v>0.13196712328767124</v>
          </cell>
        </row>
        <row r="2340">
          <cell r="I2340">
            <v>3045</v>
          </cell>
          <cell r="J2340">
            <v>0.13196849315068493</v>
          </cell>
        </row>
        <row r="2341">
          <cell r="I2341">
            <v>3046</v>
          </cell>
          <cell r="J2341">
            <v>0.13196986301369862</v>
          </cell>
        </row>
        <row r="2342">
          <cell r="I2342">
            <v>3047</v>
          </cell>
          <cell r="J2342">
            <v>0.13197123287671234</v>
          </cell>
        </row>
        <row r="2343">
          <cell r="I2343">
            <v>3048</v>
          </cell>
          <cell r="J2343">
            <v>0.13197260273972602</v>
          </cell>
        </row>
        <row r="2344">
          <cell r="I2344">
            <v>3049</v>
          </cell>
          <cell r="J2344">
            <v>0.13197397260273971</v>
          </cell>
        </row>
        <row r="2345">
          <cell r="I2345">
            <v>3050</v>
          </cell>
          <cell r="J2345">
            <v>0.13197534246575343</v>
          </cell>
        </row>
        <row r="2346">
          <cell r="I2346">
            <v>3051</v>
          </cell>
          <cell r="J2346">
            <v>0.13197671232876712</v>
          </cell>
        </row>
        <row r="2347">
          <cell r="I2347">
            <v>3052</v>
          </cell>
          <cell r="J2347">
            <v>0.13197808219178081</v>
          </cell>
        </row>
        <row r="2348">
          <cell r="I2348">
            <v>3053</v>
          </cell>
          <cell r="J2348">
            <v>0.13197945205479453</v>
          </cell>
        </row>
        <row r="2349">
          <cell r="I2349">
            <v>3054</v>
          </cell>
          <cell r="J2349">
            <v>0.13198082191780822</v>
          </cell>
        </row>
        <row r="2350">
          <cell r="I2350">
            <v>3055</v>
          </cell>
          <cell r="J2350">
            <v>0.13198219178082191</v>
          </cell>
        </row>
        <row r="2351">
          <cell r="I2351">
            <v>3056</v>
          </cell>
          <cell r="J2351">
            <v>0.13198356164383562</v>
          </cell>
        </row>
        <row r="2352">
          <cell r="I2352">
            <v>3057</v>
          </cell>
          <cell r="J2352">
            <v>0.13198493150684931</v>
          </cell>
        </row>
        <row r="2353">
          <cell r="I2353">
            <v>3058</v>
          </cell>
          <cell r="J2353">
            <v>0.131986301369863</v>
          </cell>
        </row>
        <row r="2354">
          <cell r="I2354">
            <v>3059</v>
          </cell>
          <cell r="J2354">
            <v>0.13198767123287672</v>
          </cell>
        </row>
        <row r="2355">
          <cell r="I2355">
            <v>3060</v>
          </cell>
          <cell r="J2355">
            <v>0.13198904109589041</v>
          </cell>
        </row>
        <row r="2356">
          <cell r="I2356">
            <v>3061</v>
          </cell>
          <cell r="J2356">
            <v>0.1319904109589041</v>
          </cell>
        </row>
        <row r="2357">
          <cell r="I2357">
            <v>3062</v>
          </cell>
          <cell r="J2357">
            <v>0.13199178082191781</v>
          </cell>
        </row>
        <row r="2358">
          <cell r="I2358">
            <v>3063</v>
          </cell>
          <cell r="J2358">
            <v>0.1319931506849315</v>
          </cell>
        </row>
        <row r="2359">
          <cell r="I2359">
            <v>3064</v>
          </cell>
          <cell r="J2359">
            <v>0.13199452054794519</v>
          </cell>
        </row>
        <row r="2360">
          <cell r="I2360">
            <v>3065</v>
          </cell>
          <cell r="J2360">
            <v>0.13199589041095891</v>
          </cell>
        </row>
        <row r="2361">
          <cell r="I2361">
            <v>3066</v>
          </cell>
          <cell r="J2361">
            <v>0.1319972602739726</v>
          </cell>
        </row>
        <row r="2362">
          <cell r="I2362">
            <v>3067</v>
          </cell>
          <cell r="J2362">
            <v>0.13199863013698629</v>
          </cell>
        </row>
        <row r="2363">
          <cell r="I2363">
            <v>3068</v>
          </cell>
          <cell r="J2363">
            <v>0.13200000000000001</v>
          </cell>
        </row>
        <row r="2364">
          <cell r="I2364">
            <v>3069</v>
          </cell>
          <cell r="J2364">
            <v>0.1320013698630137</v>
          </cell>
        </row>
        <row r="2365">
          <cell r="I2365">
            <v>3070</v>
          </cell>
          <cell r="J2365">
            <v>0.13200273972602738</v>
          </cell>
        </row>
        <row r="2366">
          <cell r="I2366">
            <v>3071</v>
          </cell>
          <cell r="J2366">
            <v>0.1320041095890411</v>
          </cell>
        </row>
        <row r="2367">
          <cell r="I2367">
            <v>3072</v>
          </cell>
          <cell r="J2367">
            <v>0.13200547945205479</v>
          </cell>
        </row>
        <row r="2368">
          <cell r="I2368">
            <v>3073</v>
          </cell>
          <cell r="J2368">
            <v>0.13200684931506848</v>
          </cell>
        </row>
        <row r="2369">
          <cell r="I2369">
            <v>3074</v>
          </cell>
          <cell r="J2369">
            <v>0.1320082191780822</v>
          </cell>
        </row>
        <row r="2370">
          <cell r="I2370">
            <v>3075</v>
          </cell>
          <cell r="J2370">
            <v>0.13200958904109589</v>
          </cell>
        </row>
        <row r="2371">
          <cell r="I2371">
            <v>3076</v>
          </cell>
          <cell r="J2371">
            <v>0.13201095890410958</v>
          </cell>
        </row>
        <row r="2372">
          <cell r="I2372">
            <v>3077</v>
          </cell>
          <cell r="J2372">
            <v>0.13201232876712329</v>
          </cell>
        </row>
        <row r="2373">
          <cell r="I2373">
            <v>3078</v>
          </cell>
          <cell r="J2373">
            <v>0.13201369863013698</v>
          </cell>
        </row>
        <row r="2374">
          <cell r="I2374">
            <v>3079</v>
          </cell>
          <cell r="J2374">
            <v>0.13201506849315067</v>
          </cell>
        </row>
        <row r="2375">
          <cell r="I2375">
            <v>3080</v>
          </cell>
          <cell r="J2375">
            <v>0.13201643835616439</v>
          </cell>
        </row>
        <row r="2376">
          <cell r="I2376">
            <v>3081</v>
          </cell>
          <cell r="J2376">
            <v>0.13201780821917808</v>
          </cell>
        </row>
        <row r="2377">
          <cell r="I2377">
            <v>3082</v>
          </cell>
          <cell r="J2377">
            <v>0.13201917808219177</v>
          </cell>
        </row>
        <row r="2378">
          <cell r="I2378">
            <v>3083</v>
          </cell>
          <cell r="J2378">
            <v>0.13202054794520549</v>
          </cell>
        </row>
        <row r="2379">
          <cell r="I2379">
            <v>3084</v>
          </cell>
          <cell r="J2379">
            <v>0.13202191780821917</v>
          </cell>
        </row>
        <row r="2380">
          <cell r="I2380">
            <v>3085</v>
          </cell>
          <cell r="J2380">
            <v>0.13202328767123286</v>
          </cell>
        </row>
        <row r="2381">
          <cell r="I2381">
            <v>3086</v>
          </cell>
          <cell r="J2381">
            <v>0.13202465753424658</v>
          </cell>
        </row>
        <row r="2382">
          <cell r="I2382">
            <v>3087</v>
          </cell>
          <cell r="J2382">
            <v>0.13202602739726027</v>
          </cell>
        </row>
        <row r="2383">
          <cell r="I2383">
            <v>3088</v>
          </cell>
          <cell r="J2383">
            <v>0.13202739726027396</v>
          </cell>
        </row>
        <row r="2384">
          <cell r="I2384">
            <v>3089</v>
          </cell>
          <cell r="J2384">
            <v>0.13202876712328768</v>
          </cell>
        </row>
        <row r="2385">
          <cell r="I2385">
            <v>3090</v>
          </cell>
          <cell r="J2385">
            <v>0.13203013698630137</v>
          </cell>
        </row>
        <row r="2386">
          <cell r="I2386">
            <v>3091</v>
          </cell>
          <cell r="J2386">
            <v>0.13203150684931506</v>
          </cell>
        </row>
        <row r="2387">
          <cell r="I2387">
            <v>3092</v>
          </cell>
          <cell r="J2387">
            <v>0.13203287671232877</v>
          </cell>
        </row>
        <row r="2388">
          <cell r="I2388">
            <v>3093</v>
          </cell>
          <cell r="J2388">
            <v>0.13203424657534246</v>
          </cell>
        </row>
        <row r="2389">
          <cell r="I2389">
            <v>3094</v>
          </cell>
          <cell r="J2389">
            <v>0.13203561643835615</v>
          </cell>
        </row>
        <row r="2390">
          <cell r="I2390">
            <v>3095</v>
          </cell>
          <cell r="J2390">
            <v>0.13203698630136987</v>
          </cell>
        </row>
        <row r="2391">
          <cell r="I2391">
            <v>3096</v>
          </cell>
          <cell r="J2391">
            <v>0.13203835616438356</v>
          </cell>
        </row>
        <row r="2392">
          <cell r="I2392">
            <v>3097</v>
          </cell>
          <cell r="J2392">
            <v>0.13203972602739725</v>
          </cell>
        </row>
        <row r="2393">
          <cell r="I2393">
            <v>3098</v>
          </cell>
          <cell r="J2393">
            <v>0.13204109589041096</v>
          </cell>
        </row>
        <row r="2394">
          <cell r="I2394">
            <v>3099</v>
          </cell>
          <cell r="J2394">
            <v>0.13204246575342465</v>
          </cell>
        </row>
        <row r="2395">
          <cell r="I2395">
            <v>3100</v>
          </cell>
          <cell r="J2395">
            <v>0.13204383561643834</v>
          </cell>
        </row>
        <row r="2396">
          <cell r="I2396">
            <v>3101</v>
          </cell>
          <cell r="J2396">
            <v>0.13204520547945206</v>
          </cell>
        </row>
        <row r="2397">
          <cell r="I2397">
            <v>3102</v>
          </cell>
          <cell r="J2397">
            <v>0.13204657534246575</v>
          </cell>
        </row>
        <row r="2398">
          <cell r="I2398">
            <v>3103</v>
          </cell>
          <cell r="J2398">
            <v>0.13204794520547944</v>
          </cell>
        </row>
        <row r="2399">
          <cell r="I2399">
            <v>3104</v>
          </cell>
          <cell r="J2399">
            <v>0.13204931506849316</v>
          </cell>
        </row>
        <row r="2400">
          <cell r="I2400">
            <v>3105</v>
          </cell>
          <cell r="J2400">
            <v>0.13205068493150685</v>
          </cell>
        </row>
        <row r="2401">
          <cell r="I2401">
            <v>3106</v>
          </cell>
          <cell r="J2401">
            <v>0.13205205479452053</v>
          </cell>
        </row>
        <row r="2402">
          <cell r="I2402">
            <v>3107</v>
          </cell>
          <cell r="J2402">
            <v>0.13205342465753425</v>
          </cell>
        </row>
        <row r="2403">
          <cell r="I2403">
            <v>3108</v>
          </cell>
          <cell r="J2403">
            <v>0.13205479452054794</v>
          </cell>
        </row>
        <row r="2404">
          <cell r="I2404">
            <v>3109</v>
          </cell>
          <cell r="J2404">
            <v>0.13205616438356166</v>
          </cell>
        </row>
        <row r="2405">
          <cell r="I2405">
            <v>3110</v>
          </cell>
          <cell r="J2405">
            <v>0.13205753424657535</v>
          </cell>
        </row>
        <row r="2406">
          <cell r="I2406">
            <v>3111</v>
          </cell>
          <cell r="J2406">
            <v>0.13205890410958904</v>
          </cell>
        </row>
        <row r="2407">
          <cell r="I2407">
            <v>3112</v>
          </cell>
          <cell r="J2407">
            <v>0.13206027397260275</v>
          </cell>
        </row>
        <row r="2408">
          <cell r="I2408">
            <v>3113</v>
          </cell>
          <cell r="J2408">
            <v>0.13206164383561644</v>
          </cell>
        </row>
        <row r="2409">
          <cell r="I2409">
            <v>3114</v>
          </cell>
          <cell r="J2409">
            <v>0.13206301369863013</v>
          </cell>
        </row>
        <row r="2410">
          <cell r="I2410">
            <v>3115</v>
          </cell>
          <cell r="J2410">
            <v>0.13206438356164385</v>
          </cell>
        </row>
        <row r="2411">
          <cell r="I2411">
            <v>3116</v>
          </cell>
          <cell r="J2411">
            <v>0.13206575342465754</v>
          </cell>
        </row>
        <row r="2412">
          <cell r="I2412">
            <v>3117</v>
          </cell>
          <cell r="J2412">
            <v>0.13206712328767123</v>
          </cell>
        </row>
        <row r="2413">
          <cell r="I2413">
            <v>3118</v>
          </cell>
          <cell r="J2413">
            <v>0.13206849315068495</v>
          </cell>
        </row>
        <row r="2414">
          <cell r="I2414">
            <v>3119</v>
          </cell>
          <cell r="J2414">
            <v>0.13206986301369864</v>
          </cell>
        </row>
        <row r="2415">
          <cell r="I2415">
            <v>3120</v>
          </cell>
          <cell r="J2415">
            <v>0.13207123287671232</v>
          </cell>
        </row>
        <row r="2416">
          <cell r="I2416">
            <v>3121</v>
          </cell>
          <cell r="J2416">
            <v>0.13207260273972604</v>
          </cell>
        </row>
        <row r="2417">
          <cell r="I2417">
            <v>3122</v>
          </cell>
          <cell r="J2417">
            <v>0.13207397260273973</v>
          </cell>
        </row>
        <row r="2418">
          <cell r="I2418">
            <v>3123</v>
          </cell>
          <cell r="J2418">
            <v>0.13207534246575342</v>
          </cell>
        </row>
        <row r="2419">
          <cell r="I2419">
            <v>3124</v>
          </cell>
          <cell r="J2419">
            <v>0.13207671232876714</v>
          </cell>
        </row>
        <row r="2420">
          <cell r="I2420">
            <v>3125</v>
          </cell>
          <cell r="J2420">
            <v>0.13207808219178083</v>
          </cell>
        </row>
        <row r="2421">
          <cell r="I2421">
            <v>3126</v>
          </cell>
          <cell r="J2421">
            <v>0.13207945205479452</v>
          </cell>
        </row>
        <row r="2422">
          <cell r="I2422">
            <v>3127</v>
          </cell>
          <cell r="J2422">
            <v>0.13208082191780823</v>
          </cell>
        </row>
        <row r="2423">
          <cell r="I2423">
            <v>3128</v>
          </cell>
          <cell r="J2423">
            <v>0.13208219178082192</v>
          </cell>
        </row>
        <row r="2424">
          <cell r="I2424">
            <v>3129</v>
          </cell>
          <cell r="J2424">
            <v>0.13208356164383561</v>
          </cell>
        </row>
        <row r="2425">
          <cell r="I2425">
            <v>3130</v>
          </cell>
          <cell r="J2425">
            <v>0.13208493150684933</v>
          </cell>
        </row>
        <row r="2426">
          <cell r="I2426">
            <v>3131</v>
          </cell>
          <cell r="J2426">
            <v>0.13208630136986302</v>
          </cell>
        </row>
        <row r="2427">
          <cell r="I2427">
            <v>3132</v>
          </cell>
          <cell r="J2427">
            <v>0.13208767123287671</v>
          </cell>
        </row>
        <row r="2428">
          <cell r="I2428">
            <v>3133</v>
          </cell>
          <cell r="J2428">
            <v>0.13208904109589042</v>
          </cell>
        </row>
        <row r="2429">
          <cell r="I2429">
            <v>3134</v>
          </cell>
          <cell r="J2429">
            <v>0.13209041095890411</v>
          </cell>
        </row>
        <row r="2430">
          <cell r="I2430">
            <v>3135</v>
          </cell>
          <cell r="J2430">
            <v>0.1320917808219178</v>
          </cell>
        </row>
        <row r="2431">
          <cell r="I2431">
            <v>3136</v>
          </cell>
          <cell r="J2431">
            <v>0.13209315068493152</v>
          </cell>
        </row>
        <row r="2432">
          <cell r="I2432">
            <v>3137</v>
          </cell>
          <cell r="J2432">
            <v>0.13209452054794521</v>
          </cell>
        </row>
        <row r="2433">
          <cell r="I2433">
            <v>3138</v>
          </cell>
          <cell r="J2433">
            <v>0.1320958904109589</v>
          </cell>
        </row>
        <row r="2434">
          <cell r="I2434">
            <v>3139</v>
          </cell>
          <cell r="J2434">
            <v>0.13209726027397262</v>
          </cell>
        </row>
        <row r="2435">
          <cell r="I2435">
            <v>3140</v>
          </cell>
          <cell r="J2435">
            <v>0.13209863013698631</v>
          </cell>
        </row>
        <row r="2436">
          <cell r="I2436">
            <v>3141</v>
          </cell>
          <cell r="J2436">
            <v>0.1321</v>
          </cell>
        </row>
        <row r="2437">
          <cell r="I2437">
            <v>3142</v>
          </cell>
          <cell r="J2437">
            <v>0.13210136986301371</v>
          </cell>
        </row>
        <row r="2438">
          <cell r="I2438">
            <v>3143</v>
          </cell>
          <cell r="J2438">
            <v>0.1321027397260274</v>
          </cell>
        </row>
        <row r="2439">
          <cell r="I2439">
            <v>3144</v>
          </cell>
          <cell r="J2439">
            <v>0.13210410958904109</v>
          </cell>
        </row>
        <row r="2440">
          <cell r="I2440">
            <v>3145</v>
          </cell>
          <cell r="J2440">
            <v>0.13210547945205481</v>
          </cell>
        </row>
        <row r="2441">
          <cell r="I2441">
            <v>3146</v>
          </cell>
          <cell r="J2441">
            <v>0.1321068493150685</v>
          </cell>
        </row>
        <row r="2442">
          <cell r="I2442">
            <v>3147</v>
          </cell>
          <cell r="J2442">
            <v>0.13210821917808219</v>
          </cell>
        </row>
        <row r="2443">
          <cell r="I2443">
            <v>3148</v>
          </cell>
          <cell r="J2443">
            <v>0.1321095890410959</v>
          </cell>
        </row>
        <row r="2444">
          <cell r="I2444">
            <v>3149</v>
          </cell>
          <cell r="J2444">
            <v>0.13211095890410959</v>
          </cell>
        </row>
        <row r="2445">
          <cell r="I2445">
            <v>3150</v>
          </cell>
          <cell r="J2445">
            <v>0.13211232876712328</v>
          </cell>
        </row>
        <row r="2446">
          <cell r="I2446">
            <v>3151</v>
          </cell>
          <cell r="J2446">
            <v>0.132113698630137</v>
          </cell>
        </row>
        <row r="2447">
          <cell r="I2447">
            <v>3152</v>
          </cell>
          <cell r="J2447">
            <v>0.13211506849315069</v>
          </cell>
        </row>
        <row r="2448">
          <cell r="I2448">
            <v>3153</v>
          </cell>
          <cell r="J2448">
            <v>0.13211643835616438</v>
          </cell>
        </row>
        <row r="2449">
          <cell r="I2449">
            <v>3154</v>
          </cell>
          <cell r="J2449">
            <v>0.1321178082191781</v>
          </cell>
        </row>
        <row r="2450">
          <cell r="I2450">
            <v>3155</v>
          </cell>
          <cell r="J2450">
            <v>0.13211917808219178</v>
          </cell>
        </row>
        <row r="2451">
          <cell r="I2451">
            <v>3156</v>
          </cell>
          <cell r="J2451">
            <v>0.13212054794520547</v>
          </cell>
        </row>
        <row r="2452">
          <cell r="I2452">
            <v>3157</v>
          </cell>
          <cell r="J2452">
            <v>0.13212191780821919</v>
          </cell>
        </row>
        <row r="2453">
          <cell r="I2453">
            <v>3158</v>
          </cell>
          <cell r="J2453">
            <v>0.13212328767123288</v>
          </cell>
        </row>
        <row r="2454">
          <cell r="I2454">
            <v>3159</v>
          </cell>
          <cell r="J2454">
            <v>0.13212465753424657</v>
          </cell>
        </row>
        <row r="2455">
          <cell r="I2455">
            <v>3160</v>
          </cell>
          <cell r="J2455">
            <v>0.13212602739726029</v>
          </cell>
        </row>
        <row r="2456">
          <cell r="I2456">
            <v>3161</v>
          </cell>
          <cell r="J2456">
            <v>0.13212739726027398</v>
          </cell>
        </row>
        <row r="2457">
          <cell r="I2457">
            <v>3162</v>
          </cell>
          <cell r="J2457">
            <v>0.13212876712328767</v>
          </cell>
        </row>
        <row r="2458">
          <cell r="I2458">
            <v>3163</v>
          </cell>
          <cell r="J2458">
            <v>0.13213013698630138</v>
          </cell>
        </row>
        <row r="2459">
          <cell r="I2459">
            <v>3164</v>
          </cell>
          <cell r="J2459">
            <v>0.13213150684931507</v>
          </cell>
        </row>
        <row r="2460">
          <cell r="I2460">
            <v>3165</v>
          </cell>
          <cell r="J2460">
            <v>0.13213287671232876</v>
          </cell>
        </row>
        <row r="2461">
          <cell r="I2461">
            <v>3166</v>
          </cell>
          <cell r="J2461">
            <v>0.13213424657534248</v>
          </cell>
        </row>
        <row r="2462">
          <cell r="I2462">
            <v>3167</v>
          </cell>
          <cell r="J2462">
            <v>0.13213561643835617</v>
          </cell>
        </row>
        <row r="2463">
          <cell r="I2463">
            <v>3168</v>
          </cell>
          <cell r="J2463">
            <v>0.13213698630136986</v>
          </cell>
        </row>
        <row r="2464">
          <cell r="I2464">
            <v>3169</v>
          </cell>
          <cell r="J2464">
            <v>0.13213835616438357</v>
          </cell>
        </row>
        <row r="2465">
          <cell r="I2465">
            <v>3170</v>
          </cell>
          <cell r="J2465">
            <v>0.13213972602739726</v>
          </cell>
        </row>
        <row r="2466">
          <cell r="I2466">
            <v>3171</v>
          </cell>
          <cell r="J2466">
            <v>0.13214109589041095</v>
          </cell>
        </row>
        <row r="2467">
          <cell r="I2467">
            <v>3172</v>
          </cell>
          <cell r="J2467">
            <v>0.13214246575342467</v>
          </cell>
        </row>
        <row r="2468">
          <cell r="I2468">
            <v>3173</v>
          </cell>
          <cell r="J2468">
            <v>0.13214383561643836</v>
          </cell>
        </row>
        <row r="2469">
          <cell r="I2469">
            <v>3174</v>
          </cell>
          <cell r="J2469">
            <v>0.13214520547945205</v>
          </cell>
        </row>
        <row r="2470">
          <cell r="I2470">
            <v>3175</v>
          </cell>
          <cell r="J2470">
            <v>0.13214657534246577</v>
          </cell>
        </row>
        <row r="2471">
          <cell r="I2471">
            <v>3176</v>
          </cell>
          <cell r="J2471">
            <v>0.13214794520547946</v>
          </cell>
        </row>
        <row r="2472">
          <cell r="I2472">
            <v>3177</v>
          </cell>
          <cell r="J2472">
            <v>0.13214931506849315</v>
          </cell>
        </row>
        <row r="2473">
          <cell r="I2473">
            <v>3178</v>
          </cell>
          <cell r="J2473">
            <v>0.13215068493150686</v>
          </cell>
        </row>
        <row r="2474">
          <cell r="I2474">
            <v>3179</v>
          </cell>
          <cell r="J2474">
            <v>0.13215205479452055</v>
          </cell>
        </row>
        <row r="2475">
          <cell r="I2475">
            <v>3180</v>
          </cell>
          <cell r="J2475">
            <v>0.13215342465753424</v>
          </cell>
        </row>
        <row r="2476">
          <cell r="I2476">
            <v>3181</v>
          </cell>
          <cell r="J2476">
            <v>0.13215479452054796</v>
          </cell>
        </row>
        <row r="2477">
          <cell r="I2477">
            <v>3182</v>
          </cell>
          <cell r="J2477">
            <v>0.13215616438356165</v>
          </cell>
        </row>
        <row r="2478">
          <cell r="I2478">
            <v>3183</v>
          </cell>
          <cell r="J2478">
            <v>0.13215753424657534</v>
          </cell>
        </row>
        <row r="2479">
          <cell r="I2479">
            <v>3184</v>
          </cell>
          <cell r="J2479">
            <v>0.13215890410958905</v>
          </cell>
        </row>
        <row r="2480">
          <cell r="I2480">
            <v>3185</v>
          </cell>
          <cell r="J2480">
            <v>0.13216027397260274</v>
          </cell>
        </row>
        <row r="2481">
          <cell r="I2481">
            <v>3186</v>
          </cell>
          <cell r="J2481">
            <v>0.13216164383561643</v>
          </cell>
        </row>
        <row r="2482">
          <cell r="I2482">
            <v>3187</v>
          </cell>
          <cell r="J2482">
            <v>0.13216301369863015</v>
          </cell>
        </row>
        <row r="2483">
          <cell r="I2483">
            <v>3188</v>
          </cell>
          <cell r="J2483">
            <v>0.13216438356164384</v>
          </cell>
        </row>
        <row r="2484">
          <cell r="I2484">
            <v>3189</v>
          </cell>
          <cell r="J2484">
            <v>0.13216575342465753</v>
          </cell>
        </row>
        <row r="2485">
          <cell r="I2485">
            <v>3190</v>
          </cell>
          <cell r="J2485">
            <v>0.13216712328767125</v>
          </cell>
        </row>
        <row r="2486">
          <cell r="I2486">
            <v>3191</v>
          </cell>
          <cell r="J2486">
            <v>0.13216849315068493</v>
          </cell>
        </row>
        <row r="2487">
          <cell r="I2487">
            <v>3192</v>
          </cell>
          <cell r="J2487">
            <v>0.13216986301369862</v>
          </cell>
        </row>
        <row r="2488">
          <cell r="I2488">
            <v>3193</v>
          </cell>
          <cell r="J2488">
            <v>0.13217123287671234</v>
          </cell>
        </row>
        <row r="2489">
          <cell r="I2489">
            <v>3194</v>
          </cell>
          <cell r="J2489">
            <v>0.13217260273972603</v>
          </cell>
        </row>
        <row r="2490">
          <cell r="I2490">
            <v>3195</v>
          </cell>
          <cell r="J2490">
            <v>0.13217397260273972</v>
          </cell>
        </row>
        <row r="2491">
          <cell r="I2491">
            <v>3196</v>
          </cell>
          <cell r="J2491">
            <v>0.13217534246575344</v>
          </cell>
        </row>
        <row r="2492">
          <cell r="I2492">
            <v>3197</v>
          </cell>
          <cell r="J2492">
            <v>0.13217671232876713</v>
          </cell>
        </row>
        <row r="2493">
          <cell r="I2493">
            <v>3198</v>
          </cell>
          <cell r="J2493">
            <v>0.13217808219178082</v>
          </cell>
        </row>
        <row r="2494">
          <cell r="I2494">
            <v>3199</v>
          </cell>
          <cell r="J2494">
            <v>0.13217945205479453</v>
          </cell>
        </row>
        <row r="2495">
          <cell r="I2495">
            <v>3200</v>
          </cell>
          <cell r="J2495">
            <v>0.13218082191780822</v>
          </cell>
        </row>
        <row r="2496">
          <cell r="I2496">
            <v>3201</v>
          </cell>
          <cell r="J2496">
            <v>0.13218219178082191</v>
          </cell>
        </row>
        <row r="2497">
          <cell r="I2497">
            <v>3202</v>
          </cell>
          <cell r="J2497">
            <v>0.13218356164383563</v>
          </cell>
        </row>
        <row r="2498">
          <cell r="I2498">
            <v>3203</v>
          </cell>
          <cell r="J2498">
            <v>0.13218493150684932</v>
          </cell>
        </row>
        <row r="2499">
          <cell r="I2499">
            <v>3204</v>
          </cell>
          <cell r="J2499">
            <v>0.13218630136986301</v>
          </cell>
        </row>
        <row r="2500">
          <cell r="I2500">
            <v>3205</v>
          </cell>
          <cell r="J2500">
            <v>0.13218767123287672</v>
          </cell>
        </row>
        <row r="2501">
          <cell r="I2501">
            <v>3206</v>
          </cell>
          <cell r="J2501">
            <v>0.13218904109589041</v>
          </cell>
        </row>
        <row r="2502">
          <cell r="I2502">
            <v>3207</v>
          </cell>
          <cell r="J2502">
            <v>0.1321904109589041</v>
          </cell>
        </row>
        <row r="2503">
          <cell r="I2503">
            <v>3208</v>
          </cell>
          <cell r="J2503">
            <v>0.13219178082191782</v>
          </cell>
        </row>
        <row r="2504">
          <cell r="I2504">
            <v>3209</v>
          </cell>
          <cell r="J2504">
            <v>0.13219315068493151</v>
          </cell>
        </row>
        <row r="2505">
          <cell r="I2505">
            <v>3210</v>
          </cell>
          <cell r="J2505">
            <v>0.1321945205479452</v>
          </cell>
        </row>
        <row r="2506">
          <cell r="I2506">
            <v>3211</v>
          </cell>
          <cell r="J2506">
            <v>0.13219589041095892</v>
          </cell>
        </row>
        <row r="2507">
          <cell r="I2507">
            <v>3212</v>
          </cell>
          <cell r="J2507">
            <v>0.13219726027397261</v>
          </cell>
        </row>
        <row r="2508">
          <cell r="I2508">
            <v>3213</v>
          </cell>
          <cell r="J2508">
            <v>0.13219863013698629</v>
          </cell>
        </row>
        <row r="2509">
          <cell r="I2509">
            <v>3214</v>
          </cell>
          <cell r="J2509">
            <v>0.13220000000000001</v>
          </cell>
        </row>
        <row r="2510">
          <cell r="I2510">
            <v>3215</v>
          </cell>
          <cell r="J2510">
            <v>0.1322013698630137</v>
          </cell>
        </row>
        <row r="2511">
          <cell r="I2511">
            <v>3216</v>
          </cell>
          <cell r="J2511">
            <v>0.13220273972602739</v>
          </cell>
        </row>
        <row r="2512">
          <cell r="I2512">
            <v>3217</v>
          </cell>
          <cell r="J2512">
            <v>0.13220410958904111</v>
          </cell>
        </row>
        <row r="2513">
          <cell r="I2513">
            <v>3218</v>
          </cell>
          <cell r="J2513">
            <v>0.1322054794520548</v>
          </cell>
        </row>
        <row r="2514">
          <cell r="I2514">
            <v>3219</v>
          </cell>
          <cell r="J2514">
            <v>0.13220684931506849</v>
          </cell>
        </row>
        <row r="2515">
          <cell r="I2515">
            <v>3220</v>
          </cell>
          <cell r="J2515">
            <v>0.1322082191780822</v>
          </cell>
        </row>
        <row r="2516">
          <cell r="I2516">
            <v>3221</v>
          </cell>
          <cell r="J2516">
            <v>0.13220958904109589</v>
          </cell>
        </row>
        <row r="2517">
          <cell r="I2517">
            <v>3222</v>
          </cell>
          <cell r="J2517">
            <v>0.13221095890410958</v>
          </cell>
        </row>
        <row r="2518">
          <cell r="I2518">
            <v>3223</v>
          </cell>
          <cell r="J2518">
            <v>0.1322123287671233</v>
          </cell>
        </row>
        <row r="2519">
          <cell r="I2519">
            <v>3224</v>
          </cell>
          <cell r="J2519">
            <v>0.13221369863013699</v>
          </cell>
        </row>
        <row r="2520">
          <cell r="I2520">
            <v>3225</v>
          </cell>
          <cell r="J2520">
            <v>0.13221506849315068</v>
          </cell>
        </row>
        <row r="2521">
          <cell r="I2521">
            <v>3226</v>
          </cell>
          <cell r="J2521">
            <v>0.1322164383561644</v>
          </cell>
        </row>
        <row r="2522">
          <cell r="I2522">
            <v>3227</v>
          </cell>
          <cell r="J2522">
            <v>0.13221780821917808</v>
          </cell>
        </row>
        <row r="2523">
          <cell r="I2523">
            <v>3228</v>
          </cell>
          <cell r="J2523">
            <v>0.13221917808219177</v>
          </cell>
        </row>
        <row r="2524">
          <cell r="I2524">
            <v>3229</v>
          </cell>
          <cell r="J2524">
            <v>0.13222054794520549</v>
          </cell>
        </row>
        <row r="2525">
          <cell r="I2525">
            <v>3230</v>
          </cell>
          <cell r="J2525">
            <v>0.13222191780821918</v>
          </cell>
        </row>
        <row r="2526">
          <cell r="I2526">
            <v>3231</v>
          </cell>
          <cell r="J2526">
            <v>0.13222328767123287</v>
          </cell>
        </row>
        <row r="2527">
          <cell r="I2527">
            <v>3232</v>
          </cell>
          <cell r="J2527">
            <v>0.13222465753424659</v>
          </cell>
        </row>
        <row r="2528">
          <cell r="I2528">
            <v>3233</v>
          </cell>
          <cell r="J2528">
            <v>0.13222602739726028</v>
          </cell>
        </row>
        <row r="2529">
          <cell r="I2529">
            <v>3234</v>
          </cell>
          <cell r="J2529">
            <v>0.13222739726027397</v>
          </cell>
        </row>
        <row r="2530">
          <cell r="I2530">
            <v>3235</v>
          </cell>
          <cell r="J2530">
            <v>0.13222876712328768</v>
          </cell>
        </row>
        <row r="2531">
          <cell r="I2531">
            <v>3236</v>
          </cell>
          <cell r="J2531">
            <v>0.13223013698630137</v>
          </cell>
        </row>
        <row r="2532">
          <cell r="I2532">
            <v>3237</v>
          </cell>
          <cell r="J2532">
            <v>0.13223150684931506</v>
          </cell>
        </row>
        <row r="2533">
          <cell r="I2533">
            <v>3238</v>
          </cell>
          <cell r="J2533">
            <v>0.13223287671232878</v>
          </cell>
        </row>
        <row r="2534">
          <cell r="I2534">
            <v>3239</v>
          </cell>
          <cell r="J2534">
            <v>0.13223424657534247</v>
          </cell>
        </row>
        <row r="2535">
          <cell r="I2535">
            <v>3240</v>
          </cell>
          <cell r="J2535">
            <v>0.13223561643835616</v>
          </cell>
        </row>
        <row r="2536">
          <cell r="I2536">
            <v>3241</v>
          </cell>
          <cell r="J2536">
            <v>0.13223698630136987</v>
          </cell>
        </row>
        <row r="2537">
          <cell r="I2537">
            <v>3242</v>
          </cell>
          <cell r="J2537">
            <v>0.13223835616438356</v>
          </cell>
        </row>
        <row r="2538">
          <cell r="I2538">
            <v>3243</v>
          </cell>
          <cell r="J2538">
            <v>0.13223972602739725</v>
          </cell>
        </row>
        <row r="2539">
          <cell r="I2539">
            <v>3244</v>
          </cell>
          <cell r="J2539">
            <v>0.13224109589041097</v>
          </cell>
        </row>
        <row r="2540">
          <cell r="I2540">
            <v>3245</v>
          </cell>
          <cell r="J2540">
            <v>0.13224246575342466</v>
          </cell>
        </row>
        <row r="2541">
          <cell r="I2541">
            <v>3246</v>
          </cell>
          <cell r="J2541">
            <v>0.13224383561643835</v>
          </cell>
        </row>
        <row r="2542">
          <cell r="I2542">
            <v>3247</v>
          </cell>
          <cell r="J2542">
            <v>0.13224520547945207</v>
          </cell>
        </row>
        <row r="2543">
          <cell r="I2543">
            <v>3248</v>
          </cell>
          <cell r="J2543">
            <v>0.13224657534246576</v>
          </cell>
        </row>
        <row r="2544">
          <cell r="I2544">
            <v>3249</v>
          </cell>
          <cell r="J2544">
            <v>0.13224794520547944</v>
          </cell>
        </row>
        <row r="2545">
          <cell r="I2545">
            <v>3250</v>
          </cell>
          <cell r="J2545">
            <v>0.13224931506849316</v>
          </cell>
        </row>
        <row r="2546">
          <cell r="I2546">
            <v>3251</v>
          </cell>
          <cell r="J2546">
            <v>0.13225068493150685</v>
          </cell>
        </row>
        <row r="2547">
          <cell r="I2547">
            <v>3252</v>
          </cell>
          <cell r="J2547">
            <v>0.13225205479452054</v>
          </cell>
        </row>
        <row r="2548">
          <cell r="I2548">
            <v>3253</v>
          </cell>
          <cell r="J2548">
            <v>0.13225342465753426</v>
          </cell>
        </row>
        <row r="2549">
          <cell r="I2549">
            <v>3254</v>
          </cell>
          <cell r="J2549">
            <v>0.13225479452054795</v>
          </cell>
        </row>
        <row r="2550">
          <cell r="I2550">
            <v>3255</v>
          </cell>
          <cell r="J2550">
            <v>0.13225616438356164</v>
          </cell>
        </row>
        <row r="2551">
          <cell r="I2551">
            <v>3256</v>
          </cell>
          <cell r="J2551">
            <v>0.13225753424657535</v>
          </cell>
        </row>
        <row r="2552">
          <cell r="I2552">
            <v>3257</v>
          </cell>
          <cell r="J2552">
            <v>0.13225890410958904</v>
          </cell>
        </row>
        <row r="2553">
          <cell r="I2553">
            <v>3258</v>
          </cell>
          <cell r="J2553">
            <v>0.13226027397260273</v>
          </cell>
        </row>
        <row r="2554">
          <cell r="I2554">
            <v>3259</v>
          </cell>
          <cell r="J2554">
            <v>0.13226164383561645</v>
          </cell>
        </row>
        <row r="2555">
          <cell r="I2555">
            <v>3260</v>
          </cell>
          <cell r="J2555">
            <v>0.13226301369863014</v>
          </cell>
        </row>
        <row r="2556">
          <cell r="I2556">
            <v>3261</v>
          </cell>
          <cell r="J2556">
            <v>0.13226438356164383</v>
          </cell>
        </row>
        <row r="2557">
          <cell r="I2557">
            <v>3262</v>
          </cell>
          <cell r="J2557">
            <v>0.13226575342465755</v>
          </cell>
        </row>
        <row r="2558">
          <cell r="I2558">
            <v>3263</v>
          </cell>
          <cell r="J2558">
            <v>0.13226712328767123</v>
          </cell>
        </row>
        <row r="2559">
          <cell r="I2559">
            <v>3264</v>
          </cell>
          <cell r="J2559">
            <v>0.13226849315068492</v>
          </cell>
        </row>
        <row r="2560">
          <cell r="I2560">
            <v>3265</v>
          </cell>
          <cell r="J2560">
            <v>0.13226986301369864</v>
          </cell>
        </row>
        <row r="2561">
          <cell r="I2561">
            <v>3266</v>
          </cell>
          <cell r="J2561">
            <v>0.13227123287671233</v>
          </cell>
        </row>
        <row r="2562">
          <cell r="I2562">
            <v>3267</v>
          </cell>
          <cell r="J2562">
            <v>0.13227260273972602</v>
          </cell>
        </row>
        <row r="2563">
          <cell r="I2563">
            <v>3268</v>
          </cell>
          <cell r="J2563">
            <v>0.13227397260273974</v>
          </cell>
        </row>
        <row r="2564">
          <cell r="I2564">
            <v>3269</v>
          </cell>
          <cell r="J2564">
            <v>0.13227534246575343</v>
          </cell>
        </row>
        <row r="2565">
          <cell r="I2565">
            <v>3270</v>
          </cell>
          <cell r="J2565">
            <v>0.13227671232876712</v>
          </cell>
        </row>
        <row r="2566">
          <cell r="I2566">
            <v>3271</v>
          </cell>
          <cell r="J2566">
            <v>0.13227808219178083</v>
          </cell>
        </row>
        <row r="2567">
          <cell r="I2567">
            <v>3272</v>
          </cell>
          <cell r="J2567">
            <v>0.13227945205479452</v>
          </cell>
        </row>
        <row r="2568">
          <cell r="I2568">
            <v>3273</v>
          </cell>
          <cell r="J2568">
            <v>0.13228082191780821</v>
          </cell>
        </row>
        <row r="2569">
          <cell r="I2569">
            <v>3274</v>
          </cell>
          <cell r="J2569">
            <v>0.13228219178082193</v>
          </cell>
        </row>
        <row r="2570">
          <cell r="I2570">
            <v>3275</v>
          </cell>
          <cell r="J2570">
            <v>0.13228356164383562</v>
          </cell>
        </row>
        <row r="2571">
          <cell r="I2571">
            <v>3276</v>
          </cell>
          <cell r="J2571">
            <v>0.13228493150684931</v>
          </cell>
        </row>
        <row r="2572">
          <cell r="I2572">
            <v>3277</v>
          </cell>
          <cell r="J2572">
            <v>0.13228630136986302</v>
          </cell>
        </row>
        <row r="2573">
          <cell r="I2573">
            <v>3278</v>
          </cell>
          <cell r="J2573">
            <v>0.13228767123287671</v>
          </cell>
        </row>
        <row r="2574">
          <cell r="I2574">
            <v>3279</v>
          </cell>
          <cell r="J2574">
            <v>0.1322890410958904</v>
          </cell>
        </row>
        <row r="2575">
          <cell r="I2575">
            <v>3280</v>
          </cell>
          <cell r="J2575">
            <v>0.13229041095890412</v>
          </cell>
        </row>
        <row r="2576">
          <cell r="I2576">
            <v>3281</v>
          </cell>
          <cell r="J2576">
            <v>0.13229178082191781</v>
          </cell>
        </row>
        <row r="2577">
          <cell r="I2577">
            <v>3282</v>
          </cell>
          <cell r="J2577">
            <v>0.1322931506849315</v>
          </cell>
        </row>
        <row r="2578">
          <cell r="I2578">
            <v>3283</v>
          </cell>
          <cell r="J2578">
            <v>0.13229452054794522</v>
          </cell>
        </row>
        <row r="2579">
          <cell r="I2579">
            <v>3284</v>
          </cell>
          <cell r="J2579">
            <v>0.13229589041095891</v>
          </cell>
        </row>
        <row r="2580">
          <cell r="I2580">
            <v>3285</v>
          </cell>
          <cell r="J2580">
            <v>0.13229726027397259</v>
          </cell>
        </row>
        <row r="2581">
          <cell r="I2581">
            <v>3286</v>
          </cell>
          <cell r="J2581">
            <v>0.13229863013698631</v>
          </cell>
        </row>
        <row r="2582">
          <cell r="I2582">
            <v>3287</v>
          </cell>
          <cell r="J2582">
            <v>0.1323</v>
          </cell>
        </row>
        <row r="2583">
          <cell r="I2583">
            <v>3288</v>
          </cell>
          <cell r="J2583">
            <v>0.13230164383561643</v>
          </cell>
        </row>
        <row r="2584">
          <cell r="I2584">
            <v>3289</v>
          </cell>
          <cell r="J2584">
            <v>0.13230328767123287</v>
          </cell>
        </row>
        <row r="2585">
          <cell r="I2585">
            <v>3290</v>
          </cell>
          <cell r="J2585">
            <v>0.13230493150684933</v>
          </cell>
        </row>
        <row r="2586">
          <cell r="I2586">
            <v>3291</v>
          </cell>
          <cell r="J2586">
            <v>0.13230657534246576</v>
          </cell>
        </row>
        <row r="2587">
          <cell r="I2587">
            <v>3292</v>
          </cell>
          <cell r="J2587">
            <v>0.13230821917808219</v>
          </cell>
        </row>
        <row r="2588">
          <cell r="I2588">
            <v>3293</v>
          </cell>
          <cell r="J2588">
            <v>0.13230986301369863</v>
          </cell>
        </row>
        <row r="2589">
          <cell r="I2589">
            <v>3294</v>
          </cell>
          <cell r="J2589">
            <v>0.13231150684931506</v>
          </cell>
        </row>
        <row r="2590">
          <cell r="I2590">
            <v>3295</v>
          </cell>
          <cell r="J2590">
            <v>0.13231315068493152</v>
          </cell>
        </row>
        <row r="2591">
          <cell r="I2591">
            <v>3296</v>
          </cell>
          <cell r="J2591">
            <v>0.13231479452054795</v>
          </cell>
        </row>
        <row r="2592">
          <cell r="I2592">
            <v>3297</v>
          </cell>
          <cell r="J2592">
            <v>0.13231643835616438</v>
          </cell>
        </row>
        <row r="2593">
          <cell r="I2593">
            <v>3298</v>
          </cell>
          <cell r="J2593">
            <v>0.13231808219178082</v>
          </cell>
        </row>
        <row r="2594">
          <cell r="I2594">
            <v>3299</v>
          </cell>
          <cell r="J2594">
            <v>0.13231972602739725</v>
          </cell>
        </row>
        <row r="2595">
          <cell r="I2595">
            <v>3300</v>
          </cell>
          <cell r="J2595">
            <v>0.13232136986301371</v>
          </cell>
        </row>
        <row r="2596">
          <cell r="I2596">
            <v>3301</v>
          </cell>
          <cell r="J2596">
            <v>0.13232301369863014</v>
          </cell>
        </row>
        <row r="2597">
          <cell r="I2597">
            <v>3302</v>
          </cell>
          <cell r="J2597">
            <v>0.13232465753424658</v>
          </cell>
        </row>
        <row r="2598">
          <cell r="I2598">
            <v>3303</v>
          </cell>
          <cell r="J2598">
            <v>0.13232630136986301</v>
          </cell>
        </row>
        <row r="2599">
          <cell r="I2599">
            <v>3304</v>
          </cell>
          <cell r="J2599">
            <v>0.13232794520547944</v>
          </cell>
        </row>
        <row r="2600">
          <cell r="I2600">
            <v>3305</v>
          </cell>
          <cell r="J2600">
            <v>0.1323295890410959</v>
          </cell>
        </row>
        <row r="2601">
          <cell r="I2601">
            <v>3306</v>
          </cell>
          <cell r="J2601">
            <v>0.13233123287671233</v>
          </cell>
        </row>
        <row r="2602">
          <cell r="I2602">
            <v>3307</v>
          </cell>
          <cell r="J2602">
            <v>0.13233287671232877</v>
          </cell>
        </row>
        <row r="2603">
          <cell r="I2603">
            <v>3308</v>
          </cell>
          <cell r="J2603">
            <v>0.1323345205479452</v>
          </cell>
        </row>
        <row r="2604">
          <cell r="I2604">
            <v>3309</v>
          </cell>
          <cell r="J2604">
            <v>0.13233616438356163</v>
          </cell>
        </row>
        <row r="2605">
          <cell r="I2605">
            <v>3310</v>
          </cell>
          <cell r="J2605">
            <v>0.13233780821917809</v>
          </cell>
        </row>
        <row r="2606">
          <cell r="I2606">
            <v>3311</v>
          </cell>
          <cell r="J2606">
            <v>0.13233945205479453</v>
          </cell>
        </row>
        <row r="2607">
          <cell r="I2607">
            <v>3312</v>
          </cell>
          <cell r="J2607">
            <v>0.13234109589041096</v>
          </cell>
        </row>
        <row r="2608">
          <cell r="I2608">
            <v>3313</v>
          </cell>
          <cell r="J2608">
            <v>0.13234273972602739</v>
          </cell>
        </row>
        <row r="2609">
          <cell r="I2609">
            <v>3314</v>
          </cell>
          <cell r="J2609">
            <v>0.13234438356164382</v>
          </cell>
        </row>
        <row r="2610">
          <cell r="I2610">
            <v>3315</v>
          </cell>
          <cell r="J2610">
            <v>0.13234602739726029</v>
          </cell>
        </row>
        <row r="2611">
          <cell r="I2611">
            <v>3316</v>
          </cell>
          <cell r="J2611">
            <v>0.13234767123287672</v>
          </cell>
        </row>
        <row r="2612">
          <cell r="I2612">
            <v>3317</v>
          </cell>
          <cell r="J2612">
            <v>0.13234931506849315</v>
          </cell>
        </row>
        <row r="2613">
          <cell r="I2613">
            <v>3318</v>
          </cell>
          <cell r="J2613">
            <v>0.13235095890410958</v>
          </cell>
        </row>
        <row r="2614">
          <cell r="I2614">
            <v>3319</v>
          </cell>
          <cell r="J2614">
            <v>0.13235260273972602</v>
          </cell>
        </row>
        <row r="2615">
          <cell r="I2615">
            <v>3320</v>
          </cell>
          <cell r="J2615">
            <v>0.13235424657534248</v>
          </cell>
        </row>
        <row r="2616">
          <cell r="I2616">
            <v>3321</v>
          </cell>
          <cell r="J2616">
            <v>0.13235589041095891</v>
          </cell>
        </row>
        <row r="2617">
          <cell r="I2617">
            <v>3322</v>
          </cell>
          <cell r="J2617">
            <v>0.13235753424657534</v>
          </cell>
        </row>
        <row r="2618">
          <cell r="I2618">
            <v>3323</v>
          </cell>
          <cell r="J2618">
            <v>0.13235917808219178</v>
          </cell>
        </row>
        <row r="2619">
          <cell r="I2619">
            <v>3324</v>
          </cell>
          <cell r="J2619">
            <v>0.13236082191780821</v>
          </cell>
        </row>
        <row r="2620">
          <cell r="I2620">
            <v>3325</v>
          </cell>
          <cell r="J2620">
            <v>0.13236246575342467</v>
          </cell>
        </row>
        <row r="2621">
          <cell r="I2621">
            <v>3326</v>
          </cell>
          <cell r="J2621">
            <v>0.1323641095890411</v>
          </cell>
        </row>
        <row r="2622">
          <cell r="I2622">
            <v>3327</v>
          </cell>
          <cell r="J2622">
            <v>0.13236575342465753</v>
          </cell>
        </row>
        <row r="2623">
          <cell r="I2623">
            <v>3328</v>
          </cell>
          <cell r="J2623">
            <v>0.13236739726027397</v>
          </cell>
        </row>
        <row r="2624">
          <cell r="I2624">
            <v>3329</v>
          </cell>
          <cell r="J2624">
            <v>0.1323690410958904</v>
          </cell>
        </row>
        <row r="2625">
          <cell r="I2625">
            <v>3330</v>
          </cell>
          <cell r="J2625">
            <v>0.13237068493150686</v>
          </cell>
        </row>
        <row r="2626">
          <cell r="I2626">
            <v>3331</v>
          </cell>
          <cell r="J2626">
            <v>0.13237232876712329</v>
          </cell>
        </row>
        <row r="2627">
          <cell r="I2627">
            <v>3332</v>
          </cell>
          <cell r="J2627">
            <v>0.13237397260273973</v>
          </cell>
        </row>
        <row r="2628">
          <cell r="I2628">
            <v>3333</v>
          </cell>
          <cell r="J2628">
            <v>0.13237561643835616</v>
          </cell>
        </row>
        <row r="2629">
          <cell r="I2629">
            <v>3334</v>
          </cell>
          <cell r="J2629">
            <v>0.13237726027397259</v>
          </cell>
        </row>
        <row r="2630">
          <cell r="I2630">
            <v>3335</v>
          </cell>
          <cell r="J2630">
            <v>0.13237890410958905</v>
          </cell>
        </row>
        <row r="2631">
          <cell r="I2631">
            <v>3336</v>
          </cell>
          <cell r="J2631">
            <v>0.13238054794520548</v>
          </cell>
        </row>
        <row r="2632">
          <cell r="I2632">
            <v>3337</v>
          </cell>
          <cell r="J2632">
            <v>0.13238219178082192</v>
          </cell>
        </row>
        <row r="2633">
          <cell r="I2633">
            <v>3338</v>
          </cell>
          <cell r="J2633">
            <v>0.13238383561643835</v>
          </cell>
        </row>
        <row r="2634">
          <cell r="I2634">
            <v>3339</v>
          </cell>
          <cell r="J2634">
            <v>0.13238547945205478</v>
          </cell>
        </row>
        <row r="2635">
          <cell r="I2635">
            <v>3340</v>
          </cell>
          <cell r="J2635">
            <v>0.13238712328767124</v>
          </cell>
        </row>
        <row r="2636">
          <cell r="I2636">
            <v>3341</v>
          </cell>
          <cell r="J2636">
            <v>0.13238876712328768</v>
          </cell>
        </row>
        <row r="2637">
          <cell r="I2637">
            <v>3342</v>
          </cell>
          <cell r="J2637">
            <v>0.13239041095890411</v>
          </cell>
        </row>
        <row r="2638">
          <cell r="I2638">
            <v>3343</v>
          </cell>
          <cell r="J2638">
            <v>0.13239205479452054</v>
          </cell>
        </row>
        <row r="2639">
          <cell r="I2639">
            <v>3344</v>
          </cell>
          <cell r="J2639">
            <v>0.13239369863013697</v>
          </cell>
        </row>
        <row r="2640">
          <cell r="I2640">
            <v>3345</v>
          </cell>
          <cell r="J2640">
            <v>0.13239534246575344</v>
          </cell>
        </row>
        <row r="2641">
          <cell r="I2641">
            <v>3346</v>
          </cell>
          <cell r="J2641">
            <v>0.13239698630136987</v>
          </cell>
        </row>
        <row r="2642">
          <cell r="I2642">
            <v>3347</v>
          </cell>
          <cell r="J2642">
            <v>0.1323986301369863</v>
          </cell>
        </row>
        <row r="2643">
          <cell r="I2643">
            <v>3348</v>
          </cell>
          <cell r="J2643">
            <v>0.13240027397260273</v>
          </cell>
        </row>
        <row r="2644">
          <cell r="I2644">
            <v>3349</v>
          </cell>
          <cell r="J2644">
            <v>0.13240191780821917</v>
          </cell>
        </row>
        <row r="2645">
          <cell r="I2645">
            <v>3350</v>
          </cell>
          <cell r="J2645">
            <v>0.13240356164383563</v>
          </cell>
        </row>
        <row r="2646">
          <cell r="I2646">
            <v>3351</v>
          </cell>
          <cell r="J2646">
            <v>0.13240520547945206</v>
          </cell>
        </row>
        <row r="2647">
          <cell r="I2647">
            <v>3352</v>
          </cell>
          <cell r="J2647">
            <v>0.13240684931506849</v>
          </cell>
        </row>
        <row r="2648">
          <cell r="I2648">
            <v>3353</v>
          </cell>
          <cell r="J2648">
            <v>0.13240849315068492</v>
          </cell>
        </row>
        <row r="2649">
          <cell r="I2649">
            <v>3354</v>
          </cell>
          <cell r="J2649">
            <v>0.13241013698630136</v>
          </cell>
        </row>
        <row r="2650">
          <cell r="I2650">
            <v>3355</v>
          </cell>
          <cell r="J2650">
            <v>0.13241178082191782</v>
          </cell>
        </row>
        <row r="2651">
          <cell r="I2651">
            <v>3356</v>
          </cell>
          <cell r="J2651">
            <v>0.13241342465753425</v>
          </cell>
        </row>
        <row r="2652">
          <cell r="I2652">
            <v>3357</v>
          </cell>
          <cell r="J2652">
            <v>0.13241506849315068</v>
          </cell>
        </row>
        <row r="2653">
          <cell r="I2653">
            <v>3358</v>
          </cell>
          <cell r="J2653">
            <v>0.13241671232876712</v>
          </cell>
        </row>
        <row r="2654">
          <cell r="I2654">
            <v>3359</v>
          </cell>
          <cell r="J2654">
            <v>0.13241835616438355</v>
          </cell>
        </row>
        <row r="2655">
          <cell r="I2655">
            <v>3360</v>
          </cell>
          <cell r="J2655">
            <v>0.13242000000000001</v>
          </cell>
        </row>
        <row r="2656">
          <cell r="I2656">
            <v>3361</v>
          </cell>
          <cell r="J2656">
            <v>0.13242164383561644</v>
          </cell>
        </row>
        <row r="2657">
          <cell r="I2657">
            <v>3362</v>
          </cell>
          <cell r="J2657">
            <v>0.13242328767123288</v>
          </cell>
        </row>
        <row r="2658">
          <cell r="I2658">
            <v>3363</v>
          </cell>
          <cell r="J2658">
            <v>0.13242493150684931</v>
          </cell>
        </row>
        <row r="2659">
          <cell r="I2659">
            <v>3364</v>
          </cell>
          <cell r="J2659">
            <v>0.13242657534246574</v>
          </cell>
        </row>
        <row r="2660">
          <cell r="I2660">
            <v>3365</v>
          </cell>
          <cell r="J2660">
            <v>0.1324282191780822</v>
          </cell>
        </row>
        <row r="2661">
          <cell r="I2661">
            <v>3366</v>
          </cell>
          <cell r="J2661">
            <v>0.13242986301369863</v>
          </cell>
        </row>
        <row r="2662">
          <cell r="I2662">
            <v>3367</v>
          </cell>
          <cell r="J2662">
            <v>0.13243150684931507</v>
          </cell>
        </row>
        <row r="2663">
          <cell r="I2663">
            <v>3368</v>
          </cell>
          <cell r="J2663">
            <v>0.1324331506849315</v>
          </cell>
        </row>
        <row r="2664">
          <cell r="I2664">
            <v>3369</v>
          </cell>
          <cell r="J2664">
            <v>0.13243479452054793</v>
          </cell>
        </row>
        <row r="2665">
          <cell r="I2665">
            <v>3370</v>
          </cell>
          <cell r="J2665">
            <v>0.13243643835616439</v>
          </cell>
        </row>
        <row r="2666">
          <cell r="I2666">
            <v>3371</v>
          </cell>
          <cell r="J2666">
            <v>0.13243808219178083</v>
          </cell>
        </row>
        <row r="2667">
          <cell r="I2667">
            <v>3372</v>
          </cell>
          <cell r="J2667">
            <v>0.13243972602739726</v>
          </cell>
        </row>
        <row r="2668">
          <cell r="I2668">
            <v>3373</v>
          </cell>
          <cell r="J2668">
            <v>0.13244136986301369</v>
          </cell>
        </row>
        <row r="2669">
          <cell r="I2669">
            <v>3374</v>
          </cell>
          <cell r="J2669">
            <v>0.13244301369863012</v>
          </cell>
        </row>
        <row r="2670">
          <cell r="I2670">
            <v>3375</v>
          </cell>
          <cell r="J2670">
            <v>0.13244465753424658</v>
          </cell>
        </row>
        <row r="2671">
          <cell r="I2671">
            <v>3376</v>
          </cell>
          <cell r="J2671">
            <v>0.13244630136986302</v>
          </cell>
        </row>
        <row r="2672">
          <cell r="I2672">
            <v>3377</v>
          </cell>
          <cell r="J2672">
            <v>0.13244794520547945</v>
          </cell>
        </row>
        <row r="2673">
          <cell r="I2673">
            <v>3378</v>
          </cell>
          <cell r="J2673">
            <v>0.13244958904109588</v>
          </cell>
        </row>
        <row r="2674">
          <cell r="I2674">
            <v>3379</v>
          </cell>
          <cell r="J2674">
            <v>0.13245123287671232</v>
          </cell>
        </row>
        <row r="2675">
          <cell r="I2675">
            <v>3380</v>
          </cell>
          <cell r="J2675">
            <v>0.13245287671232878</v>
          </cell>
        </row>
        <row r="2676">
          <cell r="I2676">
            <v>3381</v>
          </cell>
          <cell r="J2676">
            <v>0.13245452054794521</v>
          </cell>
        </row>
        <row r="2677">
          <cell r="I2677">
            <v>3382</v>
          </cell>
          <cell r="J2677">
            <v>0.13245616438356164</v>
          </cell>
        </row>
        <row r="2678">
          <cell r="I2678">
            <v>3383</v>
          </cell>
          <cell r="J2678">
            <v>0.13245780821917807</v>
          </cell>
        </row>
        <row r="2679">
          <cell r="I2679">
            <v>3384</v>
          </cell>
          <cell r="J2679">
            <v>0.13245945205479451</v>
          </cell>
        </row>
        <row r="2680">
          <cell r="I2680">
            <v>3385</v>
          </cell>
          <cell r="J2680">
            <v>0.13246109589041097</v>
          </cell>
        </row>
        <row r="2681">
          <cell r="I2681">
            <v>3386</v>
          </cell>
          <cell r="J2681">
            <v>0.1324627397260274</v>
          </cell>
        </row>
        <row r="2682">
          <cell r="I2682">
            <v>3387</v>
          </cell>
          <cell r="J2682">
            <v>0.13246438356164383</v>
          </cell>
        </row>
        <row r="2683">
          <cell r="I2683">
            <v>3388</v>
          </cell>
          <cell r="J2683">
            <v>0.13246602739726027</v>
          </cell>
        </row>
        <row r="2684">
          <cell r="I2684">
            <v>3389</v>
          </cell>
          <cell r="J2684">
            <v>0.1324676712328767</v>
          </cell>
        </row>
        <row r="2685">
          <cell r="I2685">
            <v>3390</v>
          </cell>
          <cell r="J2685">
            <v>0.13246931506849316</v>
          </cell>
        </row>
        <row r="2686">
          <cell r="I2686">
            <v>3391</v>
          </cell>
          <cell r="J2686">
            <v>0.13247095890410959</v>
          </cell>
        </row>
        <row r="2687">
          <cell r="I2687">
            <v>3392</v>
          </cell>
          <cell r="J2687">
            <v>0.13247260273972603</v>
          </cell>
        </row>
        <row r="2688">
          <cell r="I2688">
            <v>3393</v>
          </cell>
          <cell r="J2688">
            <v>0.13247424657534246</v>
          </cell>
        </row>
        <row r="2689">
          <cell r="I2689">
            <v>3394</v>
          </cell>
          <cell r="J2689">
            <v>0.13247589041095889</v>
          </cell>
        </row>
        <row r="2690">
          <cell r="I2690">
            <v>3395</v>
          </cell>
          <cell r="J2690">
            <v>0.13247753424657535</v>
          </cell>
        </row>
        <row r="2691">
          <cell r="I2691">
            <v>3396</v>
          </cell>
          <cell r="J2691">
            <v>0.13247917808219178</v>
          </cell>
        </row>
        <row r="2692">
          <cell r="I2692">
            <v>3397</v>
          </cell>
          <cell r="J2692">
            <v>0.13248082191780822</v>
          </cell>
        </row>
        <row r="2693">
          <cell r="I2693">
            <v>3398</v>
          </cell>
          <cell r="J2693">
            <v>0.13248246575342465</v>
          </cell>
        </row>
        <row r="2694">
          <cell r="I2694">
            <v>3399</v>
          </cell>
          <cell r="J2694">
            <v>0.13248410958904108</v>
          </cell>
        </row>
        <row r="2695">
          <cell r="I2695">
            <v>3400</v>
          </cell>
          <cell r="J2695">
            <v>0.13248575342465754</v>
          </cell>
        </row>
        <row r="2696">
          <cell r="I2696">
            <v>3401</v>
          </cell>
          <cell r="J2696">
            <v>0.13248739726027398</v>
          </cell>
        </row>
        <row r="2697">
          <cell r="I2697">
            <v>3402</v>
          </cell>
          <cell r="J2697">
            <v>0.13248904109589041</v>
          </cell>
        </row>
        <row r="2698">
          <cell r="I2698">
            <v>3403</v>
          </cell>
          <cell r="J2698">
            <v>0.13249068493150684</v>
          </cell>
        </row>
        <row r="2699">
          <cell r="I2699">
            <v>3404</v>
          </cell>
          <cell r="J2699">
            <v>0.13249232876712327</v>
          </cell>
        </row>
        <row r="2700">
          <cell r="I2700">
            <v>3405</v>
          </cell>
          <cell r="J2700">
            <v>0.13249397260273973</v>
          </cell>
        </row>
        <row r="2701">
          <cell r="I2701">
            <v>3406</v>
          </cell>
          <cell r="J2701">
            <v>0.13249561643835617</v>
          </cell>
        </row>
        <row r="2702">
          <cell r="I2702">
            <v>3407</v>
          </cell>
          <cell r="J2702">
            <v>0.1324972602739726</v>
          </cell>
        </row>
        <row r="2703">
          <cell r="I2703">
            <v>3408</v>
          </cell>
          <cell r="J2703">
            <v>0.13249890410958903</v>
          </cell>
        </row>
        <row r="2704">
          <cell r="I2704">
            <v>3409</v>
          </cell>
          <cell r="J2704">
            <v>0.13250054794520547</v>
          </cell>
        </row>
        <row r="2705">
          <cell r="I2705">
            <v>3410</v>
          </cell>
          <cell r="J2705">
            <v>0.13250219178082193</v>
          </cell>
        </row>
        <row r="2706">
          <cell r="I2706">
            <v>3411</v>
          </cell>
          <cell r="J2706">
            <v>0.13250383561643836</v>
          </cell>
        </row>
        <row r="2707">
          <cell r="I2707">
            <v>3412</v>
          </cell>
          <cell r="J2707">
            <v>0.13250547945205479</v>
          </cell>
        </row>
        <row r="2708">
          <cell r="I2708">
            <v>3413</v>
          </cell>
          <cell r="J2708">
            <v>0.13250712328767122</v>
          </cell>
        </row>
        <row r="2709">
          <cell r="I2709">
            <v>3414</v>
          </cell>
          <cell r="J2709">
            <v>0.13250876712328766</v>
          </cell>
        </row>
        <row r="2710">
          <cell r="I2710">
            <v>3415</v>
          </cell>
          <cell r="J2710">
            <v>0.13251041095890412</v>
          </cell>
        </row>
        <row r="2711">
          <cell r="I2711">
            <v>3416</v>
          </cell>
          <cell r="J2711">
            <v>0.13251205479452055</v>
          </cell>
        </row>
        <row r="2712">
          <cell r="I2712">
            <v>3417</v>
          </cell>
          <cell r="J2712">
            <v>0.13251369863013698</v>
          </cell>
        </row>
        <row r="2713">
          <cell r="I2713">
            <v>3418</v>
          </cell>
          <cell r="J2713">
            <v>0.13251534246575342</v>
          </cell>
        </row>
        <row r="2714">
          <cell r="I2714">
            <v>3419</v>
          </cell>
          <cell r="J2714">
            <v>0.13251698630136985</v>
          </cell>
        </row>
        <row r="2715">
          <cell r="I2715">
            <v>3420</v>
          </cell>
          <cell r="J2715">
            <v>0.13251863013698631</v>
          </cell>
        </row>
        <row r="2716">
          <cell r="I2716">
            <v>3421</v>
          </cell>
          <cell r="J2716">
            <v>0.13252027397260274</v>
          </cell>
        </row>
        <row r="2717">
          <cell r="I2717">
            <v>3422</v>
          </cell>
          <cell r="J2717">
            <v>0.13252191780821918</v>
          </cell>
        </row>
        <row r="2718">
          <cell r="I2718">
            <v>3423</v>
          </cell>
          <cell r="J2718">
            <v>0.13252356164383561</v>
          </cell>
        </row>
        <row r="2719">
          <cell r="I2719">
            <v>3424</v>
          </cell>
          <cell r="J2719">
            <v>0.13252520547945204</v>
          </cell>
        </row>
        <row r="2720">
          <cell r="I2720">
            <v>3425</v>
          </cell>
          <cell r="J2720">
            <v>0.1325268493150685</v>
          </cell>
        </row>
        <row r="2721">
          <cell r="I2721">
            <v>3426</v>
          </cell>
          <cell r="J2721">
            <v>0.13252849315068493</v>
          </cell>
        </row>
        <row r="2722">
          <cell r="I2722">
            <v>3427</v>
          </cell>
          <cell r="J2722">
            <v>0.13253013698630137</v>
          </cell>
        </row>
        <row r="2723">
          <cell r="I2723">
            <v>3428</v>
          </cell>
          <cell r="J2723">
            <v>0.1325317808219178</v>
          </cell>
        </row>
        <row r="2724">
          <cell r="I2724">
            <v>3429</v>
          </cell>
          <cell r="J2724">
            <v>0.13253342465753423</v>
          </cell>
        </row>
        <row r="2725">
          <cell r="I2725">
            <v>3430</v>
          </cell>
          <cell r="J2725">
            <v>0.13253506849315069</v>
          </cell>
        </row>
        <row r="2726">
          <cell r="I2726">
            <v>3431</v>
          </cell>
          <cell r="J2726">
            <v>0.13253671232876713</v>
          </cell>
        </row>
        <row r="2727">
          <cell r="I2727">
            <v>3432</v>
          </cell>
          <cell r="J2727">
            <v>0.13253835616438356</v>
          </cell>
        </row>
        <row r="2728">
          <cell r="I2728">
            <v>3433</v>
          </cell>
          <cell r="J2728">
            <v>0.13253999999999999</v>
          </cell>
        </row>
        <row r="2729">
          <cell r="I2729">
            <v>3434</v>
          </cell>
          <cell r="J2729">
            <v>0.13254164383561642</v>
          </cell>
        </row>
        <row r="2730">
          <cell r="I2730">
            <v>3435</v>
          </cell>
          <cell r="J2730">
            <v>0.13254328767123288</v>
          </cell>
        </row>
        <row r="2731">
          <cell r="I2731">
            <v>3436</v>
          </cell>
          <cell r="J2731">
            <v>0.13254493150684932</v>
          </cell>
        </row>
        <row r="2732">
          <cell r="I2732">
            <v>3437</v>
          </cell>
          <cell r="J2732">
            <v>0.13254657534246575</v>
          </cell>
        </row>
        <row r="2733">
          <cell r="I2733">
            <v>3438</v>
          </cell>
          <cell r="J2733">
            <v>0.13254821917808218</v>
          </cell>
        </row>
        <row r="2734">
          <cell r="I2734">
            <v>3439</v>
          </cell>
          <cell r="J2734">
            <v>0.13254986301369862</v>
          </cell>
        </row>
        <row r="2735">
          <cell r="I2735">
            <v>3440</v>
          </cell>
          <cell r="J2735">
            <v>0.13255150684931508</v>
          </cell>
        </row>
        <row r="2736">
          <cell r="I2736">
            <v>3441</v>
          </cell>
          <cell r="J2736">
            <v>0.13255315068493151</v>
          </cell>
        </row>
        <row r="2737">
          <cell r="I2737">
            <v>3442</v>
          </cell>
          <cell r="J2737">
            <v>0.13255479452054794</v>
          </cell>
        </row>
        <row r="2738">
          <cell r="I2738">
            <v>3443</v>
          </cell>
          <cell r="J2738">
            <v>0.13255643835616437</v>
          </cell>
        </row>
        <row r="2739">
          <cell r="I2739">
            <v>3444</v>
          </cell>
          <cell r="J2739">
            <v>0.13255808219178081</v>
          </cell>
        </row>
        <row r="2740">
          <cell r="I2740">
            <v>3445</v>
          </cell>
          <cell r="J2740">
            <v>0.13255972602739727</v>
          </cell>
        </row>
        <row r="2741">
          <cell r="I2741">
            <v>3446</v>
          </cell>
          <cell r="J2741">
            <v>0.1325613698630137</v>
          </cell>
        </row>
        <row r="2742">
          <cell r="I2742">
            <v>3447</v>
          </cell>
          <cell r="J2742">
            <v>0.13256301369863013</v>
          </cell>
        </row>
        <row r="2743">
          <cell r="I2743">
            <v>3448</v>
          </cell>
          <cell r="J2743">
            <v>0.13256465753424657</v>
          </cell>
        </row>
        <row r="2744">
          <cell r="I2744">
            <v>3449</v>
          </cell>
          <cell r="J2744">
            <v>0.132566301369863</v>
          </cell>
        </row>
        <row r="2745">
          <cell r="I2745">
            <v>3450</v>
          </cell>
          <cell r="J2745">
            <v>0.13256794520547946</v>
          </cell>
        </row>
        <row r="2746">
          <cell r="I2746">
            <v>3451</v>
          </cell>
          <cell r="J2746">
            <v>0.13256958904109589</v>
          </cell>
        </row>
        <row r="2747">
          <cell r="I2747">
            <v>3452</v>
          </cell>
          <cell r="J2747">
            <v>0.13257123287671232</v>
          </cell>
        </row>
        <row r="2748">
          <cell r="I2748">
            <v>3453</v>
          </cell>
          <cell r="J2748">
            <v>0.13257287671232876</v>
          </cell>
        </row>
        <row r="2749">
          <cell r="I2749">
            <v>3454</v>
          </cell>
          <cell r="J2749">
            <v>0.13257452054794519</v>
          </cell>
        </row>
        <row r="2750">
          <cell r="I2750">
            <v>3455</v>
          </cell>
          <cell r="J2750">
            <v>0.13257616438356165</v>
          </cell>
        </row>
        <row r="2751">
          <cell r="I2751">
            <v>3456</v>
          </cell>
          <cell r="J2751">
            <v>0.13257780821917808</v>
          </cell>
        </row>
        <row r="2752">
          <cell r="I2752">
            <v>3457</v>
          </cell>
          <cell r="J2752">
            <v>0.13257945205479452</v>
          </cell>
        </row>
        <row r="2753">
          <cell r="I2753">
            <v>3458</v>
          </cell>
          <cell r="J2753">
            <v>0.13258109589041095</v>
          </cell>
        </row>
        <row r="2754">
          <cell r="I2754">
            <v>3459</v>
          </cell>
          <cell r="J2754">
            <v>0.13258273972602738</v>
          </cell>
        </row>
        <row r="2755">
          <cell r="I2755">
            <v>3460</v>
          </cell>
          <cell r="J2755">
            <v>0.13258438356164384</v>
          </cell>
        </row>
        <row r="2756">
          <cell r="I2756">
            <v>3461</v>
          </cell>
          <cell r="J2756">
            <v>0.13258602739726028</v>
          </cell>
        </row>
        <row r="2757">
          <cell r="I2757">
            <v>3462</v>
          </cell>
          <cell r="J2757">
            <v>0.13258767123287671</v>
          </cell>
        </row>
        <row r="2758">
          <cell r="I2758">
            <v>3463</v>
          </cell>
          <cell r="J2758">
            <v>0.13258931506849314</v>
          </cell>
        </row>
        <row r="2759">
          <cell r="I2759">
            <v>3464</v>
          </cell>
          <cell r="J2759">
            <v>0.13259095890410957</v>
          </cell>
        </row>
        <row r="2760">
          <cell r="I2760">
            <v>3465</v>
          </cell>
          <cell r="J2760">
            <v>0.13259260273972603</v>
          </cell>
        </row>
        <row r="2761">
          <cell r="I2761">
            <v>3466</v>
          </cell>
          <cell r="J2761">
            <v>0.13259424657534247</v>
          </cell>
        </row>
        <row r="2762">
          <cell r="I2762">
            <v>3467</v>
          </cell>
          <cell r="J2762">
            <v>0.1325958904109589</v>
          </cell>
        </row>
        <row r="2763">
          <cell r="I2763">
            <v>3468</v>
          </cell>
          <cell r="J2763">
            <v>0.13259753424657533</v>
          </cell>
        </row>
        <row r="2764">
          <cell r="I2764">
            <v>3469</v>
          </cell>
          <cell r="J2764">
            <v>0.13259917808219177</v>
          </cell>
        </row>
        <row r="2765">
          <cell r="I2765">
            <v>3470</v>
          </cell>
          <cell r="J2765">
            <v>0.13260082191780823</v>
          </cell>
        </row>
        <row r="2766">
          <cell r="I2766">
            <v>3471</v>
          </cell>
          <cell r="J2766">
            <v>0.13260246575342466</v>
          </cell>
        </row>
        <row r="2767">
          <cell r="I2767">
            <v>3472</v>
          </cell>
          <cell r="J2767">
            <v>0.13260410958904109</v>
          </cell>
        </row>
        <row r="2768">
          <cell r="I2768">
            <v>3473</v>
          </cell>
          <cell r="J2768">
            <v>0.13260575342465752</v>
          </cell>
        </row>
        <row r="2769">
          <cell r="I2769">
            <v>3474</v>
          </cell>
          <cell r="J2769">
            <v>0.13260739726027396</v>
          </cell>
        </row>
        <row r="2770">
          <cell r="I2770">
            <v>3475</v>
          </cell>
          <cell r="J2770">
            <v>0.13260904109589042</v>
          </cell>
        </row>
        <row r="2771">
          <cell r="I2771">
            <v>3476</v>
          </cell>
          <cell r="J2771">
            <v>0.13261068493150685</v>
          </cell>
        </row>
        <row r="2772">
          <cell r="I2772">
            <v>3477</v>
          </cell>
          <cell r="J2772">
            <v>0.13261232876712328</v>
          </cell>
        </row>
        <row r="2773">
          <cell r="I2773">
            <v>3478</v>
          </cell>
          <cell r="J2773">
            <v>0.13261397260273972</v>
          </cell>
        </row>
        <row r="2774">
          <cell r="I2774">
            <v>3479</v>
          </cell>
          <cell r="J2774">
            <v>0.13261561643835615</v>
          </cell>
        </row>
        <row r="2775">
          <cell r="I2775">
            <v>3480</v>
          </cell>
          <cell r="J2775">
            <v>0.13261726027397261</v>
          </cell>
        </row>
        <row r="2776">
          <cell r="I2776">
            <v>3481</v>
          </cell>
          <cell r="J2776">
            <v>0.13261890410958904</v>
          </cell>
        </row>
        <row r="2777">
          <cell r="I2777">
            <v>3482</v>
          </cell>
          <cell r="J2777">
            <v>0.13262054794520547</v>
          </cell>
        </row>
        <row r="2778">
          <cell r="I2778">
            <v>3483</v>
          </cell>
          <cell r="J2778">
            <v>0.13262219178082191</v>
          </cell>
        </row>
        <row r="2779">
          <cell r="I2779">
            <v>3484</v>
          </cell>
          <cell r="J2779">
            <v>0.13262383561643834</v>
          </cell>
        </row>
        <row r="2780">
          <cell r="I2780">
            <v>3485</v>
          </cell>
          <cell r="J2780">
            <v>0.1326254794520548</v>
          </cell>
        </row>
        <row r="2781">
          <cell r="I2781">
            <v>3486</v>
          </cell>
          <cell r="J2781">
            <v>0.13262712328767123</v>
          </cell>
        </row>
        <row r="2782">
          <cell r="I2782">
            <v>3487</v>
          </cell>
          <cell r="J2782">
            <v>0.13262876712328767</v>
          </cell>
        </row>
        <row r="2783">
          <cell r="I2783">
            <v>3488</v>
          </cell>
          <cell r="J2783">
            <v>0.1326304109589041</v>
          </cell>
        </row>
        <row r="2784">
          <cell r="I2784">
            <v>3489</v>
          </cell>
          <cell r="J2784">
            <v>0.13263205479452053</v>
          </cell>
        </row>
        <row r="2785">
          <cell r="I2785">
            <v>3490</v>
          </cell>
          <cell r="J2785">
            <v>0.13263369863013699</v>
          </cell>
        </row>
        <row r="2786">
          <cell r="I2786">
            <v>3491</v>
          </cell>
          <cell r="J2786">
            <v>0.13263534246575343</v>
          </cell>
        </row>
        <row r="2787">
          <cell r="I2787">
            <v>3492</v>
          </cell>
          <cell r="J2787">
            <v>0.13263698630136986</v>
          </cell>
        </row>
        <row r="2788">
          <cell r="I2788">
            <v>3493</v>
          </cell>
          <cell r="J2788">
            <v>0.13263863013698629</v>
          </cell>
        </row>
        <row r="2789">
          <cell r="I2789">
            <v>3494</v>
          </cell>
          <cell r="J2789">
            <v>0.13264027397260272</v>
          </cell>
        </row>
        <row r="2790">
          <cell r="I2790">
            <v>3495</v>
          </cell>
          <cell r="J2790">
            <v>0.13264191780821918</v>
          </cell>
        </row>
        <row r="2791">
          <cell r="I2791">
            <v>3496</v>
          </cell>
          <cell r="J2791">
            <v>0.13264356164383562</v>
          </cell>
        </row>
        <row r="2792">
          <cell r="I2792">
            <v>3497</v>
          </cell>
          <cell r="J2792">
            <v>0.13264520547945205</v>
          </cell>
        </row>
        <row r="2793">
          <cell r="I2793">
            <v>3498</v>
          </cell>
          <cell r="J2793">
            <v>0.13264684931506848</v>
          </cell>
        </row>
        <row r="2794">
          <cell r="I2794">
            <v>3499</v>
          </cell>
          <cell r="J2794">
            <v>0.13264849315068492</v>
          </cell>
        </row>
        <row r="2795">
          <cell r="I2795">
            <v>3500</v>
          </cell>
          <cell r="J2795">
            <v>0.13265013698630138</v>
          </cell>
        </row>
        <row r="2796">
          <cell r="I2796">
            <v>3501</v>
          </cell>
          <cell r="J2796">
            <v>0.13265178082191781</v>
          </cell>
        </row>
        <row r="2797">
          <cell r="I2797">
            <v>3502</v>
          </cell>
          <cell r="J2797">
            <v>0.13265342465753424</v>
          </cell>
        </row>
        <row r="2798">
          <cell r="I2798">
            <v>3503</v>
          </cell>
          <cell r="J2798">
            <v>0.13265506849315067</v>
          </cell>
        </row>
        <row r="2799">
          <cell r="I2799">
            <v>3504</v>
          </cell>
          <cell r="J2799">
            <v>0.13265671232876711</v>
          </cell>
        </row>
        <row r="2800">
          <cell r="I2800">
            <v>3505</v>
          </cell>
          <cell r="J2800">
            <v>0.13265835616438357</v>
          </cell>
        </row>
        <row r="2801">
          <cell r="I2801">
            <v>3506</v>
          </cell>
          <cell r="J2801">
            <v>0.13266</v>
          </cell>
        </row>
        <row r="2802">
          <cell r="I2802">
            <v>3507</v>
          </cell>
          <cell r="J2802">
            <v>0.13266164383561643</v>
          </cell>
        </row>
        <row r="2803">
          <cell r="I2803">
            <v>3508</v>
          </cell>
          <cell r="J2803">
            <v>0.13266328767123287</v>
          </cell>
        </row>
        <row r="2804">
          <cell r="I2804">
            <v>3509</v>
          </cell>
          <cell r="J2804">
            <v>0.1326649315068493</v>
          </cell>
        </row>
        <row r="2805">
          <cell r="I2805">
            <v>3510</v>
          </cell>
          <cell r="J2805">
            <v>0.13266657534246576</v>
          </cell>
        </row>
        <row r="2806">
          <cell r="I2806">
            <v>3511</v>
          </cell>
          <cell r="J2806">
            <v>0.13266821917808219</v>
          </cell>
        </row>
        <row r="2807">
          <cell r="I2807">
            <v>3512</v>
          </cell>
          <cell r="J2807">
            <v>0.13266986301369862</v>
          </cell>
        </row>
        <row r="2808">
          <cell r="I2808">
            <v>3513</v>
          </cell>
          <cell r="J2808">
            <v>0.13267150684931506</v>
          </cell>
        </row>
        <row r="2809">
          <cell r="I2809">
            <v>3514</v>
          </cell>
          <cell r="J2809">
            <v>0.13267315068493149</v>
          </cell>
        </row>
        <row r="2810">
          <cell r="I2810">
            <v>3515</v>
          </cell>
          <cell r="J2810">
            <v>0.13267479452054795</v>
          </cell>
        </row>
        <row r="2811">
          <cell r="I2811">
            <v>3516</v>
          </cell>
          <cell r="J2811">
            <v>0.13267643835616438</v>
          </cell>
        </row>
        <row r="2812">
          <cell r="I2812">
            <v>3517</v>
          </cell>
          <cell r="J2812">
            <v>0.13267808219178082</v>
          </cell>
        </row>
        <row r="2813">
          <cell r="I2813">
            <v>3518</v>
          </cell>
          <cell r="J2813">
            <v>0.13267972602739725</v>
          </cell>
        </row>
        <row r="2814">
          <cell r="I2814">
            <v>3519</v>
          </cell>
          <cell r="J2814">
            <v>0.13268136986301368</v>
          </cell>
        </row>
        <row r="2815">
          <cell r="I2815">
            <v>3520</v>
          </cell>
          <cell r="J2815">
            <v>0.13268301369863014</v>
          </cell>
        </row>
        <row r="2816">
          <cell r="I2816">
            <v>3521</v>
          </cell>
          <cell r="J2816">
            <v>0.13268465753424658</v>
          </cell>
        </row>
        <row r="2817">
          <cell r="I2817">
            <v>3522</v>
          </cell>
          <cell r="J2817">
            <v>0.13268630136986301</v>
          </cell>
        </row>
        <row r="2818">
          <cell r="I2818">
            <v>3523</v>
          </cell>
          <cell r="J2818">
            <v>0.13268794520547944</v>
          </cell>
        </row>
        <row r="2819">
          <cell r="I2819">
            <v>3524</v>
          </cell>
          <cell r="J2819">
            <v>0.13268958904109587</v>
          </cell>
        </row>
        <row r="2820">
          <cell r="I2820">
            <v>3525</v>
          </cell>
          <cell r="J2820">
            <v>0.13269123287671233</v>
          </cell>
        </row>
        <row r="2821">
          <cell r="I2821">
            <v>3526</v>
          </cell>
          <cell r="J2821">
            <v>0.13269287671232877</v>
          </cell>
        </row>
        <row r="2822">
          <cell r="I2822">
            <v>3527</v>
          </cell>
          <cell r="J2822">
            <v>0.1326945205479452</v>
          </cell>
        </row>
        <row r="2823">
          <cell r="I2823">
            <v>3528</v>
          </cell>
          <cell r="J2823">
            <v>0.13269616438356163</v>
          </cell>
        </row>
        <row r="2824">
          <cell r="I2824">
            <v>3529</v>
          </cell>
          <cell r="J2824">
            <v>0.13269780821917807</v>
          </cell>
        </row>
        <row r="2825">
          <cell r="I2825">
            <v>3530</v>
          </cell>
          <cell r="J2825">
            <v>0.13269945205479453</v>
          </cell>
        </row>
        <row r="2826">
          <cell r="I2826">
            <v>3531</v>
          </cell>
          <cell r="J2826">
            <v>0.13270109589041096</v>
          </cell>
        </row>
        <row r="2827">
          <cell r="I2827">
            <v>3532</v>
          </cell>
          <cell r="J2827">
            <v>0.13270273972602739</v>
          </cell>
        </row>
        <row r="2828">
          <cell r="I2828">
            <v>3533</v>
          </cell>
          <cell r="J2828">
            <v>0.13270438356164382</v>
          </cell>
        </row>
        <row r="2829">
          <cell r="I2829">
            <v>3534</v>
          </cell>
          <cell r="J2829">
            <v>0.13270602739726026</v>
          </cell>
        </row>
        <row r="2830">
          <cell r="I2830">
            <v>3535</v>
          </cell>
          <cell r="J2830">
            <v>0.13270767123287672</v>
          </cell>
        </row>
        <row r="2831">
          <cell r="I2831">
            <v>3536</v>
          </cell>
          <cell r="J2831">
            <v>0.13270931506849315</v>
          </cell>
        </row>
        <row r="2832">
          <cell r="I2832">
            <v>3537</v>
          </cell>
          <cell r="J2832">
            <v>0.13271095890410958</v>
          </cell>
        </row>
        <row r="2833">
          <cell r="I2833">
            <v>3538</v>
          </cell>
          <cell r="J2833">
            <v>0.13271260273972602</v>
          </cell>
        </row>
        <row r="2834">
          <cell r="I2834">
            <v>3539</v>
          </cell>
          <cell r="J2834">
            <v>0.13271424657534245</v>
          </cell>
        </row>
        <row r="2835">
          <cell r="I2835">
            <v>3540</v>
          </cell>
          <cell r="J2835">
            <v>0.13271589041095891</v>
          </cell>
        </row>
        <row r="2836">
          <cell r="I2836">
            <v>3541</v>
          </cell>
          <cell r="J2836">
            <v>0.13271753424657534</v>
          </cell>
        </row>
        <row r="2837">
          <cell r="I2837">
            <v>3542</v>
          </cell>
          <cell r="J2837">
            <v>0.13271917808219177</v>
          </cell>
        </row>
        <row r="2838">
          <cell r="I2838">
            <v>3543</v>
          </cell>
          <cell r="J2838">
            <v>0.13272082191780821</v>
          </cell>
        </row>
        <row r="2839">
          <cell r="I2839">
            <v>3544</v>
          </cell>
          <cell r="J2839">
            <v>0.13272246575342464</v>
          </cell>
        </row>
        <row r="2840">
          <cell r="I2840">
            <v>3545</v>
          </cell>
          <cell r="J2840">
            <v>0.1327241095890411</v>
          </cell>
        </row>
        <row r="2841">
          <cell r="I2841">
            <v>3546</v>
          </cell>
          <cell r="J2841">
            <v>0.13272575342465753</v>
          </cell>
        </row>
        <row r="2842">
          <cell r="I2842">
            <v>3547</v>
          </cell>
          <cell r="J2842">
            <v>0.13272739726027397</v>
          </cell>
        </row>
        <row r="2843">
          <cell r="I2843">
            <v>3548</v>
          </cell>
          <cell r="J2843">
            <v>0.1327290410958904</v>
          </cell>
        </row>
        <row r="2844">
          <cell r="I2844">
            <v>3549</v>
          </cell>
          <cell r="J2844">
            <v>0.13273068493150683</v>
          </cell>
        </row>
        <row r="2845">
          <cell r="I2845">
            <v>3550</v>
          </cell>
          <cell r="J2845">
            <v>0.13273232876712329</v>
          </cell>
        </row>
        <row r="2846">
          <cell r="I2846">
            <v>3551</v>
          </cell>
          <cell r="J2846">
            <v>0.13273397260273972</v>
          </cell>
        </row>
        <row r="2847">
          <cell r="I2847">
            <v>3552</v>
          </cell>
          <cell r="J2847">
            <v>0.13273561643835616</v>
          </cell>
        </row>
        <row r="2848">
          <cell r="I2848">
            <v>3553</v>
          </cell>
          <cell r="J2848">
            <v>0.13273726027397259</v>
          </cell>
        </row>
        <row r="2849">
          <cell r="I2849">
            <v>3554</v>
          </cell>
          <cell r="J2849">
            <v>0.13273890410958902</v>
          </cell>
        </row>
        <row r="2850">
          <cell r="I2850">
            <v>3555</v>
          </cell>
          <cell r="J2850">
            <v>0.13274054794520548</v>
          </cell>
        </row>
        <row r="2851">
          <cell r="I2851">
            <v>3556</v>
          </cell>
          <cell r="J2851">
            <v>0.13274219178082192</v>
          </cell>
        </row>
        <row r="2852">
          <cell r="I2852">
            <v>3557</v>
          </cell>
          <cell r="J2852">
            <v>0.13274383561643835</v>
          </cell>
        </row>
        <row r="2853">
          <cell r="I2853">
            <v>3558</v>
          </cell>
          <cell r="J2853">
            <v>0.13274547945205478</v>
          </cell>
        </row>
        <row r="2854">
          <cell r="I2854">
            <v>3559</v>
          </cell>
          <cell r="J2854">
            <v>0.13274712328767121</v>
          </cell>
        </row>
        <row r="2855">
          <cell r="I2855">
            <v>3560</v>
          </cell>
          <cell r="J2855">
            <v>0.13274876712328768</v>
          </cell>
        </row>
        <row r="2856">
          <cell r="I2856">
            <v>3561</v>
          </cell>
          <cell r="J2856">
            <v>0.13275041095890411</v>
          </cell>
        </row>
        <row r="2857">
          <cell r="I2857">
            <v>3562</v>
          </cell>
          <cell r="J2857">
            <v>0.13275205479452054</v>
          </cell>
        </row>
        <row r="2858">
          <cell r="I2858">
            <v>3563</v>
          </cell>
          <cell r="J2858">
            <v>0.13275369863013697</v>
          </cell>
        </row>
        <row r="2859">
          <cell r="I2859">
            <v>3564</v>
          </cell>
          <cell r="J2859">
            <v>0.13275534246575341</v>
          </cell>
        </row>
        <row r="2860">
          <cell r="I2860">
            <v>3565</v>
          </cell>
          <cell r="J2860">
            <v>0.13275698630136987</v>
          </cell>
        </row>
        <row r="2861">
          <cell r="I2861">
            <v>3566</v>
          </cell>
          <cell r="J2861">
            <v>0.1327586301369863</v>
          </cell>
        </row>
        <row r="2862">
          <cell r="I2862">
            <v>3567</v>
          </cell>
          <cell r="J2862">
            <v>0.13276027397260273</v>
          </cell>
        </row>
        <row r="2863">
          <cell r="I2863">
            <v>3568</v>
          </cell>
          <cell r="J2863">
            <v>0.13276191780821917</v>
          </cell>
        </row>
        <row r="2864">
          <cell r="I2864">
            <v>3569</v>
          </cell>
          <cell r="J2864">
            <v>0.1327635616438356</v>
          </cell>
        </row>
        <row r="2865">
          <cell r="I2865">
            <v>3570</v>
          </cell>
          <cell r="J2865">
            <v>0.13276520547945206</v>
          </cell>
        </row>
        <row r="2866">
          <cell r="I2866">
            <v>3571</v>
          </cell>
          <cell r="J2866">
            <v>0.13276684931506849</v>
          </cell>
        </row>
        <row r="2867">
          <cell r="I2867">
            <v>3572</v>
          </cell>
          <cell r="J2867">
            <v>0.13276849315068492</v>
          </cell>
        </row>
        <row r="2868">
          <cell r="I2868">
            <v>3573</v>
          </cell>
          <cell r="J2868">
            <v>0.13277013698630136</v>
          </cell>
        </row>
        <row r="2869">
          <cell r="I2869">
            <v>3574</v>
          </cell>
          <cell r="J2869">
            <v>0.13277178082191779</v>
          </cell>
        </row>
        <row r="2870">
          <cell r="I2870">
            <v>3575</v>
          </cell>
          <cell r="J2870">
            <v>0.13277342465753425</v>
          </cell>
        </row>
        <row r="2871">
          <cell r="I2871">
            <v>3576</v>
          </cell>
          <cell r="J2871">
            <v>0.13277506849315068</v>
          </cell>
        </row>
        <row r="2872">
          <cell r="I2872">
            <v>3577</v>
          </cell>
          <cell r="J2872">
            <v>0.13277671232876712</v>
          </cell>
        </row>
        <row r="2873">
          <cell r="I2873">
            <v>3578</v>
          </cell>
          <cell r="J2873">
            <v>0.13277835616438355</v>
          </cell>
        </row>
        <row r="2874">
          <cell r="I2874">
            <v>3579</v>
          </cell>
          <cell r="J2874">
            <v>0.13277999999999998</v>
          </cell>
        </row>
        <row r="2875">
          <cell r="I2875">
            <v>3580</v>
          </cell>
          <cell r="J2875">
            <v>0.13278164383561644</v>
          </cell>
        </row>
        <row r="2876">
          <cell r="I2876">
            <v>3581</v>
          </cell>
          <cell r="J2876">
            <v>0.13278328767123287</v>
          </cell>
        </row>
        <row r="2877">
          <cell r="I2877">
            <v>3582</v>
          </cell>
          <cell r="J2877">
            <v>0.13278493150684931</v>
          </cell>
        </row>
        <row r="2878">
          <cell r="I2878">
            <v>3583</v>
          </cell>
          <cell r="J2878">
            <v>0.13278657534246574</v>
          </cell>
        </row>
        <row r="2879">
          <cell r="I2879">
            <v>3584</v>
          </cell>
          <cell r="J2879">
            <v>0.13278821917808217</v>
          </cell>
        </row>
        <row r="2880">
          <cell r="I2880">
            <v>3585</v>
          </cell>
          <cell r="J2880">
            <v>0.13278986301369863</v>
          </cell>
        </row>
        <row r="2881">
          <cell r="I2881">
            <v>3586</v>
          </cell>
          <cell r="J2881">
            <v>0.13279150684931507</v>
          </cell>
        </row>
        <row r="2882">
          <cell r="I2882">
            <v>3587</v>
          </cell>
          <cell r="J2882">
            <v>0.1327931506849315</v>
          </cell>
        </row>
        <row r="2883">
          <cell r="I2883">
            <v>3588</v>
          </cell>
          <cell r="J2883">
            <v>0.13279479452054793</v>
          </cell>
        </row>
        <row r="2884">
          <cell r="I2884">
            <v>3589</v>
          </cell>
          <cell r="J2884">
            <v>0.13279643835616436</v>
          </cell>
        </row>
        <row r="2885">
          <cell r="I2885">
            <v>3590</v>
          </cell>
          <cell r="J2885">
            <v>0.13279808219178083</v>
          </cell>
        </row>
        <row r="2886">
          <cell r="I2886">
            <v>3591</v>
          </cell>
          <cell r="J2886">
            <v>0.13279972602739726</v>
          </cell>
        </row>
        <row r="2887">
          <cell r="I2887">
            <v>3592</v>
          </cell>
          <cell r="J2887">
            <v>0.13280136986301369</v>
          </cell>
        </row>
        <row r="2888">
          <cell r="I2888">
            <v>3593</v>
          </cell>
          <cell r="J2888">
            <v>0.13280301369863012</v>
          </cell>
        </row>
        <row r="2889">
          <cell r="I2889">
            <v>3594</v>
          </cell>
          <cell r="J2889">
            <v>0.13280465753424656</v>
          </cell>
        </row>
        <row r="2890">
          <cell r="I2890">
            <v>3595</v>
          </cell>
          <cell r="J2890">
            <v>0.13280630136986302</v>
          </cell>
        </row>
        <row r="2891">
          <cell r="I2891">
            <v>3596</v>
          </cell>
          <cell r="J2891">
            <v>0.13280794520547945</v>
          </cell>
        </row>
        <row r="2892">
          <cell r="I2892">
            <v>3597</v>
          </cell>
          <cell r="J2892">
            <v>0.13280958904109588</v>
          </cell>
        </row>
        <row r="2893">
          <cell r="I2893">
            <v>3598</v>
          </cell>
          <cell r="J2893">
            <v>0.13281123287671232</v>
          </cell>
        </row>
        <row r="2894">
          <cell r="I2894">
            <v>3599</v>
          </cell>
          <cell r="J2894">
            <v>0.13281287671232875</v>
          </cell>
        </row>
        <row r="2895">
          <cell r="I2895">
            <v>3600</v>
          </cell>
          <cell r="J2895">
            <v>0.13281452054794521</v>
          </cell>
        </row>
        <row r="2896">
          <cell r="I2896">
            <v>3601</v>
          </cell>
          <cell r="J2896">
            <v>0.13281616438356164</v>
          </cell>
        </row>
        <row r="2897">
          <cell r="I2897">
            <v>3602</v>
          </cell>
          <cell r="J2897">
            <v>0.13281780821917807</v>
          </cell>
        </row>
        <row r="2898">
          <cell r="I2898">
            <v>3603</v>
          </cell>
          <cell r="J2898">
            <v>0.13281945205479451</v>
          </cell>
        </row>
        <row r="2899">
          <cell r="I2899">
            <v>3604</v>
          </cell>
          <cell r="J2899">
            <v>0.13282109589041094</v>
          </cell>
        </row>
        <row r="2900">
          <cell r="I2900">
            <v>3605</v>
          </cell>
          <cell r="J2900">
            <v>0.1328227397260274</v>
          </cell>
        </row>
        <row r="2901">
          <cell r="I2901">
            <v>3606</v>
          </cell>
          <cell r="J2901">
            <v>0.13282438356164383</v>
          </cell>
        </row>
        <row r="2902">
          <cell r="I2902">
            <v>3607</v>
          </cell>
          <cell r="J2902">
            <v>0.13282602739726027</v>
          </cell>
        </row>
        <row r="2903">
          <cell r="I2903">
            <v>3608</v>
          </cell>
          <cell r="J2903">
            <v>0.1328276712328767</v>
          </cell>
        </row>
        <row r="2904">
          <cell r="I2904">
            <v>3609</v>
          </cell>
          <cell r="J2904">
            <v>0.13282931506849313</v>
          </cell>
        </row>
        <row r="2905">
          <cell r="I2905">
            <v>3610</v>
          </cell>
          <cell r="J2905">
            <v>0.13283095890410959</v>
          </cell>
        </row>
        <row r="2906">
          <cell r="I2906">
            <v>3611</v>
          </cell>
          <cell r="J2906">
            <v>0.13283260273972602</v>
          </cell>
        </row>
        <row r="2907">
          <cell r="I2907">
            <v>3612</v>
          </cell>
          <cell r="J2907">
            <v>0.13283424657534246</v>
          </cell>
        </row>
        <row r="2908">
          <cell r="I2908">
            <v>3613</v>
          </cell>
          <cell r="J2908">
            <v>0.13283589041095889</v>
          </cell>
        </row>
        <row r="2909">
          <cell r="I2909">
            <v>3614</v>
          </cell>
          <cell r="J2909">
            <v>0.13283753424657532</v>
          </cell>
        </row>
        <row r="2910">
          <cell r="I2910">
            <v>3615</v>
          </cell>
          <cell r="J2910">
            <v>0.13283917808219178</v>
          </cell>
        </row>
        <row r="2911">
          <cell r="I2911">
            <v>3616</v>
          </cell>
          <cell r="J2911">
            <v>0.13284082191780822</v>
          </cell>
        </row>
        <row r="2912">
          <cell r="I2912">
            <v>3617</v>
          </cell>
          <cell r="J2912">
            <v>0.13284246575342465</v>
          </cell>
        </row>
        <row r="2913">
          <cell r="I2913">
            <v>3618</v>
          </cell>
          <cell r="J2913">
            <v>0.13284410958904108</v>
          </cell>
        </row>
        <row r="2914">
          <cell r="I2914">
            <v>3619</v>
          </cell>
          <cell r="J2914">
            <v>0.13284575342465751</v>
          </cell>
        </row>
        <row r="2915">
          <cell r="I2915">
            <v>3620</v>
          </cell>
          <cell r="J2915">
            <v>0.13284739726027397</v>
          </cell>
        </row>
        <row r="2916">
          <cell r="I2916">
            <v>3621</v>
          </cell>
          <cell r="J2916">
            <v>0.13284904109589041</v>
          </cell>
        </row>
        <row r="2917">
          <cell r="I2917">
            <v>3622</v>
          </cell>
          <cell r="J2917">
            <v>0.13285068493150684</v>
          </cell>
        </row>
        <row r="2918">
          <cell r="I2918">
            <v>3623</v>
          </cell>
          <cell r="J2918">
            <v>0.13285232876712327</v>
          </cell>
        </row>
        <row r="2919">
          <cell r="I2919">
            <v>3624</v>
          </cell>
          <cell r="J2919">
            <v>0.13285397260273971</v>
          </cell>
        </row>
        <row r="2920">
          <cell r="I2920">
            <v>3625</v>
          </cell>
          <cell r="J2920">
            <v>0.13285561643835617</v>
          </cell>
        </row>
        <row r="2921">
          <cell r="I2921">
            <v>3626</v>
          </cell>
          <cell r="J2921">
            <v>0.1328572602739726</v>
          </cell>
        </row>
        <row r="2922">
          <cell r="I2922">
            <v>3627</v>
          </cell>
          <cell r="J2922">
            <v>0.13285890410958903</v>
          </cell>
        </row>
        <row r="2923">
          <cell r="I2923">
            <v>3628</v>
          </cell>
          <cell r="J2923">
            <v>0.13286054794520546</v>
          </cell>
        </row>
        <row r="2924">
          <cell r="I2924">
            <v>3629</v>
          </cell>
          <cell r="J2924">
            <v>0.1328621917808219</v>
          </cell>
        </row>
        <row r="2925">
          <cell r="I2925">
            <v>3630</v>
          </cell>
          <cell r="J2925">
            <v>0.13286383561643836</v>
          </cell>
        </row>
        <row r="2926">
          <cell r="I2926">
            <v>3631</v>
          </cell>
          <cell r="J2926">
            <v>0.13286547945205479</v>
          </cell>
        </row>
        <row r="2927">
          <cell r="I2927">
            <v>3632</v>
          </cell>
          <cell r="J2927">
            <v>0.13286712328767122</v>
          </cell>
        </row>
        <row r="2928">
          <cell r="I2928">
            <v>3633</v>
          </cell>
          <cell r="J2928">
            <v>0.13286876712328766</v>
          </cell>
        </row>
        <row r="2929">
          <cell r="I2929">
            <v>3634</v>
          </cell>
          <cell r="J2929">
            <v>0.13287041095890409</v>
          </cell>
        </row>
        <row r="2930">
          <cell r="I2930">
            <v>3635</v>
          </cell>
          <cell r="J2930">
            <v>0.13287205479452055</v>
          </cell>
        </row>
        <row r="2931">
          <cell r="I2931">
            <v>3636</v>
          </cell>
          <cell r="J2931">
            <v>0.13287369863013698</v>
          </cell>
        </row>
        <row r="2932">
          <cell r="I2932">
            <v>3637</v>
          </cell>
          <cell r="J2932">
            <v>0.13287534246575342</v>
          </cell>
        </row>
        <row r="2933">
          <cell r="I2933">
            <v>3638</v>
          </cell>
          <cell r="J2933">
            <v>0.13287698630136985</v>
          </cell>
        </row>
        <row r="2934">
          <cell r="I2934">
            <v>3639</v>
          </cell>
          <cell r="J2934">
            <v>0.13287863013698628</v>
          </cell>
        </row>
        <row r="2935">
          <cell r="I2935">
            <v>3640</v>
          </cell>
          <cell r="J2935">
            <v>0.13288027397260274</v>
          </cell>
        </row>
        <row r="2936">
          <cell r="I2936">
            <v>3641</v>
          </cell>
          <cell r="J2936">
            <v>0.13288191780821917</v>
          </cell>
        </row>
        <row r="2937">
          <cell r="I2937">
            <v>3642</v>
          </cell>
          <cell r="J2937">
            <v>0.13288356164383561</v>
          </cell>
        </row>
        <row r="2938">
          <cell r="I2938">
            <v>3643</v>
          </cell>
          <cell r="J2938">
            <v>0.13288520547945204</v>
          </cell>
        </row>
        <row r="2939">
          <cell r="I2939">
            <v>3644</v>
          </cell>
          <cell r="J2939">
            <v>0.13288684931506847</v>
          </cell>
        </row>
        <row r="2940">
          <cell r="I2940">
            <v>3645</v>
          </cell>
          <cell r="J2940">
            <v>0.13288849315068493</v>
          </cell>
        </row>
        <row r="2941">
          <cell r="I2941">
            <v>3646</v>
          </cell>
          <cell r="J2941">
            <v>0.13289013698630137</v>
          </cell>
        </row>
        <row r="2942">
          <cell r="I2942">
            <v>3647</v>
          </cell>
          <cell r="J2942">
            <v>0.1328917808219178</v>
          </cell>
        </row>
        <row r="2943">
          <cell r="I2943">
            <v>3648</v>
          </cell>
          <cell r="J2943">
            <v>0.13289342465753423</v>
          </cell>
        </row>
        <row r="2944">
          <cell r="I2944">
            <v>3649</v>
          </cell>
          <cell r="J2944">
            <v>0.13289506849315066</v>
          </cell>
        </row>
        <row r="2945">
          <cell r="I2945">
            <v>3650</v>
          </cell>
          <cell r="J2945">
            <v>0.13289671232876712</v>
          </cell>
        </row>
        <row r="2946">
          <cell r="I2946">
            <v>3651</v>
          </cell>
          <cell r="J2946">
            <v>0.13289835616438356</v>
          </cell>
        </row>
        <row r="2947">
          <cell r="I2947">
            <v>3652</v>
          </cell>
          <cell r="J2947">
            <v>0.13289999999999999</v>
          </cell>
        </row>
        <row r="2948">
          <cell r="I2948">
            <v>3653</v>
          </cell>
          <cell r="J2948">
            <v>0.1329026805251641</v>
          </cell>
        </row>
        <row r="2949">
          <cell r="I2949">
            <v>3654</v>
          </cell>
          <cell r="J2949">
            <v>0.13290536105032821</v>
          </cell>
        </row>
        <row r="2950">
          <cell r="I2950">
            <v>3655</v>
          </cell>
          <cell r="J2950">
            <v>0.13290804157549233</v>
          </cell>
        </row>
        <row r="2951">
          <cell r="I2951">
            <v>3656</v>
          </cell>
          <cell r="J2951">
            <v>0.13291072210065644</v>
          </cell>
        </row>
        <row r="2952">
          <cell r="I2952">
            <v>3657</v>
          </cell>
          <cell r="J2952">
            <v>0.13291340262582055</v>
          </cell>
        </row>
        <row r="2953">
          <cell r="I2953">
            <v>3658</v>
          </cell>
          <cell r="J2953">
            <v>0.13291608315098466</v>
          </cell>
        </row>
        <row r="2954">
          <cell r="I2954">
            <v>3659</v>
          </cell>
          <cell r="J2954">
            <v>0.1329187636761488</v>
          </cell>
        </row>
        <row r="2955">
          <cell r="I2955">
            <v>3660</v>
          </cell>
          <cell r="J2955">
            <v>0.13292144420131291</v>
          </cell>
        </row>
        <row r="2956">
          <cell r="I2956">
            <v>3661</v>
          </cell>
          <cell r="J2956">
            <v>0.13292412472647702</v>
          </cell>
        </row>
        <row r="2957">
          <cell r="I2957">
            <v>3662</v>
          </cell>
          <cell r="J2957">
            <v>0.13292680525164113</v>
          </cell>
        </row>
        <row r="2958">
          <cell r="I2958">
            <v>3663</v>
          </cell>
          <cell r="J2958">
            <v>0.13292948577680525</v>
          </cell>
        </row>
        <row r="2959">
          <cell r="I2959">
            <v>3664</v>
          </cell>
          <cell r="J2959">
            <v>0.13293216630196936</v>
          </cell>
        </row>
        <row r="2960">
          <cell r="I2960">
            <v>3665</v>
          </cell>
          <cell r="J2960">
            <v>0.13293484682713347</v>
          </cell>
        </row>
        <row r="2961">
          <cell r="I2961">
            <v>3666</v>
          </cell>
          <cell r="J2961">
            <v>0.13293752735229758</v>
          </cell>
        </row>
        <row r="2962">
          <cell r="I2962">
            <v>3667</v>
          </cell>
          <cell r="J2962">
            <v>0.13294020787746169</v>
          </cell>
        </row>
        <row r="2963">
          <cell r="I2963">
            <v>3668</v>
          </cell>
          <cell r="J2963">
            <v>0.1329428884026258</v>
          </cell>
        </row>
        <row r="2964">
          <cell r="I2964">
            <v>3669</v>
          </cell>
          <cell r="J2964">
            <v>0.13294556892778991</v>
          </cell>
        </row>
        <row r="2965">
          <cell r="I2965">
            <v>3670</v>
          </cell>
          <cell r="J2965">
            <v>0.13294824945295403</v>
          </cell>
        </row>
        <row r="2966">
          <cell r="I2966">
            <v>3671</v>
          </cell>
          <cell r="J2966">
            <v>0.13295092997811817</v>
          </cell>
        </row>
        <row r="2967">
          <cell r="I2967">
            <v>3672</v>
          </cell>
          <cell r="J2967">
            <v>0.13295361050328228</v>
          </cell>
        </row>
        <row r="2968">
          <cell r="I2968">
            <v>3673</v>
          </cell>
          <cell r="J2968">
            <v>0.13295629102844639</v>
          </cell>
        </row>
        <row r="2969">
          <cell r="I2969">
            <v>3674</v>
          </cell>
          <cell r="J2969">
            <v>0.1329589715536105</v>
          </cell>
        </row>
        <row r="2970">
          <cell r="I2970">
            <v>3675</v>
          </cell>
          <cell r="J2970">
            <v>0.13296165207877461</v>
          </cell>
        </row>
        <row r="2971">
          <cell r="I2971">
            <v>3676</v>
          </cell>
          <cell r="J2971">
            <v>0.13296433260393872</v>
          </cell>
        </row>
        <row r="2972">
          <cell r="I2972">
            <v>3677</v>
          </cell>
          <cell r="J2972">
            <v>0.13296701312910283</v>
          </cell>
        </row>
        <row r="2973">
          <cell r="I2973">
            <v>3678</v>
          </cell>
          <cell r="J2973">
            <v>0.13296969365426695</v>
          </cell>
        </row>
        <row r="2974">
          <cell r="I2974">
            <v>3679</v>
          </cell>
          <cell r="J2974">
            <v>0.13297237417943106</v>
          </cell>
        </row>
        <row r="2975">
          <cell r="I2975">
            <v>3680</v>
          </cell>
          <cell r="J2975">
            <v>0.13297505470459517</v>
          </cell>
        </row>
        <row r="2976">
          <cell r="I2976">
            <v>3681</v>
          </cell>
          <cell r="J2976">
            <v>0.13297773522975928</v>
          </cell>
        </row>
        <row r="2977">
          <cell r="I2977">
            <v>3682</v>
          </cell>
          <cell r="J2977">
            <v>0.13298041575492339</v>
          </cell>
        </row>
        <row r="2978">
          <cell r="I2978">
            <v>3683</v>
          </cell>
          <cell r="J2978">
            <v>0.13298309628008753</v>
          </cell>
        </row>
        <row r="2979">
          <cell r="I2979">
            <v>3684</v>
          </cell>
          <cell r="J2979">
            <v>0.13298577680525164</v>
          </cell>
        </row>
        <row r="2980">
          <cell r="I2980">
            <v>3685</v>
          </cell>
          <cell r="J2980">
            <v>0.13298845733041575</v>
          </cell>
        </row>
        <row r="2981">
          <cell r="I2981">
            <v>3686</v>
          </cell>
          <cell r="J2981">
            <v>0.13299113785557987</v>
          </cell>
        </row>
        <row r="2982">
          <cell r="I2982">
            <v>3687</v>
          </cell>
          <cell r="J2982">
            <v>0.13299381838074398</v>
          </cell>
        </row>
        <row r="2983">
          <cell r="I2983">
            <v>3688</v>
          </cell>
          <cell r="J2983">
            <v>0.13299649890590809</v>
          </cell>
        </row>
        <row r="2984">
          <cell r="I2984">
            <v>3689</v>
          </cell>
          <cell r="J2984">
            <v>0.1329991794310722</v>
          </cell>
        </row>
        <row r="2985">
          <cell r="I2985">
            <v>3690</v>
          </cell>
          <cell r="J2985">
            <v>0.13300185995623631</v>
          </cell>
        </row>
        <row r="2986">
          <cell r="I2986">
            <v>3691</v>
          </cell>
          <cell r="J2986">
            <v>0.13300454048140042</v>
          </cell>
        </row>
        <row r="2987">
          <cell r="I2987">
            <v>3692</v>
          </cell>
          <cell r="J2987">
            <v>0.13300722100656454</v>
          </cell>
        </row>
        <row r="2988">
          <cell r="I2988">
            <v>3693</v>
          </cell>
          <cell r="J2988">
            <v>0.13300990153172865</v>
          </cell>
        </row>
        <row r="2989">
          <cell r="I2989">
            <v>3694</v>
          </cell>
          <cell r="J2989">
            <v>0.13301258205689276</v>
          </cell>
        </row>
        <row r="2990">
          <cell r="I2990">
            <v>3695</v>
          </cell>
          <cell r="J2990">
            <v>0.13301526258205687</v>
          </cell>
        </row>
        <row r="2991">
          <cell r="I2991">
            <v>3696</v>
          </cell>
          <cell r="J2991">
            <v>0.13301794310722101</v>
          </cell>
        </row>
        <row r="2992">
          <cell r="I2992">
            <v>3697</v>
          </cell>
          <cell r="J2992">
            <v>0.13302062363238512</v>
          </cell>
        </row>
        <row r="2993">
          <cell r="I2993">
            <v>3698</v>
          </cell>
          <cell r="J2993">
            <v>0.13302330415754923</v>
          </cell>
        </row>
        <row r="2994">
          <cell r="I2994">
            <v>3699</v>
          </cell>
          <cell r="J2994">
            <v>0.13302598468271334</v>
          </cell>
        </row>
        <row r="2995">
          <cell r="I2995">
            <v>3700</v>
          </cell>
          <cell r="J2995">
            <v>0.13302866520787746</v>
          </cell>
        </row>
        <row r="2996">
          <cell r="I2996">
            <v>3701</v>
          </cell>
          <cell r="J2996">
            <v>0.13303134573304157</v>
          </cell>
        </row>
        <row r="2997">
          <cell r="I2997">
            <v>3702</v>
          </cell>
          <cell r="J2997">
            <v>0.13303402625820568</v>
          </cell>
        </row>
        <row r="2998">
          <cell r="I2998">
            <v>3703</v>
          </cell>
          <cell r="J2998">
            <v>0.13303670678336979</v>
          </cell>
        </row>
        <row r="2999">
          <cell r="I2999">
            <v>3704</v>
          </cell>
          <cell r="J2999">
            <v>0.1330393873085339</v>
          </cell>
        </row>
        <row r="3000">
          <cell r="I3000">
            <v>3705</v>
          </cell>
          <cell r="J3000">
            <v>0.13304206783369801</v>
          </cell>
        </row>
        <row r="3001">
          <cell r="I3001">
            <v>3706</v>
          </cell>
          <cell r="J3001">
            <v>0.13304474835886212</v>
          </cell>
        </row>
        <row r="3002">
          <cell r="I3002">
            <v>3707</v>
          </cell>
          <cell r="J3002">
            <v>0.13304742888402624</v>
          </cell>
        </row>
        <row r="3003">
          <cell r="I3003">
            <v>3708</v>
          </cell>
          <cell r="J3003">
            <v>0.13305010940919038</v>
          </cell>
        </row>
        <row r="3004">
          <cell r="I3004">
            <v>3709</v>
          </cell>
          <cell r="J3004">
            <v>0.13305278993435449</v>
          </cell>
        </row>
        <row r="3005">
          <cell r="I3005">
            <v>3710</v>
          </cell>
          <cell r="J3005">
            <v>0.1330554704595186</v>
          </cell>
        </row>
        <row r="3006">
          <cell r="I3006">
            <v>3711</v>
          </cell>
          <cell r="J3006">
            <v>0.13305815098468271</v>
          </cell>
        </row>
        <row r="3007">
          <cell r="I3007">
            <v>3712</v>
          </cell>
          <cell r="J3007">
            <v>0.13306083150984682</v>
          </cell>
        </row>
        <row r="3008">
          <cell r="I3008">
            <v>3713</v>
          </cell>
          <cell r="J3008">
            <v>0.13306351203501093</v>
          </cell>
        </row>
        <row r="3009">
          <cell r="I3009">
            <v>3714</v>
          </cell>
          <cell r="J3009">
            <v>0.13306619256017505</v>
          </cell>
        </row>
        <row r="3010">
          <cell r="I3010">
            <v>3715</v>
          </cell>
          <cell r="J3010">
            <v>0.13306887308533916</v>
          </cell>
        </row>
        <row r="3011">
          <cell r="I3011">
            <v>3716</v>
          </cell>
          <cell r="J3011">
            <v>0.13307155361050327</v>
          </cell>
        </row>
        <row r="3012">
          <cell r="I3012">
            <v>3717</v>
          </cell>
          <cell r="J3012">
            <v>0.13307423413566738</v>
          </cell>
        </row>
        <row r="3013">
          <cell r="I3013">
            <v>3718</v>
          </cell>
          <cell r="J3013">
            <v>0.13307691466083149</v>
          </cell>
        </row>
        <row r="3014">
          <cell r="I3014">
            <v>3719</v>
          </cell>
          <cell r="J3014">
            <v>0.1330795951859956</v>
          </cell>
        </row>
        <row r="3015">
          <cell r="I3015">
            <v>3720</v>
          </cell>
          <cell r="J3015">
            <v>0.13308227571115974</v>
          </cell>
        </row>
        <row r="3016">
          <cell r="I3016">
            <v>3721</v>
          </cell>
          <cell r="J3016">
            <v>0.13308495623632385</v>
          </cell>
        </row>
        <row r="3017">
          <cell r="I3017">
            <v>3722</v>
          </cell>
          <cell r="J3017">
            <v>0.13308763676148797</v>
          </cell>
        </row>
        <row r="3018">
          <cell r="I3018">
            <v>3723</v>
          </cell>
          <cell r="J3018">
            <v>0.13309031728665208</v>
          </cell>
        </row>
        <row r="3019">
          <cell r="I3019">
            <v>3724</v>
          </cell>
          <cell r="J3019">
            <v>0.13309299781181619</v>
          </cell>
        </row>
        <row r="3020">
          <cell r="I3020">
            <v>3725</v>
          </cell>
          <cell r="J3020">
            <v>0.1330956783369803</v>
          </cell>
        </row>
        <row r="3021">
          <cell r="I3021">
            <v>3726</v>
          </cell>
          <cell r="J3021">
            <v>0.13309835886214441</v>
          </cell>
        </row>
        <row r="3022">
          <cell r="I3022">
            <v>3727</v>
          </cell>
          <cell r="J3022">
            <v>0.13310103938730852</v>
          </cell>
        </row>
        <row r="3023">
          <cell r="I3023">
            <v>3728</v>
          </cell>
          <cell r="J3023">
            <v>0.13310371991247263</v>
          </cell>
        </row>
        <row r="3024">
          <cell r="I3024">
            <v>3729</v>
          </cell>
          <cell r="J3024">
            <v>0.13310640043763675</v>
          </cell>
        </row>
        <row r="3025">
          <cell r="I3025">
            <v>3730</v>
          </cell>
          <cell r="J3025">
            <v>0.13310908096280086</v>
          </cell>
        </row>
        <row r="3026">
          <cell r="I3026">
            <v>3731</v>
          </cell>
          <cell r="J3026">
            <v>0.13311176148796497</v>
          </cell>
        </row>
        <row r="3027">
          <cell r="I3027">
            <v>3732</v>
          </cell>
          <cell r="J3027">
            <v>0.13311444201312908</v>
          </cell>
        </row>
        <row r="3028">
          <cell r="I3028">
            <v>3733</v>
          </cell>
          <cell r="J3028">
            <v>0.13311712253829322</v>
          </cell>
        </row>
        <row r="3029">
          <cell r="I3029">
            <v>3734</v>
          </cell>
          <cell r="J3029">
            <v>0.13311980306345733</v>
          </cell>
        </row>
        <row r="3030">
          <cell r="I3030">
            <v>3735</v>
          </cell>
          <cell r="J3030">
            <v>0.13312248358862144</v>
          </cell>
        </row>
        <row r="3031">
          <cell r="I3031">
            <v>3736</v>
          </cell>
          <cell r="J3031">
            <v>0.13312516411378555</v>
          </cell>
        </row>
        <row r="3032">
          <cell r="I3032">
            <v>3737</v>
          </cell>
          <cell r="J3032">
            <v>0.13312784463894967</v>
          </cell>
        </row>
        <row r="3033">
          <cell r="I3033">
            <v>3738</v>
          </cell>
          <cell r="J3033">
            <v>0.13313052516411378</v>
          </cell>
        </row>
        <row r="3034">
          <cell r="I3034">
            <v>3739</v>
          </cell>
          <cell r="J3034">
            <v>0.13313320568927789</v>
          </cell>
        </row>
        <row r="3035">
          <cell r="I3035">
            <v>3740</v>
          </cell>
          <cell r="J3035">
            <v>0.133135886214442</v>
          </cell>
        </row>
        <row r="3036">
          <cell r="I3036">
            <v>3741</v>
          </cell>
          <cell r="J3036">
            <v>0.13313856673960611</v>
          </cell>
        </row>
        <row r="3037">
          <cell r="I3037">
            <v>3742</v>
          </cell>
          <cell r="J3037">
            <v>0.13314124726477022</v>
          </cell>
        </row>
        <row r="3038">
          <cell r="I3038">
            <v>3743</v>
          </cell>
          <cell r="J3038">
            <v>0.13314392778993434</v>
          </cell>
        </row>
        <row r="3039">
          <cell r="I3039">
            <v>3744</v>
          </cell>
          <cell r="J3039">
            <v>0.13314660831509845</v>
          </cell>
        </row>
        <row r="3040">
          <cell r="I3040">
            <v>3745</v>
          </cell>
          <cell r="J3040">
            <v>0.13314928884026259</v>
          </cell>
        </row>
        <row r="3041">
          <cell r="I3041">
            <v>3746</v>
          </cell>
          <cell r="J3041">
            <v>0.1331519693654267</v>
          </cell>
        </row>
        <row r="3042">
          <cell r="I3042">
            <v>3747</v>
          </cell>
          <cell r="J3042">
            <v>0.13315464989059081</v>
          </cell>
        </row>
        <row r="3043">
          <cell r="I3043">
            <v>3748</v>
          </cell>
          <cell r="J3043">
            <v>0.13315733041575492</v>
          </cell>
        </row>
        <row r="3044">
          <cell r="I3044">
            <v>3749</v>
          </cell>
          <cell r="J3044">
            <v>0.13316001094091903</v>
          </cell>
        </row>
        <row r="3045">
          <cell r="I3045">
            <v>3750</v>
          </cell>
          <cell r="J3045">
            <v>0.13316269146608314</v>
          </cell>
        </row>
        <row r="3046">
          <cell r="I3046">
            <v>3751</v>
          </cell>
          <cell r="J3046">
            <v>0.13316537199124726</v>
          </cell>
        </row>
        <row r="3047">
          <cell r="I3047">
            <v>3752</v>
          </cell>
          <cell r="J3047">
            <v>0.13316805251641137</v>
          </cell>
        </row>
        <row r="3048">
          <cell r="I3048">
            <v>3753</v>
          </cell>
          <cell r="J3048">
            <v>0.13317073304157548</v>
          </cell>
        </row>
        <row r="3049">
          <cell r="I3049">
            <v>3754</v>
          </cell>
          <cell r="J3049">
            <v>0.13317341356673959</v>
          </cell>
        </row>
        <row r="3050">
          <cell r="I3050">
            <v>3755</v>
          </cell>
          <cell r="J3050">
            <v>0.1331760940919037</v>
          </cell>
        </row>
        <row r="3051">
          <cell r="I3051">
            <v>3756</v>
          </cell>
          <cell r="J3051">
            <v>0.13317877461706781</v>
          </cell>
        </row>
        <row r="3052">
          <cell r="I3052">
            <v>3757</v>
          </cell>
          <cell r="J3052">
            <v>0.13318145514223195</v>
          </cell>
        </row>
        <row r="3053">
          <cell r="I3053">
            <v>3758</v>
          </cell>
          <cell r="J3053">
            <v>0.13318413566739606</v>
          </cell>
        </row>
        <row r="3054">
          <cell r="I3054">
            <v>3759</v>
          </cell>
          <cell r="J3054">
            <v>0.13318681619256018</v>
          </cell>
        </row>
        <row r="3055">
          <cell r="I3055">
            <v>3760</v>
          </cell>
          <cell r="J3055">
            <v>0.13318949671772429</v>
          </cell>
        </row>
        <row r="3056">
          <cell r="I3056">
            <v>3761</v>
          </cell>
          <cell r="J3056">
            <v>0.1331921772428884</v>
          </cell>
        </row>
        <row r="3057">
          <cell r="I3057">
            <v>3762</v>
          </cell>
          <cell r="J3057">
            <v>0.13319485776805251</v>
          </cell>
        </row>
        <row r="3058">
          <cell r="I3058">
            <v>3763</v>
          </cell>
          <cell r="J3058">
            <v>0.13319753829321662</v>
          </cell>
        </row>
        <row r="3059">
          <cell r="I3059">
            <v>3764</v>
          </cell>
          <cell r="J3059">
            <v>0.13320021881838073</v>
          </cell>
        </row>
        <row r="3060">
          <cell r="I3060">
            <v>3765</v>
          </cell>
          <cell r="J3060">
            <v>0.13320289934354484</v>
          </cell>
        </row>
        <row r="3061">
          <cell r="I3061">
            <v>3766</v>
          </cell>
          <cell r="J3061">
            <v>0.13320557986870896</v>
          </cell>
        </row>
        <row r="3062">
          <cell r="I3062">
            <v>3767</v>
          </cell>
          <cell r="J3062">
            <v>0.13320826039387307</v>
          </cell>
        </row>
        <row r="3063">
          <cell r="I3063">
            <v>3768</v>
          </cell>
          <cell r="J3063">
            <v>0.13321094091903718</v>
          </cell>
        </row>
        <row r="3064">
          <cell r="I3064">
            <v>3769</v>
          </cell>
          <cell r="J3064">
            <v>0.13321362144420129</v>
          </cell>
        </row>
        <row r="3065">
          <cell r="I3065">
            <v>3770</v>
          </cell>
          <cell r="J3065">
            <v>0.13321630196936543</v>
          </cell>
        </row>
        <row r="3066">
          <cell r="I3066">
            <v>3771</v>
          </cell>
          <cell r="J3066">
            <v>0.13321898249452954</v>
          </cell>
        </row>
        <row r="3067">
          <cell r="I3067">
            <v>3772</v>
          </cell>
          <cell r="J3067">
            <v>0.13322166301969365</v>
          </cell>
        </row>
        <row r="3068">
          <cell r="I3068">
            <v>3773</v>
          </cell>
          <cell r="J3068">
            <v>0.13322434354485777</v>
          </cell>
        </row>
        <row r="3069">
          <cell r="I3069">
            <v>3774</v>
          </cell>
          <cell r="J3069">
            <v>0.13322702407002188</v>
          </cell>
        </row>
        <row r="3070">
          <cell r="I3070">
            <v>3775</v>
          </cell>
          <cell r="J3070">
            <v>0.13322970459518599</v>
          </cell>
        </row>
        <row r="3071">
          <cell r="I3071">
            <v>3776</v>
          </cell>
          <cell r="J3071">
            <v>0.1332323851203501</v>
          </cell>
        </row>
        <row r="3072">
          <cell r="I3072">
            <v>3777</v>
          </cell>
          <cell r="J3072">
            <v>0.13323506564551421</v>
          </cell>
        </row>
        <row r="3073">
          <cell r="I3073">
            <v>3778</v>
          </cell>
          <cell r="J3073">
            <v>0.13323774617067832</v>
          </cell>
        </row>
        <row r="3074">
          <cell r="I3074">
            <v>3779</v>
          </cell>
          <cell r="J3074">
            <v>0.13324042669584243</v>
          </cell>
        </row>
        <row r="3075">
          <cell r="I3075">
            <v>3780</v>
          </cell>
          <cell r="J3075">
            <v>0.13324310722100655</v>
          </cell>
        </row>
        <row r="3076">
          <cell r="I3076">
            <v>3781</v>
          </cell>
          <cell r="J3076">
            <v>0.13324578774617066</v>
          </cell>
        </row>
        <row r="3077">
          <cell r="I3077">
            <v>3782</v>
          </cell>
          <cell r="J3077">
            <v>0.1332484682713348</v>
          </cell>
        </row>
        <row r="3078">
          <cell r="I3078">
            <v>3783</v>
          </cell>
          <cell r="J3078">
            <v>0.13325114879649891</v>
          </cell>
        </row>
        <row r="3079">
          <cell r="I3079">
            <v>3784</v>
          </cell>
          <cell r="J3079">
            <v>0.13325382932166302</v>
          </cell>
        </row>
        <row r="3080">
          <cell r="I3080">
            <v>3785</v>
          </cell>
          <cell r="J3080">
            <v>0.13325650984682713</v>
          </cell>
        </row>
        <row r="3081">
          <cell r="I3081">
            <v>3786</v>
          </cell>
          <cell r="J3081">
            <v>0.13325919037199124</v>
          </cell>
        </row>
        <row r="3082">
          <cell r="I3082">
            <v>3787</v>
          </cell>
          <cell r="J3082">
            <v>0.13326187089715535</v>
          </cell>
        </row>
        <row r="3083">
          <cell r="I3083">
            <v>3788</v>
          </cell>
          <cell r="J3083">
            <v>0.13326455142231947</v>
          </cell>
        </row>
        <row r="3084">
          <cell r="I3084">
            <v>3789</v>
          </cell>
          <cell r="J3084">
            <v>0.13326723194748358</v>
          </cell>
        </row>
        <row r="3085">
          <cell r="I3085">
            <v>3790</v>
          </cell>
          <cell r="J3085">
            <v>0.13326991247264769</v>
          </cell>
        </row>
        <row r="3086">
          <cell r="I3086">
            <v>3791</v>
          </cell>
          <cell r="J3086">
            <v>0.1332725929978118</v>
          </cell>
        </row>
        <row r="3087">
          <cell r="I3087">
            <v>3792</v>
          </cell>
          <cell r="J3087">
            <v>0.13327527352297591</v>
          </cell>
        </row>
        <row r="3088">
          <cell r="I3088">
            <v>3793</v>
          </cell>
          <cell r="J3088">
            <v>0.13327795404814002</v>
          </cell>
        </row>
        <row r="3089">
          <cell r="I3089">
            <v>3794</v>
          </cell>
          <cell r="J3089">
            <v>0.13328063457330414</v>
          </cell>
        </row>
        <row r="3090">
          <cell r="I3090">
            <v>3795</v>
          </cell>
          <cell r="J3090">
            <v>0.13328331509846827</v>
          </cell>
        </row>
        <row r="3091">
          <cell r="I3091">
            <v>3796</v>
          </cell>
          <cell r="J3091">
            <v>0.13328599562363239</v>
          </cell>
        </row>
        <row r="3092">
          <cell r="I3092">
            <v>3797</v>
          </cell>
          <cell r="J3092">
            <v>0.1332886761487965</v>
          </cell>
        </row>
        <row r="3093">
          <cell r="I3093">
            <v>3798</v>
          </cell>
          <cell r="J3093">
            <v>0.13329135667396061</v>
          </cell>
        </row>
        <row r="3094">
          <cell r="I3094">
            <v>3799</v>
          </cell>
          <cell r="J3094">
            <v>0.13329403719912472</v>
          </cell>
        </row>
        <row r="3095">
          <cell r="I3095">
            <v>3800</v>
          </cell>
          <cell r="J3095">
            <v>0.13329671772428883</v>
          </cell>
        </row>
        <row r="3096">
          <cell r="I3096">
            <v>3801</v>
          </cell>
          <cell r="J3096">
            <v>0.13329939824945294</v>
          </cell>
        </row>
        <row r="3097">
          <cell r="I3097">
            <v>3802</v>
          </cell>
          <cell r="J3097">
            <v>0.13330207877461706</v>
          </cell>
        </row>
        <row r="3098">
          <cell r="I3098">
            <v>3803</v>
          </cell>
          <cell r="J3098">
            <v>0.13330475929978117</v>
          </cell>
        </row>
        <row r="3099">
          <cell r="I3099">
            <v>3804</v>
          </cell>
          <cell r="J3099">
            <v>0.13330743982494528</v>
          </cell>
        </row>
        <row r="3100">
          <cell r="I3100">
            <v>3805</v>
          </cell>
          <cell r="J3100">
            <v>0.13331012035010939</v>
          </cell>
        </row>
        <row r="3101">
          <cell r="I3101">
            <v>3806</v>
          </cell>
          <cell r="J3101">
            <v>0.1333128008752735</v>
          </cell>
        </row>
        <row r="3102">
          <cell r="I3102">
            <v>3807</v>
          </cell>
          <cell r="J3102">
            <v>0.13331548140043764</v>
          </cell>
        </row>
        <row r="3103">
          <cell r="I3103">
            <v>3808</v>
          </cell>
          <cell r="J3103">
            <v>0.13331816192560175</v>
          </cell>
        </row>
        <row r="3104">
          <cell r="I3104">
            <v>3809</v>
          </cell>
          <cell r="J3104">
            <v>0.13332084245076586</v>
          </cell>
        </row>
        <row r="3105">
          <cell r="I3105">
            <v>3810</v>
          </cell>
          <cell r="J3105">
            <v>0.13332352297592998</v>
          </cell>
        </row>
        <row r="3106">
          <cell r="I3106">
            <v>3811</v>
          </cell>
          <cell r="J3106">
            <v>0.13332620350109409</v>
          </cell>
        </row>
        <row r="3107">
          <cell r="I3107">
            <v>3812</v>
          </cell>
          <cell r="J3107">
            <v>0.1333288840262582</v>
          </cell>
        </row>
        <row r="3108">
          <cell r="I3108">
            <v>3813</v>
          </cell>
          <cell r="J3108">
            <v>0.13333156455142231</v>
          </cell>
        </row>
        <row r="3109">
          <cell r="I3109">
            <v>3814</v>
          </cell>
          <cell r="J3109">
            <v>0.13333424507658642</v>
          </cell>
        </row>
        <row r="3110">
          <cell r="I3110">
            <v>3815</v>
          </cell>
          <cell r="J3110">
            <v>0.13333692560175053</v>
          </cell>
        </row>
        <row r="3111">
          <cell r="I3111">
            <v>3816</v>
          </cell>
          <cell r="J3111">
            <v>0.13333960612691464</v>
          </cell>
        </row>
        <row r="3112">
          <cell r="I3112">
            <v>3817</v>
          </cell>
          <cell r="J3112">
            <v>0.13334228665207876</v>
          </cell>
        </row>
        <row r="3113">
          <cell r="I3113">
            <v>3818</v>
          </cell>
          <cell r="J3113">
            <v>0.13334496717724287</v>
          </cell>
        </row>
        <row r="3114">
          <cell r="I3114">
            <v>3819</v>
          </cell>
          <cell r="J3114">
            <v>0.13334764770240701</v>
          </cell>
        </row>
        <row r="3115">
          <cell r="I3115">
            <v>3820</v>
          </cell>
          <cell r="J3115">
            <v>0.13335032822757112</v>
          </cell>
        </row>
        <row r="3116">
          <cell r="I3116">
            <v>3821</v>
          </cell>
          <cell r="J3116">
            <v>0.13335300875273523</v>
          </cell>
        </row>
        <row r="3117">
          <cell r="I3117">
            <v>3822</v>
          </cell>
          <cell r="J3117">
            <v>0.13335568927789934</v>
          </cell>
        </row>
        <row r="3118">
          <cell r="I3118">
            <v>3823</v>
          </cell>
          <cell r="J3118">
            <v>0.13335836980306345</v>
          </cell>
        </row>
        <row r="3119">
          <cell r="I3119">
            <v>3824</v>
          </cell>
          <cell r="J3119">
            <v>0.13336105032822756</v>
          </cell>
        </row>
        <row r="3120">
          <cell r="I3120">
            <v>3825</v>
          </cell>
          <cell r="J3120">
            <v>0.13336373085339168</v>
          </cell>
        </row>
        <row r="3121">
          <cell r="I3121">
            <v>3826</v>
          </cell>
          <cell r="J3121">
            <v>0.13336641137855579</v>
          </cell>
        </row>
        <row r="3122">
          <cell r="I3122">
            <v>3827</v>
          </cell>
          <cell r="J3122">
            <v>0.1333690919037199</v>
          </cell>
        </row>
        <row r="3123">
          <cell r="I3123">
            <v>3828</v>
          </cell>
          <cell r="J3123">
            <v>0.13337177242888401</v>
          </cell>
        </row>
        <row r="3124">
          <cell r="I3124">
            <v>3829</v>
          </cell>
          <cell r="J3124">
            <v>0.13337445295404812</v>
          </cell>
        </row>
        <row r="3125">
          <cell r="I3125">
            <v>3830</v>
          </cell>
          <cell r="J3125">
            <v>0.13337713347921223</v>
          </cell>
        </row>
        <row r="3126">
          <cell r="I3126">
            <v>3831</v>
          </cell>
          <cell r="J3126">
            <v>0.13337981400437635</v>
          </cell>
        </row>
        <row r="3127">
          <cell r="I3127">
            <v>3832</v>
          </cell>
          <cell r="J3127">
            <v>0.13338249452954049</v>
          </cell>
        </row>
        <row r="3128">
          <cell r="I3128">
            <v>3833</v>
          </cell>
          <cell r="J3128">
            <v>0.1333851750547046</v>
          </cell>
        </row>
        <row r="3129">
          <cell r="I3129">
            <v>3834</v>
          </cell>
          <cell r="J3129">
            <v>0.13338785557986871</v>
          </cell>
        </row>
        <row r="3130">
          <cell r="I3130">
            <v>3835</v>
          </cell>
          <cell r="J3130">
            <v>0.13339053610503282</v>
          </cell>
        </row>
        <row r="3131">
          <cell r="I3131">
            <v>3836</v>
          </cell>
          <cell r="J3131">
            <v>0.13339321663019693</v>
          </cell>
        </row>
        <row r="3132">
          <cell r="I3132">
            <v>3837</v>
          </cell>
          <cell r="J3132">
            <v>0.13339589715536104</v>
          </cell>
        </row>
        <row r="3133">
          <cell r="I3133">
            <v>3838</v>
          </cell>
          <cell r="J3133">
            <v>0.13339857768052515</v>
          </cell>
        </row>
        <row r="3134">
          <cell r="I3134">
            <v>3839</v>
          </cell>
          <cell r="J3134">
            <v>0.13340125820568927</v>
          </cell>
        </row>
        <row r="3135">
          <cell r="I3135">
            <v>3840</v>
          </cell>
          <cell r="J3135">
            <v>0.13340393873085338</v>
          </cell>
        </row>
        <row r="3136">
          <cell r="I3136">
            <v>3841</v>
          </cell>
          <cell r="J3136">
            <v>0.13340661925601749</v>
          </cell>
        </row>
        <row r="3137">
          <cell r="I3137">
            <v>3842</v>
          </cell>
          <cell r="J3137">
            <v>0.1334092997811816</v>
          </cell>
        </row>
        <row r="3138">
          <cell r="I3138">
            <v>3843</v>
          </cell>
          <cell r="J3138">
            <v>0.13341198030634571</v>
          </cell>
        </row>
        <row r="3139">
          <cell r="I3139">
            <v>3844</v>
          </cell>
          <cell r="J3139">
            <v>0.13341466083150985</v>
          </cell>
        </row>
        <row r="3140">
          <cell r="I3140">
            <v>3845</v>
          </cell>
          <cell r="J3140">
            <v>0.13341734135667396</v>
          </cell>
        </row>
        <row r="3141">
          <cell r="I3141">
            <v>3846</v>
          </cell>
          <cell r="J3141">
            <v>0.13342002188183807</v>
          </cell>
        </row>
        <row r="3142">
          <cell r="I3142">
            <v>3847</v>
          </cell>
          <cell r="J3142">
            <v>0.13342270240700219</v>
          </cell>
        </row>
        <row r="3143">
          <cell r="I3143">
            <v>3848</v>
          </cell>
          <cell r="J3143">
            <v>0.1334253829321663</v>
          </cell>
        </row>
        <row r="3144">
          <cell r="I3144">
            <v>3849</v>
          </cell>
          <cell r="J3144">
            <v>0.13342806345733041</v>
          </cell>
        </row>
        <row r="3145">
          <cell r="I3145">
            <v>3850</v>
          </cell>
          <cell r="J3145">
            <v>0.13343074398249452</v>
          </cell>
        </row>
        <row r="3146">
          <cell r="I3146">
            <v>3851</v>
          </cell>
          <cell r="J3146">
            <v>0.13343342450765863</v>
          </cell>
        </row>
        <row r="3147">
          <cell r="I3147">
            <v>3852</v>
          </cell>
          <cell r="J3147">
            <v>0.13343610503282274</v>
          </cell>
        </row>
        <row r="3148">
          <cell r="I3148">
            <v>3853</v>
          </cell>
          <cell r="J3148">
            <v>0.13343878555798686</v>
          </cell>
        </row>
        <row r="3149">
          <cell r="I3149">
            <v>3854</v>
          </cell>
          <cell r="J3149">
            <v>0.13344146608315097</v>
          </cell>
        </row>
        <row r="3150">
          <cell r="I3150">
            <v>3855</v>
          </cell>
          <cell r="J3150">
            <v>0.13344414660831508</v>
          </cell>
        </row>
        <row r="3151">
          <cell r="I3151">
            <v>3856</v>
          </cell>
          <cell r="J3151">
            <v>0.13344682713347922</v>
          </cell>
        </row>
        <row r="3152">
          <cell r="I3152">
            <v>3857</v>
          </cell>
          <cell r="J3152">
            <v>0.13344950765864333</v>
          </cell>
        </row>
        <row r="3153">
          <cell r="I3153">
            <v>3858</v>
          </cell>
          <cell r="J3153">
            <v>0.13345218818380744</v>
          </cell>
        </row>
        <row r="3154">
          <cell r="I3154">
            <v>3859</v>
          </cell>
          <cell r="J3154">
            <v>0.13345486870897155</v>
          </cell>
        </row>
        <row r="3155">
          <cell r="I3155">
            <v>3860</v>
          </cell>
          <cell r="J3155">
            <v>0.13345754923413566</v>
          </cell>
        </row>
        <row r="3156">
          <cell r="I3156">
            <v>3861</v>
          </cell>
          <cell r="J3156">
            <v>0.13346022975929978</v>
          </cell>
        </row>
        <row r="3157">
          <cell r="I3157">
            <v>3862</v>
          </cell>
          <cell r="J3157">
            <v>0.13346291028446389</v>
          </cell>
        </row>
        <row r="3158">
          <cell r="I3158">
            <v>3863</v>
          </cell>
          <cell r="J3158">
            <v>0.133465590809628</v>
          </cell>
        </row>
        <row r="3159">
          <cell r="I3159">
            <v>3864</v>
          </cell>
          <cell r="J3159">
            <v>0.13346827133479211</v>
          </cell>
        </row>
        <row r="3160">
          <cell r="I3160">
            <v>3865</v>
          </cell>
          <cell r="J3160">
            <v>0.13347095185995622</v>
          </cell>
        </row>
        <row r="3161">
          <cell r="I3161">
            <v>3866</v>
          </cell>
          <cell r="J3161">
            <v>0.13347363238512033</v>
          </cell>
        </row>
        <row r="3162">
          <cell r="I3162">
            <v>3867</v>
          </cell>
          <cell r="J3162">
            <v>0.13347631291028444</v>
          </cell>
        </row>
        <row r="3163">
          <cell r="I3163">
            <v>3868</v>
          </cell>
          <cell r="J3163">
            <v>0.13347899343544856</v>
          </cell>
        </row>
        <row r="3164">
          <cell r="I3164">
            <v>3869</v>
          </cell>
          <cell r="J3164">
            <v>0.1334816739606127</v>
          </cell>
        </row>
        <row r="3165">
          <cell r="I3165">
            <v>3870</v>
          </cell>
          <cell r="J3165">
            <v>0.13348435448577681</v>
          </cell>
        </row>
        <row r="3166">
          <cell r="I3166">
            <v>3871</v>
          </cell>
          <cell r="J3166">
            <v>0.13348703501094092</v>
          </cell>
        </row>
        <row r="3167">
          <cell r="I3167">
            <v>3872</v>
          </cell>
          <cell r="J3167">
            <v>0.13348971553610503</v>
          </cell>
        </row>
        <row r="3168">
          <cell r="I3168">
            <v>3873</v>
          </cell>
          <cell r="J3168">
            <v>0.13349239606126914</v>
          </cell>
        </row>
        <row r="3169">
          <cell r="I3169">
            <v>3874</v>
          </cell>
          <cell r="J3169">
            <v>0.13349507658643325</v>
          </cell>
        </row>
        <row r="3170">
          <cell r="I3170">
            <v>3875</v>
          </cell>
          <cell r="J3170">
            <v>0.13349775711159736</v>
          </cell>
        </row>
        <row r="3171">
          <cell r="I3171">
            <v>3876</v>
          </cell>
          <cell r="J3171">
            <v>0.13350043763676148</v>
          </cell>
        </row>
        <row r="3172">
          <cell r="I3172">
            <v>3877</v>
          </cell>
          <cell r="J3172">
            <v>0.13350311816192559</v>
          </cell>
        </row>
        <row r="3173">
          <cell r="I3173">
            <v>3878</v>
          </cell>
          <cell r="J3173">
            <v>0.1335057986870897</v>
          </cell>
        </row>
        <row r="3174">
          <cell r="I3174">
            <v>3879</v>
          </cell>
          <cell r="J3174">
            <v>0.13350847921225381</v>
          </cell>
        </row>
        <row r="3175">
          <cell r="I3175">
            <v>3880</v>
          </cell>
          <cell r="J3175">
            <v>0.13351115973741792</v>
          </cell>
        </row>
        <row r="3176">
          <cell r="I3176">
            <v>3881</v>
          </cell>
          <cell r="J3176">
            <v>0.13351384026258206</v>
          </cell>
        </row>
        <row r="3177">
          <cell r="I3177">
            <v>3882</v>
          </cell>
          <cell r="J3177">
            <v>0.13351652078774617</v>
          </cell>
        </row>
        <row r="3178">
          <cell r="I3178">
            <v>3883</v>
          </cell>
          <cell r="J3178">
            <v>0.13351920131291029</v>
          </cell>
        </row>
        <row r="3179">
          <cell r="I3179">
            <v>3884</v>
          </cell>
          <cell r="J3179">
            <v>0.1335218818380744</v>
          </cell>
        </row>
        <row r="3180">
          <cell r="I3180">
            <v>3885</v>
          </cell>
          <cell r="J3180">
            <v>0.13352456236323851</v>
          </cell>
        </row>
        <row r="3181">
          <cell r="I3181">
            <v>3886</v>
          </cell>
          <cell r="J3181">
            <v>0.13352724288840262</v>
          </cell>
        </row>
        <row r="3182">
          <cell r="I3182">
            <v>3887</v>
          </cell>
          <cell r="J3182">
            <v>0.13352992341356673</v>
          </cell>
        </row>
        <row r="3183">
          <cell r="I3183">
            <v>3888</v>
          </cell>
          <cell r="J3183">
            <v>0.13353260393873084</v>
          </cell>
        </row>
        <row r="3184">
          <cell r="I3184">
            <v>3889</v>
          </cell>
          <cell r="J3184">
            <v>0.13353528446389495</v>
          </cell>
        </row>
        <row r="3185">
          <cell r="I3185">
            <v>3890</v>
          </cell>
          <cell r="J3185">
            <v>0.13353796498905907</v>
          </cell>
        </row>
        <row r="3186">
          <cell r="I3186">
            <v>3891</v>
          </cell>
          <cell r="J3186">
            <v>0.13354064551422318</v>
          </cell>
        </row>
        <row r="3187">
          <cell r="I3187">
            <v>3892</v>
          </cell>
          <cell r="J3187">
            <v>0.13354332603938729</v>
          </cell>
        </row>
        <row r="3188">
          <cell r="I3188">
            <v>3893</v>
          </cell>
          <cell r="J3188">
            <v>0.13354600656455143</v>
          </cell>
        </row>
        <row r="3189">
          <cell r="I3189">
            <v>3894</v>
          </cell>
          <cell r="J3189">
            <v>0.13354868708971554</v>
          </cell>
        </row>
        <row r="3190">
          <cell r="I3190">
            <v>3895</v>
          </cell>
          <cell r="J3190">
            <v>0.13355136761487965</v>
          </cell>
        </row>
        <row r="3191">
          <cell r="I3191">
            <v>3896</v>
          </cell>
          <cell r="J3191">
            <v>0.13355404814004376</v>
          </cell>
        </row>
        <row r="3192">
          <cell r="I3192">
            <v>3897</v>
          </cell>
          <cell r="J3192">
            <v>0.13355672866520787</v>
          </cell>
        </row>
        <row r="3193">
          <cell r="I3193">
            <v>3898</v>
          </cell>
          <cell r="J3193">
            <v>0.13355940919037199</v>
          </cell>
        </row>
        <row r="3194">
          <cell r="I3194">
            <v>3899</v>
          </cell>
          <cell r="J3194">
            <v>0.1335620897155361</v>
          </cell>
        </row>
        <row r="3195">
          <cell r="I3195">
            <v>3900</v>
          </cell>
          <cell r="J3195">
            <v>0.13356477024070021</v>
          </cell>
        </row>
        <row r="3196">
          <cell r="I3196">
            <v>3901</v>
          </cell>
          <cell r="J3196">
            <v>0.13356745076586432</v>
          </cell>
        </row>
        <row r="3197">
          <cell r="I3197">
            <v>3902</v>
          </cell>
          <cell r="J3197">
            <v>0.13357013129102843</v>
          </cell>
        </row>
        <row r="3198">
          <cell r="I3198">
            <v>3903</v>
          </cell>
          <cell r="J3198">
            <v>0.13357281181619254</v>
          </cell>
        </row>
        <row r="3199">
          <cell r="I3199">
            <v>3904</v>
          </cell>
          <cell r="J3199">
            <v>0.13357549234135666</v>
          </cell>
        </row>
        <row r="3200">
          <cell r="I3200">
            <v>3905</v>
          </cell>
          <cell r="J3200">
            <v>0.13357817286652077</v>
          </cell>
        </row>
        <row r="3201">
          <cell r="I3201">
            <v>3906</v>
          </cell>
          <cell r="J3201">
            <v>0.13358085339168491</v>
          </cell>
        </row>
        <row r="3202">
          <cell r="I3202">
            <v>3907</v>
          </cell>
          <cell r="J3202">
            <v>0.13358353391684902</v>
          </cell>
        </row>
        <row r="3203">
          <cell r="I3203">
            <v>3908</v>
          </cell>
          <cell r="J3203">
            <v>0.13358621444201313</v>
          </cell>
        </row>
        <row r="3204">
          <cell r="I3204">
            <v>3909</v>
          </cell>
          <cell r="J3204">
            <v>0.13358889496717724</v>
          </cell>
        </row>
        <row r="3205">
          <cell r="I3205">
            <v>3910</v>
          </cell>
          <cell r="J3205">
            <v>0.13359157549234135</v>
          </cell>
        </row>
        <row r="3206">
          <cell r="I3206">
            <v>3911</v>
          </cell>
          <cell r="J3206">
            <v>0.13359425601750546</v>
          </cell>
        </row>
        <row r="3207">
          <cell r="I3207">
            <v>3912</v>
          </cell>
          <cell r="J3207">
            <v>0.13359693654266958</v>
          </cell>
        </row>
        <row r="3208">
          <cell r="I3208">
            <v>3913</v>
          </cell>
          <cell r="J3208">
            <v>0.13359961706783369</v>
          </cell>
        </row>
        <row r="3209">
          <cell r="I3209">
            <v>3914</v>
          </cell>
          <cell r="J3209">
            <v>0.1336022975929978</v>
          </cell>
        </row>
        <row r="3210">
          <cell r="I3210">
            <v>3915</v>
          </cell>
          <cell r="J3210">
            <v>0.13360497811816191</v>
          </cell>
        </row>
        <row r="3211">
          <cell r="I3211">
            <v>3916</v>
          </cell>
          <cell r="J3211">
            <v>0.13360765864332602</v>
          </cell>
        </row>
        <row r="3212">
          <cell r="I3212">
            <v>3917</v>
          </cell>
          <cell r="J3212">
            <v>0.13361033916849013</v>
          </cell>
        </row>
        <row r="3213">
          <cell r="I3213">
            <v>3918</v>
          </cell>
          <cell r="J3213">
            <v>0.13361301969365427</v>
          </cell>
        </row>
        <row r="3214">
          <cell r="I3214">
            <v>3919</v>
          </cell>
          <cell r="J3214">
            <v>0.13361570021881838</v>
          </cell>
        </row>
        <row r="3215">
          <cell r="I3215">
            <v>3920</v>
          </cell>
          <cell r="J3215">
            <v>0.1336183807439825</v>
          </cell>
        </row>
        <row r="3216">
          <cell r="I3216">
            <v>3921</v>
          </cell>
          <cell r="J3216">
            <v>0.13362106126914661</v>
          </cell>
        </row>
        <row r="3217">
          <cell r="I3217">
            <v>3922</v>
          </cell>
          <cell r="J3217">
            <v>0.13362374179431072</v>
          </cell>
        </row>
        <row r="3218">
          <cell r="I3218">
            <v>3923</v>
          </cell>
          <cell r="J3218">
            <v>0.13362642231947483</v>
          </cell>
        </row>
        <row r="3219">
          <cell r="I3219">
            <v>3924</v>
          </cell>
          <cell r="J3219">
            <v>0.13362910284463894</v>
          </cell>
        </row>
        <row r="3220">
          <cell r="I3220">
            <v>3925</v>
          </cell>
          <cell r="J3220">
            <v>0.13363178336980305</v>
          </cell>
        </row>
        <row r="3221">
          <cell r="I3221">
            <v>3926</v>
          </cell>
          <cell r="J3221">
            <v>0.13363446389496716</v>
          </cell>
        </row>
        <row r="3222">
          <cell r="I3222">
            <v>3927</v>
          </cell>
          <cell r="J3222">
            <v>0.13363714442013128</v>
          </cell>
        </row>
        <row r="3223">
          <cell r="I3223">
            <v>3928</v>
          </cell>
          <cell r="J3223">
            <v>0.13363982494529539</v>
          </cell>
        </row>
        <row r="3224">
          <cell r="I3224">
            <v>3929</v>
          </cell>
          <cell r="J3224">
            <v>0.1336425054704595</v>
          </cell>
        </row>
        <row r="3225">
          <cell r="I3225">
            <v>3930</v>
          </cell>
          <cell r="J3225">
            <v>0.13364518599562364</v>
          </cell>
        </row>
        <row r="3226">
          <cell r="I3226">
            <v>3931</v>
          </cell>
          <cell r="J3226">
            <v>0.13364786652078775</v>
          </cell>
        </row>
        <row r="3227">
          <cell r="I3227">
            <v>3932</v>
          </cell>
          <cell r="J3227">
            <v>0.13365054704595186</v>
          </cell>
        </row>
        <row r="3228">
          <cell r="I3228">
            <v>3933</v>
          </cell>
          <cell r="J3228">
            <v>0.13365322757111597</v>
          </cell>
        </row>
        <row r="3229">
          <cell r="I3229">
            <v>3934</v>
          </cell>
          <cell r="J3229">
            <v>0.13365590809628008</v>
          </cell>
        </row>
        <row r="3230">
          <cell r="I3230">
            <v>3935</v>
          </cell>
          <cell r="J3230">
            <v>0.1336585886214442</v>
          </cell>
        </row>
        <row r="3231">
          <cell r="I3231">
            <v>3936</v>
          </cell>
          <cell r="J3231">
            <v>0.13366126914660831</v>
          </cell>
        </row>
        <row r="3232">
          <cell r="I3232">
            <v>3937</v>
          </cell>
          <cell r="J3232">
            <v>0.13366394967177242</v>
          </cell>
        </row>
        <row r="3233">
          <cell r="I3233">
            <v>3938</v>
          </cell>
          <cell r="J3233">
            <v>0.13366663019693653</v>
          </cell>
        </row>
        <row r="3234">
          <cell r="I3234">
            <v>3939</v>
          </cell>
          <cell r="J3234">
            <v>0.13366931072210064</v>
          </cell>
        </row>
        <row r="3235">
          <cell r="I3235">
            <v>3940</v>
          </cell>
          <cell r="J3235">
            <v>0.13367199124726475</v>
          </cell>
        </row>
        <row r="3236">
          <cell r="I3236">
            <v>3941</v>
          </cell>
          <cell r="J3236">
            <v>0.13367467177242887</v>
          </cell>
        </row>
        <row r="3237">
          <cell r="I3237">
            <v>3942</v>
          </cell>
          <cell r="J3237">
            <v>0.13367735229759298</v>
          </cell>
        </row>
        <row r="3238">
          <cell r="I3238">
            <v>3943</v>
          </cell>
          <cell r="J3238">
            <v>0.13368003282275712</v>
          </cell>
        </row>
        <row r="3239">
          <cell r="I3239">
            <v>3944</v>
          </cell>
          <cell r="J3239">
            <v>0.13368271334792123</v>
          </cell>
        </row>
        <row r="3240">
          <cell r="I3240">
            <v>3945</v>
          </cell>
          <cell r="J3240">
            <v>0.13368539387308534</v>
          </cell>
        </row>
        <row r="3241">
          <cell r="I3241">
            <v>3946</v>
          </cell>
          <cell r="J3241">
            <v>0.13368807439824945</v>
          </cell>
        </row>
        <row r="3242">
          <cell r="I3242">
            <v>3947</v>
          </cell>
          <cell r="J3242">
            <v>0.13369075492341356</v>
          </cell>
        </row>
        <row r="3243">
          <cell r="I3243">
            <v>3948</v>
          </cell>
          <cell r="J3243">
            <v>0.13369343544857767</v>
          </cell>
        </row>
        <row r="3244">
          <cell r="I3244">
            <v>3949</v>
          </cell>
          <cell r="J3244">
            <v>0.13369611597374179</v>
          </cell>
        </row>
        <row r="3245">
          <cell r="I3245">
            <v>3950</v>
          </cell>
          <cell r="J3245">
            <v>0.1336987964989059</v>
          </cell>
        </row>
        <row r="3246">
          <cell r="I3246">
            <v>3951</v>
          </cell>
          <cell r="J3246">
            <v>0.13370147702407001</v>
          </cell>
        </row>
        <row r="3247">
          <cell r="I3247">
            <v>3952</v>
          </cell>
          <cell r="J3247">
            <v>0.13370415754923412</v>
          </cell>
        </row>
        <row r="3248">
          <cell r="I3248">
            <v>3953</v>
          </cell>
          <cell r="J3248">
            <v>0.13370683807439823</v>
          </cell>
        </row>
        <row r="3249">
          <cell r="I3249">
            <v>3954</v>
          </cell>
          <cell r="J3249">
            <v>0.13370951859956234</v>
          </cell>
        </row>
        <row r="3250">
          <cell r="I3250">
            <v>3955</v>
          </cell>
          <cell r="J3250">
            <v>0.13371219912472648</v>
          </cell>
        </row>
        <row r="3251">
          <cell r="I3251">
            <v>3956</v>
          </cell>
          <cell r="J3251">
            <v>0.13371487964989059</v>
          </cell>
        </row>
        <row r="3252">
          <cell r="I3252">
            <v>3957</v>
          </cell>
          <cell r="J3252">
            <v>0.13371756017505471</v>
          </cell>
        </row>
        <row r="3253">
          <cell r="I3253">
            <v>3958</v>
          </cell>
          <cell r="J3253">
            <v>0.13372024070021882</v>
          </cell>
        </row>
        <row r="3254">
          <cell r="I3254">
            <v>3959</v>
          </cell>
          <cell r="J3254">
            <v>0.13372292122538293</v>
          </cell>
        </row>
        <row r="3255">
          <cell r="I3255">
            <v>3960</v>
          </cell>
          <cell r="J3255">
            <v>0.13372560175054704</v>
          </cell>
        </row>
        <row r="3256">
          <cell r="I3256">
            <v>3961</v>
          </cell>
          <cell r="J3256">
            <v>0.13372828227571115</v>
          </cell>
        </row>
        <row r="3257">
          <cell r="I3257">
            <v>3962</v>
          </cell>
          <cell r="J3257">
            <v>0.13373096280087526</v>
          </cell>
        </row>
        <row r="3258">
          <cell r="I3258">
            <v>3963</v>
          </cell>
          <cell r="J3258">
            <v>0.13373364332603938</v>
          </cell>
        </row>
        <row r="3259">
          <cell r="I3259">
            <v>3964</v>
          </cell>
          <cell r="J3259">
            <v>0.13373632385120349</v>
          </cell>
        </row>
        <row r="3260">
          <cell r="I3260">
            <v>3965</v>
          </cell>
          <cell r="J3260">
            <v>0.1337390043763676</v>
          </cell>
        </row>
        <row r="3261">
          <cell r="I3261">
            <v>3966</v>
          </cell>
          <cell r="J3261">
            <v>0.13374168490153171</v>
          </cell>
        </row>
        <row r="3262">
          <cell r="I3262">
            <v>3967</v>
          </cell>
          <cell r="J3262">
            <v>0.13374436542669585</v>
          </cell>
        </row>
        <row r="3263">
          <cell r="I3263">
            <v>3968</v>
          </cell>
          <cell r="J3263">
            <v>0.13374704595185996</v>
          </cell>
        </row>
        <row r="3264">
          <cell r="I3264">
            <v>3969</v>
          </cell>
          <cell r="J3264">
            <v>0.13374972647702407</v>
          </cell>
        </row>
        <row r="3265">
          <cell r="I3265">
            <v>3970</v>
          </cell>
          <cell r="J3265">
            <v>0.13375240700218818</v>
          </cell>
        </row>
        <row r="3266">
          <cell r="I3266">
            <v>3971</v>
          </cell>
          <cell r="J3266">
            <v>0.1337550875273523</v>
          </cell>
        </row>
        <row r="3267">
          <cell r="I3267">
            <v>3972</v>
          </cell>
          <cell r="J3267">
            <v>0.13375776805251641</v>
          </cell>
        </row>
        <row r="3268">
          <cell r="I3268">
            <v>3973</v>
          </cell>
          <cell r="J3268">
            <v>0.13376044857768052</v>
          </cell>
        </row>
        <row r="3269">
          <cell r="I3269">
            <v>3974</v>
          </cell>
          <cell r="J3269">
            <v>0.13376312910284463</v>
          </cell>
        </row>
        <row r="3270">
          <cell r="I3270">
            <v>3975</v>
          </cell>
          <cell r="J3270">
            <v>0.13376580962800874</v>
          </cell>
        </row>
        <row r="3271">
          <cell r="I3271">
            <v>3976</v>
          </cell>
          <cell r="J3271">
            <v>0.13376849015317285</v>
          </cell>
        </row>
        <row r="3272">
          <cell r="I3272">
            <v>3977</v>
          </cell>
          <cell r="J3272">
            <v>0.13377117067833696</v>
          </cell>
        </row>
        <row r="3273">
          <cell r="I3273">
            <v>3978</v>
          </cell>
          <cell r="J3273">
            <v>0.13377385120350108</v>
          </cell>
        </row>
        <row r="3274">
          <cell r="I3274">
            <v>3979</v>
          </cell>
          <cell r="J3274">
            <v>0.13377653172866519</v>
          </cell>
        </row>
        <row r="3275">
          <cell r="I3275">
            <v>3980</v>
          </cell>
          <cell r="J3275">
            <v>0.13377921225382933</v>
          </cell>
        </row>
        <row r="3276">
          <cell r="I3276">
            <v>3981</v>
          </cell>
          <cell r="J3276">
            <v>0.13378189277899344</v>
          </cell>
        </row>
        <row r="3277">
          <cell r="I3277">
            <v>3982</v>
          </cell>
          <cell r="J3277">
            <v>0.13378457330415755</v>
          </cell>
        </row>
        <row r="3278">
          <cell r="I3278">
            <v>3983</v>
          </cell>
          <cell r="J3278">
            <v>0.13378725382932166</v>
          </cell>
        </row>
        <row r="3279">
          <cell r="I3279">
            <v>3984</v>
          </cell>
          <cell r="J3279">
            <v>0.13378993435448577</v>
          </cell>
        </row>
        <row r="3280">
          <cell r="I3280">
            <v>3985</v>
          </cell>
          <cell r="J3280">
            <v>0.13379261487964988</v>
          </cell>
        </row>
        <row r="3281">
          <cell r="I3281">
            <v>3986</v>
          </cell>
          <cell r="J3281">
            <v>0.133795295404814</v>
          </cell>
        </row>
        <row r="3282">
          <cell r="I3282">
            <v>3987</v>
          </cell>
          <cell r="J3282">
            <v>0.13379797592997811</v>
          </cell>
        </row>
        <row r="3283">
          <cell r="I3283">
            <v>3988</v>
          </cell>
          <cell r="J3283">
            <v>0.13380065645514222</v>
          </cell>
        </row>
        <row r="3284">
          <cell r="I3284">
            <v>3989</v>
          </cell>
          <cell r="J3284">
            <v>0.13380333698030633</v>
          </cell>
        </row>
        <row r="3285">
          <cell r="I3285">
            <v>3990</v>
          </cell>
          <cell r="J3285">
            <v>0.13380601750547044</v>
          </cell>
        </row>
        <row r="3286">
          <cell r="I3286">
            <v>3991</v>
          </cell>
          <cell r="J3286">
            <v>0.13380869803063455</v>
          </cell>
        </row>
        <row r="3287">
          <cell r="I3287">
            <v>3992</v>
          </cell>
          <cell r="J3287">
            <v>0.13381137855579869</v>
          </cell>
        </row>
        <row r="3288">
          <cell r="I3288">
            <v>3993</v>
          </cell>
          <cell r="J3288">
            <v>0.1338140590809628</v>
          </cell>
        </row>
        <row r="3289">
          <cell r="I3289">
            <v>3994</v>
          </cell>
          <cell r="J3289">
            <v>0.13381673960612692</v>
          </cell>
        </row>
        <row r="3290">
          <cell r="I3290">
            <v>3995</v>
          </cell>
          <cell r="J3290">
            <v>0.13381942013129103</v>
          </cell>
        </row>
        <row r="3291">
          <cell r="I3291">
            <v>3996</v>
          </cell>
          <cell r="J3291">
            <v>0.13382210065645514</v>
          </cell>
        </row>
        <row r="3292">
          <cell r="I3292">
            <v>3997</v>
          </cell>
          <cell r="J3292">
            <v>0.13382478118161925</v>
          </cell>
        </row>
        <row r="3293">
          <cell r="I3293">
            <v>3998</v>
          </cell>
          <cell r="J3293">
            <v>0.13382746170678336</v>
          </cell>
        </row>
        <row r="3294">
          <cell r="I3294">
            <v>3999</v>
          </cell>
          <cell r="J3294">
            <v>0.13383014223194747</v>
          </cell>
        </row>
        <row r="3295">
          <cell r="I3295">
            <v>4000</v>
          </cell>
          <cell r="J3295">
            <v>0.13383282275711159</v>
          </cell>
        </row>
        <row r="3296">
          <cell r="I3296">
            <v>4001</v>
          </cell>
          <cell r="J3296">
            <v>0.1338355032822757</v>
          </cell>
        </row>
        <row r="3297">
          <cell r="I3297">
            <v>4002</v>
          </cell>
          <cell r="J3297">
            <v>0.13383818380743981</v>
          </cell>
        </row>
        <row r="3298">
          <cell r="I3298">
            <v>4003</v>
          </cell>
          <cell r="J3298">
            <v>0.13384086433260392</v>
          </cell>
        </row>
        <row r="3299">
          <cell r="I3299">
            <v>4004</v>
          </cell>
          <cell r="J3299">
            <v>0.13384354485776806</v>
          </cell>
        </row>
        <row r="3300">
          <cell r="I3300">
            <v>4005</v>
          </cell>
          <cell r="J3300">
            <v>0.13384622538293217</v>
          </cell>
        </row>
        <row r="3301">
          <cell r="I3301">
            <v>4006</v>
          </cell>
          <cell r="J3301">
            <v>0.13384890590809628</v>
          </cell>
        </row>
        <row r="3302">
          <cell r="I3302">
            <v>4007</v>
          </cell>
          <cell r="J3302">
            <v>0.13385158643326039</v>
          </cell>
        </row>
        <row r="3303">
          <cell r="I3303">
            <v>4008</v>
          </cell>
          <cell r="J3303">
            <v>0.13385426695842451</v>
          </cell>
        </row>
        <row r="3304">
          <cell r="I3304">
            <v>4009</v>
          </cell>
          <cell r="J3304">
            <v>0.13385694748358862</v>
          </cell>
        </row>
        <row r="3305">
          <cell r="I3305">
            <v>4010</v>
          </cell>
          <cell r="J3305">
            <v>0.13385962800875273</v>
          </cell>
        </row>
        <row r="3306">
          <cell r="I3306">
            <v>4011</v>
          </cell>
          <cell r="J3306">
            <v>0.13386230853391684</v>
          </cell>
        </row>
        <row r="3307">
          <cell r="I3307">
            <v>4012</v>
          </cell>
          <cell r="J3307">
            <v>0.13386498905908095</v>
          </cell>
        </row>
        <row r="3308">
          <cell r="I3308">
            <v>4013</v>
          </cell>
          <cell r="J3308">
            <v>0.13386766958424506</v>
          </cell>
        </row>
        <row r="3309">
          <cell r="I3309">
            <v>4014</v>
          </cell>
          <cell r="J3309">
            <v>0.13387035010940918</v>
          </cell>
        </row>
        <row r="3310">
          <cell r="I3310">
            <v>4015</v>
          </cell>
          <cell r="J3310">
            <v>0.13387303063457329</v>
          </cell>
        </row>
        <row r="3311">
          <cell r="I3311">
            <v>4016</v>
          </cell>
          <cell r="J3311">
            <v>0.1338757111597374</v>
          </cell>
        </row>
        <row r="3312">
          <cell r="I3312">
            <v>4017</v>
          </cell>
          <cell r="J3312">
            <v>0.13387839168490154</v>
          </cell>
        </row>
        <row r="3313">
          <cell r="I3313">
            <v>4018</v>
          </cell>
          <cell r="J3313">
            <v>0.13388107221006565</v>
          </cell>
        </row>
        <row r="3314">
          <cell r="I3314">
            <v>4019</v>
          </cell>
          <cell r="J3314">
            <v>0.13388375273522976</v>
          </cell>
        </row>
        <row r="3315">
          <cell r="I3315">
            <v>4020</v>
          </cell>
          <cell r="J3315">
            <v>0.13388643326039387</v>
          </cell>
        </row>
        <row r="3316">
          <cell r="I3316">
            <v>4021</v>
          </cell>
          <cell r="J3316">
            <v>0.13388911378555798</v>
          </cell>
        </row>
        <row r="3317">
          <cell r="I3317">
            <v>4022</v>
          </cell>
          <cell r="J3317">
            <v>0.1338917943107221</v>
          </cell>
        </row>
        <row r="3318">
          <cell r="I3318">
            <v>4023</v>
          </cell>
          <cell r="J3318">
            <v>0.13389447483588621</v>
          </cell>
        </row>
        <row r="3319">
          <cell r="I3319">
            <v>4024</v>
          </cell>
          <cell r="J3319">
            <v>0.13389715536105032</v>
          </cell>
        </row>
        <row r="3320">
          <cell r="I3320">
            <v>4025</v>
          </cell>
          <cell r="J3320">
            <v>0.13389983588621443</v>
          </cell>
        </row>
        <row r="3321">
          <cell r="I3321">
            <v>4026</v>
          </cell>
          <cell r="J3321">
            <v>0.13390251641137854</v>
          </cell>
        </row>
        <row r="3322">
          <cell r="I3322">
            <v>4027</v>
          </cell>
          <cell r="J3322">
            <v>0.13390519693654265</v>
          </cell>
        </row>
        <row r="3323">
          <cell r="I3323">
            <v>4028</v>
          </cell>
          <cell r="J3323">
            <v>0.13390787746170676</v>
          </cell>
        </row>
        <row r="3324">
          <cell r="I3324">
            <v>4029</v>
          </cell>
          <cell r="J3324">
            <v>0.1339105579868709</v>
          </cell>
        </row>
        <row r="3325">
          <cell r="I3325">
            <v>4030</v>
          </cell>
          <cell r="J3325">
            <v>0.13391323851203502</v>
          </cell>
        </row>
        <row r="3326">
          <cell r="I3326">
            <v>4031</v>
          </cell>
          <cell r="J3326">
            <v>0.13391591903719913</v>
          </cell>
        </row>
        <row r="3327">
          <cell r="I3327">
            <v>4032</v>
          </cell>
          <cell r="J3327">
            <v>0.13391859956236324</v>
          </cell>
        </row>
        <row r="3328">
          <cell r="I3328">
            <v>4033</v>
          </cell>
          <cell r="J3328">
            <v>0.13392128008752735</v>
          </cell>
        </row>
        <row r="3329">
          <cell r="I3329">
            <v>4034</v>
          </cell>
          <cell r="J3329">
            <v>0.13392396061269146</v>
          </cell>
        </row>
        <row r="3330">
          <cell r="I3330">
            <v>4035</v>
          </cell>
          <cell r="J3330">
            <v>0.13392664113785557</v>
          </cell>
        </row>
        <row r="3331">
          <cell r="I3331">
            <v>4036</v>
          </cell>
          <cell r="J3331">
            <v>0.13392932166301968</v>
          </cell>
        </row>
        <row r="3332">
          <cell r="I3332">
            <v>4037</v>
          </cell>
          <cell r="J3332">
            <v>0.1339320021881838</v>
          </cell>
        </row>
        <row r="3333">
          <cell r="I3333">
            <v>4038</v>
          </cell>
          <cell r="J3333">
            <v>0.13393468271334791</v>
          </cell>
        </row>
        <row r="3334">
          <cell r="I3334">
            <v>4039</v>
          </cell>
          <cell r="J3334">
            <v>0.13393736323851202</v>
          </cell>
        </row>
        <row r="3335">
          <cell r="I3335">
            <v>4040</v>
          </cell>
          <cell r="J3335">
            <v>0.13394004376367613</v>
          </cell>
        </row>
        <row r="3336">
          <cell r="I3336">
            <v>4041</v>
          </cell>
          <cell r="J3336">
            <v>0.13394272428884024</v>
          </cell>
        </row>
        <row r="3337">
          <cell r="I3337">
            <v>4042</v>
          </cell>
          <cell r="J3337">
            <v>0.13394540481400438</v>
          </cell>
        </row>
        <row r="3338">
          <cell r="I3338">
            <v>4043</v>
          </cell>
          <cell r="J3338">
            <v>0.13394808533916849</v>
          </cell>
        </row>
        <row r="3339">
          <cell r="I3339">
            <v>4044</v>
          </cell>
          <cell r="J3339">
            <v>0.1339507658643326</v>
          </cell>
        </row>
        <row r="3340">
          <cell r="I3340">
            <v>4045</v>
          </cell>
          <cell r="J3340">
            <v>0.13395344638949672</v>
          </cell>
        </row>
        <row r="3341">
          <cell r="I3341">
            <v>4046</v>
          </cell>
          <cell r="J3341">
            <v>0.13395612691466083</v>
          </cell>
        </row>
        <row r="3342">
          <cell r="I3342">
            <v>4047</v>
          </cell>
          <cell r="J3342">
            <v>0.13395880743982494</v>
          </cell>
        </row>
        <row r="3343">
          <cell r="I3343">
            <v>4048</v>
          </cell>
          <cell r="J3343">
            <v>0.13396148796498905</v>
          </cell>
        </row>
        <row r="3344">
          <cell r="I3344">
            <v>4049</v>
          </cell>
          <cell r="J3344">
            <v>0.13396416849015316</v>
          </cell>
        </row>
        <row r="3345">
          <cell r="I3345">
            <v>4050</v>
          </cell>
          <cell r="J3345">
            <v>0.13396684901531727</v>
          </cell>
        </row>
        <row r="3346">
          <cell r="I3346">
            <v>4051</v>
          </cell>
          <cell r="J3346">
            <v>0.13396952954048139</v>
          </cell>
        </row>
        <row r="3347">
          <cell r="I3347">
            <v>4052</v>
          </cell>
          <cell r="J3347">
            <v>0.1339722100656455</v>
          </cell>
        </row>
        <row r="3348">
          <cell r="I3348">
            <v>4053</v>
          </cell>
          <cell r="J3348">
            <v>0.13397489059080961</v>
          </cell>
        </row>
        <row r="3349">
          <cell r="I3349">
            <v>4054</v>
          </cell>
          <cell r="J3349">
            <v>0.13397757111597375</v>
          </cell>
        </row>
        <row r="3350">
          <cell r="I3350">
            <v>4055</v>
          </cell>
          <cell r="J3350">
            <v>0.13398025164113786</v>
          </cell>
        </row>
        <row r="3351">
          <cell r="I3351">
            <v>4056</v>
          </cell>
          <cell r="J3351">
            <v>0.13398293216630197</v>
          </cell>
        </row>
        <row r="3352">
          <cell r="I3352">
            <v>4057</v>
          </cell>
          <cell r="J3352">
            <v>0.13398561269146608</v>
          </cell>
        </row>
        <row r="3353">
          <cell r="I3353">
            <v>4058</v>
          </cell>
          <cell r="J3353">
            <v>0.13398829321663019</v>
          </cell>
        </row>
        <row r="3354">
          <cell r="I3354">
            <v>4059</v>
          </cell>
          <cell r="J3354">
            <v>0.13399097374179431</v>
          </cell>
        </row>
        <row r="3355">
          <cell r="I3355">
            <v>4060</v>
          </cell>
          <cell r="J3355">
            <v>0.13399365426695842</v>
          </cell>
        </row>
        <row r="3356">
          <cell r="I3356">
            <v>4061</v>
          </cell>
          <cell r="J3356">
            <v>0.13399633479212253</v>
          </cell>
        </row>
        <row r="3357">
          <cell r="I3357">
            <v>4062</v>
          </cell>
          <cell r="J3357">
            <v>0.13399901531728664</v>
          </cell>
        </row>
        <row r="3358">
          <cell r="I3358">
            <v>4063</v>
          </cell>
          <cell r="J3358">
            <v>0.13400169584245075</v>
          </cell>
        </row>
        <row r="3359">
          <cell r="I3359">
            <v>4064</v>
          </cell>
          <cell r="J3359">
            <v>0.13400437636761486</v>
          </cell>
        </row>
        <row r="3360">
          <cell r="I3360">
            <v>4065</v>
          </cell>
          <cell r="J3360">
            <v>0.13400705689277898</v>
          </cell>
        </row>
        <row r="3361">
          <cell r="I3361">
            <v>4066</v>
          </cell>
          <cell r="J3361">
            <v>0.13400973741794311</v>
          </cell>
        </row>
        <row r="3362">
          <cell r="I3362">
            <v>4067</v>
          </cell>
          <cell r="J3362">
            <v>0.13401241794310723</v>
          </cell>
        </row>
        <row r="3363">
          <cell r="I3363">
            <v>4068</v>
          </cell>
          <cell r="J3363">
            <v>0.13401509846827134</v>
          </cell>
        </row>
        <row r="3364">
          <cell r="I3364">
            <v>4069</v>
          </cell>
          <cell r="J3364">
            <v>0.13401777899343545</v>
          </cell>
        </row>
        <row r="3365">
          <cell r="I3365">
            <v>4070</v>
          </cell>
          <cell r="J3365">
            <v>0.13402045951859956</v>
          </cell>
        </row>
        <row r="3366">
          <cell r="I3366">
            <v>4071</v>
          </cell>
          <cell r="J3366">
            <v>0.13402314004376367</v>
          </cell>
        </row>
        <row r="3367">
          <cell r="I3367">
            <v>4072</v>
          </cell>
          <cell r="J3367">
            <v>0.13402582056892778</v>
          </cell>
        </row>
        <row r="3368">
          <cell r="I3368">
            <v>4073</v>
          </cell>
          <cell r="J3368">
            <v>0.1340285010940919</v>
          </cell>
        </row>
        <row r="3369">
          <cell r="I3369">
            <v>4074</v>
          </cell>
          <cell r="J3369">
            <v>0.13403118161925601</v>
          </cell>
        </row>
        <row r="3370">
          <cell r="I3370">
            <v>4075</v>
          </cell>
          <cell r="J3370">
            <v>0.13403386214442012</v>
          </cell>
        </row>
        <row r="3371">
          <cell r="I3371">
            <v>4076</v>
          </cell>
          <cell r="J3371">
            <v>0.13403654266958423</v>
          </cell>
        </row>
        <row r="3372">
          <cell r="I3372">
            <v>4077</v>
          </cell>
          <cell r="J3372">
            <v>0.13403922319474834</v>
          </cell>
        </row>
        <row r="3373">
          <cell r="I3373">
            <v>4078</v>
          </cell>
          <cell r="J3373">
            <v>0.13404190371991245</v>
          </cell>
        </row>
        <row r="3374">
          <cell r="I3374">
            <v>4079</v>
          </cell>
          <cell r="J3374">
            <v>0.13404458424507659</v>
          </cell>
        </row>
        <row r="3375">
          <cell r="I3375">
            <v>4080</v>
          </cell>
          <cell r="J3375">
            <v>0.1340472647702407</v>
          </cell>
        </row>
        <row r="3376">
          <cell r="I3376">
            <v>4081</v>
          </cell>
          <cell r="J3376">
            <v>0.13404994529540482</v>
          </cell>
        </row>
        <row r="3377">
          <cell r="I3377">
            <v>4082</v>
          </cell>
          <cell r="J3377">
            <v>0.13405262582056893</v>
          </cell>
        </row>
        <row r="3378">
          <cell r="I3378">
            <v>4083</v>
          </cell>
          <cell r="J3378">
            <v>0.13405530634573304</v>
          </cell>
        </row>
        <row r="3379">
          <cell r="I3379">
            <v>4084</v>
          </cell>
          <cell r="J3379">
            <v>0.13405798687089715</v>
          </cell>
        </row>
        <row r="3380">
          <cell r="I3380">
            <v>4085</v>
          </cell>
          <cell r="J3380">
            <v>0.13406066739606126</v>
          </cell>
        </row>
        <row r="3381">
          <cell r="I3381">
            <v>4086</v>
          </cell>
          <cell r="J3381">
            <v>0.13406334792122537</v>
          </cell>
        </row>
        <row r="3382">
          <cell r="I3382">
            <v>4087</v>
          </cell>
          <cell r="J3382">
            <v>0.13406602844638948</v>
          </cell>
        </row>
        <row r="3383">
          <cell r="I3383">
            <v>4088</v>
          </cell>
          <cell r="J3383">
            <v>0.1340687089715536</v>
          </cell>
        </row>
        <row r="3384">
          <cell r="I3384">
            <v>4089</v>
          </cell>
          <cell r="J3384">
            <v>0.13407138949671771</v>
          </cell>
        </row>
        <row r="3385">
          <cell r="I3385">
            <v>4090</v>
          </cell>
          <cell r="J3385">
            <v>0.13407407002188182</v>
          </cell>
        </row>
        <row r="3386">
          <cell r="I3386">
            <v>4091</v>
          </cell>
          <cell r="J3386">
            <v>0.13407675054704596</v>
          </cell>
        </row>
        <row r="3387">
          <cell r="I3387">
            <v>4092</v>
          </cell>
          <cell r="J3387">
            <v>0.13407943107221007</v>
          </cell>
        </row>
        <row r="3388">
          <cell r="I3388">
            <v>4093</v>
          </cell>
          <cell r="J3388">
            <v>0.13408211159737418</v>
          </cell>
        </row>
        <row r="3389">
          <cell r="I3389">
            <v>4094</v>
          </cell>
          <cell r="J3389">
            <v>0.13408479212253829</v>
          </cell>
        </row>
        <row r="3390">
          <cell r="I3390">
            <v>4095</v>
          </cell>
          <cell r="J3390">
            <v>0.1340874726477024</v>
          </cell>
        </row>
        <row r="3391">
          <cell r="I3391">
            <v>4096</v>
          </cell>
          <cell r="J3391">
            <v>0.13409015317286652</v>
          </cell>
        </row>
        <row r="3392">
          <cell r="I3392">
            <v>4097</v>
          </cell>
          <cell r="J3392">
            <v>0.13409283369803063</v>
          </cell>
        </row>
        <row r="3393">
          <cell r="I3393">
            <v>4098</v>
          </cell>
          <cell r="J3393">
            <v>0.13409551422319474</v>
          </cell>
        </row>
        <row r="3394">
          <cell r="I3394">
            <v>4099</v>
          </cell>
          <cell r="J3394">
            <v>0.13409819474835885</v>
          </cell>
        </row>
        <row r="3395">
          <cell r="I3395">
            <v>4100</v>
          </cell>
          <cell r="J3395">
            <v>0.13410087527352296</v>
          </cell>
        </row>
        <row r="3396">
          <cell r="I3396">
            <v>4101</v>
          </cell>
          <cell r="J3396">
            <v>0.13410355579868707</v>
          </cell>
        </row>
        <row r="3397">
          <cell r="I3397">
            <v>4102</v>
          </cell>
          <cell r="J3397">
            <v>0.13410623632385119</v>
          </cell>
        </row>
        <row r="3398">
          <cell r="I3398">
            <v>4103</v>
          </cell>
          <cell r="J3398">
            <v>0.13410891684901532</v>
          </cell>
        </row>
        <row r="3399">
          <cell r="I3399">
            <v>4104</v>
          </cell>
          <cell r="J3399">
            <v>0.13411159737417944</v>
          </cell>
        </row>
        <row r="3400">
          <cell r="I3400">
            <v>4105</v>
          </cell>
          <cell r="J3400">
            <v>0.13411427789934355</v>
          </cell>
        </row>
        <row r="3401">
          <cell r="I3401">
            <v>4106</v>
          </cell>
          <cell r="J3401">
            <v>0.13411695842450766</v>
          </cell>
        </row>
        <row r="3402">
          <cell r="I3402">
            <v>4107</v>
          </cell>
          <cell r="J3402">
            <v>0.13411963894967177</v>
          </cell>
        </row>
        <row r="3403">
          <cell r="I3403">
            <v>4108</v>
          </cell>
          <cell r="J3403">
            <v>0.13412231947483588</v>
          </cell>
        </row>
        <row r="3404">
          <cell r="I3404">
            <v>4109</v>
          </cell>
          <cell r="J3404">
            <v>0.13412499999999999</v>
          </cell>
        </row>
        <row r="3405">
          <cell r="I3405">
            <v>4110</v>
          </cell>
          <cell r="J3405">
            <v>0.13412768052516411</v>
          </cell>
        </row>
        <row r="3406">
          <cell r="I3406">
            <v>4111</v>
          </cell>
          <cell r="J3406">
            <v>0.13413036105032822</v>
          </cell>
        </row>
        <row r="3407">
          <cell r="I3407">
            <v>4112</v>
          </cell>
          <cell r="J3407">
            <v>0.13413304157549233</v>
          </cell>
        </row>
        <row r="3408">
          <cell r="I3408">
            <v>4113</v>
          </cell>
          <cell r="J3408">
            <v>0.13413572210065644</v>
          </cell>
        </row>
        <row r="3409">
          <cell r="I3409">
            <v>4114</v>
          </cell>
          <cell r="J3409">
            <v>0.13413840262582055</v>
          </cell>
        </row>
        <row r="3410">
          <cell r="I3410">
            <v>4115</v>
          </cell>
          <cell r="J3410">
            <v>0.13414108315098466</v>
          </cell>
        </row>
        <row r="3411">
          <cell r="I3411">
            <v>4116</v>
          </cell>
          <cell r="J3411">
            <v>0.1341437636761488</v>
          </cell>
        </row>
        <row r="3412">
          <cell r="I3412">
            <v>4117</v>
          </cell>
          <cell r="J3412">
            <v>0.13414644420131291</v>
          </cell>
        </row>
        <row r="3413">
          <cell r="I3413">
            <v>4118</v>
          </cell>
          <cell r="J3413">
            <v>0.13414912472647703</v>
          </cell>
        </row>
        <row r="3414">
          <cell r="I3414">
            <v>4119</v>
          </cell>
          <cell r="J3414">
            <v>0.13415180525164114</v>
          </cell>
        </row>
        <row r="3415">
          <cell r="I3415">
            <v>4120</v>
          </cell>
          <cell r="J3415">
            <v>0.13415448577680525</v>
          </cell>
        </row>
        <row r="3416">
          <cell r="I3416">
            <v>4121</v>
          </cell>
          <cell r="J3416">
            <v>0.13415716630196936</v>
          </cell>
        </row>
        <row r="3417">
          <cell r="I3417">
            <v>4122</v>
          </cell>
          <cell r="J3417">
            <v>0.13415984682713347</v>
          </cell>
        </row>
        <row r="3418">
          <cell r="I3418">
            <v>4123</v>
          </cell>
          <cell r="J3418">
            <v>0.13416252735229758</v>
          </cell>
        </row>
        <row r="3419">
          <cell r="I3419">
            <v>4124</v>
          </cell>
          <cell r="J3419">
            <v>0.1341652078774617</v>
          </cell>
        </row>
        <row r="3420">
          <cell r="I3420">
            <v>4125</v>
          </cell>
          <cell r="J3420">
            <v>0.13416788840262581</v>
          </cell>
        </row>
        <row r="3421">
          <cell r="I3421">
            <v>4126</v>
          </cell>
          <cell r="J3421">
            <v>0.13417056892778992</v>
          </cell>
        </row>
        <row r="3422">
          <cell r="I3422">
            <v>4127</v>
          </cell>
          <cell r="J3422">
            <v>0.13417324945295403</v>
          </cell>
        </row>
        <row r="3423">
          <cell r="I3423">
            <v>4128</v>
          </cell>
          <cell r="J3423">
            <v>0.13417592997811817</v>
          </cell>
        </row>
        <row r="3424">
          <cell r="I3424">
            <v>4129</v>
          </cell>
          <cell r="J3424">
            <v>0.13417861050328228</v>
          </cell>
        </row>
        <row r="3425">
          <cell r="I3425">
            <v>4130</v>
          </cell>
          <cell r="J3425">
            <v>0.13418129102844639</v>
          </cell>
        </row>
        <row r="3426">
          <cell r="I3426">
            <v>4131</v>
          </cell>
          <cell r="J3426">
            <v>0.1341839715536105</v>
          </cell>
        </row>
        <row r="3427">
          <cell r="I3427">
            <v>4132</v>
          </cell>
          <cell r="J3427">
            <v>0.13418665207877462</v>
          </cell>
        </row>
        <row r="3428">
          <cell r="I3428">
            <v>4133</v>
          </cell>
          <cell r="J3428">
            <v>0.13418933260393873</v>
          </cell>
        </row>
        <row r="3429">
          <cell r="I3429">
            <v>4134</v>
          </cell>
          <cell r="J3429">
            <v>0.13419201312910284</v>
          </cell>
        </row>
        <row r="3430">
          <cell r="I3430">
            <v>4135</v>
          </cell>
          <cell r="J3430">
            <v>0.13419469365426695</v>
          </cell>
        </row>
        <row r="3431">
          <cell r="I3431">
            <v>4136</v>
          </cell>
          <cell r="J3431">
            <v>0.13419737417943106</v>
          </cell>
        </row>
        <row r="3432">
          <cell r="I3432">
            <v>4137</v>
          </cell>
          <cell r="J3432">
            <v>0.13420005470459517</v>
          </cell>
        </row>
        <row r="3433">
          <cell r="I3433">
            <v>4138</v>
          </cell>
          <cell r="J3433">
            <v>0.13420273522975928</v>
          </cell>
        </row>
        <row r="3434">
          <cell r="I3434">
            <v>4139</v>
          </cell>
          <cell r="J3434">
            <v>0.1342054157549234</v>
          </cell>
        </row>
        <row r="3435">
          <cell r="I3435">
            <v>4140</v>
          </cell>
          <cell r="J3435">
            <v>0.13420809628008754</v>
          </cell>
        </row>
        <row r="3436">
          <cell r="I3436">
            <v>4141</v>
          </cell>
          <cell r="J3436">
            <v>0.13421077680525165</v>
          </cell>
        </row>
        <row r="3437">
          <cell r="I3437">
            <v>4142</v>
          </cell>
          <cell r="J3437">
            <v>0.13421345733041576</v>
          </cell>
        </row>
        <row r="3438">
          <cell r="I3438">
            <v>4143</v>
          </cell>
          <cell r="J3438">
            <v>0.13421613785557987</v>
          </cell>
        </row>
        <row r="3439">
          <cell r="I3439">
            <v>4144</v>
          </cell>
          <cell r="J3439">
            <v>0.13421881838074398</v>
          </cell>
        </row>
        <row r="3440">
          <cell r="I3440">
            <v>4145</v>
          </cell>
          <cell r="J3440">
            <v>0.13422149890590809</v>
          </cell>
        </row>
        <row r="3441">
          <cell r="I3441">
            <v>4146</v>
          </cell>
          <cell r="J3441">
            <v>0.1342241794310722</v>
          </cell>
        </row>
        <row r="3442">
          <cell r="I3442">
            <v>4147</v>
          </cell>
          <cell r="J3442">
            <v>0.13422685995623632</v>
          </cell>
        </row>
        <row r="3443">
          <cell r="I3443">
            <v>4148</v>
          </cell>
          <cell r="J3443">
            <v>0.13422954048140043</v>
          </cell>
        </row>
        <row r="3444">
          <cell r="I3444">
            <v>4149</v>
          </cell>
          <cell r="J3444">
            <v>0.13423222100656454</v>
          </cell>
        </row>
        <row r="3445">
          <cell r="I3445">
            <v>4150</v>
          </cell>
          <cell r="J3445">
            <v>0.13423490153172865</v>
          </cell>
        </row>
        <row r="3446">
          <cell r="I3446">
            <v>4151</v>
          </cell>
          <cell r="J3446">
            <v>0.13423758205689276</v>
          </cell>
        </row>
        <row r="3447">
          <cell r="I3447">
            <v>4152</v>
          </cell>
          <cell r="J3447">
            <v>0.13424026258205687</v>
          </cell>
        </row>
        <row r="3448">
          <cell r="I3448">
            <v>4153</v>
          </cell>
          <cell r="J3448">
            <v>0.13424294310722101</v>
          </cell>
        </row>
        <row r="3449">
          <cell r="I3449">
            <v>4154</v>
          </cell>
          <cell r="J3449">
            <v>0.13424562363238512</v>
          </cell>
        </row>
        <row r="3450">
          <cell r="I3450">
            <v>4155</v>
          </cell>
          <cell r="J3450">
            <v>0.13424830415754924</v>
          </cell>
        </row>
        <row r="3451">
          <cell r="I3451">
            <v>4156</v>
          </cell>
          <cell r="J3451">
            <v>0.13425098468271335</v>
          </cell>
        </row>
        <row r="3452">
          <cell r="I3452">
            <v>4157</v>
          </cell>
          <cell r="J3452">
            <v>0.13425366520787746</v>
          </cell>
        </row>
        <row r="3453">
          <cell r="I3453">
            <v>4158</v>
          </cell>
          <cell r="J3453">
            <v>0.13425634573304157</v>
          </cell>
        </row>
        <row r="3454">
          <cell r="I3454">
            <v>4159</v>
          </cell>
          <cell r="J3454">
            <v>0.13425902625820568</v>
          </cell>
        </row>
        <row r="3455">
          <cell r="I3455">
            <v>4160</v>
          </cell>
          <cell r="J3455">
            <v>0.13426170678336979</v>
          </cell>
        </row>
        <row r="3456">
          <cell r="I3456">
            <v>4161</v>
          </cell>
          <cell r="J3456">
            <v>0.13426438730853391</v>
          </cell>
        </row>
        <row r="3457">
          <cell r="I3457">
            <v>4162</v>
          </cell>
          <cell r="J3457">
            <v>0.13426706783369802</v>
          </cell>
        </row>
        <row r="3458">
          <cell r="I3458">
            <v>4163</v>
          </cell>
          <cell r="J3458">
            <v>0.13426974835886213</v>
          </cell>
        </row>
        <row r="3459">
          <cell r="I3459">
            <v>4164</v>
          </cell>
          <cell r="J3459">
            <v>0.13427242888402624</v>
          </cell>
        </row>
        <row r="3460">
          <cell r="I3460">
            <v>4165</v>
          </cell>
          <cell r="J3460">
            <v>0.13427510940919038</v>
          </cell>
        </row>
        <row r="3461">
          <cell r="I3461">
            <v>4166</v>
          </cell>
          <cell r="J3461">
            <v>0.13427778993435449</v>
          </cell>
        </row>
        <row r="3462">
          <cell r="I3462">
            <v>4167</v>
          </cell>
          <cell r="J3462">
            <v>0.1342804704595186</v>
          </cell>
        </row>
        <row r="3463">
          <cell r="I3463">
            <v>4168</v>
          </cell>
          <cell r="J3463">
            <v>0.13428315098468271</v>
          </cell>
        </row>
        <row r="3464">
          <cell r="I3464">
            <v>4169</v>
          </cell>
          <cell r="J3464">
            <v>0.13428583150984683</v>
          </cell>
        </row>
        <row r="3465">
          <cell r="I3465">
            <v>4170</v>
          </cell>
          <cell r="J3465">
            <v>0.13428851203501094</v>
          </cell>
        </row>
        <row r="3466">
          <cell r="I3466">
            <v>4171</v>
          </cell>
          <cell r="J3466">
            <v>0.13429119256017505</v>
          </cell>
        </row>
        <row r="3467">
          <cell r="I3467">
            <v>4172</v>
          </cell>
          <cell r="J3467">
            <v>0.13429387308533916</v>
          </cell>
        </row>
        <row r="3468">
          <cell r="I3468">
            <v>4173</v>
          </cell>
          <cell r="J3468">
            <v>0.13429655361050327</v>
          </cell>
        </row>
        <row r="3469">
          <cell r="I3469">
            <v>4174</v>
          </cell>
          <cell r="J3469">
            <v>0.13429923413566738</v>
          </cell>
        </row>
        <row r="3470">
          <cell r="I3470">
            <v>4175</v>
          </cell>
          <cell r="J3470">
            <v>0.1343019146608315</v>
          </cell>
        </row>
        <row r="3471">
          <cell r="I3471">
            <v>4176</v>
          </cell>
          <cell r="J3471">
            <v>0.13430459518599561</v>
          </cell>
        </row>
        <row r="3472">
          <cell r="I3472">
            <v>4177</v>
          </cell>
          <cell r="J3472">
            <v>0.13430727571115975</v>
          </cell>
        </row>
        <row r="3473">
          <cell r="I3473">
            <v>4178</v>
          </cell>
          <cell r="J3473">
            <v>0.13430995623632386</v>
          </cell>
        </row>
        <row r="3474">
          <cell r="I3474">
            <v>4179</v>
          </cell>
          <cell r="J3474">
            <v>0.13431263676148797</v>
          </cell>
        </row>
        <row r="3475">
          <cell r="I3475">
            <v>4180</v>
          </cell>
          <cell r="J3475">
            <v>0.13431531728665208</v>
          </cell>
        </row>
        <row r="3476">
          <cell r="I3476">
            <v>4181</v>
          </cell>
          <cell r="J3476">
            <v>0.13431799781181619</v>
          </cell>
        </row>
        <row r="3477">
          <cell r="I3477">
            <v>4182</v>
          </cell>
          <cell r="J3477">
            <v>0.1343206783369803</v>
          </cell>
        </row>
        <row r="3478">
          <cell r="I3478">
            <v>4183</v>
          </cell>
          <cell r="J3478">
            <v>0.13432335886214442</v>
          </cell>
        </row>
        <row r="3479">
          <cell r="I3479">
            <v>4184</v>
          </cell>
          <cell r="J3479">
            <v>0.13432603938730853</v>
          </cell>
        </row>
        <row r="3480">
          <cell r="I3480">
            <v>4185</v>
          </cell>
          <cell r="J3480">
            <v>0.13432871991247264</v>
          </cell>
        </row>
        <row r="3481">
          <cell r="I3481">
            <v>4186</v>
          </cell>
          <cell r="J3481">
            <v>0.13433140043763675</v>
          </cell>
        </row>
        <row r="3482">
          <cell r="I3482">
            <v>4187</v>
          </cell>
          <cell r="J3482">
            <v>0.13433408096280086</v>
          </cell>
        </row>
        <row r="3483">
          <cell r="I3483">
            <v>4188</v>
          </cell>
          <cell r="J3483">
            <v>0.13433676148796497</v>
          </cell>
        </row>
        <row r="3484">
          <cell r="I3484">
            <v>4189</v>
          </cell>
          <cell r="J3484">
            <v>0.13433944201312908</v>
          </cell>
        </row>
        <row r="3485">
          <cell r="I3485">
            <v>4190</v>
          </cell>
          <cell r="J3485">
            <v>0.13434212253829322</v>
          </cell>
        </row>
        <row r="3486">
          <cell r="I3486">
            <v>4191</v>
          </cell>
          <cell r="J3486">
            <v>0.13434480306345734</v>
          </cell>
        </row>
        <row r="3487">
          <cell r="I3487">
            <v>4192</v>
          </cell>
          <cell r="J3487">
            <v>0.13434748358862145</v>
          </cell>
        </row>
        <row r="3488">
          <cell r="I3488">
            <v>4193</v>
          </cell>
          <cell r="J3488">
            <v>0.13435016411378556</v>
          </cell>
        </row>
        <row r="3489">
          <cell r="I3489">
            <v>4194</v>
          </cell>
          <cell r="J3489">
            <v>0.13435284463894967</v>
          </cell>
        </row>
        <row r="3490">
          <cell r="I3490">
            <v>4195</v>
          </cell>
          <cell r="J3490">
            <v>0.13435552516411378</v>
          </cell>
        </row>
        <row r="3491">
          <cell r="I3491">
            <v>4196</v>
          </cell>
          <cell r="J3491">
            <v>0.13435820568927789</v>
          </cell>
        </row>
        <row r="3492">
          <cell r="I3492">
            <v>4197</v>
          </cell>
          <cell r="J3492">
            <v>0.134360886214442</v>
          </cell>
        </row>
        <row r="3493">
          <cell r="I3493">
            <v>4198</v>
          </cell>
          <cell r="J3493">
            <v>0.13436356673960612</v>
          </cell>
        </row>
        <row r="3494">
          <cell r="I3494">
            <v>4199</v>
          </cell>
          <cell r="J3494">
            <v>0.13436624726477023</v>
          </cell>
        </row>
        <row r="3495">
          <cell r="I3495">
            <v>4200</v>
          </cell>
          <cell r="J3495">
            <v>0.13436892778993434</v>
          </cell>
        </row>
        <row r="3496">
          <cell r="I3496">
            <v>4201</v>
          </cell>
          <cell r="J3496">
            <v>0.13437160831509845</v>
          </cell>
        </row>
        <row r="3497">
          <cell r="I3497">
            <v>4202</v>
          </cell>
          <cell r="J3497">
            <v>0.13437428884026259</v>
          </cell>
        </row>
        <row r="3498">
          <cell r="I3498">
            <v>4203</v>
          </cell>
          <cell r="J3498">
            <v>0.1343769693654267</v>
          </cell>
        </row>
        <row r="3499">
          <cell r="I3499">
            <v>4204</v>
          </cell>
          <cell r="J3499">
            <v>0.13437964989059081</v>
          </cell>
        </row>
        <row r="3500">
          <cell r="I3500">
            <v>4205</v>
          </cell>
          <cell r="J3500">
            <v>0.13438233041575492</v>
          </cell>
        </row>
        <row r="3501">
          <cell r="I3501">
            <v>4206</v>
          </cell>
          <cell r="J3501">
            <v>0.13438501094091904</v>
          </cell>
        </row>
        <row r="3502">
          <cell r="I3502">
            <v>4207</v>
          </cell>
          <cell r="J3502">
            <v>0.13438769146608315</v>
          </cell>
        </row>
        <row r="3503">
          <cell r="I3503">
            <v>4208</v>
          </cell>
          <cell r="J3503">
            <v>0.13439037199124726</v>
          </cell>
        </row>
        <row r="3504">
          <cell r="I3504">
            <v>4209</v>
          </cell>
          <cell r="J3504">
            <v>0.13439305251641137</v>
          </cell>
        </row>
        <row r="3505">
          <cell r="I3505">
            <v>4210</v>
          </cell>
          <cell r="J3505">
            <v>0.13439573304157548</v>
          </cell>
        </row>
        <row r="3506">
          <cell r="I3506">
            <v>4211</v>
          </cell>
          <cell r="J3506">
            <v>0.13439841356673959</v>
          </cell>
        </row>
        <row r="3507">
          <cell r="I3507">
            <v>4212</v>
          </cell>
          <cell r="J3507">
            <v>0.13440109409190371</v>
          </cell>
        </row>
        <row r="3508">
          <cell r="I3508">
            <v>4213</v>
          </cell>
          <cell r="J3508">
            <v>0.13440377461706782</v>
          </cell>
        </row>
        <row r="3509">
          <cell r="I3509">
            <v>4214</v>
          </cell>
          <cell r="J3509">
            <v>0.13440645514223193</v>
          </cell>
        </row>
        <row r="3510">
          <cell r="I3510">
            <v>4215</v>
          </cell>
          <cell r="J3510">
            <v>0.13440913566739607</v>
          </cell>
        </row>
        <row r="3511">
          <cell r="I3511">
            <v>4216</v>
          </cell>
          <cell r="J3511">
            <v>0.13441181619256018</v>
          </cell>
        </row>
        <row r="3512">
          <cell r="I3512">
            <v>4217</v>
          </cell>
          <cell r="J3512">
            <v>0.13441449671772429</v>
          </cell>
        </row>
        <row r="3513">
          <cell r="I3513">
            <v>4218</v>
          </cell>
          <cell r="J3513">
            <v>0.1344171772428884</v>
          </cell>
        </row>
        <row r="3514">
          <cell r="I3514">
            <v>4219</v>
          </cell>
          <cell r="J3514">
            <v>0.13441985776805251</v>
          </cell>
        </row>
        <row r="3515">
          <cell r="I3515">
            <v>4220</v>
          </cell>
          <cell r="J3515">
            <v>0.13442253829321663</v>
          </cell>
        </row>
        <row r="3516">
          <cell r="I3516">
            <v>4221</v>
          </cell>
          <cell r="J3516">
            <v>0.13442521881838074</v>
          </cell>
        </row>
        <row r="3517">
          <cell r="I3517">
            <v>4222</v>
          </cell>
          <cell r="J3517">
            <v>0.13442789934354485</v>
          </cell>
        </row>
        <row r="3518">
          <cell r="I3518">
            <v>4223</v>
          </cell>
          <cell r="J3518">
            <v>0.13443057986870896</v>
          </cell>
        </row>
        <row r="3519">
          <cell r="I3519">
            <v>4224</v>
          </cell>
          <cell r="J3519">
            <v>0.13443326039387307</v>
          </cell>
        </row>
        <row r="3520">
          <cell r="I3520">
            <v>4225</v>
          </cell>
          <cell r="J3520">
            <v>0.13443594091903718</v>
          </cell>
        </row>
        <row r="3521">
          <cell r="I3521">
            <v>4226</v>
          </cell>
          <cell r="J3521">
            <v>0.1344386214442013</v>
          </cell>
        </row>
        <row r="3522">
          <cell r="I3522">
            <v>4227</v>
          </cell>
          <cell r="J3522">
            <v>0.13444130196936543</v>
          </cell>
        </row>
        <row r="3523">
          <cell r="I3523">
            <v>4228</v>
          </cell>
          <cell r="J3523">
            <v>0.13444398249452955</v>
          </cell>
        </row>
        <row r="3524">
          <cell r="I3524">
            <v>4229</v>
          </cell>
          <cell r="J3524">
            <v>0.13444666301969366</v>
          </cell>
        </row>
        <row r="3525">
          <cell r="I3525">
            <v>4230</v>
          </cell>
          <cell r="J3525">
            <v>0.13444934354485777</v>
          </cell>
        </row>
        <row r="3526">
          <cell r="I3526">
            <v>4231</v>
          </cell>
          <cell r="J3526">
            <v>0.13445202407002188</v>
          </cell>
        </row>
        <row r="3527">
          <cell r="I3527">
            <v>4232</v>
          </cell>
          <cell r="J3527">
            <v>0.13445470459518599</v>
          </cell>
        </row>
        <row r="3528">
          <cell r="I3528">
            <v>4233</v>
          </cell>
          <cell r="J3528">
            <v>0.1344573851203501</v>
          </cell>
        </row>
        <row r="3529">
          <cell r="I3529">
            <v>4234</v>
          </cell>
          <cell r="J3529">
            <v>0.13446006564551422</v>
          </cell>
        </row>
        <row r="3530">
          <cell r="I3530">
            <v>4235</v>
          </cell>
          <cell r="J3530">
            <v>0.13446274617067833</v>
          </cell>
        </row>
        <row r="3531">
          <cell r="I3531">
            <v>4236</v>
          </cell>
          <cell r="J3531">
            <v>0.13446542669584244</v>
          </cell>
        </row>
        <row r="3532">
          <cell r="I3532">
            <v>4237</v>
          </cell>
          <cell r="J3532">
            <v>0.13446810722100655</v>
          </cell>
        </row>
        <row r="3533">
          <cell r="I3533">
            <v>4238</v>
          </cell>
          <cell r="J3533">
            <v>0.13447078774617066</v>
          </cell>
        </row>
        <row r="3534">
          <cell r="I3534">
            <v>4239</v>
          </cell>
          <cell r="J3534">
            <v>0.1344734682713348</v>
          </cell>
        </row>
        <row r="3535">
          <cell r="I3535">
            <v>4240</v>
          </cell>
          <cell r="J3535">
            <v>0.13447614879649891</v>
          </cell>
        </row>
        <row r="3536">
          <cell r="I3536">
            <v>4241</v>
          </cell>
          <cell r="J3536">
            <v>0.13447882932166302</v>
          </cell>
        </row>
        <row r="3537">
          <cell r="I3537">
            <v>4242</v>
          </cell>
          <cell r="J3537">
            <v>0.13448150984682714</v>
          </cell>
        </row>
        <row r="3538">
          <cell r="I3538">
            <v>4243</v>
          </cell>
          <cell r="J3538">
            <v>0.13448419037199125</v>
          </cell>
        </row>
        <row r="3539">
          <cell r="I3539">
            <v>4244</v>
          </cell>
          <cell r="J3539">
            <v>0.13448687089715536</v>
          </cell>
        </row>
        <row r="3540">
          <cell r="I3540">
            <v>4245</v>
          </cell>
          <cell r="J3540">
            <v>0.13448955142231947</v>
          </cell>
        </row>
        <row r="3541">
          <cell r="I3541">
            <v>4246</v>
          </cell>
          <cell r="J3541">
            <v>0.13449223194748358</v>
          </cell>
        </row>
        <row r="3542">
          <cell r="I3542">
            <v>4247</v>
          </cell>
          <cell r="J3542">
            <v>0.13449491247264769</v>
          </cell>
        </row>
        <row r="3543">
          <cell r="I3543">
            <v>4248</v>
          </cell>
          <cell r="J3543">
            <v>0.1344975929978118</v>
          </cell>
        </row>
        <row r="3544">
          <cell r="I3544">
            <v>4249</v>
          </cell>
          <cell r="J3544">
            <v>0.13450027352297592</v>
          </cell>
        </row>
        <row r="3545">
          <cell r="I3545">
            <v>4250</v>
          </cell>
          <cell r="J3545">
            <v>0.13450295404814003</v>
          </cell>
        </row>
        <row r="3546">
          <cell r="I3546">
            <v>4251</v>
          </cell>
          <cell r="J3546">
            <v>0.13450563457330417</v>
          </cell>
        </row>
        <row r="3547">
          <cell r="I3547">
            <v>4252</v>
          </cell>
          <cell r="J3547">
            <v>0.13450831509846828</v>
          </cell>
        </row>
        <row r="3548">
          <cell r="I3548">
            <v>4253</v>
          </cell>
          <cell r="J3548">
            <v>0.13451099562363239</v>
          </cell>
        </row>
        <row r="3549">
          <cell r="I3549">
            <v>4254</v>
          </cell>
          <cell r="J3549">
            <v>0.1345136761487965</v>
          </cell>
        </row>
        <row r="3550">
          <cell r="I3550">
            <v>4255</v>
          </cell>
          <cell r="J3550">
            <v>0.13451635667396061</v>
          </cell>
        </row>
        <row r="3551">
          <cell r="I3551">
            <v>4256</v>
          </cell>
          <cell r="J3551">
            <v>0.13451903719912472</v>
          </cell>
        </row>
        <row r="3552">
          <cell r="I3552">
            <v>4257</v>
          </cell>
          <cell r="J3552">
            <v>0.13452171772428884</v>
          </cell>
        </row>
        <row r="3553">
          <cell r="I3553">
            <v>4258</v>
          </cell>
          <cell r="J3553">
            <v>0.13452439824945295</v>
          </cell>
        </row>
        <row r="3554">
          <cell r="I3554">
            <v>4259</v>
          </cell>
          <cell r="J3554">
            <v>0.13452707877461706</v>
          </cell>
        </row>
        <row r="3555">
          <cell r="I3555">
            <v>4260</v>
          </cell>
          <cell r="J3555">
            <v>0.13452975929978117</v>
          </cell>
        </row>
        <row r="3556">
          <cell r="I3556">
            <v>4261</v>
          </cell>
          <cell r="J3556">
            <v>0.13453243982494528</v>
          </cell>
        </row>
        <row r="3557">
          <cell r="I3557">
            <v>4262</v>
          </cell>
          <cell r="J3557">
            <v>0.13453512035010939</v>
          </cell>
        </row>
        <row r="3558">
          <cell r="I3558">
            <v>4263</v>
          </cell>
          <cell r="J3558">
            <v>0.13453780087527351</v>
          </cell>
        </row>
        <row r="3559">
          <cell r="I3559">
            <v>4264</v>
          </cell>
          <cell r="J3559">
            <v>0.13454048140043764</v>
          </cell>
        </row>
        <row r="3560">
          <cell r="I3560">
            <v>4265</v>
          </cell>
          <cell r="J3560">
            <v>0.13454316192560176</v>
          </cell>
        </row>
        <row r="3561">
          <cell r="I3561">
            <v>4266</v>
          </cell>
          <cell r="J3561">
            <v>0.13454584245076587</v>
          </cell>
        </row>
        <row r="3562">
          <cell r="I3562">
            <v>4267</v>
          </cell>
          <cell r="J3562">
            <v>0.13454852297592998</v>
          </cell>
        </row>
        <row r="3563">
          <cell r="I3563">
            <v>4268</v>
          </cell>
          <cell r="J3563">
            <v>0.13455120350109409</v>
          </cell>
        </row>
        <row r="3564">
          <cell r="I3564">
            <v>4269</v>
          </cell>
          <cell r="J3564">
            <v>0.1345538840262582</v>
          </cell>
        </row>
        <row r="3565">
          <cell r="I3565">
            <v>4270</v>
          </cell>
          <cell r="J3565">
            <v>0.13455656455142231</v>
          </cell>
        </row>
        <row r="3566">
          <cell r="I3566">
            <v>4271</v>
          </cell>
          <cell r="J3566">
            <v>0.13455924507658643</v>
          </cell>
        </row>
        <row r="3567">
          <cell r="I3567">
            <v>4272</v>
          </cell>
          <cell r="J3567">
            <v>0.13456192560175054</v>
          </cell>
        </row>
        <row r="3568">
          <cell r="I3568">
            <v>4273</v>
          </cell>
          <cell r="J3568">
            <v>0.13456460612691465</v>
          </cell>
        </row>
        <row r="3569">
          <cell r="I3569">
            <v>4274</v>
          </cell>
          <cell r="J3569">
            <v>0.13456728665207876</v>
          </cell>
        </row>
        <row r="3570">
          <cell r="I3570">
            <v>4275</v>
          </cell>
          <cell r="J3570">
            <v>0.13456996717724287</v>
          </cell>
        </row>
        <row r="3571">
          <cell r="I3571">
            <v>4276</v>
          </cell>
          <cell r="J3571">
            <v>0.13457264770240701</v>
          </cell>
        </row>
        <row r="3572">
          <cell r="I3572">
            <v>4277</v>
          </cell>
          <cell r="J3572">
            <v>0.13457532822757112</v>
          </cell>
        </row>
        <row r="3573">
          <cell r="I3573">
            <v>4278</v>
          </cell>
          <cell r="J3573">
            <v>0.13457800875273523</v>
          </cell>
        </row>
        <row r="3574">
          <cell r="I3574">
            <v>4279</v>
          </cell>
          <cell r="J3574">
            <v>0.13458068927789935</v>
          </cell>
        </row>
        <row r="3575">
          <cell r="I3575">
            <v>4280</v>
          </cell>
          <cell r="J3575">
            <v>0.13458336980306346</v>
          </cell>
        </row>
        <row r="3576">
          <cell r="I3576">
            <v>4281</v>
          </cell>
          <cell r="J3576">
            <v>0.13458605032822757</v>
          </cell>
        </row>
        <row r="3577">
          <cell r="I3577">
            <v>4282</v>
          </cell>
          <cell r="J3577">
            <v>0.13458873085339168</v>
          </cell>
        </row>
        <row r="3578">
          <cell r="I3578">
            <v>4283</v>
          </cell>
          <cell r="J3578">
            <v>0.13459141137855579</v>
          </cell>
        </row>
        <row r="3579">
          <cell r="I3579">
            <v>4284</v>
          </cell>
          <cell r="J3579">
            <v>0.1345940919037199</v>
          </cell>
        </row>
        <row r="3580">
          <cell r="I3580">
            <v>4285</v>
          </cell>
          <cell r="J3580">
            <v>0.13459677242888402</v>
          </cell>
        </row>
        <row r="3581">
          <cell r="I3581">
            <v>4286</v>
          </cell>
          <cell r="J3581">
            <v>0.13459945295404813</v>
          </cell>
        </row>
        <row r="3582">
          <cell r="I3582">
            <v>4287</v>
          </cell>
          <cell r="J3582">
            <v>0.13460213347921224</v>
          </cell>
        </row>
        <row r="3583">
          <cell r="I3583">
            <v>4288</v>
          </cell>
          <cell r="J3583">
            <v>0.13460481400437635</v>
          </cell>
        </row>
        <row r="3584">
          <cell r="I3584">
            <v>4289</v>
          </cell>
          <cell r="J3584">
            <v>0.13460749452954049</v>
          </cell>
        </row>
        <row r="3585">
          <cell r="I3585">
            <v>4290</v>
          </cell>
          <cell r="J3585">
            <v>0.1346101750547046</v>
          </cell>
        </row>
        <row r="3586">
          <cell r="I3586">
            <v>4291</v>
          </cell>
          <cell r="J3586">
            <v>0.13461285557986871</v>
          </cell>
        </row>
        <row r="3587">
          <cell r="I3587">
            <v>4292</v>
          </cell>
          <cell r="J3587">
            <v>0.13461553610503282</v>
          </cell>
        </row>
        <row r="3588">
          <cell r="I3588">
            <v>4293</v>
          </cell>
          <cell r="J3588">
            <v>0.13461821663019694</v>
          </cell>
        </row>
        <row r="3589">
          <cell r="I3589">
            <v>4294</v>
          </cell>
          <cell r="J3589">
            <v>0.13462089715536105</v>
          </cell>
        </row>
        <row r="3590">
          <cell r="I3590">
            <v>4295</v>
          </cell>
          <cell r="J3590">
            <v>0.13462357768052516</v>
          </cell>
        </row>
        <row r="3591">
          <cell r="I3591">
            <v>4296</v>
          </cell>
          <cell r="J3591">
            <v>0.13462625820568927</v>
          </cell>
        </row>
        <row r="3592">
          <cell r="I3592">
            <v>4297</v>
          </cell>
          <cell r="J3592">
            <v>0.13462893873085338</v>
          </cell>
        </row>
        <row r="3593">
          <cell r="I3593">
            <v>4298</v>
          </cell>
          <cell r="J3593">
            <v>0.13463161925601749</v>
          </cell>
        </row>
        <row r="3594">
          <cell r="I3594">
            <v>4299</v>
          </cell>
          <cell r="J3594">
            <v>0.1346342997811816</v>
          </cell>
        </row>
        <row r="3595">
          <cell r="I3595">
            <v>4300</v>
          </cell>
          <cell r="J3595">
            <v>0.13463698030634572</v>
          </cell>
        </row>
        <row r="3596">
          <cell r="I3596">
            <v>4301</v>
          </cell>
          <cell r="J3596">
            <v>0.13463966083150986</v>
          </cell>
        </row>
        <row r="3597">
          <cell r="I3597">
            <v>4302</v>
          </cell>
          <cell r="J3597">
            <v>0.13464234135667397</v>
          </cell>
        </row>
        <row r="3598">
          <cell r="I3598">
            <v>4303</v>
          </cell>
          <cell r="J3598">
            <v>0.13464502188183808</v>
          </cell>
        </row>
        <row r="3599">
          <cell r="I3599">
            <v>4304</v>
          </cell>
          <cell r="J3599">
            <v>0.13464770240700219</v>
          </cell>
        </row>
        <row r="3600">
          <cell r="I3600">
            <v>4305</v>
          </cell>
          <cell r="J3600">
            <v>0.1346503829321663</v>
          </cell>
        </row>
        <row r="3601">
          <cell r="I3601">
            <v>4306</v>
          </cell>
          <cell r="J3601">
            <v>0.13465306345733041</v>
          </cell>
        </row>
        <row r="3602">
          <cell r="I3602">
            <v>4307</v>
          </cell>
          <cell r="J3602">
            <v>0.13465574398249452</v>
          </cell>
        </row>
        <row r="3603">
          <cell r="I3603">
            <v>4308</v>
          </cell>
          <cell r="J3603">
            <v>0.13465842450765864</v>
          </cell>
        </row>
        <row r="3604">
          <cell r="I3604">
            <v>4309</v>
          </cell>
          <cell r="J3604">
            <v>0.13466110503282275</v>
          </cell>
        </row>
        <row r="3605">
          <cell r="I3605">
            <v>4310</v>
          </cell>
          <cell r="J3605">
            <v>0.13466378555798686</v>
          </cell>
        </row>
        <row r="3606">
          <cell r="I3606">
            <v>4311</v>
          </cell>
          <cell r="J3606">
            <v>0.13466646608315097</v>
          </cell>
        </row>
        <row r="3607">
          <cell r="I3607">
            <v>4312</v>
          </cell>
          <cell r="J3607">
            <v>0.13466914660831508</v>
          </cell>
        </row>
        <row r="3608">
          <cell r="I3608">
            <v>4313</v>
          </cell>
          <cell r="J3608">
            <v>0.13467182713347922</v>
          </cell>
        </row>
        <row r="3609">
          <cell r="I3609">
            <v>4314</v>
          </cell>
          <cell r="J3609">
            <v>0.13467450765864333</v>
          </cell>
        </row>
        <row r="3610">
          <cell r="I3610">
            <v>4315</v>
          </cell>
          <cell r="J3610">
            <v>0.13467718818380744</v>
          </cell>
        </row>
        <row r="3611">
          <cell r="I3611">
            <v>4316</v>
          </cell>
          <cell r="J3611">
            <v>0.13467986870897156</v>
          </cell>
        </row>
        <row r="3612">
          <cell r="I3612">
            <v>4317</v>
          </cell>
          <cell r="J3612">
            <v>0.13468254923413567</v>
          </cell>
        </row>
        <row r="3613">
          <cell r="I3613">
            <v>4318</v>
          </cell>
          <cell r="J3613">
            <v>0.13468522975929978</v>
          </cell>
        </row>
        <row r="3614">
          <cell r="I3614">
            <v>4319</v>
          </cell>
          <cell r="J3614">
            <v>0.13468791028446389</v>
          </cell>
        </row>
        <row r="3615">
          <cell r="I3615">
            <v>4320</v>
          </cell>
          <cell r="J3615">
            <v>0.134690590809628</v>
          </cell>
        </row>
        <row r="3616">
          <cell r="I3616">
            <v>4321</v>
          </cell>
          <cell r="J3616">
            <v>0.13469327133479211</v>
          </cell>
        </row>
        <row r="3617">
          <cell r="I3617">
            <v>4322</v>
          </cell>
          <cell r="J3617">
            <v>0.13469595185995623</v>
          </cell>
        </row>
        <row r="3618">
          <cell r="I3618">
            <v>4323</v>
          </cell>
          <cell r="J3618">
            <v>0.13469863238512034</v>
          </cell>
        </row>
        <row r="3619">
          <cell r="I3619">
            <v>4324</v>
          </cell>
          <cell r="J3619">
            <v>0.13470131291028445</v>
          </cell>
        </row>
        <row r="3620">
          <cell r="I3620">
            <v>4325</v>
          </cell>
          <cell r="J3620">
            <v>0.13470399343544856</v>
          </cell>
        </row>
        <row r="3621">
          <cell r="I3621">
            <v>4326</v>
          </cell>
          <cell r="J3621">
            <v>0.1347066739606127</v>
          </cell>
        </row>
        <row r="3622">
          <cell r="I3622">
            <v>4327</v>
          </cell>
          <cell r="J3622">
            <v>0.13470935448577681</v>
          </cell>
        </row>
        <row r="3623">
          <cell r="I3623">
            <v>4328</v>
          </cell>
          <cell r="J3623">
            <v>0.13471203501094092</v>
          </cell>
        </row>
        <row r="3624">
          <cell r="I3624">
            <v>4329</v>
          </cell>
          <cell r="J3624">
            <v>0.13471471553610503</v>
          </cell>
        </row>
        <row r="3625">
          <cell r="I3625">
            <v>4330</v>
          </cell>
          <cell r="J3625">
            <v>0.13471739606126915</v>
          </cell>
        </row>
        <row r="3626">
          <cell r="I3626">
            <v>4331</v>
          </cell>
          <cell r="J3626">
            <v>0.13472007658643326</v>
          </cell>
        </row>
        <row r="3627">
          <cell r="I3627">
            <v>4332</v>
          </cell>
          <cell r="J3627">
            <v>0.13472275711159737</v>
          </cell>
        </row>
        <row r="3628">
          <cell r="I3628">
            <v>4333</v>
          </cell>
          <cell r="J3628">
            <v>0.13472543763676148</v>
          </cell>
        </row>
        <row r="3629">
          <cell r="I3629">
            <v>4334</v>
          </cell>
          <cell r="J3629">
            <v>0.13472811816192559</v>
          </cell>
        </row>
        <row r="3630">
          <cell r="I3630">
            <v>4335</v>
          </cell>
          <cell r="J3630">
            <v>0.1347307986870897</v>
          </cell>
        </row>
        <row r="3631">
          <cell r="I3631">
            <v>4336</v>
          </cell>
          <cell r="J3631">
            <v>0.13473347921225381</v>
          </cell>
        </row>
        <row r="3632">
          <cell r="I3632">
            <v>4337</v>
          </cell>
          <cell r="J3632">
            <v>0.13473615973741793</v>
          </cell>
        </row>
        <row r="3633">
          <cell r="I3633">
            <v>4338</v>
          </cell>
          <cell r="J3633">
            <v>0.13473884026258207</v>
          </cell>
        </row>
        <row r="3634">
          <cell r="I3634">
            <v>4339</v>
          </cell>
          <cell r="J3634">
            <v>0.13474152078774618</v>
          </cell>
        </row>
        <row r="3635">
          <cell r="I3635">
            <v>4340</v>
          </cell>
          <cell r="J3635">
            <v>0.13474420131291029</v>
          </cell>
        </row>
        <row r="3636">
          <cell r="I3636">
            <v>4341</v>
          </cell>
          <cell r="J3636">
            <v>0.1347468818380744</v>
          </cell>
        </row>
        <row r="3637">
          <cell r="I3637">
            <v>4342</v>
          </cell>
          <cell r="J3637">
            <v>0.13474956236323851</v>
          </cell>
        </row>
        <row r="3638">
          <cell r="I3638">
            <v>4343</v>
          </cell>
          <cell r="J3638">
            <v>0.13475224288840262</v>
          </cell>
        </row>
        <row r="3639">
          <cell r="I3639">
            <v>4344</v>
          </cell>
          <cell r="J3639">
            <v>0.13475492341356674</v>
          </cell>
        </row>
        <row r="3640">
          <cell r="I3640">
            <v>4345</v>
          </cell>
          <cell r="J3640">
            <v>0.13475760393873085</v>
          </cell>
        </row>
        <row r="3641">
          <cell r="I3641">
            <v>4346</v>
          </cell>
          <cell r="J3641">
            <v>0.13476028446389496</v>
          </cell>
        </row>
        <row r="3642">
          <cell r="I3642">
            <v>4347</v>
          </cell>
          <cell r="J3642">
            <v>0.13476296498905907</v>
          </cell>
        </row>
        <row r="3643">
          <cell r="I3643">
            <v>4348</v>
          </cell>
          <cell r="J3643">
            <v>0.13476564551422318</v>
          </cell>
        </row>
        <row r="3644">
          <cell r="I3644">
            <v>4349</v>
          </cell>
          <cell r="J3644">
            <v>0.13476832603938729</v>
          </cell>
        </row>
        <row r="3645">
          <cell r="I3645">
            <v>4350</v>
          </cell>
          <cell r="J3645">
            <v>0.13477100656455143</v>
          </cell>
        </row>
        <row r="3646">
          <cell r="I3646">
            <v>4351</v>
          </cell>
          <cell r="J3646">
            <v>0.13477368708971554</v>
          </cell>
        </row>
        <row r="3647">
          <cell r="I3647">
            <v>4352</v>
          </cell>
          <cell r="J3647">
            <v>0.13477636761487966</v>
          </cell>
        </row>
        <row r="3648">
          <cell r="I3648">
            <v>4353</v>
          </cell>
          <cell r="J3648">
            <v>0.13477904814004377</v>
          </cell>
        </row>
        <row r="3649">
          <cell r="I3649">
            <v>4354</v>
          </cell>
          <cell r="J3649">
            <v>0.13478172866520788</v>
          </cell>
        </row>
        <row r="3650">
          <cell r="I3650">
            <v>4355</v>
          </cell>
          <cell r="J3650">
            <v>0.13478440919037199</v>
          </cell>
        </row>
        <row r="3651">
          <cell r="I3651">
            <v>4356</v>
          </cell>
          <cell r="J3651">
            <v>0.1347870897155361</v>
          </cell>
        </row>
        <row r="3652">
          <cell r="I3652">
            <v>4357</v>
          </cell>
          <cell r="J3652">
            <v>0.13478977024070021</v>
          </cell>
        </row>
        <row r="3653">
          <cell r="I3653">
            <v>4358</v>
          </cell>
          <cell r="J3653">
            <v>0.13479245076586432</v>
          </cell>
        </row>
        <row r="3654">
          <cell r="I3654">
            <v>4359</v>
          </cell>
          <cell r="J3654">
            <v>0.13479513129102844</v>
          </cell>
        </row>
        <row r="3655">
          <cell r="I3655">
            <v>4360</v>
          </cell>
          <cell r="J3655">
            <v>0.13479781181619255</v>
          </cell>
        </row>
        <row r="3656">
          <cell r="I3656">
            <v>4361</v>
          </cell>
          <cell r="J3656">
            <v>0.13480049234135666</v>
          </cell>
        </row>
        <row r="3657">
          <cell r="I3657">
            <v>4362</v>
          </cell>
          <cell r="J3657">
            <v>0.13480317286652077</v>
          </cell>
        </row>
        <row r="3658">
          <cell r="I3658">
            <v>4363</v>
          </cell>
          <cell r="J3658">
            <v>0.13480585339168491</v>
          </cell>
        </row>
        <row r="3659">
          <cell r="I3659">
            <v>4364</v>
          </cell>
          <cell r="J3659">
            <v>0.13480853391684902</v>
          </cell>
        </row>
        <row r="3660">
          <cell r="I3660">
            <v>4365</v>
          </cell>
          <cell r="J3660">
            <v>0.13481121444201313</v>
          </cell>
        </row>
        <row r="3661">
          <cell r="I3661">
            <v>4366</v>
          </cell>
          <cell r="J3661">
            <v>0.13481389496717724</v>
          </cell>
        </row>
        <row r="3662">
          <cell r="I3662">
            <v>4367</v>
          </cell>
          <cell r="J3662">
            <v>0.13481657549234136</v>
          </cell>
        </row>
        <row r="3663">
          <cell r="I3663">
            <v>4368</v>
          </cell>
          <cell r="J3663">
            <v>0.13481925601750547</v>
          </cell>
        </row>
        <row r="3664">
          <cell r="I3664">
            <v>4369</v>
          </cell>
          <cell r="J3664">
            <v>0.13482193654266958</v>
          </cell>
        </row>
        <row r="3665">
          <cell r="I3665">
            <v>4370</v>
          </cell>
          <cell r="J3665">
            <v>0.13482461706783369</v>
          </cell>
        </row>
        <row r="3666">
          <cell r="I3666">
            <v>4371</v>
          </cell>
          <cell r="J3666">
            <v>0.1348272975929978</v>
          </cell>
        </row>
        <row r="3667">
          <cell r="I3667">
            <v>4372</v>
          </cell>
          <cell r="J3667">
            <v>0.13482997811816191</v>
          </cell>
        </row>
        <row r="3668">
          <cell r="I3668">
            <v>4373</v>
          </cell>
          <cell r="J3668">
            <v>0.13483265864332603</v>
          </cell>
        </row>
        <row r="3669">
          <cell r="I3669">
            <v>4374</v>
          </cell>
          <cell r="J3669">
            <v>0.13483533916849014</v>
          </cell>
        </row>
        <row r="3670">
          <cell r="I3670">
            <v>4375</v>
          </cell>
          <cell r="J3670">
            <v>0.13483801969365428</v>
          </cell>
        </row>
        <row r="3671">
          <cell r="I3671">
            <v>4376</v>
          </cell>
          <cell r="J3671">
            <v>0.13484070021881839</v>
          </cell>
        </row>
        <row r="3672">
          <cell r="I3672">
            <v>4377</v>
          </cell>
          <cell r="J3672">
            <v>0.1348433807439825</v>
          </cell>
        </row>
        <row r="3673">
          <cell r="I3673">
            <v>4378</v>
          </cell>
          <cell r="J3673">
            <v>0.13484606126914661</v>
          </cell>
        </row>
        <row r="3674">
          <cell r="I3674">
            <v>4379</v>
          </cell>
          <cell r="J3674">
            <v>0.13484874179431072</v>
          </cell>
        </row>
        <row r="3675">
          <cell r="I3675">
            <v>4380</v>
          </cell>
          <cell r="J3675">
            <v>0.13485142231947483</v>
          </cell>
        </row>
        <row r="3676">
          <cell r="I3676">
            <v>4381</v>
          </cell>
          <cell r="J3676">
            <v>0.13485410284463895</v>
          </cell>
        </row>
        <row r="3677">
          <cell r="I3677">
            <v>4382</v>
          </cell>
          <cell r="J3677">
            <v>0.13485678336980306</v>
          </cell>
        </row>
        <row r="3678">
          <cell r="I3678">
            <v>4383</v>
          </cell>
          <cell r="J3678">
            <v>0.13485946389496717</v>
          </cell>
        </row>
        <row r="3679">
          <cell r="I3679">
            <v>4384</v>
          </cell>
          <cell r="J3679">
            <v>0.13486214442013128</v>
          </cell>
        </row>
        <row r="3680">
          <cell r="I3680">
            <v>4385</v>
          </cell>
          <cell r="J3680">
            <v>0.13486482494529539</v>
          </cell>
        </row>
        <row r="3681">
          <cell r="I3681">
            <v>4386</v>
          </cell>
          <cell r="J3681">
            <v>0.1348675054704595</v>
          </cell>
        </row>
        <row r="3682">
          <cell r="I3682">
            <v>4387</v>
          </cell>
          <cell r="J3682">
            <v>0.13487018599562364</v>
          </cell>
        </row>
        <row r="3683">
          <cell r="I3683">
            <v>4388</v>
          </cell>
          <cell r="J3683">
            <v>0.13487286652078775</v>
          </cell>
        </row>
        <row r="3684">
          <cell r="I3684">
            <v>4389</v>
          </cell>
          <cell r="J3684">
            <v>0.13487554704595187</v>
          </cell>
        </row>
        <row r="3685">
          <cell r="I3685">
            <v>4390</v>
          </cell>
          <cell r="J3685">
            <v>0.13487822757111598</v>
          </cell>
        </row>
        <row r="3686">
          <cell r="I3686">
            <v>4391</v>
          </cell>
          <cell r="J3686">
            <v>0.13488090809628009</v>
          </cell>
        </row>
        <row r="3687">
          <cell r="I3687">
            <v>4392</v>
          </cell>
          <cell r="J3687">
            <v>0.1348835886214442</v>
          </cell>
        </row>
        <row r="3688">
          <cell r="I3688">
            <v>4393</v>
          </cell>
          <cell r="J3688">
            <v>0.13488626914660831</v>
          </cell>
        </row>
        <row r="3689">
          <cell r="I3689">
            <v>4394</v>
          </cell>
          <cell r="J3689">
            <v>0.13488894967177242</v>
          </cell>
        </row>
        <row r="3690">
          <cell r="I3690">
            <v>4395</v>
          </cell>
          <cell r="J3690">
            <v>0.13489163019693654</v>
          </cell>
        </row>
        <row r="3691">
          <cell r="I3691">
            <v>4396</v>
          </cell>
          <cell r="J3691">
            <v>0.13489431072210065</v>
          </cell>
        </row>
        <row r="3692">
          <cell r="I3692">
            <v>4397</v>
          </cell>
          <cell r="J3692">
            <v>0.13489699124726476</v>
          </cell>
        </row>
        <row r="3693">
          <cell r="I3693">
            <v>4398</v>
          </cell>
          <cell r="J3693">
            <v>0.13489967177242887</v>
          </cell>
        </row>
        <row r="3694">
          <cell r="I3694">
            <v>4399</v>
          </cell>
          <cell r="J3694">
            <v>0.13490235229759298</v>
          </cell>
        </row>
        <row r="3695">
          <cell r="I3695">
            <v>4400</v>
          </cell>
          <cell r="J3695">
            <v>0.13490503282275712</v>
          </cell>
        </row>
        <row r="3696">
          <cell r="I3696">
            <v>4401</v>
          </cell>
          <cell r="J3696">
            <v>0.13490771334792123</v>
          </cell>
        </row>
        <row r="3697">
          <cell r="I3697">
            <v>4402</v>
          </cell>
          <cell r="J3697">
            <v>0.13491039387308534</v>
          </cell>
        </row>
        <row r="3698">
          <cell r="I3698">
            <v>4403</v>
          </cell>
          <cell r="J3698">
            <v>0.13491307439824946</v>
          </cell>
        </row>
        <row r="3699">
          <cell r="I3699">
            <v>4404</v>
          </cell>
          <cell r="J3699">
            <v>0.13491575492341357</v>
          </cell>
        </row>
        <row r="3700">
          <cell r="I3700">
            <v>4405</v>
          </cell>
          <cell r="J3700">
            <v>0.13491843544857768</v>
          </cell>
        </row>
        <row r="3701">
          <cell r="I3701">
            <v>4406</v>
          </cell>
          <cell r="J3701">
            <v>0.13492111597374179</v>
          </cell>
        </row>
        <row r="3702">
          <cell r="I3702">
            <v>4407</v>
          </cell>
          <cell r="J3702">
            <v>0.1349237964989059</v>
          </cell>
        </row>
        <row r="3703">
          <cell r="I3703">
            <v>4408</v>
          </cell>
          <cell r="J3703">
            <v>0.13492647702407001</v>
          </cell>
        </row>
        <row r="3704">
          <cell r="I3704">
            <v>4409</v>
          </cell>
          <cell r="J3704">
            <v>0.13492915754923412</v>
          </cell>
        </row>
        <row r="3705">
          <cell r="I3705">
            <v>4410</v>
          </cell>
          <cell r="J3705">
            <v>0.13493183807439824</v>
          </cell>
        </row>
        <row r="3706">
          <cell r="I3706">
            <v>4411</v>
          </cell>
          <cell r="J3706">
            <v>0.13493451859956235</v>
          </cell>
        </row>
        <row r="3707">
          <cell r="I3707">
            <v>4412</v>
          </cell>
          <cell r="J3707">
            <v>0.13493719912472649</v>
          </cell>
        </row>
        <row r="3708">
          <cell r="I3708">
            <v>4413</v>
          </cell>
          <cell r="J3708">
            <v>0.1349398796498906</v>
          </cell>
        </row>
        <row r="3709">
          <cell r="I3709">
            <v>4414</v>
          </cell>
          <cell r="J3709">
            <v>0.13494256017505471</v>
          </cell>
        </row>
        <row r="3710">
          <cell r="I3710">
            <v>4415</v>
          </cell>
          <cell r="J3710">
            <v>0.13494524070021882</v>
          </cell>
        </row>
        <row r="3711">
          <cell r="I3711">
            <v>4416</v>
          </cell>
          <cell r="J3711">
            <v>0.13494792122538293</v>
          </cell>
        </row>
        <row r="3712">
          <cell r="I3712">
            <v>4417</v>
          </cell>
          <cell r="J3712">
            <v>0.13495060175054704</v>
          </cell>
        </row>
        <row r="3713">
          <cell r="I3713">
            <v>4418</v>
          </cell>
          <cell r="J3713">
            <v>0.13495328227571116</v>
          </cell>
        </row>
        <row r="3714">
          <cell r="I3714">
            <v>4419</v>
          </cell>
          <cell r="J3714">
            <v>0.13495596280087527</v>
          </cell>
        </row>
        <row r="3715">
          <cell r="I3715">
            <v>4420</v>
          </cell>
          <cell r="J3715">
            <v>0.13495864332603938</v>
          </cell>
        </row>
        <row r="3716">
          <cell r="I3716">
            <v>4421</v>
          </cell>
          <cell r="J3716">
            <v>0.13496132385120349</v>
          </cell>
        </row>
        <row r="3717">
          <cell r="I3717">
            <v>4422</v>
          </cell>
          <cell r="J3717">
            <v>0.1349640043763676</v>
          </cell>
        </row>
        <row r="3718">
          <cell r="I3718">
            <v>4423</v>
          </cell>
          <cell r="J3718">
            <v>0.13496668490153171</v>
          </cell>
        </row>
        <row r="3719">
          <cell r="I3719">
            <v>4424</v>
          </cell>
          <cell r="J3719">
            <v>0.13496936542669585</v>
          </cell>
        </row>
        <row r="3720">
          <cell r="I3720">
            <v>4425</v>
          </cell>
          <cell r="J3720">
            <v>0.13497204595185996</v>
          </cell>
        </row>
        <row r="3721">
          <cell r="I3721">
            <v>4426</v>
          </cell>
          <cell r="J3721">
            <v>0.13497472647702408</v>
          </cell>
        </row>
        <row r="3722">
          <cell r="I3722">
            <v>4427</v>
          </cell>
          <cell r="J3722">
            <v>0.13497740700218819</v>
          </cell>
        </row>
        <row r="3723">
          <cell r="I3723">
            <v>4428</v>
          </cell>
          <cell r="J3723">
            <v>0.1349800875273523</v>
          </cell>
        </row>
        <row r="3724">
          <cell r="I3724">
            <v>4429</v>
          </cell>
          <cell r="J3724">
            <v>0.13498276805251641</v>
          </cell>
        </row>
        <row r="3725">
          <cell r="I3725">
            <v>4430</v>
          </cell>
          <cell r="J3725">
            <v>0.13498544857768052</v>
          </cell>
        </row>
        <row r="3726">
          <cell r="I3726">
            <v>4431</v>
          </cell>
          <cell r="J3726">
            <v>0.13498812910284463</v>
          </cell>
        </row>
        <row r="3727">
          <cell r="I3727">
            <v>4432</v>
          </cell>
          <cell r="J3727">
            <v>0.13499080962800875</v>
          </cell>
        </row>
        <row r="3728">
          <cell r="I3728">
            <v>4433</v>
          </cell>
          <cell r="J3728">
            <v>0.13499349015317286</v>
          </cell>
        </row>
        <row r="3729">
          <cell r="I3729">
            <v>4434</v>
          </cell>
          <cell r="J3729">
            <v>0.13499617067833697</v>
          </cell>
        </row>
        <row r="3730">
          <cell r="I3730">
            <v>4435</v>
          </cell>
          <cell r="J3730">
            <v>0.13499885120350108</v>
          </cell>
        </row>
        <row r="3731">
          <cell r="I3731">
            <v>4436</v>
          </cell>
          <cell r="J3731">
            <v>0.13500153172866519</v>
          </cell>
        </row>
        <row r="3732">
          <cell r="I3732">
            <v>4437</v>
          </cell>
          <cell r="J3732">
            <v>0.13500421225382933</v>
          </cell>
        </row>
        <row r="3733">
          <cell r="I3733">
            <v>4438</v>
          </cell>
          <cell r="J3733">
            <v>0.13500689277899344</v>
          </cell>
        </row>
        <row r="3734">
          <cell r="I3734">
            <v>4439</v>
          </cell>
          <cell r="J3734">
            <v>0.13500957330415755</v>
          </cell>
        </row>
        <row r="3735">
          <cell r="I3735">
            <v>4440</v>
          </cell>
          <cell r="J3735">
            <v>0.13501225382932167</v>
          </cell>
        </row>
        <row r="3736">
          <cell r="I3736">
            <v>4441</v>
          </cell>
          <cell r="J3736">
            <v>0.13501493435448578</v>
          </cell>
        </row>
        <row r="3737">
          <cell r="I3737">
            <v>4442</v>
          </cell>
          <cell r="J3737">
            <v>0.13501761487964989</v>
          </cell>
        </row>
        <row r="3738">
          <cell r="I3738">
            <v>4443</v>
          </cell>
          <cell r="J3738">
            <v>0.135020295404814</v>
          </cell>
        </row>
        <row r="3739">
          <cell r="I3739">
            <v>4444</v>
          </cell>
          <cell r="J3739">
            <v>0.13502297592997811</v>
          </cell>
        </row>
        <row r="3740">
          <cell r="I3740">
            <v>4445</v>
          </cell>
          <cell r="J3740">
            <v>0.13502565645514222</v>
          </cell>
        </row>
        <row r="3741">
          <cell r="I3741">
            <v>4446</v>
          </cell>
          <cell r="J3741">
            <v>0.13502833698030633</v>
          </cell>
        </row>
        <row r="3742">
          <cell r="I3742">
            <v>4447</v>
          </cell>
          <cell r="J3742">
            <v>0.13503101750547045</v>
          </cell>
        </row>
        <row r="3743">
          <cell r="I3743">
            <v>4448</v>
          </cell>
          <cell r="J3743">
            <v>0.13503369803063456</v>
          </cell>
        </row>
        <row r="3744">
          <cell r="I3744">
            <v>4449</v>
          </cell>
          <cell r="J3744">
            <v>0.1350363785557987</v>
          </cell>
        </row>
        <row r="3745">
          <cell r="I3745">
            <v>4450</v>
          </cell>
          <cell r="J3745">
            <v>0.13503905908096281</v>
          </cell>
        </row>
        <row r="3746">
          <cell r="I3746">
            <v>4451</v>
          </cell>
          <cell r="J3746">
            <v>0.13504173960612692</v>
          </cell>
        </row>
        <row r="3747">
          <cell r="I3747">
            <v>4452</v>
          </cell>
          <cell r="J3747">
            <v>0.13504442013129103</v>
          </cell>
        </row>
        <row r="3748">
          <cell r="I3748">
            <v>4453</v>
          </cell>
          <cell r="J3748">
            <v>0.13504710065645514</v>
          </cell>
        </row>
        <row r="3749">
          <cell r="I3749">
            <v>4454</v>
          </cell>
          <cell r="J3749">
            <v>0.13504978118161926</v>
          </cell>
        </row>
        <row r="3750">
          <cell r="I3750">
            <v>4455</v>
          </cell>
          <cell r="J3750">
            <v>0.13505246170678337</v>
          </cell>
        </row>
        <row r="3751">
          <cell r="I3751">
            <v>4456</v>
          </cell>
          <cell r="J3751">
            <v>0.13505514223194748</v>
          </cell>
        </row>
        <row r="3752">
          <cell r="I3752">
            <v>4457</v>
          </cell>
          <cell r="J3752">
            <v>0.13505782275711159</v>
          </cell>
        </row>
        <row r="3753">
          <cell r="I3753">
            <v>4458</v>
          </cell>
          <cell r="J3753">
            <v>0.1350605032822757</v>
          </cell>
        </row>
        <row r="3754">
          <cell r="I3754">
            <v>4459</v>
          </cell>
          <cell r="J3754">
            <v>0.13506318380743981</v>
          </cell>
        </row>
        <row r="3755">
          <cell r="I3755">
            <v>4460</v>
          </cell>
          <cell r="J3755">
            <v>0.13506586433260392</v>
          </cell>
        </row>
        <row r="3756">
          <cell r="I3756">
            <v>4461</v>
          </cell>
          <cell r="J3756">
            <v>0.13506854485776804</v>
          </cell>
        </row>
        <row r="3757">
          <cell r="I3757">
            <v>4462</v>
          </cell>
          <cell r="J3757">
            <v>0.13507122538293218</v>
          </cell>
        </row>
        <row r="3758">
          <cell r="I3758">
            <v>4463</v>
          </cell>
          <cell r="J3758">
            <v>0.13507390590809629</v>
          </cell>
        </row>
        <row r="3759">
          <cell r="I3759">
            <v>4464</v>
          </cell>
          <cell r="J3759">
            <v>0.1350765864332604</v>
          </cell>
        </row>
        <row r="3760">
          <cell r="I3760">
            <v>4465</v>
          </cell>
          <cell r="J3760">
            <v>0.13507926695842451</v>
          </cell>
        </row>
        <row r="3761">
          <cell r="I3761">
            <v>4466</v>
          </cell>
          <cell r="J3761">
            <v>0.13508194748358862</v>
          </cell>
        </row>
        <row r="3762">
          <cell r="I3762">
            <v>4467</v>
          </cell>
          <cell r="J3762">
            <v>0.13508462800875273</v>
          </cell>
        </row>
        <row r="3763">
          <cell r="I3763">
            <v>4468</v>
          </cell>
          <cell r="J3763">
            <v>0.13508730853391684</v>
          </cell>
        </row>
        <row r="3764">
          <cell r="I3764">
            <v>4469</v>
          </cell>
          <cell r="J3764">
            <v>0.13508998905908096</v>
          </cell>
        </row>
        <row r="3765">
          <cell r="I3765">
            <v>4470</v>
          </cell>
          <cell r="J3765">
            <v>0.13509266958424507</v>
          </cell>
        </row>
        <row r="3766">
          <cell r="I3766">
            <v>4471</v>
          </cell>
          <cell r="J3766">
            <v>0.13509535010940918</v>
          </cell>
        </row>
        <row r="3767">
          <cell r="I3767">
            <v>4472</v>
          </cell>
          <cell r="J3767">
            <v>0.13509803063457329</v>
          </cell>
        </row>
        <row r="3768">
          <cell r="I3768">
            <v>4473</v>
          </cell>
          <cell r="J3768">
            <v>0.1351007111597374</v>
          </cell>
        </row>
        <row r="3769">
          <cell r="I3769">
            <v>4474</v>
          </cell>
          <cell r="J3769">
            <v>0.13510339168490154</v>
          </cell>
        </row>
        <row r="3770">
          <cell r="I3770">
            <v>4475</v>
          </cell>
          <cell r="J3770">
            <v>0.13510607221006565</v>
          </cell>
        </row>
        <row r="3771">
          <cell r="I3771">
            <v>4476</v>
          </cell>
          <cell r="J3771">
            <v>0.13510875273522976</v>
          </cell>
        </row>
        <row r="3772">
          <cell r="I3772">
            <v>4477</v>
          </cell>
          <cell r="J3772">
            <v>0.13511143326039388</v>
          </cell>
        </row>
        <row r="3773">
          <cell r="I3773">
            <v>4478</v>
          </cell>
          <cell r="J3773">
            <v>0.13511411378555799</v>
          </cell>
        </row>
        <row r="3774">
          <cell r="I3774">
            <v>4479</v>
          </cell>
          <cell r="J3774">
            <v>0.1351167943107221</v>
          </cell>
        </row>
        <row r="3775">
          <cell r="I3775">
            <v>4480</v>
          </cell>
          <cell r="J3775">
            <v>0.13511947483588621</v>
          </cell>
        </row>
        <row r="3776">
          <cell r="I3776">
            <v>4481</v>
          </cell>
          <cell r="J3776">
            <v>0.13512215536105032</v>
          </cell>
        </row>
        <row r="3777">
          <cell r="I3777">
            <v>4482</v>
          </cell>
          <cell r="J3777">
            <v>0.13512483588621443</v>
          </cell>
        </row>
        <row r="3778">
          <cell r="I3778">
            <v>4483</v>
          </cell>
          <cell r="J3778">
            <v>0.13512751641137855</v>
          </cell>
        </row>
        <row r="3779">
          <cell r="I3779">
            <v>4484</v>
          </cell>
          <cell r="J3779">
            <v>0.13513019693654266</v>
          </cell>
        </row>
        <row r="3780">
          <cell r="I3780">
            <v>4485</v>
          </cell>
          <cell r="J3780">
            <v>0.13513287746170677</v>
          </cell>
        </row>
        <row r="3781">
          <cell r="I3781">
            <v>4486</v>
          </cell>
          <cell r="J3781">
            <v>0.13513555798687091</v>
          </cell>
        </row>
        <row r="3782">
          <cell r="I3782">
            <v>4487</v>
          </cell>
          <cell r="J3782">
            <v>0.13513823851203502</v>
          </cell>
        </row>
        <row r="3783">
          <cell r="I3783">
            <v>4488</v>
          </cell>
          <cell r="J3783">
            <v>0.13514091903719913</v>
          </cell>
        </row>
        <row r="3784">
          <cell r="I3784">
            <v>4489</v>
          </cell>
          <cell r="J3784">
            <v>0.13514359956236324</v>
          </cell>
        </row>
        <row r="3785">
          <cell r="I3785">
            <v>4490</v>
          </cell>
          <cell r="J3785">
            <v>0.13514628008752735</v>
          </cell>
        </row>
        <row r="3786">
          <cell r="I3786">
            <v>4491</v>
          </cell>
          <cell r="J3786">
            <v>0.13514896061269147</v>
          </cell>
        </row>
        <row r="3787">
          <cell r="I3787">
            <v>4492</v>
          </cell>
          <cell r="J3787">
            <v>0.13515164113785558</v>
          </cell>
        </row>
        <row r="3788">
          <cell r="I3788">
            <v>4493</v>
          </cell>
          <cell r="J3788">
            <v>0.13515432166301969</v>
          </cell>
        </row>
        <row r="3789">
          <cell r="I3789">
            <v>4494</v>
          </cell>
          <cell r="J3789">
            <v>0.1351570021881838</v>
          </cell>
        </row>
        <row r="3790">
          <cell r="I3790">
            <v>4495</v>
          </cell>
          <cell r="J3790">
            <v>0.13515968271334791</v>
          </cell>
        </row>
        <row r="3791">
          <cell r="I3791">
            <v>4496</v>
          </cell>
          <cell r="J3791">
            <v>0.13516236323851202</v>
          </cell>
        </row>
        <row r="3792">
          <cell r="I3792">
            <v>4497</v>
          </cell>
          <cell r="J3792">
            <v>0.13516504376367613</v>
          </cell>
        </row>
        <row r="3793">
          <cell r="I3793">
            <v>4498</v>
          </cell>
          <cell r="J3793">
            <v>0.13516772428884027</v>
          </cell>
        </row>
        <row r="3794">
          <cell r="I3794">
            <v>4499</v>
          </cell>
          <cell r="J3794">
            <v>0.13517040481400439</v>
          </cell>
        </row>
        <row r="3795">
          <cell r="I3795">
            <v>4500</v>
          </cell>
          <cell r="J3795">
            <v>0.1351730853391685</v>
          </cell>
        </row>
        <row r="3796">
          <cell r="I3796">
            <v>4501</v>
          </cell>
          <cell r="J3796">
            <v>0.13517576586433261</v>
          </cell>
        </row>
        <row r="3797">
          <cell r="I3797">
            <v>4502</v>
          </cell>
          <cell r="J3797">
            <v>0.13517844638949672</v>
          </cell>
        </row>
        <row r="3798">
          <cell r="I3798">
            <v>4503</v>
          </cell>
          <cell r="J3798">
            <v>0.13518112691466083</v>
          </cell>
        </row>
        <row r="3799">
          <cell r="I3799">
            <v>4504</v>
          </cell>
          <cell r="J3799">
            <v>0.13518380743982494</v>
          </cell>
        </row>
        <row r="3800">
          <cell r="I3800">
            <v>4505</v>
          </cell>
          <cell r="J3800">
            <v>0.13518648796498905</v>
          </cell>
        </row>
        <row r="3801">
          <cell r="I3801">
            <v>4506</v>
          </cell>
          <cell r="J3801">
            <v>0.13518916849015317</v>
          </cell>
        </row>
        <row r="3802">
          <cell r="I3802">
            <v>4507</v>
          </cell>
          <cell r="J3802">
            <v>0.13519184901531728</v>
          </cell>
        </row>
        <row r="3803">
          <cell r="I3803">
            <v>4508</v>
          </cell>
          <cell r="J3803">
            <v>0.13519452954048139</v>
          </cell>
        </row>
        <row r="3804">
          <cell r="I3804">
            <v>4509</v>
          </cell>
          <cell r="J3804">
            <v>0.1351972100656455</v>
          </cell>
        </row>
        <row r="3805">
          <cell r="I3805">
            <v>4510</v>
          </cell>
          <cell r="J3805">
            <v>0.13519989059080961</v>
          </cell>
        </row>
        <row r="3806">
          <cell r="I3806">
            <v>4511</v>
          </cell>
          <cell r="J3806">
            <v>0.13520257111597375</v>
          </cell>
        </row>
        <row r="3807">
          <cell r="I3807">
            <v>4512</v>
          </cell>
          <cell r="J3807">
            <v>0.13520525164113786</v>
          </cell>
        </row>
        <row r="3808">
          <cell r="I3808">
            <v>4513</v>
          </cell>
          <cell r="J3808">
            <v>0.13520793216630198</v>
          </cell>
        </row>
        <row r="3809">
          <cell r="I3809">
            <v>4514</v>
          </cell>
          <cell r="J3809">
            <v>0.13521061269146609</v>
          </cell>
        </row>
        <row r="3810">
          <cell r="I3810">
            <v>4515</v>
          </cell>
          <cell r="J3810">
            <v>0.1352132932166302</v>
          </cell>
        </row>
        <row r="3811">
          <cell r="I3811">
            <v>4516</v>
          </cell>
          <cell r="J3811">
            <v>0.13521597374179431</v>
          </cell>
        </row>
        <row r="3812">
          <cell r="I3812">
            <v>4517</v>
          </cell>
          <cell r="J3812">
            <v>0.13521865426695842</v>
          </cell>
        </row>
        <row r="3813">
          <cell r="I3813">
            <v>4518</v>
          </cell>
          <cell r="J3813">
            <v>0.13522133479212253</v>
          </cell>
        </row>
        <row r="3814">
          <cell r="I3814">
            <v>4519</v>
          </cell>
          <cell r="J3814">
            <v>0.13522401531728664</v>
          </cell>
        </row>
        <row r="3815">
          <cell r="I3815">
            <v>4520</v>
          </cell>
          <cell r="J3815">
            <v>0.13522669584245076</v>
          </cell>
        </row>
        <row r="3816">
          <cell r="I3816">
            <v>4521</v>
          </cell>
          <cell r="J3816">
            <v>0.13522937636761487</v>
          </cell>
        </row>
        <row r="3817">
          <cell r="I3817">
            <v>4522</v>
          </cell>
          <cell r="J3817">
            <v>0.13523205689277898</v>
          </cell>
        </row>
        <row r="3818">
          <cell r="I3818">
            <v>4523</v>
          </cell>
          <cell r="J3818">
            <v>0.13523473741794312</v>
          </cell>
        </row>
        <row r="3819">
          <cell r="I3819">
            <v>4524</v>
          </cell>
          <cell r="J3819">
            <v>0.13523741794310723</v>
          </cell>
        </row>
        <row r="3820">
          <cell r="I3820">
            <v>4525</v>
          </cell>
          <cell r="J3820">
            <v>0.13524009846827134</v>
          </cell>
        </row>
        <row r="3821">
          <cell r="I3821">
            <v>4526</v>
          </cell>
          <cell r="J3821">
            <v>0.13524277899343545</v>
          </cell>
        </row>
        <row r="3822">
          <cell r="I3822">
            <v>4527</v>
          </cell>
          <cell r="J3822">
            <v>0.13524545951859956</v>
          </cell>
        </row>
        <row r="3823">
          <cell r="I3823">
            <v>4528</v>
          </cell>
          <cell r="J3823">
            <v>0.13524814004376368</v>
          </cell>
        </row>
        <row r="3824">
          <cell r="I3824">
            <v>4529</v>
          </cell>
          <cell r="J3824">
            <v>0.13525082056892779</v>
          </cell>
        </row>
        <row r="3825">
          <cell r="I3825">
            <v>4530</v>
          </cell>
          <cell r="J3825">
            <v>0.1352535010940919</v>
          </cell>
        </row>
        <row r="3826">
          <cell r="I3826">
            <v>4531</v>
          </cell>
          <cell r="J3826">
            <v>0.13525618161925601</v>
          </cell>
        </row>
        <row r="3827">
          <cell r="I3827">
            <v>4532</v>
          </cell>
          <cell r="J3827">
            <v>0.13525886214442012</v>
          </cell>
        </row>
        <row r="3828">
          <cell r="I3828">
            <v>4533</v>
          </cell>
          <cell r="J3828">
            <v>0.13526154266958423</v>
          </cell>
        </row>
        <row r="3829">
          <cell r="I3829">
            <v>4534</v>
          </cell>
          <cell r="J3829">
            <v>0.13526422319474835</v>
          </cell>
        </row>
        <row r="3830">
          <cell r="I3830">
            <v>4535</v>
          </cell>
          <cell r="J3830">
            <v>0.13526690371991246</v>
          </cell>
        </row>
        <row r="3831">
          <cell r="I3831">
            <v>4536</v>
          </cell>
          <cell r="J3831">
            <v>0.1352695842450766</v>
          </cell>
        </row>
        <row r="3832">
          <cell r="I3832">
            <v>4537</v>
          </cell>
          <cell r="J3832">
            <v>0.13527226477024071</v>
          </cell>
        </row>
        <row r="3833">
          <cell r="I3833">
            <v>4538</v>
          </cell>
          <cell r="J3833">
            <v>0.13527494529540482</v>
          </cell>
        </row>
        <row r="3834">
          <cell r="I3834">
            <v>4539</v>
          </cell>
          <cell r="J3834">
            <v>0.13527762582056893</v>
          </cell>
        </row>
        <row r="3835">
          <cell r="I3835">
            <v>4540</v>
          </cell>
          <cell r="J3835">
            <v>0.13528030634573304</v>
          </cell>
        </row>
        <row r="3836">
          <cell r="I3836">
            <v>4541</v>
          </cell>
          <cell r="J3836">
            <v>0.13528298687089715</v>
          </cell>
        </row>
        <row r="3837">
          <cell r="I3837">
            <v>4542</v>
          </cell>
          <cell r="J3837">
            <v>0.13528566739606127</v>
          </cell>
        </row>
        <row r="3838">
          <cell r="I3838">
            <v>4543</v>
          </cell>
          <cell r="J3838">
            <v>0.13528834792122538</v>
          </cell>
        </row>
        <row r="3839">
          <cell r="I3839">
            <v>4544</v>
          </cell>
          <cell r="J3839">
            <v>0.13529102844638949</v>
          </cell>
        </row>
        <row r="3840">
          <cell r="I3840">
            <v>4545</v>
          </cell>
          <cell r="J3840">
            <v>0.1352937089715536</v>
          </cell>
        </row>
        <row r="3841">
          <cell r="I3841">
            <v>4546</v>
          </cell>
          <cell r="J3841">
            <v>0.13529638949671771</v>
          </cell>
        </row>
        <row r="3842">
          <cell r="I3842">
            <v>4547</v>
          </cell>
          <cell r="J3842">
            <v>0.13529907002188182</v>
          </cell>
        </row>
        <row r="3843">
          <cell r="I3843">
            <v>4548</v>
          </cell>
          <cell r="J3843">
            <v>0.13530175054704596</v>
          </cell>
        </row>
        <row r="3844">
          <cell r="I3844">
            <v>4549</v>
          </cell>
          <cell r="J3844">
            <v>0.13530443107221007</v>
          </cell>
        </row>
        <row r="3845">
          <cell r="I3845">
            <v>4550</v>
          </cell>
          <cell r="J3845">
            <v>0.13530711159737419</v>
          </cell>
        </row>
        <row r="3846">
          <cell r="I3846">
            <v>4551</v>
          </cell>
          <cell r="J3846">
            <v>0.1353097921225383</v>
          </cell>
        </row>
        <row r="3847">
          <cell r="I3847">
            <v>4552</v>
          </cell>
          <cell r="J3847">
            <v>0.13531247264770241</v>
          </cell>
        </row>
        <row r="3848">
          <cell r="I3848">
            <v>4553</v>
          </cell>
          <cell r="J3848">
            <v>0.13531515317286652</v>
          </cell>
        </row>
        <row r="3849">
          <cell r="I3849">
            <v>4554</v>
          </cell>
          <cell r="J3849">
            <v>0.13531783369803063</v>
          </cell>
        </row>
        <row r="3850">
          <cell r="I3850">
            <v>4555</v>
          </cell>
          <cell r="J3850">
            <v>0.13532051422319474</v>
          </cell>
        </row>
        <row r="3851">
          <cell r="I3851">
            <v>4556</v>
          </cell>
          <cell r="J3851">
            <v>0.13532319474835885</v>
          </cell>
        </row>
        <row r="3852">
          <cell r="I3852">
            <v>4557</v>
          </cell>
          <cell r="J3852">
            <v>0.13532587527352297</v>
          </cell>
        </row>
        <row r="3853">
          <cell r="I3853">
            <v>4558</v>
          </cell>
          <cell r="J3853">
            <v>0.13532855579868708</v>
          </cell>
        </row>
        <row r="3854">
          <cell r="I3854">
            <v>4559</v>
          </cell>
          <cell r="J3854">
            <v>0.13533123632385119</v>
          </cell>
        </row>
        <row r="3855">
          <cell r="I3855">
            <v>4560</v>
          </cell>
          <cell r="J3855">
            <v>0.13533391684901533</v>
          </cell>
        </row>
        <row r="3856">
          <cell r="I3856">
            <v>4561</v>
          </cell>
          <cell r="J3856">
            <v>0.13533659737417944</v>
          </cell>
        </row>
        <row r="3857">
          <cell r="I3857">
            <v>4562</v>
          </cell>
          <cell r="J3857">
            <v>0.13533927789934355</v>
          </cell>
        </row>
        <row r="3858">
          <cell r="I3858">
            <v>4563</v>
          </cell>
          <cell r="J3858">
            <v>0.13534195842450766</v>
          </cell>
        </row>
        <row r="3859">
          <cell r="I3859">
            <v>4564</v>
          </cell>
          <cell r="J3859">
            <v>0.13534463894967177</v>
          </cell>
        </row>
        <row r="3860">
          <cell r="I3860">
            <v>4565</v>
          </cell>
          <cell r="J3860">
            <v>0.13534731947483589</v>
          </cell>
        </row>
        <row r="3861">
          <cell r="I3861">
            <v>4566</v>
          </cell>
          <cell r="J3861">
            <v>0.13535</v>
          </cell>
        </row>
        <row r="3862">
          <cell r="I3862">
            <v>4567</v>
          </cell>
          <cell r="J3862">
            <v>0.13535268052516411</v>
          </cell>
        </row>
        <row r="3863">
          <cell r="I3863">
            <v>4568</v>
          </cell>
          <cell r="J3863">
            <v>0.13535536105032822</v>
          </cell>
        </row>
        <row r="3864">
          <cell r="I3864">
            <v>4569</v>
          </cell>
          <cell r="J3864">
            <v>0.13535804157549233</v>
          </cell>
        </row>
        <row r="3865">
          <cell r="I3865">
            <v>4570</v>
          </cell>
          <cell r="J3865">
            <v>0.13536072210065644</v>
          </cell>
        </row>
        <row r="3866">
          <cell r="I3866">
            <v>4571</v>
          </cell>
          <cell r="J3866">
            <v>0.13536340262582056</v>
          </cell>
        </row>
        <row r="3867">
          <cell r="I3867">
            <v>4572</v>
          </cell>
          <cell r="J3867">
            <v>0.13536608315098467</v>
          </cell>
        </row>
        <row r="3868">
          <cell r="I3868">
            <v>4573</v>
          </cell>
          <cell r="J3868">
            <v>0.13536876367614881</v>
          </cell>
        </row>
        <row r="3869">
          <cell r="I3869">
            <v>4574</v>
          </cell>
          <cell r="J3869">
            <v>0.13537144420131292</v>
          </cell>
        </row>
        <row r="3870">
          <cell r="I3870">
            <v>4575</v>
          </cell>
          <cell r="J3870">
            <v>0.13537412472647703</v>
          </cell>
        </row>
        <row r="3871">
          <cell r="I3871">
            <v>4576</v>
          </cell>
          <cell r="J3871">
            <v>0.13537680525164114</v>
          </cell>
        </row>
        <row r="3872">
          <cell r="I3872">
            <v>4577</v>
          </cell>
          <cell r="J3872">
            <v>0.13537948577680525</v>
          </cell>
        </row>
        <row r="3873">
          <cell r="I3873">
            <v>4578</v>
          </cell>
          <cell r="J3873">
            <v>0.13538216630196936</v>
          </cell>
        </row>
        <row r="3874">
          <cell r="I3874">
            <v>4579</v>
          </cell>
          <cell r="J3874">
            <v>0.13538484682713348</v>
          </cell>
        </row>
        <row r="3875">
          <cell r="I3875">
            <v>4580</v>
          </cell>
          <cell r="J3875">
            <v>0.13538752735229759</v>
          </cell>
        </row>
        <row r="3876">
          <cell r="I3876">
            <v>4581</v>
          </cell>
          <cell r="J3876">
            <v>0.1353902078774617</v>
          </cell>
        </row>
        <row r="3877">
          <cell r="I3877">
            <v>4582</v>
          </cell>
          <cell r="J3877">
            <v>0.13539288840262581</v>
          </cell>
        </row>
        <row r="3878">
          <cell r="I3878">
            <v>4583</v>
          </cell>
          <cell r="J3878">
            <v>0.13539556892778992</v>
          </cell>
        </row>
        <row r="3879">
          <cell r="I3879">
            <v>4584</v>
          </cell>
          <cell r="J3879">
            <v>0.13539824945295403</v>
          </cell>
        </row>
        <row r="3880">
          <cell r="I3880">
            <v>4585</v>
          </cell>
          <cell r="J3880">
            <v>0.13540092997811817</v>
          </cell>
        </row>
        <row r="3881">
          <cell r="I3881">
            <v>4586</v>
          </cell>
          <cell r="J3881">
            <v>0.13540361050328228</v>
          </cell>
        </row>
        <row r="3882">
          <cell r="I3882">
            <v>4587</v>
          </cell>
          <cell r="J3882">
            <v>0.1354062910284464</v>
          </cell>
        </row>
        <row r="3883">
          <cell r="I3883">
            <v>4588</v>
          </cell>
          <cell r="J3883">
            <v>0.13540897155361051</v>
          </cell>
        </row>
        <row r="3884">
          <cell r="I3884">
            <v>4589</v>
          </cell>
          <cell r="J3884">
            <v>0.13541165207877462</v>
          </cell>
        </row>
        <row r="3885">
          <cell r="I3885">
            <v>4590</v>
          </cell>
          <cell r="J3885">
            <v>0.13541433260393873</v>
          </cell>
        </row>
        <row r="3886">
          <cell r="I3886">
            <v>4591</v>
          </cell>
          <cell r="J3886">
            <v>0.13541701312910284</v>
          </cell>
        </row>
        <row r="3887">
          <cell r="I3887">
            <v>4592</v>
          </cell>
          <cell r="J3887">
            <v>0.13541969365426695</v>
          </cell>
        </row>
        <row r="3888">
          <cell r="I3888">
            <v>4593</v>
          </cell>
          <cell r="J3888">
            <v>0.13542237417943107</v>
          </cell>
        </row>
        <row r="3889">
          <cell r="I3889">
            <v>4594</v>
          </cell>
          <cell r="J3889">
            <v>0.13542505470459518</v>
          </cell>
        </row>
        <row r="3890">
          <cell r="I3890">
            <v>4595</v>
          </cell>
          <cell r="J3890">
            <v>0.13542773522975929</v>
          </cell>
        </row>
        <row r="3891">
          <cell r="I3891">
            <v>4596</v>
          </cell>
          <cell r="J3891">
            <v>0.1354304157549234</v>
          </cell>
        </row>
        <row r="3892">
          <cell r="I3892">
            <v>4597</v>
          </cell>
          <cell r="J3892">
            <v>0.13543309628008754</v>
          </cell>
        </row>
        <row r="3893">
          <cell r="I3893">
            <v>4598</v>
          </cell>
          <cell r="J3893">
            <v>0.13543577680525165</v>
          </cell>
        </row>
        <row r="3894">
          <cell r="I3894">
            <v>4599</v>
          </cell>
          <cell r="J3894">
            <v>0.13543845733041576</v>
          </cell>
        </row>
        <row r="3895">
          <cell r="I3895">
            <v>4600</v>
          </cell>
          <cell r="J3895">
            <v>0.13544113785557987</v>
          </cell>
        </row>
        <row r="3896">
          <cell r="I3896">
            <v>4601</v>
          </cell>
          <cell r="J3896">
            <v>0.13544381838074399</v>
          </cell>
        </row>
        <row r="3897">
          <cell r="I3897">
            <v>4602</v>
          </cell>
          <cell r="J3897">
            <v>0.1354464989059081</v>
          </cell>
        </row>
        <row r="3898">
          <cell r="I3898">
            <v>4603</v>
          </cell>
          <cell r="J3898">
            <v>0.13544917943107221</v>
          </cell>
        </row>
        <row r="3899">
          <cell r="I3899">
            <v>4604</v>
          </cell>
          <cell r="J3899">
            <v>0.13545185995623632</v>
          </cell>
        </row>
        <row r="3900">
          <cell r="I3900">
            <v>4605</v>
          </cell>
          <cell r="J3900">
            <v>0.13545454048140043</v>
          </cell>
        </row>
        <row r="3901">
          <cell r="I3901">
            <v>4606</v>
          </cell>
          <cell r="J3901">
            <v>0.13545722100656454</v>
          </cell>
        </row>
        <row r="3902">
          <cell r="I3902">
            <v>4607</v>
          </cell>
          <cell r="J3902">
            <v>0.13545990153172865</v>
          </cell>
        </row>
        <row r="3903">
          <cell r="I3903">
            <v>4608</v>
          </cell>
          <cell r="J3903">
            <v>0.13546258205689277</v>
          </cell>
        </row>
        <row r="3904">
          <cell r="I3904">
            <v>4609</v>
          </cell>
          <cell r="J3904">
            <v>0.13546526258205688</v>
          </cell>
        </row>
        <row r="3905">
          <cell r="I3905">
            <v>4610</v>
          </cell>
          <cell r="J3905">
            <v>0.13546794310722102</v>
          </cell>
        </row>
        <row r="3906">
          <cell r="I3906">
            <v>4611</v>
          </cell>
          <cell r="J3906">
            <v>0.13547062363238513</v>
          </cell>
        </row>
        <row r="3907">
          <cell r="I3907">
            <v>4612</v>
          </cell>
          <cell r="J3907">
            <v>0.13547330415754924</v>
          </cell>
        </row>
        <row r="3908">
          <cell r="I3908">
            <v>4613</v>
          </cell>
          <cell r="J3908">
            <v>0.13547598468271335</v>
          </cell>
        </row>
        <row r="3909">
          <cell r="I3909">
            <v>4614</v>
          </cell>
          <cell r="J3909">
            <v>0.13547866520787746</v>
          </cell>
        </row>
        <row r="3910">
          <cell r="I3910">
            <v>4615</v>
          </cell>
          <cell r="J3910">
            <v>0.13548134573304157</v>
          </cell>
        </row>
        <row r="3911">
          <cell r="I3911">
            <v>4616</v>
          </cell>
          <cell r="J3911">
            <v>0.13548402625820569</v>
          </cell>
        </row>
        <row r="3912">
          <cell r="I3912">
            <v>4617</v>
          </cell>
          <cell r="J3912">
            <v>0.1354867067833698</v>
          </cell>
        </row>
        <row r="3913">
          <cell r="I3913">
            <v>4618</v>
          </cell>
          <cell r="J3913">
            <v>0.13548938730853391</v>
          </cell>
        </row>
        <row r="3914">
          <cell r="I3914">
            <v>4619</v>
          </cell>
          <cell r="J3914">
            <v>0.13549206783369802</v>
          </cell>
        </row>
        <row r="3915">
          <cell r="I3915">
            <v>4620</v>
          </cell>
          <cell r="J3915">
            <v>0.13549474835886213</v>
          </cell>
        </row>
        <row r="3916">
          <cell r="I3916">
            <v>4621</v>
          </cell>
          <cell r="J3916">
            <v>0.13549742888402624</v>
          </cell>
        </row>
        <row r="3917">
          <cell r="I3917">
            <v>4622</v>
          </cell>
          <cell r="J3917">
            <v>0.13550010940919038</v>
          </cell>
        </row>
        <row r="3918">
          <cell r="I3918">
            <v>4623</v>
          </cell>
          <cell r="J3918">
            <v>0.1355027899343545</v>
          </cell>
        </row>
        <row r="3919">
          <cell r="I3919">
            <v>4624</v>
          </cell>
          <cell r="J3919">
            <v>0.13550547045951861</v>
          </cell>
        </row>
        <row r="3920">
          <cell r="I3920">
            <v>4625</v>
          </cell>
          <cell r="J3920">
            <v>0.13550815098468272</v>
          </cell>
        </row>
        <row r="3921">
          <cell r="I3921">
            <v>4626</v>
          </cell>
          <cell r="J3921">
            <v>0.13551083150984683</v>
          </cell>
        </row>
        <row r="3922">
          <cell r="I3922">
            <v>4627</v>
          </cell>
          <cell r="J3922">
            <v>0.13551351203501094</v>
          </cell>
        </row>
        <row r="3923">
          <cell r="I3923">
            <v>4628</v>
          </cell>
          <cell r="J3923">
            <v>0.13551619256017505</v>
          </cell>
        </row>
        <row r="3924">
          <cell r="I3924">
            <v>4629</v>
          </cell>
          <cell r="J3924">
            <v>0.13551887308533916</v>
          </cell>
        </row>
        <row r="3925">
          <cell r="I3925">
            <v>4630</v>
          </cell>
          <cell r="J3925">
            <v>0.13552155361050328</v>
          </cell>
        </row>
        <row r="3926">
          <cell r="I3926">
            <v>4631</v>
          </cell>
          <cell r="J3926">
            <v>0.13552423413566739</v>
          </cell>
        </row>
        <row r="3927">
          <cell r="I3927">
            <v>4632</v>
          </cell>
          <cell r="J3927">
            <v>0.1355269146608315</v>
          </cell>
        </row>
        <row r="3928">
          <cell r="I3928">
            <v>4633</v>
          </cell>
          <cell r="J3928">
            <v>0.13552959518599561</v>
          </cell>
        </row>
        <row r="3929">
          <cell r="I3929">
            <v>4634</v>
          </cell>
          <cell r="J3929">
            <v>0.13553227571115972</v>
          </cell>
        </row>
        <row r="3930">
          <cell r="I3930">
            <v>4635</v>
          </cell>
          <cell r="J3930">
            <v>0.13553495623632386</v>
          </cell>
        </row>
        <row r="3931">
          <cell r="I3931">
            <v>4636</v>
          </cell>
          <cell r="J3931">
            <v>0.13553763676148797</v>
          </cell>
        </row>
        <row r="3932">
          <cell r="I3932">
            <v>4637</v>
          </cell>
          <cell r="J3932">
            <v>0.13554031728665208</v>
          </cell>
        </row>
        <row r="3933">
          <cell r="I3933">
            <v>4638</v>
          </cell>
          <cell r="J3933">
            <v>0.1355429978118162</v>
          </cell>
        </row>
        <row r="3934">
          <cell r="I3934">
            <v>4639</v>
          </cell>
          <cell r="J3934">
            <v>0.13554567833698031</v>
          </cell>
        </row>
        <row r="3935">
          <cell r="I3935">
            <v>4640</v>
          </cell>
          <cell r="J3935">
            <v>0.13554835886214442</v>
          </cell>
        </row>
        <row r="3936">
          <cell r="I3936">
            <v>4641</v>
          </cell>
          <cell r="J3936">
            <v>0.13555103938730853</v>
          </cell>
        </row>
        <row r="3937">
          <cell r="I3937">
            <v>4642</v>
          </cell>
          <cell r="J3937">
            <v>0.13555371991247264</v>
          </cell>
        </row>
        <row r="3938">
          <cell r="I3938">
            <v>4643</v>
          </cell>
          <cell r="J3938">
            <v>0.13555640043763675</v>
          </cell>
        </row>
        <row r="3939">
          <cell r="I3939">
            <v>4644</v>
          </cell>
          <cell r="J3939">
            <v>0.13555908096280087</v>
          </cell>
        </row>
        <row r="3940">
          <cell r="I3940">
            <v>4645</v>
          </cell>
          <cell r="J3940">
            <v>0.13556176148796498</v>
          </cell>
        </row>
        <row r="3941">
          <cell r="I3941">
            <v>4646</v>
          </cell>
          <cell r="J3941">
            <v>0.13556444201312909</v>
          </cell>
        </row>
        <row r="3942">
          <cell r="I3942">
            <v>4647</v>
          </cell>
          <cell r="J3942">
            <v>0.13556712253829323</v>
          </cell>
        </row>
        <row r="3943">
          <cell r="I3943">
            <v>4648</v>
          </cell>
          <cell r="J3943">
            <v>0.13556980306345734</v>
          </cell>
        </row>
        <row r="3944">
          <cell r="I3944">
            <v>4649</v>
          </cell>
          <cell r="J3944">
            <v>0.13557248358862145</v>
          </cell>
        </row>
        <row r="3945">
          <cell r="I3945">
            <v>4650</v>
          </cell>
          <cell r="J3945">
            <v>0.13557516411378556</v>
          </cell>
        </row>
        <row r="3946">
          <cell r="I3946">
            <v>4651</v>
          </cell>
          <cell r="J3946">
            <v>0.13557784463894967</v>
          </cell>
        </row>
        <row r="3947">
          <cell r="I3947">
            <v>4652</v>
          </cell>
          <cell r="J3947">
            <v>0.13558052516411379</v>
          </cell>
        </row>
        <row r="3948">
          <cell r="I3948">
            <v>4653</v>
          </cell>
          <cell r="J3948">
            <v>0.1355832056892779</v>
          </cell>
        </row>
        <row r="3949">
          <cell r="I3949">
            <v>4654</v>
          </cell>
          <cell r="J3949">
            <v>0.13558588621444201</v>
          </cell>
        </row>
        <row r="3950">
          <cell r="I3950">
            <v>4655</v>
          </cell>
          <cell r="J3950">
            <v>0.13558856673960612</v>
          </cell>
        </row>
        <row r="3951">
          <cell r="I3951">
            <v>4656</v>
          </cell>
          <cell r="J3951">
            <v>0.13559124726477023</v>
          </cell>
        </row>
        <row r="3952">
          <cell r="I3952">
            <v>4657</v>
          </cell>
          <cell r="J3952">
            <v>0.13559392778993434</v>
          </cell>
        </row>
        <row r="3953">
          <cell r="I3953">
            <v>4658</v>
          </cell>
          <cell r="J3953">
            <v>0.13559660831509845</v>
          </cell>
        </row>
        <row r="3954">
          <cell r="I3954">
            <v>4659</v>
          </cell>
          <cell r="J3954">
            <v>0.13559928884026259</v>
          </cell>
        </row>
        <row r="3955">
          <cell r="I3955">
            <v>4660</v>
          </cell>
          <cell r="J3955">
            <v>0.13560196936542671</v>
          </cell>
        </row>
        <row r="3956">
          <cell r="I3956">
            <v>4661</v>
          </cell>
          <cell r="J3956">
            <v>0.13560464989059082</v>
          </cell>
        </row>
        <row r="3957">
          <cell r="I3957">
            <v>4662</v>
          </cell>
          <cell r="J3957">
            <v>0.13560733041575493</v>
          </cell>
        </row>
        <row r="3958">
          <cell r="I3958">
            <v>4663</v>
          </cell>
          <cell r="J3958">
            <v>0.13561001094091904</v>
          </cell>
        </row>
        <row r="3959">
          <cell r="I3959">
            <v>4664</v>
          </cell>
          <cell r="J3959">
            <v>0.13561269146608315</v>
          </cell>
        </row>
        <row r="3960">
          <cell r="I3960">
            <v>4665</v>
          </cell>
          <cell r="J3960">
            <v>0.13561537199124726</v>
          </cell>
        </row>
        <row r="3961">
          <cell r="I3961">
            <v>4666</v>
          </cell>
          <cell r="J3961">
            <v>0.13561805251641137</v>
          </cell>
        </row>
        <row r="3962">
          <cell r="I3962">
            <v>4667</v>
          </cell>
          <cell r="J3962">
            <v>0.13562073304157549</v>
          </cell>
        </row>
        <row r="3963">
          <cell r="I3963">
            <v>4668</v>
          </cell>
          <cell r="J3963">
            <v>0.1356234135667396</v>
          </cell>
        </row>
        <row r="3964">
          <cell r="I3964">
            <v>4669</v>
          </cell>
          <cell r="J3964">
            <v>0.13562609409190371</v>
          </cell>
        </row>
        <row r="3965">
          <cell r="I3965">
            <v>4670</v>
          </cell>
          <cell r="J3965">
            <v>0.13562877461706782</v>
          </cell>
        </row>
        <row r="3966">
          <cell r="I3966">
            <v>4671</v>
          </cell>
          <cell r="J3966">
            <v>0.13563145514223196</v>
          </cell>
        </row>
        <row r="3967">
          <cell r="I3967">
            <v>4672</v>
          </cell>
          <cell r="J3967">
            <v>0.13563413566739607</v>
          </cell>
        </row>
        <row r="3968">
          <cell r="I3968">
            <v>4673</v>
          </cell>
          <cell r="J3968">
            <v>0.13563681619256018</v>
          </cell>
        </row>
        <row r="3969">
          <cell r="I3969">
            <v>4674</v>
          </cell>
          <cell r="J3969">
            <v>0.13563949671772429</v>
          </cell>
        </row>
        <row r="3970">
          <cell r="I3970">
            <v>4675</v>
          </cell>
          <cell r="J3970">
            <v>0.13564217724288841</v>
          </cell>
        </row>
        <row r="3971">
          <cell r="I3971">
            <v>4676</v>
          </cell>
          <cell r="J3971">
            <v>0.13564485776805252</v>
          </cell>
        </row>
        <row r="3972">
          <cell r="I3972">
            <v>4677</v>
          </cell>
          <cell r="J3972">
            <v>0.13564753829321663</v>
          </cell>
        </row>
        <row r="3973">
          <cell r="I3973">
            <v>4678</v>
          </cell>
          <cell r="J3973">
            <v>0.13565021881838074</v>
          </cell>
        </row>
        <row r="3974">
          <cell r="I3974">
            <v>4679</v>
          </cell>
          <cell r="J3974">
            <v>0.13565289934354485</v>
          </cell>
        </row>
        <row r="3975">
          <cell r="I3975">
            <v>4680</v>
          </cell>
          <cell r="J3975">
            <v>0.13565557986870896</v>
          </cell>
        </row>
        <row r="3976">
          <cell r="I3976">
            <v>4681</v>
          </cell>
          <cell r="J3976">
            <v>0.13565826039387308</v>
          </cell>
        </row>
        <row r="3977">
          <cell r="I3977">
            <v>4682</v>
          </cell>
          <cell r="J3977">
            <v>0.13566094091903719</v>
          </cell>
        </row>
        <row r="3978">
          <cell r="I3978">
            <v>4683</v>
          </cell>
          <cell r="J3978">
            <v>0.1356636214442013</v>
          </cell>
        </row>
        <row r="3979">
          <cell r="I3979">
            <v>4684</v>
          </cell>
          <cell r="J3979">
            <v>0.13566630196936544</v>
          </cell>
        </row>
        <row r="3980">
          <cell r="I3980">
            <v>4685</v>
          </cell>
          <cell r="J3980">
            <v>0.13566898249452955</v>
          </cell>
        </row>
        <row r="3981">
          <cell r="I3981">
            <v>4686</v>
          </cell>
          <cell r="J3981">
            <v>0.13567166301969366</v>
          </cell>
        </row>
        <row r="3982">
          <cell r="I3982">
            <v>4687</v>
          </cell>
          <cell r="J3982">
            <v>0.13567434354485777</v>
          </cell>
        </row>
        <row r="3983">
          <cell r="I3983">
            <v>4688</v>
          </cell>
          <cell r="J3983">
            <v>0.13567702407002188</v>
          </cell>
        </row>
        <row r="3984">
          <cell r="I3984">
            <v>4689</v>
          </cell>
          <cell r="J3984">
            <v>0.135679704595186</v>
          </cell>
        </row>
        <row r="3985">
          <cell r="I3985">
            <v>4690</v>
          </cell>
          <cell r="J3985">
            <v>0.13568238512035011</v>
          </cell>
        </row>
        <row r="3986">
          <cell r="I3986">
            <v>4691</v>
          </cell>
          <cell r="J3986">
            <v>0.13568506564551422</v>
          </cell>
        </row>
        <row r="3987">
          <cell r="I3987">
            <v>4692</v>
          </cell>
          <cell r="J3987">
            <v>0.13568774617067833</v>
          </cell>
        </row>
        <row r="3988">
          <cell r="I3988">
            <v>4693</v>
          </cell>
          <cell r="J3988">
            <v>0.13569042669584244</v>
          </cell>
        </row>
        <row r="3989">
          <cell r="I3989">
            <v>4694</v>
          </cell>
          <cell r="J3989">
            <v>0.13569310722100655</v>
          </cell>
        </row>
        <row r="3990">
          <cell r="I3990">
            <v>4695</v>
          </cell>
          <cell r="J3990">
            <v>0.13569578774617067</v>
          </cell>
        </row>
        <row r="3991">
          <cell r="I3991">
            <v>4696</v>
          </cell>
          <cell r="J3991">
            <v>0.1356984682713348</v>
          </cell>
        </row>
        <row r="3992">
          <cell r="I3992">
            <v>4697</v>
          </cell>
          <cell r="J3992">
            <v>0.13570114879649892</v>
          </cell>
        </row>
        <row r="3993">
          <cell r="I3993">
            <v>4698</v>
          </cell>
          <cell r="J3993">
            <v>0.13570382932166303</v>
          </cell>
        </row>
        <row r="3994">
          <cell r="I3994">
            <v>4699</v>
          </cell>
          <cell r="J3994">
            <v>0.13570650984682714</v>
          </cell>
        </row>
        <row r="3995">
          <cell r="I3995">
            <v>4700</v>
          </cell>
          <cell r="J3995">
            <v>0.13570919037199125</v>
          </cell>
        </row>
        <row r="3996">
          <cell r="I3996">
            <v>4701</v>
          </cell>
          <cell r="J3996">
            <v>0.13571187089715536</v>
          </cell>
        </row>
        <row r="3997">
          <cell r="I3997">
            <v>4702</v>
          </cell>
          <cell r="J3997">
            <v>0.13571455142231947</v>
          </cell>
        </row>
        <row r="3998">
          <cell r="I3998">
            <v>4703</v>
          </cell>
          <cell r="J3998">
            <v>0.13571723194748359</v>
          </cell>
        </row>
        <row r="3999">
          <cell r="I3999">
            <v>4704</v>
          </cell>
          <cell r="J3999">
            <v>0.1357199124726477</v>
          </cell>
        </row>
        <row r="4000">
          <cell r="I4000">
            <v>4705</v>
          </cell>
          <cell r="J4000">
            <v>0.13572259299781181</v>
          </cell>
        </row>
        <row r="4001">
          <cell r="I4001">
            <v>4706</v>
          </cell>
          <cell r="J4001">
            <v>0.13572527352297592</v>
          </cell>
        </row>
        <row r="4002">
          <cell r="I4002">
            <v>4707</v>
          </cell>
          <cell r="J4002">
            <v>0.13572795404814003</v>
          </cell>
        </row>
        <row r="4003">
          <cell r="I4003">
            <v>4708</v>
          </cell>
          <cell r="J4003">
            <v>0.13573063457330414</v>
          </cell>
        </row>
        <row r="4004">
          <cell r="I4004">
            <v>4709</v>
          </cell>
          <cell r="J4004">
            <v>0.13573331509846828</v>
          </cell>
        </row>
        <row r="4005">
          <cell r="I4005">
            <v>4710</v>
          </cell>
          <cell r="J4005">
            <v>0.13573599562363239</v>
          </cell>
        </row>
        <row r="4006">
          <cell r="I4006">
            <v>4711</v>
          </cell>
          <cell r="J4006">
            <v>0.13573867614879651</v>
          </cell>
        </row>
        <row r="4007">
          <cell r="I4007">
            <v>4712</v>
          </cell>
          <cell r="J4007">
            <v>0.13574135667396062</v>
          </cell>
        </row>
        <row r="4008">
          <cell r="I4008">
            <v>4713</v>
          </cell>
          <cell r="J4008">
            <v>0.13574403719912473</v>
          </cell>
        </row>
        <row r="4009">
          <cell r="I4009">
            <v>4714</v>
          </cell>
          <cell r="J4009">
            <v>0.13574671772428884</v>
          </cell>
        </row>
        <row r="4010">
          <cell r="I4010">
            <v>4715</v>
          </cell>
          <cell r="J4010">
            <v>0.13574939824945295</v>
          </cell>
        </row>
        <row r="4011">
          <cell r="I4011">
            <v>4716</v>
          </cell>
          <cell r="J4011">
            <v>0.13575207877461706</v>
          </cell>
        </row>
        <row r="4012">
          <cell r="I4012">
            <v>4717</v>
          </cell>
          <cell r="J4012">
            <v>0.13575475929978117</v>
          </cell>
        </row>
        <row r="4013">
          <cell r="I4013">
            <v>4718</v>
          </cell>
          <cell r="J4013">
            <v>0.13575743982494529</v>
          </cell>
        </row>
        <row r="4014">
          <cell r="I4014">
            <v>4719</v>
          </cell>
          <cell r="J4014">
            <v>0.1357601203501094</v>
          </cell>
        </row>
        <row r="4015">
          <cell r="I4015">
            <v>4720</v>
          </cell>
          <cell r="J4015">
            <v>0.13576280087527351</v>
          </cell>
        </row>
        <row r="4016">
          <cell r="I4016">
            <v>4721</v>
          </cell>
          <cell r="J4016">
            <v>0.13576548140043765</v>
          </cell>
        </row>
        <row r="4017">
          <cell r="I4017">
            <v>4722</v>
          </cell>
          <cell r="J4017">
            <v>0.13576816192560176</v>
          </cell>
        </row>
        <row r="4018">
          <cell r="I4018">
            <v>4723</v>
          </cell>
          <cell r="J4018">
            <v>0.13577084245076587</v>
          </cell>
        </row>
        <row r="4019">
          <cell r="I4019">
            <v>4724</v>
          </cell>
          <cell r="J4019">
            <v>0.13577352297592998</v>
          </cell>
        </row>
        <row r="4020">
          <cell r="I4020">
            <v>4725</v>
          </cell>
          <cell r="J4020">
            <v>0.13577620350109409</v>
          </cell>
        </row>
        <row r="4021">
          <cell r="I4021">
            <v>4726</v>
          </cell>
          <cell r="J4021">
            <v>0.13577888402625821</v>
          </cell>
        </row>
        <row r="4022">
          <cell r="I4022">
            <v>4727</v>
          </cell>
          <cell r="J4022">
            <v>0.13578156455142232</v>
          </cell>
        </row>
        <row r="4023">
          <cell r="I4023">
            <v>4728</v>
          </cell>
          <cell r="J4023">
            <v>0.13578424507658643</v>
          </cell>
        </row>
        <row r="4024">
          <cell r="I4024">
            <v>4729</v>
          </cell>
          <cell r="J4024">
            <v>0.13578692560175054</v>
          </cell>
        </row>
        <row r="4025">
          <cell r="I4025">
            <v>4730</v>
          </cell>
          <cell r="J4025">
            <v>0.13578960612691465</v>
          </cell>
        </row>
        <row r="4026">
          <cell r="I4026">
            <v>4731</v>
          </cell>
          <cell r="J4026">
            <v>0.13579228665207876</v>
          </cell>
        </row>
        <row r="4027">
          <cell r="I4027">
            <v>4732</v>
          </cell>
          <cell r="J4027">
            <v>0.13579496717724288</v>
          </cell>
        </row>
        <row r="4028">
          <cell r="I4028">
            <v>4733</v>
          </cell>
          <cell r="J4028">
            <v>0.13579764770240701</v>
          </cell>
        </row>
        <row r="4029">
          <cell r="I4029">
            <v>4734</v>
          </cell>
          <cell r="J4029">
            <v>0.13580032822757113</v>
          </cell>
        </row>
        <row r="4030">
          <cell r="I4030">
            <v>4735</v>
          </cell>
          <cell r="J4030">
            <v>0.13580300875273524</v>
          </cell>
        </row>
        <row r="4031">
          <cell r="I4031">
            <v>4736</v>
          </cell>
          <cell r="J4031">
            <v>0.13580568927789935</v>
          </cell>
        </row>
        <row r="4032">
          <cell r="I4032">
            <v>4737</v>
          </cell>
          <cell r="J4032">
            <v>0.13580836980306346</v>
          </cell>
        </row>
        <row r="4033">
          <cell r="I4033">
            <v>4738</v>
          </cell>
          <cell r="J4033">
            <v>0.13581105032822757</v>
          </cell>
        </row>
        <row r="4034">
          <cell r="I4034">
            <v>4739</v>
          </cell>
          <cell r="J4034">
            <v>0.13581373085339168</v>
          </cell>
        </row>
        <row r="4035">
          <cell r="I4035">
            <v>4740</v>
          </cell>
          <cell r="J4035">
            <v>0.1358164113785558</v>
          </cell>
        </row>
        <row r="4036">
          <cell r="I4036">
            <v>4741</v>
          </cell>
          <cell r="J4036">
            <v>0.13581909190371991</v>
          </cell>
        </row>
        <row r="4037">
          <cell r="I4037">
            <v>4742</v>
          </cell>
          <cell r="J4037">
            <v>0.13582177242888402</v>
          </cell>
        </row>
        <row r="4038">
          <cell r="I4038">
            <v>4743</v>
          </cell>
          <cell r="J4038">
            <v>0.13582445295404813</v>
          </cell>
        </row>
        <row r="4039">
          <cell r="I4039">
            <v>4744</v>
          </cell>
          <cell r="J4039">
            <v>0.13582713347921224</v>
          </cell>
        </row>
        <row r="4040">
          <cell r="I4040">
            <v>4745</v>
          </cell>
          <cell r="J4040">
            <v>0.13582981400437638</v>
          </cell>
        </row>
        <row r="4041">
          <cell r="I4041">
            <v>4746</v>
          </cell>
          <cell r="J4041">
            <v>0.13583249452954049</v>
          </cell>
        </row>
        <row r="4042">
          <cell r="I4042">
            <v>4747</v>
          </cell>
          <cell r="J4042">
            <v>0.1358351750547046</v>
          </cell>
        </row>
        <row r="4043">
          <cell r="I4043">
            <v>4748</v>
          </cell>
          <cell r="J4043">
            <v>0.13583785557986872</v>
          </cell>
        </row>
        <row r="4044">
          <cell r="I4044">
            <v>4749</v>
          </cell>
          <cell r="J4044">
            <v>0.13584053610503283</v>
          </cell>
        </row>
        <row r="4045">
          <cell r="I4045">
            <v>4750</v>
          </cell>
          <cell r="J4045">
            <v>0.13584321663019694</v>
          </cell>
        </row>
        <row r="4046">
          <cell r="I4046">
            <v>4751</v>
          </cell>
          <cell r="J4046">
            <v>0.13584589715536105</v>
          </cell>
        </row>
        <row r="4047">
          <cell r="I4047">
            <v>4752</v>
          </cell>
          <cell r="J4047">
            <v>0.13584857768052516</v>
          </cell>
        </row>
        <row r="4048">
          <cell r="I4048">
            <v>4753</v>
          </cell>
          <cell r="J4048">
            <v>0.13585125820568927</v>
          </cell>
        </row>
        <row r="4049">
          <cell r="I4049">
            <v>4754</v>
          </cell>
          <cell r="J4049">
            <v>0.13585393873085339</v>
          </cell>
        </row>
        <row r="4050">
          <cell r="I4050">
            <v>4755</v>
          </cell>
          <cell r="J4050">
            <v>0.1358566192560175</v>
          </cell>
        </row>
        <row r="4051">
          <cell r="I4051">
            <v>4756</v>
          </cell>
          <cell r="J4051">
            <v>0.13585929978118161</v>
          </cell>
        </row>
        <row r="4052">
          <cell r="I4052">
            <v>4757</v>
          </cell>
          <cell r="J4052">
            <v>0.13586198030634572</v>
          </cell>
        </row>
        <row r="4053">
          <cell r="I4053">
            <v>4758</v>
          </cell>
          <cell r="J4053">
            <v>0.13586466083150986</v>
          </cell>
        </row>
        <row r="4054">
          <cell r="I4054">
            <v>4759</v>
          </cell>
          <cell r="J4054">
            <v>0.13586734135667397</v>
          </cell>
        </row>
        <row r="4055">
          <cell r="I4055">
            <v>4760</v>
          </cell>
          <cell r="J4055">
            <v>0.13587002188183808</v>
          </cell>
        </row>
        <row r="4056">
          <cell r="I4056">
            <v>4761</v>
          </cell>
          <cell r="J4056">
            <v>0.13587270240700219</v>
          </cell>
        </row>
        <row r="4057">
          <cell r="I4057">
            <v>4762</v>
          </cell>
          <cell r="J4057">
            <v>0.13587538293216631</v>
          </cell>
        </row>
        <row r="4058">
          <cell r="I4058">
            <v>4763</v>
          </cell>
          <cell r="J4058">
            <v>0.13587806345733042</v>
          </cell>
        </row>
        <row r="4059">
          <cell r="I4059">
            <v>4764</v>
          </cell>
          <cell r="J4059">
            <v>0.13588074398249453</v>
          </cell>
        </row>
        <row r="4060">
          <cell r="I4060">
            <v>4765</v>
          </cell>
          <cell r="J4060">
            <v>0.13588342450765864</v>
          </cell>
        </row>
        <row r="4061">
          <cell r="I4061">
            <v>4766</v>
          </cell>
          <cell r="J4061">
            <v>0.13588610503282275</v>
          </cell>
        </row>
        <row r="4062">
          <cell r="I4062">
            <v>4767</v>
          </cell>
          <cell r="J4062">
            <v>0.13588878555798686</v>
          </cell>
        </row>
        <row r="4063">
          <cell r="I4063">
            <v>4768</v>
          </cell>
          <cell r="J4063">
            <v>0.13589146608315097</v>
          </cell>
        </row>
        <row r="4064">
          <cell r="I4064">
            <v>4769</v>
          </cell>
          <cell r="J4064">
            <v>0.13589414660831509</v>
          </cell>
        </row>
        <row r="4065">
          <cell r="I4065">
            <v>4770</v>
          </cell>
          <cell r="J4065">
            <v>0.13589682713347923</v>
          </cell>
        </row>
        <row r="4066">
          <cell r="I4066">
            <v>4771</v>
          </cell>
          <cell r="J4066">
            <v>0.13589950765864334</v>
          </cell>
        </row>
        <row r="4067">
          <cell r="I4067">
            <v>4772</v>
          </cell>
          <cell r="J4067">
            <v>0.13590218818380745</v>
          </cell>
        </row>
        <row r="4068">
          <cell r="I4068">
            <v>4773</v>
          </cell>
          <cell r="J4068">
            <v>0.13590486870897156</v>
          </cell>
        </row>
        <row r="4069">
          <cell r="I4069">
            <v>4774</v>
          </cell>
          <cell r="J4069">
            <v>0.13590754923413567</v>
          </cell>
        </row>
        <row r="4070">
          <cell r="I4070">
            <v>4775</v>
          </cell>
          <cell r="J4070">
            <v>0.13591022975929978</v>
          </cell>
        </row>
        <row r="4071">
          <cell r="I4071">
            <v>4776</v>
          </cell>
          <cell r="J4071">
            <v>0.13591291028446389</v>
          </cell>
        </row>
        <row r="4072">
          <cell r="I4072">
            <v>4777</v>
          </cell>
          <cell r="J4072">
            <v>0.13591559080962801</v>
          </cell>
        </row>
        <row r="4073">
          <cell r="I4073">
            <v>4778</v>
          </cell>
          <cell r="J4073">
            <v>0.13591827133479212</v>
          </cell>
        </row>
        <row r="4074">
          <cell r="I4074">
            <v>4779</v>
          </cell>
          <cell r="J4074">
            <v>0.13592095185995623</v>
          </cell>
        </row>
        <row r="4075">
          <cell r="I4075">
            <v>4780</v>
          </cell>
          <cell r="J4075">
            <v>0.13592363238512034</v>
          </cell>
        </row>
        <row r="4076">
          <cell r="I4076">
            <v>4781</v>
          </cell>
          <cell r="J4076">
            <v>0.13592631291028445</v>
          </cell>
        </row>
        <row r="4077">
          <cell r="I4077">
            <v>4782</v>
          </cell>
          <cell r="J4077">
            <v>0.13592899343544856</v>
          </cell>
        </row>
        <row r="4078">
          <cell r="I4078">
            <v>4783</v>
          </cell>
          <cell r="J4078">
            <v>0.1359316739606127</v>
          </cell>
        </row>
        <row r="4079">
          <cell r="I4079">
            <v>4784</v>
          </cell>
          <cell r="J4079">
            <v>0.13593435448577681</v>
          </cell>
        </row>
        <row r="4080">
          <cell r="I4080">
            <v>4785</v>
          </cell>
          <cell r="J4080">
            <v>0.13593703501094093</v>
          </cell>
        </row>
        <row r="4081">
          <cell r="I4081">
            <v>4786</v>
          </cell>
          <cell r="J4081">
            <v>0.13593971553610504</v>
          </cell>
        </row>
        <row r="4082">
          <cell r="I4082">
            <v>4787</v>
          </cell>
          <cell r="J4082">
            <v>0.13594239606126915</v>
          </cell>
        </row>
        <row r="4083">
          <cell r="I4083">
            <v>4788</v>
          </cell>
          <cell r="J4083">
            <v>0.13594507658643326</v>
          </cell>
        </row>
        <row r="4084">
          <cell r="I4084">
            <v>4789</v>
          </cell>
          <cell r="J4084">
            <v>0.13594775711159737</v>
          </cell>
        </row>
        <row r="4085">
          <cell r="I4085">
            <v>4790</v>
          </cell>
          <cell r="J4085">
            <v>0.13595043763676148</v>
          </cell>
        </row>
        <row r="4086">
          <cell r="I4086">
            <v>4791</v>
          </cell>
          <cell r="J4086">
            <v>0.1359531181619256</v>
          </cell>
        </row>
        <row r="4087">
          <cell r="I4087">
            <v>4792</v>
          </cell>
          <cell r="J4087">
            <v>0.13595579868708971</v>
          </cell>
        </row>
        <row r="4088">
          <cell r="I4088">
            <v>4793</v>
          </cell>
          <cell r="J4088">
            <v>0.13595847921225382</v>
          </cell>
        </row>
        <row r="4089">
          <cell r="I4089">
            <v>4794</v>
          </cell>
          <cell r="J4089">
            <v>0.13596115973741793</v>
          </cell>
        </row>
        <row r="4090">
          <cell r="I4090">
            <v>4795</v>
          </cell>
          <cell r="J4090">
            <v>0.13596384026258207</v>
          </cell>
        </row>
        <row r="4091">
          <cell r="I4091">
            <v>4796</v>
          </cell>
          <cell r="J4091">
            <v>0.13596652078774618</v>
          </cell>
        </row>
        <row r="4092">
          <cell r="I4092">
            <v>4797</v>
          </cell>
          <cell r="J4092">
            <v>0.13596920131291029</v>
          </cell>
        </row>
        <row r="4093">
          <cell r="I4093">
            <v>4798</v>
          </cell>
          <cell r="J4093">
            <v>0.1359718818380744</v>
          </cell>
        </row>
        <row r="4094">
          <cell r="I4094">
            <v>4799</v>
          </cell>
          <cell r="J4094">
            <v>0.13597456236323852</v>
          </cell>
        </row>
        <row r="4095">
          <cell r="I4095">
            <v>4800</v>
          </cell>
          <cell r="J4095">
            <v>0.13597724288840263</v>
          </cell>
        </row>
        <row r="4096">
          <cell r="I4096">
            <v>4801</v>
          </cell>
          <cell r="J4096">
            <v>0.13597992341356674</v>
          </cell>
        </row>
        <row r="4097">
          <cell r="I4097">
            <v>4802</v>
          </cell>
          <cell r="J4097">
            <v>0.13598260393873085</v>
          </cell>
        </row>
        <row r="4098">
          <cell r="I4098">
            <v>4803</v>
          </cell>
          <cell r="J4098">
            <v>0.13598528446389496</v>
          </cell>
        </row>
        <row r="4099">
          <cell r="I4099">
            <v>4804</v>
          </cell>
          <cell r="J4099">
            <v>0.13598796498905907</v>
          </cell>
        </row>
        <row r="4100">
          <cell r="I4100">
            <v>4805</v>
          </cell>
          <cell r="J4100">
            <v>0.13599064551422319</v>
          </cell>
        </row>
        <row r="4101">
          <cell r="I4101">
            <v>4806</v>
          </cell>
          <cell r="J4101">
            <v>0.1359933260393873</v>
          </cell>
        </row>
        <row r="4102">
          <cell r="I4102">
            <v>4807</v>
          </cell>
          <cell r="J4102">
            <v>0.13599600656455144</v>
          </cell>
        </row>
        <row r="4103">
          <cell r="I4103">
            <v>4808</v>
          </cell>
          <cell r="J4103">
            <v>0.13599868708971555</v>
          </cell>
        </row>
        <row r="4104">
          <cell r="I4104">
            <v>4809</v>
          </cell>
          <cell r="J4104">
            <v>0.13600136761487966</v>
          </cell>
        </row>
        <row r="4105">
          <cell r="I4105">
            <v>4810</v>
          </cell>
          <cell r="J4105">
            <v>0.13600404814004377</v>
          </cell>
        </row>
        <row r="4106">
          <cell r="I4106">
            <v>4811</v>
          </cell>
          <cell r="J4106">
            <v>0.13600672866520788</v>
          </cell>
        </row>
        <row r="4107">
          <cell r="I4107">
            <v>4812</v>
          </cell>
          <cell r="J4107">
            <v>0.13600940919037199</v>
          </cell>
        </row>
        <row r="4108">
          <cell r="I4108">
            <v>4813</v>
          </cell>
          <cell r="J4108">
            <v>0.13601208971553611</v>
          </cell>
        </row>
        <row r="4109">
          <cell r="I4109">
            <v>4814</v>
          </cell>
          <cell r="J4109">
            <v>0.13601477024070022</v>
          </cell>
        </row>
        <row r="4110">
          <cell r="I4110">
            <v>4815</v>
          </cell>
          <cell r="J4110">
            <v>0.13601745076586433</v>
          </cell>
        </row>
        <row r="4111">
          <cell r="I4111">
            <v>4816</v>
          </cell>
          <cell r="J4111">
            <v>0.13602013129102844</v>
          </cell>
        </row>
        <row r="4112">
          <cell r="I4112">
            <v>4817</v>
          </cell>
          <cell r="J4112">
            <v>0.13602281181619255</v>
          </cell>
        </row>
        <row r="4113">
          <cell r="I4113">
            <v>4818</v>
          </cell>
          <cell r="J4113">
            <v>0.13602549234135666</v>
          </cell>
        </row>
        <row r="4114">
          <cell r="I4114">
            <v>4819</v>
          </cell>
          <cell r="J4114">
            <v>0.13602817286652077</v>
          </cell>
        </row>
        <row r="4115">
          <cell r="I4115">
            <v>4820</v>
          </cell>
          <cell r="J4115">
            <v>0.13603085339168491</v>
          </cell>
        </row>
        <row r="4116">
          <cell r="I4116">
            <v>4821</v>
          </cell>
          <cell r="J4116">
            <v>0.13603353391684903</v>
          </cell>
        </row>
        <row r="4117">
          <cell r="I4117">
            <v>4822</v>
          </cell>
          <cell r="J4117">
            <v>0.13603621444201314</v>
          </cell>
        </row>
        <row r="4118">
          <cell r="I4118">
            <v>4823</v>
          </cell>
          <cell r="J4118">
            <v>0.13603889496717725</v>
          </cell>
        </row>
        <row r="4119">
          <cell r="I4119">
            <v>4824</v>
          </cell>
          <cell r="J4119">
            <v>0.13604157549234136</v>
          </cell>
        </row>
        <row r="4120">
          <cell r="I4120">
            <v>4825</v>
          </cell>
          <cell r="J4120">
            <v>0.13604425601750547</v>
          </cell>
        </row>
        <row r="4121">
          <cell r="I4121">
            <v>4826</v>
          </cell>
          <cell r="J4121">
            <v>0.13604693654266958</v>
          </cell>
        </row>
        <row r="4122">
          <cell r="I4122">
            <v>4827</v>
          </cell>
          <cell r="J4122">
            <v>0.13604961706783369</v>
          </cell>
        </row>
        <row r="4123">
          <cell r="I4123">
            <v>4828</v>
          </cell>
          <cell r="J4123">
            <v>0.13605229759299781</v>
          </cell>
        </row>
        <row r="4124">
          <cell r="I4124">
            <v>4829</v>
          </cell>
          <cell r="J4124">
            <v>0.13605497811816192</v>
          </cell>
        </row>
        <row r="4125">
          <cell r="I4125">
            <v>4830</v>
          </cell>
          <cell r="J4125">
            <v>0.13605765864332603</v>
          </cell>
        </row>
        <row r="4126">
          <cell r="I4126">
            <v>4831</v>
          </cell>
          <cell r="J4126">
            <v>0.13606033916849014</v>
          </cell>
        </row>
        <row r="4127">
          <cell r="I4127">
            <v>4832</v>
          </cell>
          <cell r="J4127">
            <v>0.13606301969365428</v>
          </cell>
        </row>
        <row r="4128">
          <cell r="I4128">
            <v>4833</v>
          </cell>
          <cell r="J4128">
            <v>0.13606570021881839</v>
          </cell>
        </row>
        <row r="4129">
          <cell r="I4129">
            <v>4834</v>
          </cell>
          <cell r="J4129">
            <v>0.1360683807439825</v>
          </cell>
        </row>
        <row r="4130">
          <cell r="I4130">
            <v>4835</v>
          </cell>
          <cell r="J4130">
            <v>0.13607106126914661</v>
          </cell>
        </row>
        <row r="4131">
          <cell r="I4131">
            <v>4836</v>
          </cell>
          <cell r="J4131">
            <v>0.13607374179431073</v>
          </cell>
        </row>
        <row r="4132">
          <cell r="I4132">
            <v>4837</v>
          </cell>
          <cell r="J4132">
            <v>0.13607642231947484</v>
          </cell>
        </row>
        <row r="4133">
          <cell r="I4133">
            <v>4838</v>
          </cell>
          <cell r="J4133">
            <v>0.13607910284463895</v>
          </cell>
        </row>
        <row r="4134">
          <cell r="I4134">
            <v>4839</v>
          </cell>
          <cell r="J4134">
            <v>0.13608178336980306</v>
          </cell>
        </row>
        <row r="4135">
          <cell r="I4135">
            <v>4840</v>
          </cell>
          <cell r="J4135">
            <v>0.13608446389496717</v>
          </cell>
        </row>
        <row r="4136">
          <cell r="I4136">
            <v>4841</v>
          </cell>
          <cell r="J4136">
            <v>0.13608714442013128</v>
          </cell>
        </row>
        <row r="4137">
          <cell r="I4137">
            <v>4842</v>
          </cell>
          <cell r="J4137">
            <v>0.1360898249452954</v>
          </cell>
        </row>
        <row r="4138">
          <cell r="I4138">
            <v>4843</v>
          </cell>
          <cell r="J4138">
            <v>0.13609250547045951</v>
          </cell>
        </row>
        <row r="4139">
          <cell r="I4139">
            <v>4844</v>
          </cell>
          <cell r="J4139">
            <v>0.13609518599562365</v>
          </cell>
        </row>
        <row r="4140">
          <cell r="I4140">
            <v>4845</v>
          </cell>
          <cell r="J4140">
            <v>0.13609786652078776</v>
          </cell>
        </row>
        <row r="4141">
          <cell r="I4141">
            <v>4846</v>
          </cell>
          <cell r="J4141">
            <v>0.13610054704595187</v>
          </cell>
        </row>
        <row r="4142">
          <cell r="I4142">
            <v>4847</v>
          </cell>
          <cell r="J4142">
            <v>0.13610322757111598</v>
          </cell>
        </row>
        <row r="4143">
          <cell r="I4143">
            <v>4848</v>
          </cell>
          <cell r="J4143">
            <v>0.13610590809628009</v>
          </cell>
        </row>
        <row r="4144">
          <cell r="I4144">
            <v>4849</v>
          </cell>
          <cell r="J4144">
            <v>0.1361085886214442</v>
          </cell>
        </row>
        <row r="4145">
          <cell r="I4145">
            <v>4850</v>
          </cell>
          <cell r="J4145">
            <v>0.13611126914660832</v>
          </cell>
        </row>
        <row r="4146">
          <cell r="I4146">
            <v>4851</v>
          </cell>
          <cell r="J4146">
            <v>0.13611394967177243</v>
          </cell>
        </row>
        <row r="4147">
          <cell r="I4147">
            <v>4852</v>
          </cell>
          <cell r="J4147">
            <v>0.13611663019693654</v>
          </cell>
        </row>
        <row r="4148">
          <cell r="I4148">
            <v>4853</v>
          </cell>
          <cell r="J4148">
            <v>0.13611931072210065</v>
          </cell>
        </row>
        <row r="4149">
          <cell r="I4149">
            <v>4854</v>
          </cell>
          <cell r="J4149">
            <v>0.13612199124726476</v>
          </cell>
        </row>
        <row r="4150">
          <cell r="I4150">
            <v>4855</v>
          </cell>
          <cell r="J4150">
            <v>0.13612467177242887</v>
          </cell>
        </row>
        <row r="4151">
          <cell r="I4151">
            <v>4856</v>
          </cell>
          <cell r="J4151">
            <v>0.13612735229759299</v>
          </cell>
        </row>
        <row r="4152">
          <cell r="I4152">
            <v>4857</v>
          </cell>
          <cell r="J4152">
            <v>0.13613003282275712</v>
          </cell>
        </row>
        <row r="4153">
          <cell r="I4153">
            <v>4858</v>
          </cell>
          <cell r="J4153">
            <v>0.13613271334792124</v>
          </cell>
        </row>
        <row r="4154">
          <cell r="I4154">
            <v>4859</v>
          </cell>
          <cell r="J4154">
            <v>0.13613539387308535</v>
          </cell>
        </row>
        <row r="4155">
          <cell r="I4155">
            <v>4860</v>
          </cell>
          <cell r="J4155">
            <v>0.13613807439824946</v>
          </cell>
        </row>
        <row r="4156">
          <cell r="I4156">
            <v>4861</v>
          </cell>
          <cell r="J4156">
            <v>0.13614075492341357</v>
          </cell>
        </row>
        <row r="4157">
          <cell r="I4157">
            <v>4862</v>
          </cell>
          <cell r="J4157">
            <v>0.13614343544857768</v>
          </cell>
        </row>
        <row r="4158">
          <cell r="I4158">
            <v>4863</v>
          </cell>
          <cell r="J4158">
            <v>0.13614611597374179</v>
          </cell>
        </row>
        <row r="4159">
          <cell r="I4159">
            <v>4864</v>
          </cell>
          <cell r="J4159">
            <v>0.13614879649890591</v>
          </cell>
        </row>
        <row r="4160">
          <cell r="I4160">
            <v>4865</v>
          </cell>
          <cell r="J4160">
            <v>0.13615147702407002</v>
          </cell>
        </row>
        <row r="4161">
          <cell r="I4161">
            <v>4866</v>
          </cell>
          <cell r="J4161">
            <v>0.13615415754923413</v>
          </cell>
        </row>
        <row r="4162">
          <cell r="I4162">
            <v>4867</v>
          </cell>
          <cell r="J4162">
            <v>0.13615683807439824</v>
          </cell>
        </row>
        <row r="4163">
          <cell r="I4163">
            <v>4868</v>
          </cell>
          <cell r="J4163">
            <v>0.13615951859956235</v>
          </cell>
        </row>
        <row r="4164">
          <cell r="I4164">
            <v>4869</v>
          </cell>
          <cell r="J4164">
            <v>0.13616219912472649</v>
          </cell>
        </row>
        <row r="4165">
          <cell r="I4165">
            <v>4870</v>
          </cell>
          <cell r="J4165">
            <v>0.1361648796498906</v>
          </cell>
        </row>
        <row r="4166">
          <cell r="I4166">
            <v>4871</v>
          </cell>
          <cell r="J4166">
            <v>0.13616756017505471</v>
          </cell>
        </row>
        <row r="4167">
          <cell r="I4167">
            <v>4872</v>
          </cell>
          <cell r="J4167">
            <v>0.13617024070021883</v>
          </cell>
        </row>
        <row r="4168">
          <cell r="I4168">
            <v>4873</v>
          </cell>
          <cell r="J4168">
            <v>0.13617292122538294</v>
          </cell>
        </row>
        <row r="4169">
          <cell r="I4169">
            <v>4874</v>
          </cell>
          <cell r="J4169">
            <v>0.13617560175054705</v>
          </cell>
        </row>
        <row r="4170">
          <cell r="I4170">
            <v>4875</v>
          </cell>
          <cell r="J4170">
            <v>0.13617828227571116</v>
          </cell>
        </row>
        <row r="4171">
          <cell r="I4171">
            <v>4876</v>
          </cell>
          <cell r="J4171">
            <v>0.13618096280087527</v>
          </cell>
        </row>
        <row r="4172">
          <cell r="I4172">
            <v>4877</v>
          </cell>
          <cell r="J4172">
            <v>0.13618364332603938</v>
          </cell>
        </row>
        <row r="4173">
          <cell r="I4173">
            <v>4878</v>
          </cell>
          <cell r="J4173">
            <v>0.13618632385120349</v>
          </cell>
        </row>
        <row r="4174">
          <cell r="I4174">
            <v>4879</v>
          </cell>
          <cell r="J4174">
            <v>0.13618900437636761</v>
          </cell>
        </row>
        <row r="4175">
          <cell r="I4175">
            <v>4880</v>
          </cell>
          <cell r="J4175">
            <v>0.13619168490153172</v>
          </cell>
        </row>
        <row r="4176">
          <cell r="I4176">
            <v>4881</v>
          </cell>
          <cell r="J4176">
            <v>0.13619436542669583</v>
          </cell>
        </row>
        <row r="4177">
          <cell r="I4177">
            <v>4882</v>
          </cell>
          <cell r="J4177">
            <v>0.13619704595185997</v>
          </cell>
        </row>
        <row r="4178">
          <cell r="I4178">
            <v>4883</v>
          </cell>
          <cell r="J4178">
            <v>0.13619972647702408</v>
          </cell>
        </row>
        <row r="4179">
          <cell r="I4179">
            <v>4884</v>
          </cell>
          <cell r="J4179">
            <v>0.13620240700218819</v>
          </cell>
        </row>
        <row r="4180">
          <cell r="I4180">
            <v>4885</v>
          </cell>
          <cell r="J4180">
            <v>0.1362050875273523</v>
          </cell>
        </row>
        <row r="4181">
          <cell r="I4181">
            <v>4886</v>
          </cell>
          <cell r="J4181">
            <v>0.13620776805251641</v>
          </cell>
        </row>
        <row r="4182">
          <cell r="I4182">
            <v>4887</v>
          </cell>
          <cell r="J4182">
            <v>0.13621044857768053</v>
          </cell>
        </row>
        <row r="4183">
          <cell r="I4183">
            <v>4888</v>
          </cell>
          <cell r="J4183">
            <v>0.13621312910284464</v>
          </cell>
        </row>
        <row r="4184">
          <cell r="I4184">
            <v>4889</v>
          </cell>
          <cell r="J4184">
            <v>0.13621580962800875</v>
          </cell>
        </row>
        <row r="4185">
          <cell r="I4185">
            <v>4890</v>
          </cell>
          <cell r="J4185">
            <v>0.13621849015317286</v>
          </cell>
        </row>
        <row r="4186">
          <cell r="I4186">
            <v>4891</v>
          </cell>
          <cell r="J4186">
            <v>0.13622117067833697</v>
          </cell>
        </row>
        <row r="4187">
          <cell r="I4187">
            <v>4892</v>
          </cell>
          <cell r="J4187">
            <v>0.13622385120350108</v>
          </cell>
        </row>
        <row r="4188">
          <cell r="I4188">
            <v>4893</v>
          </cell>
          <cell r="J4188">
            <v>0.1362265317286652</v>
          </cell>
        </row>
        <row r="4189">
          <cell r="I4189">
            <v>4894</v>
          </cell>
          <cell r="J4189">
            <v>0.13622921225382933</v>
          </cell>
        </row>
        <row r="4190">
          <cell r="I4190">
            <v>4895</v>
          </cell>
          <cell r="J4190">
            <v>0.13623189277899345</v>
          </cell>
        </row>
        <row r="4191">
          <cell r="I4191">
            <v>4896</v>
          </cell>
          <cell r="J4191">
            <v>0.13623457330415756</v>
          </cell>
        </row>
        <row r="4192">
          <cell r="I4192">
            <v>4897</v>
          </cell>
          <cell r="J4192">
            <v>0.13623725382932167</v>
          </cell>
        </row>
        <row r="4193">
          <cell r="I4193">
            <v>4898</v>
          </cell>
          <cell r="J4193">
            <v>0.13623993435448578</v>
          </cell>
        </row>
        <row r="4194">
          <cell r="I4194">
            <v>4899</v>
          </cell>
          <cell r="J4194">
            <v>0.13624261487964989</v>
          </cell>
        </row>
        <row r="4195">
          <cell r="I4195">
            <v>4900</v>
          </cell>
          <cell r="J4195">
            <v>0.136245295404814</v>
          </cell>
        </row>
        <row r="4196">
          <cell r="I4196">
            <v>4901</v>
          </cell>
          <cell r="J4196">
            <v>0.13624797592997812</v>
          </cell>
        </row>
        <row r="4197">
          <cell r="I4197">
            <v>4902</v>
          </cell>
          <cell r="J4197">
            <v>0.13625065645514223</v>
          </cell>
        </row>
        <row r="4198">
          <cell r="I4198">
            <v>4903</v>
          </cell>
          <cell r="J4198">
            <v>0.13625333698030634</v>
          </cell>
        </row>
        <row r="4199">
          <cell r="I4199">
            <v>4904</v>
          </cell>
          <cell r="J4199">
            <v>0.13625601750547045</v>
          </cell>
        </row>
        <row r="4200">
          <cell r="I4200">
            <v>4905</v>
          </cell>
          <cell r="J4200">
            <v>0.13625869803063456</v>
          </cell>
        </row>
        <row r="4201">
          <cell r="I4201">
            <v>4906</v>
          </cell>
          <cell r="J4201">
            <v>0.1362613785557987</v>
          </cell>
        </row>
        <row r="4202">
          <cell r="I4202">
            <v>4907</v>
          </cell>
          <cell r="J4202">
            <v>0.13626405908096281</v>
          </cell>
        </row>
        <row r="4203">
          <cell r="I4203">
            <v>4908</v>
          </cell>
          <cell r="J4203">
            <v>0.13626673960612692</v>
          </cell>
        </row>
        <row r="4204">
          <cell r="I4204">
            <v>4909</v>
          </cell>
          <cell r="J4204">
            <v>0.13626942013129104</v>
          </cell>
        </row>
        <row r="4205">
          <cell r="I4205">
            <v>4910</v>
          </cell>
          <cell r="J4205">
            <v>0.13627210065645515</v>
          </cell>
        </row>
        <row r="4206">
          <cell r="I4206">
            <v>4911</v>
          </cell>
          <cell r="J4206">
            <v>0.13627478118161926</v>
          </cell>
        </row>
        <row r="4207">
          <cell r="I4207">
            <v>4912</v>
          </cell>
          <cell r="J4207">
            <v>0.13627746170678337</v>
          </cell>
        </row>
        <row r="4208">
          <cell r="I4208">
            <v>4913</v>
          </cell>
          <cell r="J4208">
            <v>0.13628014223194748</v>
          </cell>
        </row>
        <row r="4209">
          <cell r="I4209">
            <v>4914</v>
          </cell>
          <cell r="J4209">
            <v>0.13628282275711159</v>
          </cell>
        </row>
        <row r="4210">
          <cell r="I4210">
            <v>4915</v>
          </cell>
          <cell r="J4210">
            <v>0.13628550328227571</v>
          </cell>
        </row>
        <row r="4211">
          <cell r="I4211">
            <v>4916</v>
          </cell>
          <cell r="J4211">
            <v>0.13628818380743982</v>
          </cell>
        </row>
        <row r="4212">
          <cell r="I4212">
            <v>4917</v>
          </cell>
          <cell r="J4212">
            <v>0.13629086433260393</v>
          </cell>
        </row>
        <row r="4213">
          <cell r="I4213">
            <v>4918</v>
          </cell>
          <cell r="J4213">
            <v>0.13629354485776807</v>
          </cell>
        </row>
        <row r="4214">
          <cell r="I4214">
            <v>4919</v>
          </cell>
          <cell r="J4214">
            <v>0.13629622538293218</v>
          </cell>
        </row>
        <row r="4215">
          <cell r="I4215">
            <v>4920</v>
          </cell>
          <cell r="J4215">
            <v>0.13629890590809629</v>
          </cell>
        </row>
        <row r="4216">
          <cell r="I4216">
            <v>4921</v>
          </cell>
          <cell r="J4216">
            <v>0.1363015864332604</v>
          </cell>
        </row>
        <row r="4217">
          <cell r="I4217">
            <v>4922</v>
          </cell>
          <cell r="J4217">
            <v>0.13630426695842451</v>
          </cell>
        </row>
        <row r="4218">
          <cell r="I4218">
            <v>4923</v>
          </cell>
          <cell r="J4218">
            <v>0.13630694748358863</v>
          </cell>
        </row>
        <row r="4219">
          <cell r="I4219">
            <v>4924</v>
          </cell>
          <cell r="J4219">
            <v>0.13630962800875274</v>
          </cell>
        </row>
        <row r="4220">
          <cell r="I4220">
            <v>4925</v>
          </cell>
          <cell r="J4220">
            <v>0.13631230853391685</v>
          </cell>
        </row>
        <row r="4221">
          <cell r="I4221">
            <v>4926</v>
          </cell>
          <cell r="J4221">
            <v>0.13631498905908096</v>
          </cell>
        </row>
        <row r="4222">
          <cell r="I4222">
            <v>4927</v>
          </cell>
          <cell r="J4222">
            <v>0.13631766958424507</v>
          </cell>
        </row>
        <row r="4223">
          <cell r="I4223">
            <v>4928</v>
          </cell>
          <cell r="J4223">
            <v>0.13632035010940918</v>
          </cell>
        </row>
        <row r="4224">
          <cell r="I4224">
            <v>4929</v>
          </cell>
          <cell r="J4224">
            <v>0.13632303063457329</v>
          </cell>
        </row>
        <row r="4225">
          <cell r="I4225">
            <v>4930</v>
          </cell>
          <cell r="J4225">
            <v>0.13632571115973741</v>
          </cell>
        </row>
        <row r="4226">
          <cell r="I4226">
            <v>4931</v>
          </cell>
          <cell r="J4226">
            <v>0.13632839168490155</v>
          </cell>
        </row>
        <row r="4227">
          <cell r="I4227">
            <v>4932</v>
          </cell>
          <cell r="J4227">
            <v>0.13633107221006566</v>
          </cell>
        </row>
        <row r="4228">
          <cell r="I4228">
            <v>4933</v>
          </cell>
          <cell r="J4228">
            <v>0.13633375273522977</v>
          </cell>
        </row>
        <row r="4229">
          <cell r="I4229">
            <v>4934</v>
          </cell>
          <cell r="J4229">
            <v>0.13633643326039388</v>
          </cell>
        </row>
        <row r="4230">
          <cell r="I4230">
            <v>4935</v>
          </cell>
          <cell r="J4230">
            <v>0.13633911378555799</v>
          </cell>
        </row>
        <row r="4231">
          <cell r="I4231">
            <v>4936</v>
          </cell>
          <cell r="J4231">
            <v>0.1363417943107221</v>
          </cell>
        </row>
        <row r="4232">
          <cell r="I4232">
            <v>4937</v>
          </cell>
          <cell r="J4232">
            <v>0.13634447483588621</v>
          </cell>
        </row>
        <row r="4233">
          <cell r="I4233">
            <v>4938</v>
          </cell>
          <cell r="J4233">
            <v>0.13634715536105033</v>
          </cell>
        </row>
        <row r="4234">
          <cell r="I4234">
            <v>4939</v>
          </cell>
          <cell r="J4234">
            <v>0.13634983588621444</v>
          </cell>
        </row>
        <row r="4235">
          <cell r="I4235">
            <v>4940</v>
          </cell>
          <cell r="J4235">
            <v>0.13635251641137855</v>
          </cell>
        </row>
        <row r="4236">
          <cell r="I4236">
            <v>4941</v>
          </cell>
          <cell r="J4236">
            <v>0.13635519693654266</v>
          </cell>
        </row>
        <row r="4237">
          <cell r="I4237">
            <v>4942</v>
          </cell>
          <cell r="J4237">
            <v>0.13635787746170677</v>
          </cell>
        </row>
        <row r="4238">
          <cell r="I4238">
            <v>4943</v>
          </cell>
          <cell r="J4238">
            <v>0.13636055798687091</v>
          </cell>
        </row>
        <row r="4239">
          <cell r="I4239">
            <v>4944</v>
          </cell>
          <cell r="J4239">
            <v>0.13636323851203502</v>
          </cell>
        </row>
        <row r="4240">
          <cell r="I4240">
            <v>4945</v>
          </cell>
          <cell r="J4240">
            <v>0.13636591903719913</v>
          </cell>
        </row>
        <row r="4241">
          <cell r="I4241">
            <v>4946</v>
          </cell>
          <cell r="J4241">
            <v>0.13636859956236325</v>
          </cell>
        </row>
        <row r="4242">
          <cell r="I4242">
            <v>4947</v>
          </cell>
          <cell r="J4242">
            <v>0.13637128008752736</v>
          </cell>
        </row>
        <row r="4243">
          <cell r="I4243">
            <v>4948</v>
          </cell>
          <cell r="J4243">
            <v>0.13637396061269147</v>
          </cell>
        </row>
        <row r="4244">
          <cell r="I4244">
            <v>4949</v>
          </cell>
          <cell r="J4244">
            <v>0.13637664113785558</v>
          </cell>
        </row>
        <row r="4245">
          <cell r="I4245">
            <v>4950</v>
          </cell>
          <cell r="J4245">
            <v>0.13637932166301969</v>
          </cell>
        </row>
        <row r="4246">
          <cell r="I4246">
            <v>4951</v>
          </cell>
          <cell r="J4246">
            <v>0.1363820021881838</v>
          </cell>
        </row>
        <row r="4247">
          <cell r="I4247">
            <v>4952</v>
          </cell>
          <cell r="J4247">
            <v>0.13638468271334792</v>
          </cell>
        </row>
        <row r="4248">
          <cell r="I4248">
            <v>4953</v>
          </cell>
          <cell r="J4248">
            <v>0.13638736323851203</v>
          </cell>
        </row>
        <row r="4249">
          <cell r="I4249">
            <v>4954</v>
          </cell>
          <cell r="J4249">
            <v>0.13639004376367614</v>
          </cell>
        </row>
        <row r="4250">
          <cell r="I4250">
            <v>4955</v>
          </cell>
          <cell r="J4250">
            <v>0.13639272428884025</v>
          </cell>
        </row>
        <row r="4251">
          <cell r="I4251">
            <v>4956</v>
          </cell>
          <cell r="J4251">
            <v>0.13639540481400439</v>
          </cell>
        </row>
        <row r="4252">
          <cell r="I4252">
            <v>4957</v>
          </cell>
          <cell r="J4252">
            <v>0.1363980853391685</v>
          </cell>
        </row>
        <row r="4253">
          <cell r="I4253">
            <v>4958</v>
          </cell>
          <cell r="J4253">
            <v>0.13640076586433261</v>
          </cell>
        </row>
        <row r="4254">
          <cell r="I4254">
            <v>4959</v>
          </cell>
          <cell r="J4254">
            <v>0.13640344638949672</v>
          </cell>
        </row>
        <row r="4255">
          <cell r="I4255">
            <v>4960</v>
          </cell>
          <cell r="J4255">
            <v>0.13640612691466084</v>
          </cell>
        </row>
        <row r="4256">
          <cell r="I4256">
            <v>4961</v>
          </cell>
          <cell r="J4256">
            <v>0.13640880743982495</v>
          </cell>
        </row>
        <row r="4257">
          <cell r="I4257">
            <v>4962</v>
          </cell>
          <cell r="J4257">
            <v>0.13641148796498906</v>
          </cell>
        </row>
        <row r="4258">
          <cell r="I4258">
            <v>4963</v>
          </cell>
          <cell r="J4258">
            <v>0.13641416849015317</v>
          </cell>
        </row>
        <row r="4259">
          <cell r="I4259">
            <v>4964</v>
          </cell>
          <cell r="J4259">
            <v>0.13641684901531728</v>
          </cell>
        </row>
        <row r="4260">
          <cell r="I4260">
            <v>4965</v>
          </cell>
          <cell r="J4260">
            <v>0.13641952954048139</v>
          </cell>
        </row>
        <row r="4261">
          <cell r="I4261">
            <v>4966</v>
          </cell>
          <cell r="J4261">
            <v>0.13642221006564551</v>
          </cell>
        </row>
        <row r="4262">
          <cell r="I4262">
            <v>4967</v>
          </cell>
          <cell r="J4262">
            <v>0.13642489059080962</v>
          </cell>
        </row>
        <row r="4263">
          <cell r="I4263">
            <v>4968</v>
          </cell>
          <cell r="J4263">
            <v>0.13642757111597376</v>
          </cell>
        </row>
        <row r="4264">
          <cell r="I4264">
            <v>4969</v>
          </cell>
          <cell r="J4264">
            <v>0.13643025164113787</v>
          </cell>
        </row>
        <row r="4265">
          <cell r="I4265">
            <v>4970</v>
          </cell>
          <cell r="J4265">
            <v>0.13643293216630198</v>
          </cell>
        </row>
        <row r="4266">
          <cell r="I4266">
            <v>4971</v>
          </cell>
          <cell r="J4266">
            <v>0.13643561269146609</v>
          </cell>
        </row>
        <row r="4267">
          <cell r="I4267">
            <v>4972</v>
          </cell>
          <cell r="J4267">
            <v>0.1364382932166302</v>
          </cell>
        </row>
        <row r="4268">
          <cell r="I4268">
            <v>4973</v>
          </cell>
          <cell r="J4268">
            <v>0.13644097374179431</v>
          </cell>
        </row>
        <row r="4269">
          <cell r="I4269">
            <v>4974</v>
          </cell>
          <cell r="J4269">
            <v>0.13644365426695843</v>
          </cell>
        </row>
        <row r="4270">
          <cell r="I4270">
            <v>4975</v>
          </cell>
          <cell r="J4270">
            <v>0.13644633479212254</v>
          </cell>
        </row>
        <row r="4271">
          <cell r="I4271">
            <v>4976</v>
          </cell>
          <cell r="J4271">
            <v>0.13644901531728665</v>
          </cell>
        </row>
        <row r="4272">
          <cell r="I4272">
            <v>4977</v>
          </cell>
          <cell r="J4272">
            <v>0.13645169584245076</v>
          </cell>
        </row>
        <row r="4273">
          <cell r="I4273">
            <v>4978</v>
          </cell>
          <cell r="J4273">
            <v>0.13645437636761487</v>
          </cell>
        </row>
        <row r="4274">
          <cell r="I4274">
            <v>4979</v>
          </cell>
          <cell r="J4274">
            <v>0.13645705689277898</v>
          </cell>
        </row>
        <row r="4275">
          <cell r="I4275">
            <v>4980</v>
          </cell>
          <cell r="J4275">
            <v>0.13645973741794312</v>
          </cell>
        </row>
        <row r="4276">
          <cell r="I4276">
            <v>4981</v>
          </cell>
          <cell r="J4276">
            <v>0.13646241794310723</v>
          </cell>
        </row>
        <row r="4277">
          <cell r="I4277">
            <v>4982</v>
          </cell>
          <cell r="J4277">
            <v>0.13646509846827135</v>
          </cell>
        </row>
        <row r="4278">
          <cell r="I4278">
            <v>4983</v>
          </cell>
          <cell r="J4278">
            <v>0.13646777899343546</v>
          </cell>
        </row>
        <row r="4279">
          <cell r="I4279">
            <v>4984</v>
          </cell>
          <cell r="J4279">
            <v>0.13647045951859957</v>
          </cell>
        </row>
        <row r="4280">
          <cell r="I4280">
            <v>4985</v>
          </cell>
          <cell r="J4280">
            <v>0.13647314004376368</v>
          </cell>
        </row>
        <row r="4281">
          <cell r="I4281">
            <v>4986</v>
          </cell>
          <cell r="J4281">
            <v>0.13647582056892779</v>
          </cell>
        </row>
        <row r="4282">
          <cell r="I4282">
            <v>4987</v>
          </cell>
          <cell r="J4282">
            <v>0.1364785010940919</v>
          </cell>
        </row>
        <row r="4283">
          <cell r="I4283">
            <v>4988</v>
          </cell>
          <cell r="J4283">
            <v>0.13648118161925601</v>
          </cell>
        </row>
        <row r="4284">
          <cell r="I4284">
            <v>4989</v>
          </cell>
          <cell r="J4284">
            <v>0.13648386214442013</v>
          </cell>
        </row>
        <row r="4285">
          <cell r="I4285">
            <v>4990</v>
          </cell>
          <cell r="J4285">
            <v>0.13648654266958424</v>
          </cell>
        </row>
        <row r="4286">
          <cell r="I4286">
            <v>4991</v>
          </cell>
          <cell r="J4286">
            <v>0.13648922319474835</v>
          </cell>
        </row>
        <row r="4287">
          <cell r="I4287">
            <v>4992</v>
          </cell>
          <cell r="J4287">
            <v>0.13649190371991246</v>
          </cell>
        </row>
        <row r="4288">
          <cell r="I4288">
            <v>4993</v>
          </cell>
          <cell r="J4288">
            <v>0.1364945842450766</v>
          </cell>
        </row>
        <row r="4289">
          <cell r="I4289">
            <v>4994</v>
          </cell>
          <cell r="J4289">
            <v>0.13649726477024071</v>
          </cell>
        </row>
        <row r="4290">
          <cell r="I4290">
            <v>4995</v>
          </cell>
          <cell r="J4290">
            <v>0.13649994529540482</v>
          </cell>
        </row>
        <row r="4291">
          <cell r="I4291">
            <v>4996</v>
          </cell>
          <cell r="J4291">
            <v>0.13650262582056893</v>
          </cell>
        </row>
        <row r="4292">
          <cell r="I4292">
            <v>4997</v>
          </cell>
          <cell r="J4292">
            <v>0.13650530634573305</v>
          </cell>
        </row>
        <row r="4293">
          <cell r="I4293">
            <v>4998</v>
          </cell>
          <cell r="J4293">
            <v>0.13650798687089716</v>
          </cell>
        </row>
        <row r="4294">
          <cell r="I4294">
            <v>4999</v>
          </cell>
          <cell r="J4294">
            <v>0.13651066739606127</v>
          </cell>
        </row>
        <row r="4295">
          <cell r="I4295">
            <v>5000</v>
          </cell>
          <cell r="J4295">
            <v>0.13651334792122538</v>
          </cell>
        </row>
        <row r="4296">
          <cell r="I4296">
            <v>5001</v>
          </cell>
          <cell r="J4296">
            <v>0.13651602844638949</v>
          </cell>
        </row>
        <row r="4297">
          <cell r="I4297">
            <v>5002</v>
          </cell>
          <cell r="J4297">
            <v>0.1365187089715536</v>
          </cell>
        </row>
        <row r="4298">
          <cell r="I4298">
            <v>5003</v>
          </cell>
          <cell r="J4298">
            <v>0.13652138949671772</v>
          </cell>
        </row>
        <row r="4299">
          <cell r="I4299">
            <v>5004</v>
          </cell>
          <cell r="J4299">
            <v>0.13652407002188183</v>
          </cell>
        </row>
        <row r="4300">
          <cell r="I4300">
            <v>5005</v>
          </cell>
          <cell r="J4300">
            <v>0.13652675054704597</v>
          </cell>
        </row>
        <row r="4301">
          <cell r="I4301">
            <v>5006</v>
          </cell>
          <cell r="J4301">
            <v>0.13652943107221008</v>
          </cell>
        </row>
        <row r="4302">
          <cell r="I4302">
            <v>5007</v>
          </cell>
          <cell r="J4302">
            <v>0.13653211159737419</v>
          </cell>
        </row>
        <row r="4303">
          <cell r="I4303">
            <v>5008</v>
          </cell>
          <cell r="J4303">
            <v>0.1365347921225383</v>
          </cell>
        </row>
        <row r="4304">
          <cell r="I4304">
            <v>5009</v>
          </cell>
          <cell r="J4304">
            <v>0.13653747264770241</v>
          </cell>
        </row>
        <row r="4305">
          <cell r="I4305">
            <v>5010</v>
          </cell>
          <cell r="J4305">
            <v>0.13654015317286652</v>
          </cell>
        </row>
        <row r="4306">
          <cell r="I4306">
            <v>5011</v>
          </cell>
          <cell r="J4306">
            <v>0.13654283369803064</v>
          </cell>
        </row>
        <row r="4307">
          <cell r="I4307">
            <v>5012</v>
          </cell>
          <cell r="J4307">
            <v>0.13654551422319475</v>
          </cell>
        </row>
        <row r="4308">
          <cell r="I4308">
            <v>5013</v>
          </cell>
          <cell r="J4308">
            <v>0.13654819474835886</v>
          </cell>
        </row>
        <row r="4309">
          <cell r="I4309">
            <v>5014</v>
          </cell>
          <cell r="J4309">
            <v>0.13655087527352297</v>
          </cell>
        </row>
        <row r="4310">
          <cell r="I4310">
            <v>5015</v>
          </cell>
          <cell r="J4310">
            <v>0.13655355579868708</v>
          </cell>
        </row>
        <row r="4311">
          <cell r="I4311">
            <v>5016</v>
          </cell>
          <cell r="J4311">
            <v>0.13655623632385119</v>
          </cell>
        </row>
        <row r="4312">
          <cell r="I4312">
            <v>5017</v>
          </cell>
          <cell r="J4312">
            <v>0.13655891684901533</v>
          </cell>
        </row>
        <row r="4313">
          <cell r="I4313">
            <v>5018</v>
          </cell>
          <cell r="J4313">
            <v>0.13656159737417944</v>
          </cell>
        </row>
        <row r="4314">
          <cell r="I4314">
            <v>5019</v>
          </cell>
          <cell r="J4314">
            <v>0.13656427789934356</v>
          </cell>
        </row>
        <row r="4315">
          <cell r="I4315">
            <v>5020</v>
          </cell>
          <cell r="J4315">
            <v>0.13656695842450767</v>
          </cell>
        </row>
        <row r="4316">
          <cell r="I4316">
            <v>5021</v>
          </cell>
          <cell r="J4316">
            <v>0.13656963894967178</v>
          </cell>
        </row>
        <row r="4317">
          <cell r="I4317">
            <v>5022</v>
          </cell>
          <cell r="J4317">
            <v>0.13657231947483589</v>
          </cell>
        </row>
        <row r="4318">
          <cell r="I4318">
            <v>5023</v>
          </cell>
          <cell r="J4318">
            <v>0.136575</v>
          </cell>
        </row>
        <row r="4319">
          <cell r="I4319">
            <v>5024</v>
          </cell>
          <cell r="J4319">
            <v>0.13657768052516411</v>
          </cell>
        </row>
        <row r="4320">
          <cell r="I4320">
            <v>5025</v>
          </cell>
          <cell r="J4320">
            <v>0.13658036105032823</v>
          </cell>
        </row>
        <row r="4321">
          <cell r="I4321">
            <v>5026</v>
          </cell>
          <cell r="J4321">
            <v>0.13658304157549234</v>
          </cell>
        </row>
        <row r="4322">
          <cell r="I4322">
            <v>5027</v>
          </cell>
          <cell r="J4322">
            <v>0.13658572210065645</v>
          </cell>
        </row>
        <row r="4323">
          <cell r="I4323">
            <v>5028</v>
          </cell>
          <cell r="J4323">
            <v>0.13658840262582056</v>
          </cell>
        </row>
        <row r="4324">
          <cell r="I4324">
            <v>5029</v>
          </cell>
          <cell r="J4324">
            <v>0.13659108315098467</v>
          </cell>
        </row>
        <row r="4325">
          <cell r="I4325">
            <v>5030</v>
          </cell>
          <cell r="J4325">
            <v>0.13659376367614881</v>
          </cell>
        </row>
        <row r="4326">
          <cell r="I4326">
            <v>5031</v>
          </cell>
          <cell r="J4326">
            <v>0.13659644420131292</v>
          </cell>
        </row>
        <row r="4327">
          <cell r="I4327">
            <v>5032</v>
          </cell>
          <cell r="J4327">
            <v>0.13659912472647703</v>
          </cell>
        </row>
        <row r="4328">
          <cell r="I4328">
            <v>5033</v>
          </cell>
          <cell r="J4328">
            <v>0.13660180525164115</v>
          </cell>
        </row>
        <row r="4329">
          <cell r="I4329">
            <v>5034</v>
          </cell>
          <cell r="J4329">
            <v>0.13660448577680526</v>
          </cell>
        </row>
        <row r="4330">
          <cell r="I4330">
            <v>5035</v>
          </cell>
          <cell r="J4330">
            <v>0.13660716630196937</v>
          </cell>
        </row>
        <row r="4331">
          <cell r="I4331">
            <v>5036</v>
          </cell>
          <cell r="J4331">
            <v>0.13660984682713348</v>
          </cell>
        </row>
        <row r="4332">
          <cell r="I4332">
            <v>5037</v>
          </cell>
          <cell r="J4332">
            <v>0.13661252735229759</v>
          </cell>
        </row>
        <row r="4333">
          <cell r="I4333">
            <v>5038</v>
          </cell>
          <cell r="J4333">
            <v>0.1366152078774617</v>
          </cell>
        </row>
        <row r="4334">
          <cell r="I4334">
            <v>5039</v>
          </cell>
          <cell r="J4334">
            <v>0.13661788840262581</v>
          </cell>
        </row>
        <row r="4335">
          <cell r="I4335">
            <v>5040</v>
          </cell>
          <cell r="J4335">
            <v>0.13662056892778993</v>
          </cell>
        </row>
        <row r="4336">
          <cell r="I4336">
            <v>5041</v>
          </cell>
          <cell r="J4336">
            <v>0.13662324945295404</v>
          </cell>
        </row>
        <row r="4337">
          <cell r="I4337">
            <v>5042</v>
          </cell>
          <cell r="J4337">
            <v>0.13662592997811818</v>
          </cell>
        </row>
        <row r="4338">
          <cell r="I4338">
            <v>5043</v>
          </cell>
          <cell r="J4338">
            <v>0.13662861050328229</v>
          </cell>
        </row>
        <row r="4339">
          <cell r="I4339">
            <v>5044</v>
          </cell>
          <cell r="J4339">
            <v>0.1366312910284464</v>
          </cell>
        </row>
        <row r="4340">
          <cell r="I4340">
            <v>5045</v>
          </cell>
          <cell r="J4340">
            <v>0.13663397155361051</v>
          </cell>
        </row>
        <row r="4341">
          <cell r="I4341">
            <v>5046</v>
          </cell>
          <cell r="J4341">
            <v>0.13663665207877462</v>
          </cell>
        </row>
        <row r="4342">
          <cell r="I4342">
            <v>5047</v>
          </cell>
          <cell r="J4342">
            <v>0.13663933260393873</v>
          </cell>
        </row>
        <row r="4343">
          <cell r="I4343">
            <v>5048</v>
          </cell>
          <cell r="J4343">
            <v>0.13664201312910285</v>
          </cell>
        </row>
        <row r="4344">
          <cell r="I4344">
            <v>5049</v>
          </cell>
          <cell r="J4344">
            <v>0.13664469365426696</v>
          </cell>
        </row>
        <row r="4345">
          <cell r="I4345">
            <v>5050</v>
          </cell>
          <cell r="J4345">
            <v>0.13664737417943107</v>
          </cell>
        </row>
        <row r="4346">
          <cell r="I4346">
            <v>5051</v>
          </cell>
          <cell r="J4346">
            <v>0.13665005470459518</v>
          </cell>
        </row>
        <row r="4347">
          <cell r="I4347">
            <v>5052</v>
          </cell>
          <cell r="J4347">
            <v>0.13665273522975929</v>
          </cell>
        </row>
        <row r="4348">
          <cell r="I4348">
            <v>5053</v>
          </cell>
          <cell r="J4348">
            <v>0.1366554157549234</v>
          </cell>
        </row>
        <row r="4349">
          <cell r="I4349">
            <v>5054</v>
          </cell>
          <cell r="J4349">
            <v>0.13665809628008754</v>
          </cell>
        </row>
        <row r="4350">
          <cell r="I4350">
            <v>5055</v>
          </cell>
          <cell r="J4350">
            <v>0.13666077680525165</v>
          </cell>
        </row>
        <row r="4351">
          <cell r="I4351">
            <v>5056</v>
          </cell>
          <cell r="J4351">
            <v>0.13666345733041577</v>
          </cell>
        </row>
        <row r="4352">
          <cell r="I4352">
            <v>5057</v>
          </cell>
          <cell r="J4352">
            <v>0.13666613785557988</v>
          </cell>
        </row>
        <row r="4353">
          <cell r="I4353">
            <v>5058</v>
          </cell>
          <cell r="J4353">
            <v>0.13666881838074399</v>
          </cell>
        </row>
        <row r="4354">
          <cell r="I4354">
            <v>5059</v>
          </cell>
          <cell r="J4354">
            <v>0.1366714989059081</v>
          </cell>
        </row>
        <row r="4355">
          <cell r="I4355">
            <v>5060</v>
          </cell>
          <cell r="J4355">
            <v>0.13667417943107221</v>
          </cell>
        </row>
        <row r="4356">
          <cell r="I4356">
            <v>5061</v>
          </cell>
          <cell r="J4356">
            <v>0.13667685995623632</v>
          </cell>
        </row>
        <row r="4357">
          <cell r="I4357">
            <v>5062</v>
          </cell>
          <cell r="J4357">
            <v>0.13667954048140044</v>
          </cell>
        </row>
        <row r="4358">
          <cell r="I4358">
            <v>5063</v>
          </cell>
          <cell r="J4358">
            <v>0.13668222100656455</v>
          </cell>
        </row>
        <row r="4359">
          <cell r="I4359">
            <v>5064</v>
          </cell>
          <cell r="J4359">
            <v>0.13668490153172866</v>
          </cell>
        </row>
        <row r="4360">
          <cell r="I4360">
            <v>5065</v>
          </cell>
          <cell r="J4360">
            <v>0.13668758205689277</v>
          </cell>
        </row>
        <row r="4361">
          <cell r="I4361">
            <v>5066</v>
          </cell>
          <cell r="J4361">
            <v>0.13669026258205688</v>
          </cell>
        </row>
        <row r="4362">
          <cell r="I4362">
            <v>5067</v>
          </cell>
          <cell r="J4362">
            <v>0.13669294310722102</v>
          </cell>
        </row>
        <row r="4363">
          <cell r="I4363">
            <v>5068</v>
          </cell>
          <cell r="J4363">
            <v>0.13669562363238513</v>
          </cell>
        </row>
        <row r="4364">
          <cell r="I4364">
            <v>5069</v>
          </cell>
          <cell r="J4364">
            <v>0.13669830415754924</v>
          </cell>
        </row>
        <row r="4365">
          <cell r="I4365">
            <v>5070</v>
          </cell>
          <cell r="J4365">
            <v>0.13670098468271336</v>
          </cell>
        </row>
        <row r="4366">
          <cell r="I4366">
            <v>5071</v>
          </cell>
          <cell r="J4366">
            <v>0.13670366520787747</v>
          </cell>
        </row>
        <row r="4367">
          <cell r="I4367">
            <v>5072</v>
          </cell>
          <cell r="J4367">
            <v>0.13670634573304158</v>
          </cell>
        </row>
        <row r="4368">
          <cell r="I4368">
            <v>5073</v>
          </cell>
          <cell r="J4368">
            <v>0.13670902625820569</v>
          </cell>
        </row>
        <row r="4369">
          <cell r="I4369">
            <v>5074</v>
          </cell>
          <cell r="J4369">
            <v>0.1367117067833698</v>
          </cell>
        </row>
        <row r="4370">
          <cell r="I4370">
            <v>5075</v>
          </cell>
          <cell r="J4370">
            <v>0.13671438730853391</v>
          </cell>
        </row>
        <row r="4371">
          <cell r="I4371">
            <v>5076</v>
          </cell>
          <cell r="J4371">
            <v>0.13671706783369802</v>
          </cell>
        </row>
        <row r="4372">
          <cell r="I4372">
            <v>5077</v>
          </cell>
          <cell r="J4372">
            <v>0.13671974835886214</v>
          </cell>
        </row>
        <row r="4373">
          <cell r="I4373">
            <v>5078</v>
          </cell>
          <cell r="J4373">
            <v>0.13672242888402625</v>
          </cell>
        </row>
        <row r="4374">
          <cell r="I4374">
            <v>5079</v>
          </cell>
          <cell r="J4374">
            <v>0.13672510940919039</v>
          </cell>
        </row>
        <row r="4375">
          <cell r="I4375">
            <v>5080</v>
          </cell>
          <cell r="J4375">
            <v>0.1367277899343545</v>
          </cell>
        </row>
        <row r="4376">
          <cell r="I4376">
            <v>5081</v>
          </cell>
          <cell r="J4376">
            <v>0.13673047045951861</v>
          </cell>
        </row>
        <row r="4377">
          <cell r="I4377">
            <v>5082</v>
          </cell>
          <cell r="J4377">
            <v>0.13673315098468272</v>
          </cell>
        </row>
        <row r="4378">
          <cell r="I4378">
            <v>5083</v>
          </cell>
          <cell r="J4378">
            <v>0.13673583150984683</v>
          </cell>
        </row>
        <row r="4379">
          <cell r="I4379">
            <v>5084</v>
          </cell>
          <cell r="J4379">
            <v>0.13673851203501095</v>
          </cell>
        </row>
        <row r="4380">
          <cell r="I4380">
            <v>5085</v>
          </cell>
          <cell r="J4380">
            <v>0.13674119256017506</v>
          </cell>
        </row>
        <row r="4381">
          <cell r="I4381">
            <v>5086</v>
          </cell>
          <cell r="J4381">
            <v>0.13674387308533917</v>
          </cell>
        </row>
        <row r="4382">
          <cell r="I4382">
            <v>5087</v>
          </cell>
          <cell r="J4382">
            <v>0.13674655361050328</v>
          </cell>
        </row>
        <row r="4383">
          <cell r="I4383">
            <v>5088</v>
          </cell>
          <cell r="J4383">
            <v>0.13674923413566739</v>
          </cell>
        </row>
        <row r="4384">
          <cell r="I4384">
            <v>5089</v>
          </cell>
          <cell r="J4384">
            <v>0.1367519146608315</v>
          </cell>
        </row>
        <row r="4385">
          <cell r="I4385">
            <v>5090</v>
          </cell>
          <cell r="J4385">
            <v>0.13675459518599561</v>
          </cell>
        </row>
        <row r="4386">
          <cell r="I4386">
            <v>5091</v>
          </cell>
          <cell r="J4386">
            <v>0.13675727571115975</v>
          </cell>
        </row>
        <row r="4387">
          <cell r="I4387">
            <v>5092</v>
          </cell>
          <cell r="J4387">
            <v>0.13675995623632387</v>
          </cell>
        </row>
        <row r="4388">
          <cell r="I4388">
            <v>5093</v>
          </cell>
          <cell r="J4388">
            <v>0.13676263676148798</v>
          </cell>
        </row>
        <row r="4389">
          <cell r="I4389">
            <v>5094</v>
          </cell>
          <cell r="J4389">
            <v>0.13676531728665209</v>
          </cell>
        </row>
        <row r="4390">
          <cell r="I4390">
            <v>5095</v>
          </cell>
          <cell r="J4390">
            <v>0.1367679978118162</v>
          </cell>
        </row>
        <row r="4391">
          <cell r="I4391">
            <v>5096</v>
          </cell>
          <cell r="J4391">
            <v>0.13677067833698031</v>
          </cell>
        </row>
        <row r="4392">
          <cell r="I4392">
            <v>5097</v>
          </cell>
          <cell r="J4392">
            <v>0.13677335886214442</v>
          </cell>
        </row>
        <row r="4393">
          <cell r="I4393">
            <v>5098</v>
          </cell>
          <cell r="J4393">
            <v>0.13677603938730853</v>
          </cell>
        </row>
        <row r="4394">
          <cell r="I4394">
            <v>5099</v>
          </cell>
          <cell r="J4394">
            <v>0.13677871991247265</v>
          </cell>
        </row>
        <row r="4395">
          <cell r="I4395">
            <v>5100</v>
          </cell>
          <cell r="J4395">
            <v>0.13678140043763676</v>
          </cell>
        </row>
        <row r="4396">
          <cell r="I4396">
            <v>5101</v>
          </cell>
          <cell r="J4396">
            <v>0.13678408096280087</v>
          </cell>
        </row>
        <row r="4397">
          <cell r="I4397">
            <v>5102</v>
          </cell>
          <cell r="J4397">
            <v>0.13678676148796498</v>
          </cell>
        </row>
        <row r="4398">
          <cell r="I4398">
            <v>5103</v>
          </cell>
          <cell r="J4398">
            <v>0.13678944201312909</v>
          </cell>
        </row>
        <row r="4399">
          <cell r="I4399">
            <v>5104</v>
          </cell>
          <cell r="J4399">
            <v>0.13679212253829323</v>
          </cell>
        </row>
        <row r="4400">
          <cell r="I4400">
            <v>5105</v>
          </cell>
          <cell r="J4400">
            <v>0.13679480306345734</v>
          </cell>
        </row>
        <row r="4401">
          <cell r="I4401">
            <v>5106</v>
          </cell>
          <cell r="J4401">
            <v>0.13679748358862145</v>
          </cell>
        </row>
        <row r="4402">
          <cell r="I4402">
            <v>5107</v>
          </cell>
          <cell r="J4402">
            <v>0.13680016411378557</v>
          </cell>
        </row>
        <row r="4403">
          <cell r="I4403">
            <v>5108</v>
          </cell>
          <cell r="J4403">
            <v>0.13680284463894968</v>
          </cell>
        </row>
        <row r="4404">
          <cell r="I4404">
            <v>5109</v>
          </cell>
          <cell r="J4404">
            <v>0.13680552516411379</v>
          </cell>
        </row>
        <row r="4405">
          <cell r="I4405">
            <v>5110</v>
          </cell>
          <cell r="J4405">
            <v>0.1368082056892779</v>
          </cell>
        </row>
        <row r="4406">
          <cell r="I4406">
            <v>5111</v>
          </cell>
          <cell r="J4406">
            <v>0.13681088621444201</v>
          </cell>
        </row>
        <row r="4407">
          <cell r="I4407">
            <v>5112</v>
          </cell>
          <cell r="J4407">
            <v>0.13681356673960612</v>
          </cell>
        </row>
        <row r="4408">
          <cell r="I4408">
            <v>5113</v>
          </cell>
          <cell r="J4408">
            <v>0.13681624726477024</v>
          </cell>
        </row>
        <row r="4409">
          <cell r="I4409">
            <v>5114</v>
          </cell>
          <cell r="J4409">
            <v>0.13681892778993435</v>
          </cell>
        </row>
        <row r="4410">
          <cell r="I4410">
            <v>5115</v>
          </cell>
          <cell r="J4410">
            <v>0.13682160831509846</v>
          </cell>
        </row>
        <row r="4411">
          <cell r="I4411">
            <v>5116</v>
          </cell>
          <cell r="J4411">
            <v>0.1368242888402626</v>
          </cell>
        </row>
        <row r="4412">
          <cell r="I4412">
            <v>5117</v>
          </cell>
          <cell r="J4412">
            <v>0.13682696936542671</v>
          </cell>
        </row>
        <row r="4413">
          <cell r="I4413">
            <v>5118</v>
          </cell>
          <cell r="J4413">
            <v>0.13682964989059082</v>
          </cell>
        </row>
        <row r="4414">
          <cell r="I4414">
            <v>5119</v>
          </cell>
          <cell r="J4414">
            <v>0.13683233041575493</v>
          </cell>
        </row>
        <row r="4415">
          <cell r="I4415">
            <v>5120</v>
          </cell>
          <cell r="J4415">
            <v>0.13683501094091904</v>
          </cell>
        </row>
        <row r="4416">
          <cell r="I4416">
            <v>5121</v>
          </cell>
          <cell r="J4416">
            <v>0.13683769146608316</v>
          </cell>
        </row>
        <row r="4417">
          <cell r="I4417">
            <v>5122</v>
          </cell>
          <cell r="J4417">
            <v>0.13684037199124727</v>
          </cell>
        </row>
        <row r="4418">
          <cell r="I4418">
            <v>5123</v>
          </cell>
          <cell r="J4418">
            <v>0.13684305251641138</v>
          </cell>
        </row>
        <row r="4419">
          <cell r="I4419">
            <v>5124</v>
          </cell>
          <cell r="J4419">
            <v>0.13684573304157549</v>
          </cell>
        </row>
        <row r="4420">
          <cell r="I4420">
            <v>5125</v>
          </cell>
          <cell r="J4420">
            <v>0.1368484135667396</v>
          </cell>
        </row>
        <row r="4421">
          <cell r="I4421">
            <v>5126</v>
          </cell>
          <cell r="J4421">
            <v>0.13685109409190371</v>
          </cell>
        </row>
        <row r="4422">
          <cell r="I4422">
            <v>5127</v>
          </cell>
          <cell r="J4422">
            <v>0.13685377461706782</v>
          </cell>
        </row>
        <row r="4423">
          <cell r="I4423">
            <v>5128</v>
          </cell>
          <cell r="J4423">
            <v>0.13685645514223194</v>
          </cell>
        </row>
        <row r="4424">
          <cell r="I4424">
            <v>5129</v>
          </cell>
          <cell r="J4424">
            <v>0.13685913566739608</v>
          </cell>
        </row>
        <row r="4425">
          <cell r="I4425">
            <v>5130</v>
          </cell>
          <cell r="J4425">
            <v>0.13686181619256019</v>
          </cell>
        </row>
        <row r="4426">
          <cell r="I4426">
            <v>5131</v>
          </cell>
          <cell r="J4426">
            <v>0.1368644967177243</v>
          </cell>
        </row>
        <row r="4427">
          <cell r="I4427">
            <v>5132</v>
          </cell>
          <cell r="J4427">
            <v>0.13686717724288841</v>
          </cell>
        </row>
        <row r="4428">
          <cell r="I4428">
            <v>5133</v>
          </cell>
          <cell r="J4428">
            <v>0.13686985776805252</v>
          </cell>
        </row>
        <row r="4429">
          <cell r="I4429">
            <v>5134</v>
          </cell>
          <cell r="J4429">
            <v>0.13687253829321663</v>
          </cell>
        </row>
        <row r="4430">
          <cell r="I4430">
            <v>5135</v>
          </cell>
          <cell r="J4430">
            <v>0.13687521881838075</v>
          </cell>
        </row>
        <row r="4431">
          <cell r="I4431">
            <v>5136</v>
          </cell>
          <cell r="J4431">
            <v>0.13687789934354486</v>
          </cell>
        </row>
        <row r="4432">
          <cell r="I4432">
            <v>5137</v>
          </cell>
          <cell r="J4432">
            <v>0.13688057986870897</v>
          </cell>
        </row>
        <row r="4433">
          <cell r="I4433">
            <v>5138</v>
          </cell>
          <cell r="J4433">
            <v>0.13688326039387308</v>
          </cell>
        </row>
        <row r="4434">
          <cell r="I4434">
            <v>5139</v>
          </cell>
          <cell r="J4434">
            <v>0.13688594091903719</v>
          </cell>
        </row>
        <row r="4435">
          <cell r="I4435">
            <v>5140</v>
          </cell>
          <cell r="J4435">
            <v>0.1368886214442013</v>
          </cell>
        </row>
        <row r="4436">
          <cell r="I4436">
            <v>5141</v>
          </cell>
          <cell r="J4436">
            <v>0.13689130196936544</v>
          </cell>
        </row>
        <row r="4437">
          <cell r="I4437">
            <v>5142</v>
          </cell>
          <cell r="J4437">
            <v>0.13689398249452955</v>
          </cell>
        </row>
        <row r="4438">
          <cell r="I4438">
            <v>5143</v>
          </cell>
          <cell r="J4438">
            <v>0.13689666301969367</v>
          </cell>
        </row>
        <row r="4439">
          <cell r="I4439">
            <v>5144</v>
          </cell>
          <cell r="J4439">
            <v>0.13689934354485778</v>
          </cell>
        </row>
        <row r="4440">
          <cell r="I4440">
            <v>5145</v>
          </cell>
          <cell r="J4440">
            <v>0.13690202407002189</v>
          </cell>
        </row>
        <row r="4441">
          <cell r="I4441">
            <v>5146</v>
          </cell>
          <cell r="J4441">
            <v>0.136904704595186</v>
          </cell>
        </row>
        <row r="4442">
          <cell r="I4442">
            <v>5147</v>
          </cell>
          <cell r="J4442">
            <v>0.13690738512035011</v>
          </cell>
        </row>
        <row r="4443">
          <cell r="I4443">
            <v>5148</v>
          </cell>
          <cell r="J4443">
            <v>0.13691006564551422</v>
          </cell>
        </row>
        <row r="4444">
          <cell r="I4444">
            <v>5149</v>
          </cell>
          <cell r="J4444">
            <v>0.13691274617067833</v>
          </cell>
        </row>
        <row r="4445">
          <cell r="I4445">
            <v>5150</v>
          </cell>
          <cell r="J4445">
            <v>0.13691542669584245</v>
          </cell>
        </row>
        <row r="4446">
          <cell r="I4446">
            <v>5151</v>
          </cell>
          <cell r="J4446">
            <v>0.13691810722100656</v>
          </cell>
        </row>
        <row r="4447">
          <cell r="I4447">
            <v>5152</v>
          </cell>
          <cell r="J4447">
            <v>0.13692078774617067</v>
          </cell>
        </row>
        <row r="4448">
          <cell r="I4448">
            <v>5153</v>
          </cell>
          <cell r="J4448">
            <v>0.13692346827133481</v>
          </cell>
        </row>
        <row r="4449">
          <cell r="I4449">
            <v>5154</v>
          </cell>
          <cell r="J4449">
            <v>0.13692614879649892</v>
          </cell>
        </row>
        <row r="4450">
          <cell r="I4450">
            <v>5155</v>
          </cell>
          <cell r="J4450">
            <v>0.13692882932166303</v>
          </cell>
        </row>
        <row r="4451">
          <cell r="I4451">
            <v>5156</v>
          </cell>
          <cell r="J4451">
            <v>0.13693150984682714</v>
          </cell>
        </row>
        <row r="4452">
          <cell r="I4452">
            <v>5157</v>
          </cell>
          <cell r="J4452">
            <v>0.13693419037199125</v>
          </cell>
        </row>
        <row r="4453">
          <cell r="I4453">
            <v>5158</v>
          </cell>
          <cell r="J4453">
            <v>0.13693687089715537</v>
          </cell>
        </row>
        <row r="4454">
          <cell r="I4454">
            <v>5159</v>
          </cell>
          <cell r="J4454">
            <v>0.13693955142231948</v>
          </cell>
        </row>
        <row r="4455">
          <cell r="I4455">
            <v>5160</v>
          </cell>
          <cell r="J4455">
            <v>0.13694223194748359</v>
          </cell>
        </row>
        <row r="4456">
          <cell r="I4456">
            <v>5161</v>
          </cell>
          <cell r="J4456">
            <v>0.1369449124726477</v>
          </cell>
        </row>
        <row r="4457">
          <cell r="I4457">
            <v>5162</v>
          </cell>
          <cell r="J4457">
            <v>0.13694759299781181</v>
          </cell>
        </row>
        <row r="4458">
          <cell r="I4458">
            <v>5163</v>
          </cell>
          <cell r="J4458">
            <v>0.13695027352297592</v>
          </cell>
        </row>
        <row r="4459">
          <cell r="I4459">
            <v>5164</v>
          </cell>
          <cell r="J4459">
            <v>0.13695295404814004</v>
          </cell>
        </row>
        <row r="4460">
          <cell r="I4460">
            <v>5165</v>
          </cell>
          <cell r="J4460">
            <v>0.13695563457330417</v>
          </cell>
        </row>
        <row r="4461">
          <cell r="I4461">
            <v>5166</v>
          </cell>
          <cell r="J4461">
            <v>0.13695831509846829</v>
          </cell>
        </row>
        <row r="4462">
          <cell r="I4462">
            <v>5167</v>
          </cell>
          <cell r="J4462">
            <v>0.1369609956236324</v>
          </cell>
        </row>
        <row r="4463">
          <cell r="I4463">
            <v>5168</v>
          </cell>
          <cell r="J4463">
            <v>0.13696367614879651</v>
          </cell>
        </row>
        <row r="4464">
          <cell r="I4464">
            <v>5169</v>
          </cell>
          <cell r="J4464">
            <v>0.13696635667396062</v>
          </cell>
        </row>
        <row r="4465">
          <cell r="I4465">
            <v>5170</v>
          </cell>
          <cell r="J4465">
            <v>0.13696903719912473</v>
          </cell>
        </row>
        <row r="4466">
          <cell r="I4466">
            <v>5171</v>
          </cell>
          <cell r="J4466">
            <v>0.13697171772428884</v>
          </cell>
        </row>
        <row r="4467">
          <cell r="I4467">
            <v>5172</v>
          </cell>
          <cell r="J4467">
            <v>0.13697439824945296</v>
          </cell>
        </row>
        <row r="4468">
          <cell r="I4468">
            <v>5173</v>
          </cell>
          <cell r="J4468">
            <v>0.13697707877461707</v>
          </cell>
        </row>
        <row r="4469">
          <cell r="I4469">
            <v>5174</v>
          </cell>
          <cell r="J4469">
            <v>0.13697975929978118</v>
          </cell>
        </row>
        <row r="4470">
          <cell r="I4470">
            <v>5175</v>
          </cell>
          <cell r="J4470">
            <v>0.13698243982494529</v>
          </cell>
        </row>
        <row r="4471">
          <cell r="I4471">
            <v>5176</v>
          </cell>
          <cell r="J4471">
            <v>0.1369851203501094</v>
          </cell>
        </row>
        <row r="4472">
          <cell r="I4472">
            <v>5177</v>
          </cell>
          <cell r="J4472">
            <v>0.13698780087527351</v>
          </cell>
        </row>
        <row r="4473">
          <cell r="I4473">
            <v>5178</v>
          </cell>
          <cell r="J4473">
            <v>0.13699048140043765</v>
          </cell>
        </row>
        <row r="4474">
          <cell r="I4474">
            <v>5179</v>
          </cell>
          <cell r="J4474">
            <v>0.13699316192560176</v>
          </cell>
        </row>
        <row r="4475">
          <cell r="I4475">
            <v>5180</v>
          </cell>
          <cell r="J4475">
            <v>0.13699584245076588</v>
          </cell>
        </row>
        <row r="4476">
          <cell r="I4476">
            <v>5181</v>
          </cell>
          <cell r="J4476">
            <v>0.13699852297592999</v>
          </cell>
        </row>
        <row r="4477">
          <cell r="I4477">
            <v>5182</v>
          </cell>
          <cell r="J4477">
            <v>0.1370012035010941</v>
          </cell>
        </row>
        <row r="4478">
          <cell r="I4478">
            <v>5183</v>
          </cell>
          <cell r="J4478">
            <v>0.13700388402625821</v>
          </cell>
        </row>
        <row r="4479">
          <cell r="I4479">
            <v>5184</v>
          </cell>
          <cell r="J4479">
            <v>0.13700656455142232</v>
          </cell>
        </row>
        <row r="4480">
          <cell r="I4480">
            <v>5185</v>
          </cell>
          <cell r="J4480">
            <v>0.13700924507658643</v>
          </cell>
        </row>
        <row r="4481">
          <cell r="I4481">
            <v>5186</v>
          </cell>
          <cell r="J4481">
            <v>0.13701192560175054</v>
          </cell>
        </row>
        <row r="4482">
          <cell r="I4482">
            <v>5187</v>
          </cell>
          <cell r="J4482">
            <v>0.13701460612691466</v>
          </cell>
        </row>
        <row r="4483">
          <cell r="I4483">
            <v>5188</v>
          </cell>
          <cell r="J4483">
            <v>0.13701728665207877</v>
          </cell>
        </row>
        <row r="4484">
          <cell r="I4484">
            <v>5189</v>
          </cell>
          <cell r="J4484">
            <v>0.13701996717724288</v>
          </cell>
        </row>
        <row r="4485">
          <cell r="I4485">
            <v>5190</v>
          </cell>
          <cell r="J4485">
            <v>0.13702264770240702</v>
          </cell>
        </row>
        <row r="4486">
          <cell r="I4486">
            <v>5191</v>
          </cell>
          <cell r="J4486">
            <v>0.13702532822757113</v>
          </cell>
        </row>
        <row r="4487">
          <cell r="I4487">
            <v>5192</v>
          </cell>
          <cell r="J4487">
            <v>0.13702800875273524</v>
          </cell>
        </row>
        <row r="4488">
          <cell r="I4488">
            <v>5193</v>
          </cell>
          <cell r="J4488">
            <v>0.13703068927789935</v>
          </cell>
        </row>
        <row r="4489">
          <cell r="I4489">
            <v>5194</v>
          </cell>
          <cell r="J4489">
            <v>0.13703336980306347</v>
          </cell>
        </row>
        <row r="4490">
          <cell r="I4490">
            <v>5195</v>
          </cell>
          <cell r="J4490">
            <v>0.13703605032822758</v>
          </cell>
        </row>
        <row r="4491">
          <cell r="I4491">
            <v>5196</v>
          </cell>
          <cell r="J4491">
            <v>0.13703873085339169</v>
          </cell>
        </row>
        <row r="4492">
          <cell r="I4492">
            <v>5197</v>
          </cell>
          <cell r="J4492">
            <v>0.1370414113785558</v>
          </cell>
        </row>
        <row r="4493">
          <cell r="I4493">
            <v>5198</v>
          </cell>
          <cell r="J4493">
            <v>0.13704409190371991</v>
          </cell>
        </row>
        <row r="4494">
          <cell r="I4494">
            <v>5199</v>
          </cell>
          <cell r="J4494">
            <v>0.13704677242888402</v>
          </cell>
        </row>
        <row r="4495">
          <cell r="I4495">
            <v>5200</v>
          </cell>
          <cell r="J4495">
            <v>0.13704945295404813</v>
          </cell>
        </row>
        <row r="4496">
          <cell r="I4496">
            <v>5201</v>
          </cell>
          <cell r="J4496">
            <v>0.13705213347921225</v>
          </cell>
        </row>
        <row r="4497">
          <cell r="I4497">
            <v>5202</v>
          </cell>
          <cell r="J4497">
            <v>0.13705481400437636</v>
          </cell>
        </row>
        <row r="4498">
          <cell r="I4498">
            <v>5203</v>
          </cell>
          <cell r="J4498">
            <v>0.1370574945295405</v>
          </cell>
        </row>
        <row r="4499">
          <cell r="I4499">
            <v>5204</v>
          </cell>
          <cell r="J4499">
            <v>0.13706017505470461</v>
          </cell>
        </row>
        <row r="4500">
          <cell r="I4500">
            <v>5205</v>
          </cell>
          <cell r="J4500">
            <v>0.13706285557986872</v>
          </cell>
        </row>
        <row r="4501">
          <cell r="I4501">
            <v>5206</v>
          </cell>
          <cell r="J4501">
            <v>0.13706553610503283</v>
          </cell>
        </row>
        <row r="4502">
          <cell r="I4502">
            <v>5207</v>
          </cell>
          <cell r="J4502">
            <v>0.13706821663019694</v>
          </cell>
        </row>
        <row r="4503">
          <cell r="I4503">
            <v>5208</v>
          </cell>
          <cell r="J4503">
            <v>0.13707089715536105</v>
          </cell>
        </row>
        <row r="4504">
          <cell r="I4504">
            <v>5209</v>
          </cell>
          <cell r="J4504">
            <v>0.13707357768052517</v>
          </cell>
        </row>
        <row r="4505">
          <cell r="I4505">
            <v>5210</v>
          </cell>
          <cell r="J4505">
            <v>0.13707625820568928</v>
          </cell>
        </row>
        <row r="4506">
          <cell r="I4506">
            <v>5211</v>
          </cell>
          <cell r="J4506">
            <v>0.13707893873085339</v>
          </cell>
        </row>
        <row r="4507">
          <cell r="I4507">
            <v>5212</v>
          </cell>
          <cell r="J4507">
            <v>0.1370816192560175</v>
          </cell>
        </row>
        <row r="4508">
          <cell r="I4508">
            <v>5213</v>
          </cell>
          <cell r="J4508">
            <v>0.13708429978118161</v>
          </cell>
        </row>
        <row r="4509">
          <cell r="I4509">
            <v>5214</v>
          </cell>
          <cell r="J4509">
            <v>0.13708698030634572</v>
          </cell>
        </row>
        <row r="4510">
          <cell r="I4510">
            <v>5215</v>
          </cell>
          <cell r="J4510">
            <v>0.13708966083150986</v>
          </cell>
        </row>
        <row r="4511">
          <cell r="I4511">
            <v>5216</v>
          </cell>
          <cell r="J4511">
            <v>0.13709234135667397</v>
          </cell>
        </row>
        <row r="4512">
          <cell r="I4512">
            <v>5217</v>
          </cell>
          <cell r="J4512">
            <v>0.13709502188183809</v>
          </cell>
        </row>
        <row r="4513">
          <cell r="I4513">
            <v>5218</v>
          </cell>
          <cell r="J4513">
            <v>0.1370977024070022</v>
          </cell>
        </row>
        <row r="4514">
          <cell r="I4514">
            <v>5219</v>
          </cell>
          <cell r="J4514">
            <v>0.13710038293216631</v>
          </cell>
        </row>
        <row r="4515">
          <cell r="I4515">
            <v>5220</v>
          </cell>
          <cell r="J4515">
            <v>0.13710306345733042</v>
          </cell>
        </row>
        <row r="4516">
          <cell r="I4516">
            <v>5221</v>
          </cell>
          <cell r="J4516">
            <v>0.13710574398249453</v>
          </cell>
        </row>
        <row r="4517">
          <cell r="I4517">
            <v>5222</v>
          </cell>
          <cell r="J4517">
            <v>0.13710842450765864</v>
          </cell>
        </row>
        <row r="4518">
          <cell r="I4518">
            <v>5223</v>
          </cell>
          <cell r="J4518">
            <v>0.13711110503282276</v>
          </cell>
        </row>
        <row r="4519">
          <cell r="I4519">
            <v>5224</v>
          </cell>
          <cell r="J4519">
            <v>0.13711378555798687</v>
          </cell>
        </row>
        <row r="4520">
          <cell r="I4520">
            <v>5225</v>
          </cell>
          <cell r="J4520">
            <v>0.13711646608315098</v>
          </cell>
        </row>
        <row r="4521">
          <cell r="I4521">
            <v>5226</v>
          </cell>
          <cell r="J4521">
            <v>0.13711914660831509</v>
          </cell>
        </row>
        <row r="4522">
          <cell r="I4522">
            <v>5227</v>
          </cell>
          <cell r="J4522">
            <v>0.13712182713347923</v>
          </cell>
        </row>
        <row r="4523">
          <cell r="I4523">
            <v>5228</v>
          </cell>
          <cell r="J4523">
            <v>0.13712450765864334</v>
          </cell>
        </row>
        <row r="4524">
          <cell r="I4524">
            <v>5229</v>
          </cell>
          <cell r="J4524">
            <v>0.13712718818380745</v>
          </cell>
        </row>
        <row r="4525">
          <cell r="I4525">
            <v>5230</v>
          </cell>
          <cell r="J4525">
            <v>0.13712986870897156</v>
          </cell>
        </row>
        <row r="4526">
          <cell r="I4526">
            <v>5231</v>
          </cell>
          <cell r="J4526">
            <v>0.13713254923413568</v>
          </cell>
        </row>
        <row r="4527">
          <cell r="I4527">
            <v>5232</v>
          </cell>
          <cell r="J4527">
            <v>0.13713522975929979</v>
          </cell>
        </row>
        <row r="4528">
          <cell r="I4528">
            <v>5233</v>
          </cell>
          <cell r="J4528">
            <v>0.1371379102844639</v>
          </cell>
        </row>
        <row r="4529">
          <cell r="I4529">
            <v>5234</v>
          </cell>
          <cell r="J4529">
            <v>0.13714059080962801</v>
          </cell>
        </row>
        <row r="4530">
          <cell r="I4530">
            <v>5235</v>
          </cell>
          <cell r="J4530">
            <v>0.13714327133479212</v>
          </cell>
        </row>
        <row r="4531">
          <cell r="I4531">
            <v>5236</v>
          </cell>
          <cell r="J4531">
            <v>0.13714595185995623</v>
          </cell>
        </row>
        <row r="4532">
          <cell r="I4532">
            <v>5237</v>
          </cell>
          <cell r="J4532">
            <v>0.13714863238512034</v>
          </cell>
        </row>
        <row r="4533">
          <cell r="I4533">
            <v>5238</v>
          </cell>
          <cell r="J4533">
            <v>0.13715131291028446</v>
          </cell>
        </row>
        <row r="4534">
          <cell r="I4534">
            <v>5239</v>
          </cell>
          <cell r="J4534">
            <v>0.1371539934354486</v>
          </cell>
        </row>
        <row r="4535">
          <cell r="I4535">
            <v>5240</v>
          </cell>
          <cell r="J4535">
            <v>0.13715667396061271</v>
          </cell>
        </row>
        <row r="4536">
          <cell r="I4536">
            <v>5241</v>
          </cell>
          <cell r="J4536">
            <v>0.13715935448577682</v>
          </cell>
        </row>
        <row r="4537">
          <cell r="I4537">
            <v>5242</v>
          </cell>
          <cell r="J4537">
            <v>0.13716203501094093</v>
          </cell>
        </row>
        <row r="4538">
          <cell r="I4538">
            <v>5243</v>
          </cell>
          <cell r="J4538">
            <v>0.13716471553610504</v>
          </cell>
        </row>
        <row r="4539">
          <cell r="I4539">
            <v>5244</v>
          </cell>
          <cell r="J4539">
            <v>0.13716739606126915</v>
          </cell>
        </row>
        <row r="4540">
          <cell r="I4540">
            <v>5245</v>
          </cell>
          <cell r="J4540">
            <v>0.13717007658643326</v>
          </cell>
        </row>
        <row r="4541">
          <cell r="I4541">
            <v>5246</v>
          </cell>
          <cell r="J4541">
            <v>0.13717275711159738</v>
          </cell>
        </row>
        <row r="4542">
          <cell r="I4542">
            <v>5247</v>
          </cell>
          <cell r="J4542">
            <v>0.13717543763676149</v>
          </cell>
        </row>
        <row r="4543">
          <cell r="I4543">
            <v>5248</v>
          </cell>
          <cell r="J4543">
            <v>0.1371781181619256</v>
          </cell>
        </row>
        <row r="4544">
          <cell r="I4544">
            <v>5249</v>
          </cell>
          <cell r="J4544">
            <v>0.13718079868708971</v>
          </cell>
        </row>
        <row r="4545">
          <cell r="I4545">
            <v>5250</v>
          </cell>
          <cell r="J4545">
            <v>0.13718347921225382</v>
          </cell>
        </row>
        <row r="4546">
          <cell r="I4546">
            <v>5251</v>
          </cell>
          <cell r="J4546">
            <v>0.13718615973741793</v>
          </cell>
        </row>
        <row r="4547">
          <cell r="I4547">
            <v>5252</v>
          </cell>
          <cell r="J4547">
            <v>0.13718884026258207</v>
          </cell>
        </row>
        <row r="4548">
          <cell r="I4548">
            <v>5253</v>
          </cell>
          <cell r="J4548">
            <v>0.13719152078774619</v>
          </cell>
        </row>
        <row r="4549">
          <cell r="I4549">
            <v>5254</v>
          </cell>
          <cell r="J4549">
            <v>0.1371942013129103</v>
          </cell>
        </row>
        <row r="4550">
          <cell r="I4550">
            <v>5255</v>
          </cell>
          <cell r="J4550">
            <v>0.13719688183807441</v>
          </cell>
        </row>
        <row r="4551">
          <cell r="I4551">
            <v>5256</v>
          </cell>
          <cell r="J4551">
            <v>0.13719956236323852</v>
          </cell>
        </row>
        <row r="4552">
          <cell r="I4552">
            <v>5257</v>
          </cell>
          <cell r="J4552">
            <v>0.13720224288840263</v>
          </cell>
        </row>
        <row r="4553">
          <cell r="I4553">
            <v>5258</v>
          </cell>
          <cell r="J4553">
            <v>0.13720492341356674</v>
          </cell>
        </row>
        <row r="4554">
          <cell r="I4554">
            <v>5259</v>
          </cell>
          <cell r="J4554">
            <v>0.13720760393873085</v>
          </cell>
        </row>
        <row r="4555">
          <cell r="I4555">
            <v>5260</v>
          </cell>
          <cell r="J4555">
            <v>0.13721028446389497</v>
          </cell>
        </row>
        <row r="4556">
          <cell r="I4556">
            <v>5261</v>
          </cell>
          <cell r="J4556">
            <v>0.13721296498905908</v>
          </cell>
        </row>
        <row r="4557">
          <cell r="I4557">
            <v>5262</v>
          </cell>
          <cell r="J4557">
            <v>0.13721564551422319</v>
          </cell>
        </row>
        <row r="4558">
          <cell r="I4558">
            <v>5263</v>
          </cell>
          <cell r="J4558">
            <v>0.1372183260393873</v>
          </cell>
        </row>
        <row r="4559">
          <cell r="I4559">
            <v>5264</v>
          </cell>
          <cell r="J4559">
            <v>0.13722100656455144</v>
          </cell>
        </row>
        <row r="4560">
          <cell r="I4560">
            <v>5265</v>
          </cell>
          <cell r="J4560">
            <v>0.13722368708971555</v>
          </cell>
        </row>
        <row r="4561">
          <cell r="I4561">
            <v>5266</v>
          </cell>
          <cell r="J4561">
            <v>0.13722636761487966</v>
          </cell>
        </row>
        <row r="4562">
          <cell r="I4562">
            <v>5267</v>
          </cell>
          <cell r="J4562">
            <v>0.13722904814004377</v>
          </cell>
        </row>
        <row r="4563">
          <cell r="I4563">
            <v>5268</v>
          </cell>
          <cell r="J4563">
            <v>0.13723172866520789</v>
          </cell>
        </row>
        <row r="4564">
          <cell r="I4564">
            <v>5269</v>
          </cell>
          <cell r="J4564">
            <v>0.137234409190372</v>
          </cell>
        </row>
        <row r="4565">
          <cell r="I4565">
            <v>5270</v>
          </cell>
          <cell r="J4565">
            <v>0.13723708971553611</v>
          </cell>
        </row>
        <row r="4566">
          <cell r="I4566">
            <v>5271</v>
          </cell>
          <cell r="J4566">
            <v>0.13723977024070022</v>
          </cell>
        </row>
        <row r="4567">
          <cell r="I4567">
            <v>5272</v>
          </cell>
          <cell r="J4567">
            <v>0.13724245076586433</v>
          </cell>
        </row>
        <row r="4568">
          <cell r="I4568">
            <v>5273</v>
          </cell>
          <cell r="J4568">
            <v>0.13724513129102844</v>
          </cell>
        </row>
        <row r="4569">
          <cell r="I4569">
            <v>5274</v>
          </cell>
          <cell r="J4569">
            <v>0.13724781181619256</v>
          </cell>
        </row>
        <row r="4570">
          <cell r="I4570">
            <v>5275</v>
          </cell>
          <cell r="J4570">
            <v>0.13725049234135667</v>
          </cell>
        </row>
        <row r="4571">
          <cell r="I4571">
            <v>5276</v>
          </cell>
          <cell r="J4571">
            <v>0.13725317286652078</v>
          </cell>
        </row>
        <row r="4572">
          <cell r="I4572">
            <v>5277</v>
          </cell>
          <cell r="J4572">
            <v>0.13725585339168492</v>
          </cell>
        </row>
        <row r="4573">
          <cell r="I4573">
            <v>5278</v>
          </cell>
          <cell r="J4573">
            <v>0.13725853391684903</v>
          </cell>
        </row>
        <row r="4574">
          <cell r="I4574">
            <v>5279</v>
          </cell>
          <cell r="J4574">
            <v>0.13726121444201314</v>
          </cell>
        </row>
        <row r="4575">
          <cell r="I4575">
            <v>5280</v>
          </cell>
          <cell r="J4575">
            <v>0.13726389496717725</v>
          </cell>
        </row>
        <row r="4576">
          <cell r="I4576">
            <v>5281</v>
          </cell>
          <cell r="J4576">
            <v>0.13726657549234136</v>
          </cell>
        </row>
        <row r="4577">
          <cell r="I4577">
            <v>5282</v>
          </cell>
          <cell r="J4577">
            <v>0.13726925601750548</v>
          </cell>
        </row>
        <row r="4578">
          <cell r="I4578">
            <v>5283</v>
          </cell>
          <cell r="J4578">
            <v>0.13727193654266959</v>
          </cell>
        </row>
        <row r="4579">
          <cell r="I4579">
            <v>5284</v>
          </cell>
          <cell r="J4579">
            <v>0.1372746170678337</v>
          </cell>
        </row>
        <row r="4580">
          <cell r="I4580">
            <v>5285</v>
          </cell>
          <cell r="J4580">
            <v>0.13727729759299781</v>
          </cell>
        </row>
        <row r="4581">
          <cell r="I4581">
            <v>5286</v>
          </cell>
          <cell r="J4581">
            <v>0.13727997811816192</v>
          </cell>
        </row>
        <row r="4582">
          <cell r="I4582">
            <v>5287</v>
          </cell>
          <cell r="J4582">
            <v>0.13728265864332603</v>
          </cell>
        </row>
        <row r="4583">
          <cell r="I4583">
            <v>5288</v>
          </cell>
          <cell r="J4583">
            <v>0.13728533916849014</v>
          </cell>
        </row>
        <row r="4584">
          <cell r="I4584">
            <v>5289</v>
          </cell>
          <cell r="J4584">
            <v>0.13728801969365428</v>
          </cell>
        </row>
        <row r="4585">
          <cell r="I4585">
            <v>5290</v>
          </cell>
          <cell r="J4585">
            <v>0.1372907002188184</v>
          </cell>
        </row>
        <row r="4586">
          <cell r="I4586">
            <v>5291</v>
          </cell>
          <cell r="J4586">
            <v>0.13729338074398251</v>
          </cell>
        </row>
        <row r="4587">
          <cell r="I4587">
            <v>5292</v>
          </cell>
          <cell r="J4587">
            <v>0.13729606126914662</v>
          </cell>
        </row>
        <row r="4588">
          <cell r="I4588">
            <v>5293</v>
          </cell>
          <cell r="J4588">
            <v>0.13729874179431073</v>
          </cell>
        </row>
        <row r="4589">
          <cell r="I4589">
            <v>5294</v>
          </cell>
          <cell r="J4589">
            <v>0.13730142231947484</v>
          </cell>
        </row>
        <row r="4590">
          <cell r="I4590">
            <v>5295</v>
          </cell>
          <cell r="J4590">
            <v>0.13730410284463895</v>
          </cell>
        </row>
        <row r="4591">
          <cell r="I4591">
            <v>5296</v>
          </cell>
          <cell r="J4591">
            <v>0.13730678336980306</v>
          </cell>
        </row>
        <row r="4592">
          <cell r="I4592">
            <v>5297</v>
          </cell>
          <cell r="J4592">
            <v>0.13730946389496718</v>
          </cell>
        </row>
        <row r="4593">
          <cell r="I4593">
            <v>5298</v>
          </cell>
          <cell r="J4593">
            <v>0.13731214442013129</v>
          </cell>
        </row>
        <row r="4594">
          <cell r="I4594">
            <v>5299</v>
          </cell>
          <cell r="J4594">
            <v>0.1373148249452954</v>
          </cell>
        </row>
        <row r="4595">
          <cell r="I4595">
            <v>5300</v>
          </cell>
          <cell r="J4595">
            <v>0.13731750547045951</v>
          </cell>
        </row>
        <row r="4596">
          <cell r="I4596">
            <v>5301</v>
          </cell>
          <cell r="J4596">
            <v>0.13732018599562362</v>
          </cell>
        </row>
        <row r="4597">
          <cell r="I4597">
            <v>5302</v>
          </cell>
          <cell r="J4597">
            <v>0.13732286652078776</v>
          </cell>
        </row>
        <row r="4598">
          <cell r="I4598">
            <v>5303</v>
          </cell>
          <cell r="J4598">
            <v>0.13732554704595187</v>
          </cell>
        </row>
        <row r="4599">
          <cell r="I4599">
            <v>5304</v>
          </cell>
          <cell r="J4599">
            <v>0.13732822757111598</v>
          </cell>
        </row>
        <row r="4600">
          <cell r="I4600">
            <v>5305</v>
          </cell>
          <cell r="J4600">
            <v>0.1373309080962801</v>
          </cell>
        </row>
        <row r="4601">
          <cell r="I4601">
            <v>5306</v>
          </cell>
          <cell r="J4601">
            <v>0.13733358862144421</v>
          </cell>
        </row>
        <row r="4602">
          <cell r="I4602">
            <v>5307</v>
          </cell>
          <cell r="J4602">
            <v>0.13733626914660832</v>
          </cell>
        </row>
        <row r="4603">
          <cell r="I4603">
            <v>5308</v>
          </cell>
          <cell r="J4603">
            <v>0.13733894967177243</v>
          </cell>
        </row>
        <row r="4604">
          <cell r="I4604">
            <v>5309</v>
          </cell>
          <cell r="J4604">
            <v>0.13734163019693654</v>
          </cell>
        </row>
        <row r="4605">
          <cell r="I4605">
            <v>5310</v>
          </cell>
          <cell r="J4605">
            <v>0.13734431072210065</v>
          </cell>
        </row>
        <row r="4606">
          <cell r="I4606">
            <v>5311</v>
          </cell>
          <cell r="J4606">
            <v>0.13734699124726477</v>
          </cell>
        </row>
        <row r="4607">
          <cell r="I4607">
            <v>5312</v>
          </cell>
          <cell r="J4607">
            <v>0.13734967177242888</v>
          </cell>
        </row>
        <row r="4608">
          <cell r="I4608">
            <v>5313</v>
          </cell>
          <cell r="J4608">
            <v>0.13735235229759299</v>
          </cell>
        </row>
        <row r="4609">
          <cell r="I4609">
            <v>5314</v>
          </cell>
          <cell r="J4609">
            <v>0.13735503282275713</v>
          </cell>
        </row>
        <row r="4610">
          <cell r="I4610">
            <v>5315</v>
          </cell>
          <cell r="J4610">
            <v>0.13735771334792124</v>
          </cell>
        </row>
        <row r="4611">
          <cell r="I4611">
            <v>5316</v>
          </cell>
          <cell r="J4611">
            <v>0.13736039387308535</v>
          </cell>
        </row>
        <row r="4612">
          <cell r="I4612">
            <v>5317</v>
          </cell>
          <cell r="J4612">
            <v>0.13736307439824946</v>
          </cell>
        </row>
        <row r="4613">
          <cell r="I4613">
            <v>5318</v>
          </cell>
          <cell r="J4613">
            <v>0.13736575492341357</v>
          </cell>
        </row>
        <row r="4614">
          <cell r="I4614">
            <v>5319</v>
          </cell>
          <cell r="J4614">
            <v>0.13736843544857769</v>
          </cell>
        </row>
        <row r="4615">
          <cell r="I4615">
            <v>5320</v>
          </cell>
          <cell r="J4615">
            <v>0.1373711159737418</v>
          </cell>
        </row>
        <row r="4616">
          <cell r="I4616">
            <v>5321</v>
          </cell>
          <cell r="J4616">
            <v>0.13737379649890591</v>
          </cell>
        </row>
        <row r="4617">
          <cell r="I4617">
            <v>5322</v>
          </cell>
          <cell r="J4617">
            <v>0.13737647702407002</v>
          </cell>
        </row>
        <row r="4618">
          <cell r="I4618">
            <v>5323</v>
          </cell>
          <cell r="J4618">
            <v>0.13737915754923413</v>
          </cell>
        </row>
        <row r="4619">
          <cell r="I4619">
            <v>5324</v>
          </cell>
          <cell r="J4619">
            <v>0.13738183807439824</v>
          </cell>
        </row>
        <row r="4620">
          <cell r="I4620">
            <v>5325</v>
          </cell>
          <cell r="J4620">
            <v>0.13738451859956236</v>
          </cell>
        </row>
        <row r="4621">
          <cell r="I4621">
            <v>5326</v>
          </cell>
          <cell r="J4621">
            <v>0.13738719912472649</v>
          </cell>
        </row>
        <row r="4622">
          <cell r="I4622">
            <v>5327</v>
          </cell>
          <cell r="J4622">
            <v>0.13738987964989061</v>
          </cell>
        </row>
        <row r="4623">
          <cell r="I4623">
            <v>5328</v>
          </cell>
          <cell r="J4623">
            <v>0.13739256017505472</v>
          </cell>
        </row>
        <row r="4624">
          <cell r="I4624">
            <v>5329</v>
          </cell>
          <cell r="J4624">
            <v>0.13739524070021883</v>
          </cell>
        </row>
        <row r="4625">
          <cell r="I4625">
            <v>5330</v>
          </cell>
          <cell r="J4625">
            <v>0.13739792122538294</v>
          </cell>
        </row>
        <row r="4626">
          <cell r="I4626">
            <v>5331</v>
          </cell>
          <cell r="J4626">
            <v>0.13740060175054705</v>
          </cell>
        </row>
        <row r="4627">
          <cell r="I4627">
            <v>5332</v>
          </cell>
          <cell r="J4627">
            <v>0.13740328227571116</v>
          </cell>
        </row>
        <row r="4628">
          <cell r="I4628">
            <v>5333</v>
          </cell>
          <cell r="J4628">
            <v>0.13740596280087528</v>
          </cell>
        </row>
        <row r="4629">
          <cell r="I4629">
            <v>5334</v>
          </cell>
          <cell r="J4629">
            <v>0.13740864332603939</v>
          </cell>
        </row>
        <row r="4630">
          <cell r="I4630">
            <v>5335</v>
          </cell>
          <cell r="J4630">
            <v>0.1374113238512035</v>
          </cell>
        </row>
        <row r="4631">
          <cell r="I4631">
            <v>5336</v>
          </cell>
          <cell r="J4631">
            <v>0.13741400437636761</v>
          </cell>
        </row>
        <row r="4632">
          <cell r="I4632">
            <v>5337</v>
          </cell>
          <cell r="J4632">
            <v>0.13741668490153172</v>
          </cell>
        </row>
        <row r="4633">
          <cell r="I4633">
            <v>5338</v>
          </cell>
          <cell r="J4633">
            <v>0.13741936542669586</v>
          </cell>
        </row>
        <row r="4634">
          <cell r="I4634">
            <v>5339</v>
          </cell>
          <cell r="J4634">
            <v>0.13742204595185997</v>
          </cell>
        </row>
        <row r="4635">
          <cell r="I4635">
            <v>5340</v>
          </cell>
          <cell r="J4635">
            <v>0.13742472647702408</v>
          </cell>
        </row>
        <row r="4636">
          <cell r="I4636">
            <v>5341</v>
          </cell>
          <cell r="J4636">
            <v>0.1374274070021882</v>
          </cell>
        </row>
        <row r="4637">
          <cell r="I4637">
            <v>5342</v>
          </cell>
          <cell r="J4637">
            <v>0.13743008752735231</v>
          </cell>
        </row>
        <row r="4638">
          <cell r="I4638">
            <v>5343</v>
          </cell>
          <cell r="J4638">
            <v>0.13743276805251642</v>
          </cell>
        </row>
        <row r="4639">
          <cell r="I4639">
            <v>5344</v>
          </cell>
          <cell r="J4639">
            <v>0.13743544857768053</v>
          </cell>
        </row>
        <row r="4640">
          <cell r="I4640">
            <v>5345</v>
          </cell>
          <cell r="J4640">
            <v>0.13743812910284464</v>
          </cell>
        </row>
        <row r="4641">
          <cell r="I4641">
            <v>5346</v>
          </cell>
          <cell r="J4641">
            <v>0.13744080962800875</v>
          </cell>
        </row>
        <row r="4642">
          <cell r="I4642">
            <v>5347</v>
          </cell>
          <cell r="J4642">
            <v>0.13744349015317286</v>
          </cell>
        </row>
        <row r="4643">
          <cell r="I4643">
            <v>5348</v>
          </cell>
          <cell r="J4643">
            <v>0.13744617067833698</v>
          </cell>
        </row>
        <row r="4644">
          <cell r="I4644">
            <v>5349</v>
          </cell>
          <cell r="J4644">
            <v>0.13744885120350109</v>
          </cell>
        </row>
        <row r="4645">
          <cell r="I4645">
            <v>5350</v>
          </cell>
          <cell r="J4645">
            <v>0.1374515317286652</v>
          </cell>
        </row>
        <row r="4646">
          <cell r="I4646">
            <v>5351</v>
          </cell>
          <cell r="J4646">
            <v>0.13745421225382934</v>
          </cell>
        </row>
        <row r="4647">
          <cell r="I4647">
            <v>5352</v>
          </cell>
          <cell r="J4647">
            <v>0.13745689277899345</v>
          </cell>
        </row>
        <row r="4648">
          <cell r="I4648">
            <v>5353</v>
          </cell>
          <cell r="J4648">
            <v>0.13745957330415756</v>
          </cell>
        </row>
        <row r="4649">
          <cell r="I4649">
            <v>5354</v>
          </cell>
          <cell r="J4649">
            <v>0.13746225382932167</v>
          </cell>
        </row>
        <row r="4650">
          <cell r="I4650">
            <v>5355</v>
          </cell>
          <cell r="J4650">
            <v>0.13746493435448578</v>
          </cell>
        </row>
        <row r="4651">
          <cell r="I4651">
            <v>5356</v>
          </cell>
          <cell r="J4651">
            <v>0.1374676148796499</v>
          </cell>
        </row>
        <row r="4652">
          <cell r="I4652">
            <v>5357</v>
          </cell>
          <cell r="J4652">
            <v>0.13747029540481401</v>
          </cell>
        </row>
        <row r="4653">
          <cell r="I4653">
            <v>5358</v>
          </cell>
          <cell r="J4653">
            <v>0.13747297592997812</v>
          </cell>
        </row>
        <row r="4654">
          <cell r="I4654">
            <v>5359</v>
          </cell>
          <cell r="J4654">
            <v>0.13747565645514223</v>
          </cell>
        </row>
        <row r="4655">
          <cell r="I4655">
            <v>5360</v>
          </cell>
          <cell r="J4655">
            <v>0.13747833698030634</v>
          </cell>
        </row>
        <row r="4656">
          <cell r="I4656">
            <v>5361</v>
          </cell>
          <cell r="J4656">
            <v>0.13748101750547045</v>
          </cell>
        </row>
        <row r="4657">
          <cell r="I4657">
            <v>5362</v>
          </cell>
          <cell r="J4657">
            <v>0.13748369803063457</v>
          </cell>
        </row>
        <row r="4658">
          <cell r="I4658">
            <v>5363</v>
          </cell>
          <cell r="J4658">
            <v>0.13748637855579871</v>
          </cell>
        </row>
        <row r="4659">
          <cell r="I4659">
            <v>5364</v>
          </cell>
          <cell r="J4659">
            <v>0.13748905908096282</v>
          </cell>
        </row>
        <row r="4660">
          <cell r="I4660">
            <v>5365</v>
          </cell>
          <cell r="J4660">
            <v>0.13749173960612693</v>
          </cell>
        </row>
        <row r="4661">
          <cell r="I4661">
            <v>5366</v>
          </cell>
          <cell r="J4661">
            <v>0.13749442013129104</v>
          </cell>
        </row>
        <row r="4662">
          <cell r="I4662">
            <v>5367</v>
          </cell>
          <cell r="J4662">
            <v>0.13749710065645515</v>
          </cell>
        </row>
        <row r="4663">
          <cell r="I4663">
            <v>5368</v>
          </cell>
          <cell r="J4663">
            <v>0.13749978118161926</v>
          </cell>
        </row>
        <row r="4664">
          <cell r="I4664">
            <v>5369</v>
          </cell>
          <cell r="J4664">
            <v>0.13750246170678337</v>
          </cell>
        </row>
        <row r="4665">
          <cell r="I4665">
            <v>5370</v>
          </cell>
          <cell r="J4665">
            <v>0.13750514223194749</v>
          </cell>
        </row>
        <row r="4666">
          <cell r="I4666">
            <v>5371</v>
          </cell>
          <cell r="J4666">
            <v>0.1375078227571116</v>
          </cell>
        </row>
        <row r="4667">
          <cell r="I4667">
            <v>5372</v>
          </cell>
          <cell r="J4667">
            <v>0.13751050328227571</v>
          </cell>
        </row>
        <row r="4668">
          <cell r="I4668">
            <v>5373</v>
          </cell>
          <cell r="J4668">
            <v>0.13751318380743982</v>
          </cell>
        </row>
        <row r="4669">
          <cell r="I4669">
            <v>5374</v>
          </cell>
          <cell r="J4669">
            <v>0.13751586433260393</v>
          </cell>
        </row>
        <row r="4670">
          <cell r="I4670">
            <v>5375</v>
          </cell>
          <cell r="J4670">
            <v>0.13751854485776804</v>
          </cell>
        </row>
        <row r="4671">
          <cell r="I4671">
            <v>5376</v>
          </cell>
          <cell r="J4671">
            <v>0.13752122538293218</v>
          </cell>
        </row>
        <row r="4672">
          <cell r="I4672">
            <v>5377</v>
          </cell>
          <cell r="J4672">
            <v>0.13752390590809629</v>
          </cell>
        </row>
        <row r="4673">
          <cell r="I4673">
            <v>5378</v>
          </cell>
          <cell r="J4673">
            <v>0.13752658643326041</v>
          </cell>
        </row>
        <row r="4674">
          <cell r="I4674">
            <v>5379</v>
          </cell>
          <cell r="J4674">
            <v>0.13752926695842452</v>
          </cell>
        </row>
        <row r="4675">
          <cell r="I4675">
            <v>5380</v>
          </cell>
          <cell r="J4675">
            <v>0.13753194748358863</v>
          </cell>
        </row>
        <row r="4676">
          <cell r="I4676">
            <v>5381</v>
          </cell>
          <cell r="J4676">
            <v>0.13753462800875274</v>
          </cell>
        </row>
        <row r="4677">
          <cell r="I4677">
            <v>5382</v>
          </cell>
          <cell r="J4677">
            <v>0.13753730853391685</v>
          </cell>
        </row>
        <row r="4678">
          <cell r="I4678">
            <v>5383</v>
          </cell>
          <cell r="J4678">
            <v>0.13753998905908096</v>
          </cell>
        </row>
        <row r="4679">
          <cell r="I4679">
            <v>5384</v>
          </cell>
          <cell r="J4679">
            <v>0.13754266958424508</v>
          </cell>
        </row>
        <row r="4680">
          <cell r="I4680">
            <v>5385</v>
          </cell>
          <cell r="J4680">
            <v>0.13754535010940919</v>
          </cell>
        </row>
        <row r="4681">
          <cell r="I4681">
            <v>5386</v>
          </cell>
          <cell r="J4681">
            <v>0.1375480306345733</v>
          </cell>
        </row>
        <row r="4682">
          <cell r="I4682">
            <v>5387</v>
          </cell>
          <cell r="J4682">
            <v>0.13755071115973741</v>
          </cell>
        </row>
        <row r="4683">
          <cell r="I4683">
            <v>5388</v>
          </cell>
          <cell r="J4683">
            <v>0.13755339168490155</v>
          </cell>
        </row>
        <row r="4684">
          <cell r="I4684">
            <v>5389</v>
          </cell>
          <cell r="J4684">
            <v>0.13755607221006566</v>
          </cell>
        </row>
        <row r="4685">
          <cell r="I4685">
            <v>5390</v>
          </cell>
          <cell r="J4685">
            <v>0.13755875273522977</v>
          </cell>
        </row>
        <row r="4686">
          <cell r="I4686">
            <v>5391</v>
          </cell>
          <cell r="J4686">
            <v>0.13756143326039388</v>
          </cell>
        </row>
        <row r="4687">
          <cell r="I4687">
            <v>5392</v>
          </cell>
          <cell r="J4687">
            <v>0.137564113785558</v>
          </cell>
        </row>
        <row r="4688">
          <cell r="I4688">
            <v>5393</v>
          </cell>
          <cell r="J4688">
            <v>0.13756679431072211</v>
          </cell>
        </row>
        <row r="4689">
          <cell r="I4689">
            <v>5394</v>
          </cell>
          <cell r="J4689">
            <v>0.13756947483588622</v>
          </cell>
        </row>
        <row r="4690">
          <cell r="I4690">
            <v>5395</v>
          </cell>
          <cell r="J4690">
            <v>0.13757215536105033</v>
          </cell>
        </row>
        <row r="4691">
          <cell r="I4691">
            <v>5396</v>
          </cell>
          <cell r="J4691">
            <v>0.13757483588621444</v>
          </cell>
        </row>
        <row r="4692">
          <cell r="I4692">
            <v>5397</v>
          </cell>
          <cell r="J4692">
            <v>0.13757751641137855</v>
          </cell>
        </row>
        <row r="4693">
          <cell r="I4693">
            <v>5398</v>
          </cell>
          <cell r="J4693">
            <v>0.13758019693654266</v>
          </cell>
        </row>
        <row r="4694">
          <cell r="I4694">
            <v>5399</v>
          </cell>
          <cell r="J4694">
            <v>0.13758287746170678</v>
          </cell>
        </row>
        <row r="4695">
          <cell r="I4695">
            <v>5400</v>
          </cell>
          <cell r="J4695">
            <v>0.13758555798687092</v>
          </cell>
        </row>
        <row r="4696">
          <cell r="I4696">
            <v>5401</v>
          </cell>
          <cell r="J4696">
            <v>0.13758823851203503</v>
          </cell>
        </row>
        <row r="4697">
          <cell r="I4697">
            <v>5402</v>
          </cell>
          <cell r="J4697">
            <v>0.13759091903719914</v>
          </cell>
        </row>
        <row r="4698">
          <cell r="I4698">
            <v>5403</v>
          </cell>
          <cell r="J4698">
            <v>0.13759359956236325</v>
          </cell>
        </row>
        <row r="4699">
          <cell r="I4699">
            <v>5404</v>
          </cell>
          <cell r="J4699">
            <v>0.13759628008752736</v>
          </cell>
        </row>
        <row r="4700">
          <cell r="I4700">
            <v>5405</v>
          </cell>
          <cell r="J4700">
            <v>0.13759896061269147</v>
          </cell>
        </row>
        <row r="4701">
          <cell r="I4701">
            <v>5406</v>
          </cell>
          <cell r="J4701">
            <v>0.13760164113785558</v>
          </cell>
        </row>
        <row r="4702">
          <cell r="I4702">
            <v>5407</v>
          </cell>
          <cell r="J4702">
            <v>0.1376043216630197</v>
          </cell>
        </row>
        <row r="4703">
          <cell r="I4703">
            <v>5408</v>
          </cell>
          <cell r="J4703">
            <v>0.13760700218818381</v>
          </cell>
        </row>
        <row r="4704">
          <cell r="I4704">
            <v>5409</v>
          </cell>
          <cell r="J4704">
            <v>0.13760968271334792</v>
          </cell>
        </row>
        <row r="4705">
          <cell r="I4705">
            <v>5410</v>
          </cell>
          <cell r="J4705">
            <v>0.13761236323851203</v>
          </cell>
        </row>
        <row r="4706">
          <cell r="I4706">
            <v>5411</v>
          </cell>
          <cell r="J4706">
            <v>0.13761504376367614</v>
          </cell>
        </row>
        <row r="4707">
          <cell r="I4707">
            <v>5412</v>
          </cell>
          <cell r="J4707">
            <v>0.13761772428884028</v>
          </cell>
        </row>
        <row r="4708">
          <cell r="I4708">
            <v>5413</v>
          </cell>
          <cell r="J4708">
            <v>0.13762040481400439</v>
          </cell>
        </row>
        <row r="4709">
          <cell r="I4709">
            <v>5414</v>
          </cell>
          <cell r="J4709">
            <v>0.1376230853391685</v>
          </cell>
        </row>
        <row r="4710">
          <cell r="I4710">
            <v>5415</v>
          </cell>
          <cell r="J4710">
            <v>0.13762576586433262</v>
          </cell>
        </row>
        <row r="4711">
          <cell r="I4711">
            <v>5416</v>
          </cell>
          <cell r="J4711">
            <v>0.13762844638949673</v>
          </cell>
        </row>
        <row r="4712">
          <cell r="I4712">
            <v>5417</v>
          </cell>
          <cell r="J4712">
            <v>0.13763112691466084</v>
          </cell>
        </row>
        <row r="4713">
          <cell r="I4713">
            <v>5418</v>
          </cell>
          <cell r="J4713">
            <v>0.13763380743982495</v>
          </cell>
        </row>
        <row r="4714">
          <cell r="I4714">
            <v>5419</v>
          </cell>
          <cell r="J4714">
            <v>0.13763648796498906</v>
          </cell>
        </row>
        <row r="4715">
          <cell r="I4715">
            <v>5420</v>
          </cell>
          <cell r="J4715">
            <v>0.13763916849015317</v>
          </cell>
        </row>
        <row r="4716">
          <cell r="I4716">
            <v>5421</v>
          </cell>
          <cell r="J4716">
            <v>0.13764184901531729</v>
          </cell>
        </row>
        <row r="4717">
          <cell r="I4717">
            <v>5422</v>
          </cell>
          <cell r="J4717">
            <v>0.1376445295404814</v>
          </cell>
        </row>
        <row r="4718">
          <cell r="I4718">
            <v>5423</v>
          </cell>
          <cell r="J4718">
            <v>0.13764721006564551</v>
          </cell>
        </row>
        <row r="4719">
          <cell r="I4719">
            <v>5424</v>
          </cell>
          <cell r="J4719">
            <v>0.13764989059080962</v>
          </cell>
        </row>
        <row r="4720">
          <cell r="I4720">
            <v>5425</v>
          </cell>
          <cell r="J4720">
            <v>0.13765257111597376</v>
          </cell>
        </row>
        <row r="4721">
          <cell r="I4721">
            <v>5426</v>
          </cell>
          <cell r="J4721">
            <v>0.13765525164113787</v>
          </cell>
        </row>
        <row r="4722">
          <cell r="I4722">
            <v>5427</v>
          </cell>
          <cell r="J4722">
            <v>0.13765793216630198</v>
          </cell>
        </row>
        <row r="4723">
          <cell r="I4723">
            <v>5428</v>
          </cell>
          <cell r="J4723">
            <v>0.13766061269146609</v>
          </cell>
        </row>
        <row r="4724">
          <cell r="I4724">
            <v>5429</v>
          </cell>
          <cell r="J4724">
            <v>0.13766329321663021</v>
          </cell>
        </row>
        <row r="4725">
          <cell r="I4725">
            <v>5430</v>
          </cell>
          <cell r="J4725">
            <v>0.13766597374179432</v>
          </cell>
        </row>
        <row r="4726">
          <cell r="I4726">
            <v>5431</v>
          </cell>
          <cell r="J4726">
            <v>0.13766865426695843</v>
          </cell>
        </row>
        <row r="4727">
          <cell r="I4727">
            <v>5432</v>
          </cell>
          <cell r="J4727">
            <v>0.13767133479212254</v>
          </cell>
        </row>
        <row r="4728">
          <cell r="I4728">
            <v>5433</v>
          </cell>
          <cell r="J4728">
            <v>0.13767401531728665</v>
          </cell>
        </row>
        <row r="4729">
          <cell r="I4729">
            <v>5434</v>
          </cell>
          <cell r="J4729">
            <v>0.13767669584245076</v>
          </cell>
        </row>
        <row r="4730">
          <cell r="I4730">
            <v>5435</v>
          </cell>
          <cell r="J4730">
            <v>0.13767937636761488</v>
          </cell>
        </row>
        <row r="4731">
          <cell r="I4731">
            <v>5436</v>
          </cell>
          <cell r="J4731">
            <v>0.13768205689277899</v>
          </cell>
        </row>
        <row r="4732">
          <cell r="I4732">
            <v>5437</v>
          </cell>
          <cell r="J4732">
            <v>0.13768473741794313</v>
          </cell>
        </row>
        <row r="4733">
          <cell r="I4733">
            <v>5438</v>
          </cell>
          <cell r="J4733">
            <v>0.13768741794310724</v>
          </cell>
        </row>
        <row r="4734">
          <cell r="I4734">
            <v>5439</v>
          </cell>
          <cell r="J4734">
            <v>0.13769009846827135</v>
          </cell>
        </row>
        <row r="4735">
          <cell r="I4735">
            <v>5440</v>
          </cell>
          <cell r="J4735">
            <v>0.13769277899343546</v>
          </cell>
        </row>
        <row r="4736">
          <cell r="I4736">
            <v>5441</v>
          </cell>
          <cell r="J4736">
            <v>0.13769545951859957</v>
          </cell>
        </row>
        <row r="4737">
          <cell r="I4737">
            <v>5442</v>
          </cell>
          <cell r="J4737">
            <v>0.13769814004376368</v>
          </cell>
        </row>
        <row r="4738">
          <cell r="I4738">
            <v>5443</v>
          </cell>
          <cell r="J4738">
            <v>0.1377008205689278</v>
          </cell>
        </row>
        <row r="4739">
          <cell r="I4739">
            <v>5444</v>
          </cell>
          <cell r="J4739">
            <v>0.13770350109409191</v>
          </cell>
        </row>
        <row r="4740">
          <cell r="I4740">
            <v>5445</v>
          </cell>
          <cell r="J4740">
            <v>0.13770618161925602</v>
          </cell>
        </row>
        <row r="4741">
          <cell r="I4741">
            <v>5446</v>
          </cell>
          <cell r="J4741">
            <v>0.13770886214442013</v>
          </cell>
        </row>
        <row r="4742">
          <cell r="I4742">
            <v>5447</v>
          </cell>
          <cell r="J4742">
            <v>0.13771154266958424</v>
          </cell>
        </row>
        <row r="4743">
          <cell r="I4743">
            <v>5448</v>
          </cell>
          <cell r="J4743">
            <v>0.13771422319474835</v>
          </cell>
        </row>
        <row r="4744">
          <cell r="I4744">
            <v>5449</v>
          </cell>
          <cell r="J4744">
            <v>0.13771690371991246</v>
          </cell>
        </row>
        <row r="4745">
          <cell r="I4745">
            <v>5450</v>
          </cell>
          <cell r="J4745">
            <v>0.1377195842450766</v>
          </cell>
        </row>
        <row r="4746">
          <cell r="I4746">
            <v>5451</v>
          </cell>
          <cell r="J4746">
            <v>0.13772226477024072</v>
          </cell>
        </row>
        <row r="4747">
          <cell r="I4747">
            <v>5452</v>
          </cell>
          <cell r="J4747">
            <v>0.13772494529540483</v>
          </cell>
        </row>
        <row r="4748">
          <cell r="I4748">
            <v>5453</v>
          </cell>
          <cell r="J4748">
            <v>0.13772762582056894</v>
          </cell>
        </row>
        <row r="4749">
          <cell r="I4749">
            <v>5454</v>
          </cell>
          <cell r="J4749">
            <v>0.13773030634573305</v>
          </cell>
        </row>
        <row r="4750">
          <cell r="I4750">
            <v>5455</v>
          </cell>
          <cell r="J4750">
            <v>0.13773298687089716</v>
          </cell>
        </row>
        <row r="4751">
          <cell r="I4751">
            <v>5456</v>
          </cell>
          <cell r="J4751">
            <v>0.13773566739606127</v>
          </cell>
        </row>
        <row r="4752">
          <cell r="I4752">
            <v>5457</v>
          </cell>
          <cell r="J4752">
            <v>0.13773834792122538</v>
          </cell>
        </row>
        <row r="4753">
          <cell r="I4753">
            <v>5458</v>
          </cell>
          <cell r="J4753">
            <v>0.1377410284463895</v>
          </cell>
        </row>
        <row r="4754">
          <cell r="I4754">
            <v>5459</v>
          </cell>
          <cell r="J4754">
            <v>0.13774370897155361</v>
          </cell>
        </row>
        <row r="4755">
          <cell r="I4755">
            <v>5460</v>
          </cell>
          <cell r="J4755">
            <v>0.13774638949671772</v>
          </cell>
        </row>
        <row r="4756">
          <cell r="I4756">
            <v>5461</v>
          </cell>
          <cell r="J4756">
            <v>0.13774907002188183</v>
          </cell>
        </row>
        <row r="4757">
          <cell r="I4757">
            <v>5462</v>
          </cell>
          <cell r="J4757">
            <v>0.13775175054704597</v>
          </cell>
        </row>
        <row r="4758">
          <cell r="I4758">
            <v>5463</v>
          </cell>
          <cell r="J4758">
            <v>0.13775443107221008</v>
          </cell>
        </row>
        <row r="4759">
          <cell r="I4759">
            <v>5464</v>
          </cell>
          <cell r="J4759">
            <v>0.13775711159737419</v>
          </cell>
        </row>
        <row r="4760">
          <cell r="I4760">
            <v>5465</v>
          </cell>
          <cell r="J4760">
            <v>0.1377597921225383</v>
          </cell>
        </row>
        <row r="4761">
          <cell r="I4761">
            <v>5466</v>
          </cell>
          <cell r="J4761">
            <v>0.13776247264770242</v>
          </cell>
        </row>
        <row r="4762">
          <cell r="I4762">
            <v>5467</v>
          </cell>
          <cell r="J4762">
            <v>0.13776515317286653</v>
          </cell>
        </row>
        <row r="4763">
          <cell r="I4763">
            <v>5468</v>
          </cell>
          <cell r="J4763">
            <v>0.13776783369803064</v>
          </cell>
        </row>
        <row r="4764">
          <cell r="I4764">
            <v>5469</v>
          </cell>
          <cell r="J4764">
            <v>0.13777051422319475</v>
          </cell>
        </row>
        <row r="4765">
          <cell r="I4765">
            <v>5470</v>
          </cell>
          <cell r="J4765">
            <v>0.13777319474835886</v>
          </cell>
        </row>
        <row r="4766">
          <cell r="I4766">
            <v>5471</v>
          </cell>
          <cell r="J4766">
            <v>0.13777587527352297</v>
          </cell>
        </row>
        <row r="4767">
          <cell r="I4767">
            <v>5472</v>
          </cell>
          <cell r="J4767">
            <v>0.13777855579868709</v>
          </cell>
        </row>
        <row r="4768">
          <cell r="I4768">
            <v>5473</v>
          </cell>
          <cell r="J4768">
            <v>0.1377812363238512</v>
          </cell>
        </row>
        <row r="4769">
          <cell r="I4769">
            <v>5474</v>
          </cell>
          <cell r="J4769">
            <v>0.13778391684901531</v>
          </cell>
        </row>
        <row r="4770">
          <cell r="I4770">
            <v>5475</v>
          </cell>
          <cell r="J4770">
            <v>0.13778659737417945</v>
          </cell>
        </row>
        <row r="4771">
          <cell r="I4771">
            <v>5476</v>
          </cell>
          <cell r="J4771">
            <v>0.13778927789934356</v>
          </cell>
        </row>
        <row r="4772">
          <cell r="I4772">
            <v>5477</v>
          </cell>
          <cell r="J4772">
            <v>0.13779195842450767</v>
          </cell>
        </row>
        <row r="4773">
          <cell r="I4773">
            <v>5478</v>
          </cell>
          <cell r="J4773">
            <v>0.13779463894967178</v>
          </cell>
        </row>
        <row r="4774">
          <cell r="I4774">
            <v>5479</v>
          </cell>
          <cell r="J4774">
            <v>0.13779731947483589</v>
          </cell>
        </row>
        <row r="4775">
          <cell r="I4775">
            <v>5480</v>
          </cell>
          <cell r="J4775">
            <v>0.13780000000000001</v>
          </cell>
        </row>
        <row r="4776">
          <cell r="I4776">
            <v>5481</v>
          </cell>
          <cell r="J4776">
            <v>0.13780180821917809</v>
          </cell>
        </row>
        <row r="4777">
          <cell r="I4777">
            <v>5482</v>
          </cell>
          <cell r="J4777">
            <v>0.13780361643835617</v>
          </cell>
        </row>
        <row r="4778">
          <cell r="I4778">
            <v>5483</v>
          </cell>
          <cell r="J4778">
            <v>0.13780542465753426</v>
          </cell>
        </row>
        <row r="4779">
          <cell r="I4779">
            <v>5484</v>
          </cell>
          <cell r="J4779">
            <v>0.13780723287671234</v>
          </cell>
        </row>
        <row r="4780">
          <cell r="I4780">
            <v>5485</v>
          </cell>
          <cell r="J4780">
            <v>0.13780904109589043</v>
          </cell>
        </row>
        <row r="4781">
          <cell r="I4781">
            <v>5486</v>
          </cell>
          <cell r="J4781">
            <v>0.13781084931506851</v>
          </cell>
        </row>
        <row r="4782">
          <cell r="I4782">
            <v>5487</v>
          </cell>
          <cell r="J4782">
            <v>0.13781265753424657</v>
          </cell>
        </row>
        <row r="4783">
          <cell r="I4783">
            <v>5488</v>
          </cell>
          <cell r="J4783">
            <v>0.13781446575342465</v>
          </cell>
        </row>
        <row r="4784">
          <cell r="I4784">
            <v>5489</v>
          </cell>
          <cell r="J4784">
            <v>0.13781627397260274</v>
          </cell>
        </row>
        <row r="4785">
          <cell r="I4785">
            <v>5490</v>
          </cell>
          <cell r="J4785">
            <v>0.13781808219178082</v>
          </cell>
        </row>
        <row r="4786">
          <cell r="I4786">
            <v>5491</v>
          </cell>
          <cell r="J4786">
            <v>0.13781989041095891</v>
          </cell>
        </row>
        <row r="4787">
          <cell r="I4787">
            <v>5492</v>
          </cell>
          <cell r="J4787">
            <v>0.13782169863013699</v>
          </cell>
        </row>
        <row r="4788">
          <cell r="I4788">
            <v>5493</v>
          </cell>
          <cell r="J4788">
            <v>0.13782350684931508</v>
          </cell>
        </row>
        <row r="4789">
          <cell r="I4789">
            <v>5494</v>
          </cell>
          <cell r="J4789">
            <v>0.13782531506849316</v>
          </cell>
        </row>
        <row r="4790">
          <cell r="I4790">
            <v>5495</v>
          </cell>
          <cell r="J4790">
            <v>0.13782712328767124</v>
          </cell>
        </row>
        <row r="4791">
          <cell r="I4791">
            <v>5496</v>
          </cell>
          <cell r="J4791">
            <v>0.13782893150684933</v>
          </cell>
        </row>
        <row r="4792">
          <cell r="I4792">
            <v>5497</v>
          </cell>
          <cell r="J4792">
            <v>0.13783073972602741</v>
          </cell>
        </row>
        <row r="4793">
          <cell r="I4793">
            <v>5498</v>
          </cell>
          <cell r="J4793">
            <v>0.1378325479452055</v>
          </cell>
        </row>
        <row r="4794">
          <cell r="I4794">
            <v>5499</v>
          </cell>
          <cell r="J4794">
            <v>0.13783435616438358</v>
          </cell>
        </row>
        <row r="4795">
          <cell r="I4795">
            <v>5500</v>
          </cell>
          <cell r="J4795">
            <v>0.13783616438356164</v>
          </cell>
        </row>
        <row r="4796">
          <cell r="I4796">
            <v>5501</v>
          </cell>
          <cell r="J4796">
            <v>0.13783797260273972</v>
          </cell>
        </row>
        <row r="4797">
          <cell r="I4797">
            <v>5502</v>
          </cell>
          <cell r="J4797">
            <v>0.13783978082191781</v>
          </cell>
        </row>
        <row r="4798">
          <cell r="I4798">
            <v>5503</v>
          </cell>
          <cell r="J4798">
            <v>0.13784158904109589</v>
          </cell>
        </row>
        <row r="4799">
          <cell r="I4799">
            <v>5504</v>
          </cell>
          <cell r="J4799">
            <v>0.13784339726027398</v>
          </cell>
        </row>
        <row r="4800">
          <cell r="I4800">
            <v>5505</v>
          </cell>
          <cell r="J4800">
            <v>0.13784520547945206</v>
          </cell>
        </row>
        <row r="4801">
          <cell r="I4801">
            <v>5506</v>
          </cell>
          <cell r="J4801">
            <v>0.13784701369863014</v>
          </cell>
        </row>
        <row r="4802">
          <cell r="I4802">
            <v>5507</v>
          </cell>
          <cell r="J4802">
            <v>0.13784882191780823</v>
          </cell>
        </row>
        <row r="4803">
          <cell r="I4803">
            <v>5508</v>
          </cell>
          <cell r="J4803">
            <v>0.13785063013698631</v>
          </cell>
        </row>
        <row r="4804">
          <cell r="I4804">
            <v>5509</v>
          </cell>
          <cell r="J4804">
            <v>0.1378524383561644</v>
          </cell>
        </row>
        <row r="4805">
          <cell r="I4805">
            <v>5510</v>
          </cell>
          <cell r="J4805">
            <v>0.13785424657534248</v>
          </cell>
        </row>
        <row r="4806">
          <cell r="I4806">
            <v>5511</v>
          </cell>
          <cell r="J4806">
            <v>0.13785605479452057</v>
          </cell>
        </row>
        <row r="4807">
          <cell r="I4807">
            <v>5512</v>
          </cell>
          <cell r="J4807">
            <v>0.13785786301369862</v>
          </cell>
        </row>
        <row r="4808">
          <cell r="I4808">
            <v>5513</v>
          </cell>
          <cell r="J4808">
            <v>0.13785967123287671</v>
          </cell>
        </row>
        <row r="4809">
          <cell r="I4809">
            <v>5514</v>
          </cell>
          <cell r="J4809">
            <v>0.13786147945205479</v>
          </cell>
        </row>
        <row r="4810">
          <cell r="I4810">
            <v>5515</v>
          </cell>
          <cell r="J4810">
            <v>0.13786328767123288</v>
          </cell>
        </row>
        <row r="4811">
          <cell r="I4811">
            <v>5516</v>
          </cell>
          <cell r="J4811">
            <v>0.13786509589041096</v>
          </cell>
        </row>
        <row r="4812">
          <cell r="I4812">
            <v>5517</v>
          </cell>
          <cell r="J4812">
            <v>0.13786690410958904</v>
          </cell>
        </row>
        <row r="4813">
          <cell r="I4813">
            <v>5518</v>
          </cell>
          <cell r="J4813">
            <v>0.13786871232876713</v>
          </cell>
        </row>
        <row r="4814">
          <cell r="I4814">
            <v>5519</v>
          </cell>
          <cell r="J4814">
            <v>0.13787052054794521</v>
          </cell>
        </row>
        <row r="4815">
          <cell r="I4815">
            <v>5520</v>
          </cell>
          <cell r="J4815">
            <v>0.1378723287671233</v>
          </cell>
        </row>
        <row r="4816">
          <cell r="I4816">
            <v>5521</v>
          </cell>
          <cell r="J4816">
            <v>0.13787413698630138</v>
          </cell>
        </row>
        <row r="4817">
          <cell r="I4817">
            <v>5522</v>
          </cell>
          <cell r="J4817">
            <v>0.13787594520547947</v>
          </cell>
        </row>
        <row r="4818">
          <cell r="I4818">
            <v>5523</v>
          </cell>
          <cell r="J4818">
            <v>0.13787775342465755</v>
          </cell>
        </row>
        <row r="4819">
          <cell r="I4819">
            <v>5524</v>
          </cell>
          <cell r="J4819">
            <v>0.13787956164383564</v>
          </cell>
        </row>
        <row r="4820">
          <cell r="I4820">
            <v>5525</v>
          </cell>
          <cell r="J4820">
            <v>0.13788136986301369</v>
          </cell>
        </row>
        <row r="4821">
          <cell r="I4821">
            <v>5526</v>
          </cell>
          <cell r="J4821">
            <v>0.13788317808219178</v>
          </cell>
        </row>
        <row r="4822">
          <cell r="I4822">
            <v>5527</v>
          </cell>
          <cell r="J4822">
            <v>0.13788498630136986</v>
          </cell>
        </row>
        <row r="4823">
          <cell r="I4823">
            <v>5528</v>
          </cell>
          <cell r="J4823">
            <v>0.13788679452054795</v>
          </cell>
        </row>
        <row r="4824">
          <cell r="I4824">
            <v>5529</v>
          </cell>
          <cell r="J4824">
            <v>0.13788860273972603</v>
          </cell>
        </row>
        <row r="4825">
          <cell r="I4825">
            <v>5530</v>
          </cell>
          <cell r="J4825">
            <v>0.13789041095890411</v>
          </cell>
        </row>
        <row r="4826">
          <cell r="I4826">
            <v>5531</v>
          </cell>
          <cell r="J4826">
            <v>0.1378922191780822</v>
          </cell>
        </row>
        <row r="4827">
          <cell r="I4827">
            <v>5532</v>
          </cell>
          <cell r="J4827">
            <v>0.13789402739726028</v>
          </cell>
        </row>
        <row r="4828">
          <cell r="I4828">
            <v>5533</v>
          </cell>
          <cell r="J4828">
            <v>0.13789583561643837</v>
          </cell>
        </row>
        <row r="4829">
          <cell r="I4829">
            <v>5534</v>
          </cell>
          <cell r="J4829">
            <v>0.13789764383561645</v>
          </cell>
        </row>
        <row r="4830">
          <cell r="I4830">
            <v>5535</v>
          </cell>
          <cell r="J4830">
            <v>0.13789945205479454</v>
          </cell>
        </row>
        <row r="4831">
          <cell r="I4831">
            <v>5536</v>
          </cell>
          <cell r="J4831">
            <v>0.13790126027397262</v>
          </cell>
        </row>
        <row r="4832">
          <cell r="I4832">
            <v>5537</v>
          </cell>
          <cell r="J4832">
            <v>0.1379030684931507</v>
          </cell>
        </row>
        <row r="4833">
          <cell r="I4833">
            <v>5538</v>
          </cell>
          <cell r="J4833">
            <v>0.13790487671232876</v>
          </cell>
        </row>
        <row r="4834">
          <cell r="I4834">
            <v>5539</v>
          </cell>
          <cell r="J4834">
            <v>0.13790668493150685</v>
          </cell>
        </row>
        <row r="4835">
          <cell r="I4835">
            <v>5540</v>
          </cell>
          <cell r="J4835">
            <v>0.13790849315068493</v>
          </cell>
        </row>
        <row r="4836">
          <cell r="I4836">
            <v>5541</v>
          </cell>
          <cell r="J4836">
            <v>0.13791030136986301</v>
          </cell>
        </row>
        <row r="4837">
          <cell r="I4837">
            <v>5542</v>
          </cell>
          <cell r="J4837">
            <v>0.1379121095890411</v>
          </cell>
        </row>
        <row r="4838">
          <cell r="I4838">
            <v>5543</v>
          </cell>
          <cell r="J4838">
            <v>0.13791391780821918</v>
          </cell>
        </row>
        <row r="4839">
          <cell r="I4839">
            <v>5544</v>
          </cell>
          <cell r="J4839">
            <v>0.13791572602739727</v>
          </cell>
        </row>
        <row r="4840">
          <cell r="I4840">
            <v>5545</v>
          </cell>
          <cell r="J4840">
            <v>0.13791753424657535</v>
          </cell>
        </row>
        <row r="4841">
          <cell r="I4841">
            <v>5546</v>
          </cell>
          <cell r="J4841">
            <v>0.13791934246575344</v>
          </cell>
        </row>
        <row r="4842">
          <cell r="I4842">
            <v>5547</v>
          </cell>
          <cell r="J4842">
            <v>0.13792115068493152</v>
          </cell>
        </row>
        <row r="4843">
          <cell r="I4843">
            <v>5548</v>
          </cell>
          <cell r="J4843">
            <v>0.1379229589041096</v>
          </cell>
        </row>
        <row r="4844">
          <cell r="I4844">
            <v>5549</v>
          </cell>
          <cell r="J4844">
            <v>0.13792476712328769</v>
          </cell>
        </row>
        <row r="4845">
          <cell r="I4845">
            <v>5550</v>
          </cell>
          <cell r="J4845">
            <v>0.13792657534246575</v>
          </cell>
        </row>
        <row r="4846">
          <cell r="I4846">
            <v>5551</v>
          </cell>
          <cell r="J4846">
            <v>0.13792838356164383</v>
          </cell>
        </row>
        <row r="4847">
          <cell r="I4847">
            <v>5552</v>
          </cell>
          <cell r="J4847">
            <v>0.13793019178082191</v>
          </cell>
        </row>
        <row r="4848">
          <cell r="I4848">
            <v>5553</v>
          </cell>
          <cell r="J4848">
            <v>0.137932</v>
          </cell>
        </row>
        <row r="4849">
          <cell r="I4849">
            <v>5554</v>
          </cell>
          <cell r="J4849">
            <v>0.13793380821917808</v>
          </cell>
        </row>
        <row r="4850">
          <cell r="I4850">
            <v>5555</v>
          </cell>
          <cell r="J4850">
            <v>0.13793561643835617</v>
          </cell>
        </row>
        <row r="4851">
          <cell r="I4851">
            <v>5556</v>
          </cell>
          <cell r="J4851">
            <v>0.13793742465753425</v>
          </cell>
        </row>
        <row r="4852">
          <cell r="I4852">
            <v>5557</v>
          </cell>
          <cell r="J4852">
            <v>0.13793923287671234</v>
          </cell>
        </row>
        <row r="4853">
          <cell r="I4853">
            <v>5558</v>
          </cell>
          <cell r="J4853">
            <v>0.13794104109589042</v>
          </cell>
        </row>
        <row r="4854">
          <cell r="I4854">
            <v>5559</v>
          </cell>
          <cell r="J4854">
            <v>0.13794284931506851</v>
          </cell>
        </row>
        <row r="4855">
          <cell r="I4855">
            <v>5560</v>
          </cell>
          <cell r="J4855">
            <v>0.13794465753424659</v>
          </cell>
        </row>
        <row r="4856">
          <cell r="I4856">
            <v>5561</v>
          </cell>
          <cell r="J4856">
            <v>0.13794646575342467</v>
          </cell>
        </row>
        <row r="4857">
          <cell r="I4857">
            <v>5562</v>
          </cell>
          <cell r="J4857">
            <v>0.13794827397260276</v>
          </cell>
        </row>
        <row r="4858">
          <cell r="I4858">
            <v>5563</v>
          </cell>
          <cell r="J4858">
            <v>0.13795008219178082</v>
          </cell>
        </row>
        <row r="4859">
          <cell r="I4859">
            <v>5564</v>
          </cell>
          <cell r="J4859">
            <v>0.1379518904109589</v>
          </cell>
        </row>
        <row r="4860">
          <cell r="I4860">
            <v>5565</v>
          </cell>
          <cell r="J4860">
            <v>0.13795369863013698</v>
          </cell>
        </row>
        <row r="4861">
          <cell r="I4861">
            <v>5566</v>
          </cell>
          <cell r="J4861">
            <v>0.13795550684931507</v>
          </cell>
        </row>
        <row r="4862">
          <cell r="I4862">
            <v>5567</v>
          </cell>
          <cell r="J4862">
            <v>0.13795731506849315</v>
          </cell>
        </row>
        <row r="4863">
          <cell r="I4863">
            <v>5568</v>
          </cell>
          <cell r="J4863">
            <v>0.13795912328767124</v>
          </cell>
        </row>
        <row r="4864">
          <cell r="I4864">
            <v>5569</v>
          </cell>
          <cell r="J4864">
            <v>0.13796093150684932</v>
          </cell>
        </row>
        <row r="4865">
          <cell r="I4865">
            <v>5570</v>
          </cell>
          <cell r="J4865">
            <v>0.13796273972602741</v>
          </cell>
        </row>
        <row r="4866">
          <cell r="I4866">
            <v>5571</v>
          </cell>
          <cell r="J4866">
            <v>0.13796454794520549</v>
          </cell>
        </row>
        <row r="4867">
          <cell r="I4867">
            <v>5572</v>
          </cell>
          <cell r="J4867">
            <v>0.13796635616438357</v>
          </cell>
        </row>
        <row r="4868">
          <cell r="I4868">
            <v>5573</v>
          </cell>
          <cell r="J4868">
            <v>0.13796816438356166</v>
          </cell>
        </row>
        <row r="4869">
          <cell r="I4869">
            <v>5574</v>
          </cell>
          <cell r="J4869">
            <v>0.13796997260273974</v>
          </cell>
        </row>
        <row r="4870">
          <cell r="I4870">
            <v>5575</v>
          </cell>
          <cell r="J4870">
            <v>0.13797178082191783</v>
          </cell>
        </row>
        <row r="4871">
          <cell r="I4871">
            <v>5576</v>
          </cell>
          <cell r="J4871">
            <v>0.13797358904109588</v>
          </cell>
        </row>
        <row r="4872">
          <cell r="I4872">
            <v>5577</v>
          </cell>
          <cell r="J4872">
            <v>0.13797539726027397</v>
          </cell>
        </row>
        <row r="4873">
          <cell r="I4873">
            <v>5578</v>
          </cell>
          <cell r="J4873">
            <v>0.13797720547945205</v>
          </cell>
        </row>
        <row r="4874">
          <cell r="I4874">
            <v>5579</v>
          </cell>
          <cell r="J4874">
            <v>0.13797901369863014</v>
          </cell>
        </row>
        <row r="4875">
          <cell r="I4875">
            <v>5580</v>
          </cell>
          <cell r="J4875">
            <v>0.13798082191780822</v>
          </cell>
        </row>
        <row r="4876">
          <cell r="I4876">
            <v>5581</v>
          </cell>
          <cell r="J4876">
            <v>0.13798263013698631</v>
          </cell>
        </row>
        <row r="4877">
          <cell r="I4877">
            <v>5582</v>
          </cell>
          <cell r="J4877">
            <v>0.13798443835616439</v>
          </cell>
        </row>
        <row r="4878">
          <cell r="I4878">
            <v>5583</v>
          </cell>
          <cell r="J4878">
            <v>0.13798624657534247</v>
          </cell>
        </row>
        <row r="4879">
          <cell r="I4879">
            <v>5584</v>
          </cell>
          <cell r="J4879">
            <v>0.13798805479452056</v>
          </cell>
        </row>
        <row r="4880">
          <cell r="I4880">
            <v>5585</v>
          </cell>
          <cell r="J4880">
            <v>0.13798986301369864</v>
          </cell>
        </row>
        <row r="4881">
          <cell r="I4881">
            <v>5586</v>
          </cell>
          <cell r="J4881">
            <v>0.13799167123287673</v>
          </cell>
        </row>
        <row r="4882">
          <cell r="I4882">
            <v>5587</v>
          </cell>
          <cell r="J4882">
            <v>0.13799347945205481</v>
          </cell>
        </row>
        <row r="4883">
          <cell r="I4883">
            <v>5588</v>
          </cell>
          <cell r="J4883">
            <v>0.13799528767123287</v>
          </cell>
        </row>
        <row r="4884">
          <cell r="I4884">
            <v>5589</v>
          </cell>
          <cell r="J4884">
            <v>0.13799709589041095</v>
          </cell>
        </row>
        <row r="4885">
          <cell r="I4885">
            <v>5590</v>
          </cell>
          <cell r="J4885">
            <v>0.13799890410958904</v>
          </cell>
        </row>
        <row r="4886">
          <cell r="I4886">
            <v>5591</v>
          </cell>
          <cell r="J4886">
            <v>0.13800071232876712</v>
          </cell>
        </row>
        <row r="4887">
          <cell r="I4887">
            <v>5592</v>
          </cell>
          <cell r="J4887">
            <v>0.13800252054794521</v>
          </cell>
        </row>
        <row r="4888">
          <cell r="I4888">
            <v>5593</v>
          </cell>
          <cell r="J4888">
            <v>0.13800432876712329</v>
          </cell>
        </row>
        <row r="4889">
          <cell r="I4889">
            <v>5594</v>
          </cell>
          <cell r="J4889">
            <v>0.13800613698630138</v>
          </cell>
        </row>
        <row r="4890">
          <cell r="I4890">
            <v>5595</v>
          </cell>
          <cell r="J4890">
            <v>0.13800794520547946</v>
          </cell>
        </row>
        <row r="4891">
          <cell r="I4891">
            <v>5596</v>
          </cell>
          <cell r="J4891">
            <v>0.13800975342465754</v>
          </cell>
        </row>
        <row r="4892">
          <cell r="I4892">
            <v>5597</v>
          </cell>
          <cell r="J4892">
            <v>0.13801156164383563</v>
          </cell>
        </row>
        <row r="4893">
          <cell r="I4893">
            <v>5598</v>
          </cell>
          <cell r="J4893">
            <v>0.13801336986301371</v>
          </cell>
        </row>
        <row r="4894">
          <cell r="I4894">
            <v>5599</v>
          </cell>
          <cell r="J4894">
            <v>0.1380151780821918</v>
          </cell>
        </row>
        <row r="4895">
          <cell r="I4895">
            <v>5600</v>
          </cell>
          <cell r="J4895">
            <v>0.13801698630136988</v>
          </cell>
        </row>
        <row r="4896">
          <cell r="I4896">
            <v>5601</v>
          </cell>
          <cell r="J4896">
            <v>0.13801879452054794</v>
          </cell>
        </row>
        <row r="4897">
          <cell r="I4897">
            <v>5602</v>
          </cell>
          <cell r="J4897">
            <v>0.13802060273972602</v>
          </cell>
        </row>
        <row r="4898">
          <cell r="I4898">
            <v>5603</v>
          </cell>
          <cell r="J4898">
            <v>0.13802241095890411</v>
          </cell>
        </row>
        <row r="4899">
          <cell r="I4899">
            <v>5604</v>
          </cell>
          <cell r="J4899">
            <v>0.13802421917808219</v>
          </cell>
        </row>
        <row r="4900">
          <cell r="I4900">
            <v>5605</v>
          </cell>
          <cell r="J4900">
            <v>0.13802602739726028</v>
          </cell>
        </row>
        <row r="4901">
          <cell r="I4901">
            <v>5606</v>
          </cell>
          <cell r="J4901">
            <v>0.13802783561643836</v>
          </cell>
        </row>
        <row r="4902">
          <cell r="I4902">
            <v>5607</v>
          </cell>
          <cell r="J4902">
            <v>0.13802964383561644</v>
          </cell>
        </row>
        <row r="4903">
          <cell r="I4903">
            <v>5608</v>
          </cell>
          <cell r="J4903">
            <v>0.13803145205479453</v>
          </cell>
        </row>
        <row r="4904">
          <cell r="I4904">
            <v>5609</v>
          </cell>
          <cell r="J4904">
            <v>0.13803326027397261</v>
          </cell>
        </row>
        <row r="4905">
          <cell r="I4905">
            <v>5610</v>
          </cell>
          <cell r="J4905">
            <v>0.1380350684931507</v>
          </cell>
        </row>
        <row r="4906">
          <cell r="I4906">
            <v>5611</v>
          </cell>
          <cell r="J4906">
            <v>0.13803687671232878</v>
          </cell>
        </row>
        <row r="4907">
          <cell r="I4907">
            <v>5612</v>
          </cell>
          <cell r="J4907">
            <v>0.13803868493150687</v>
          </cell>
        </row>
        <row r="4908">
          <cell r="I4908">
            <v>5613</v>
          </cell>
          <cell r="J4908">
            <v>0.13804049315068495</v>
          </cell>
        </row>
        <row r="4909">
          <cell r="I4909">
            <v>5614</v>
          </cell>
          <cell r="J4909">
            <v>0.13804230136986301</v>
          </cell>
        </row>
        <row r="4910">
          <cell r="I4910">
            <v>5615</v>
          </cell>
          <cell r="J4910">
            <v>0.13804410958904109</v>
          </cell>
        </row>
        <row r="4911">
          <cell r="I4911">
            <v>5616</v>
          </cell>
          <cell r="J4911">
            <v>0.13804591780821918</v>
          </cell>
        </row>
        <row r="4912">
          <cell r="I4912">
            <v>5617</v>
          </cell>
          <cell r="J4912">
            <v>0.13804772602739726</v>
          </cell>
        </row>
        <row r="4913">
          <cell r="I4913">
            <v>5618</v>
          </cell>
          <cell r="J4913">
            <v>0.13804953424657534</v>
          </cell>
        </row>
        <row r="4914">
          <cell r="I4914">
            <v>5619</v>
          </cell>
          <cell r="J4914">
            <v>0.13805134246575343</v>
          </cell>
        </row>
        <row r="4915">
          <cell r="I4915">
            <v>5620</v>
          </cell>
          <cell r="J4915">
            <v>0.13805315068493151</v>
          </cell>
        </row>
        <row r="4916">
          <cell r="I4916">
            <v>5621</v>
          </cell>
          <cell r="J4916">
            <v>0.1380549589041096</v>
          </cell>
        </row>
        <row r="4917">
          <cell r="I4917">
            <v>5622</v>
          </cell>
          <cell r="J4917">
            <v>0.13805676712328768</v>
          </cell>
        </row>
        <row r="4918">
          <cell r="I4918">
            <v>5623</v>
          </cell>
          <cell r="J4918">
            <v>0.13805857534246577</v>
          </cell>
        </row>
        <row r="4919">
          <cell r="I4919">
            <v>5624</v>
          </cell>
          <cell r="J4919">
            <v>0.13806038356164385</v>
          </cell>
        </row>
        <row r="4920">
          <cell r="I4920">
            <v>5625</v>
          </cell>
          <cell r="J4920">
            <v>0.13806219178082194</v>
          </cell>
        </row>
        <row r="4921">
          <cell r="I4921">
            <v>5626</v>
          </cell>
          <cell r="J4921">
            <v>0.13806399999999999</v>
          </cell>
        </row>
        <row r="4922">
          <cell r="I4922">
            <v>5627</v>
          </cell>
          <cell r="J4922">
            <v>0.13806580821917808</v>
          </cell>
        </row>
        <row r="4923">
          <cell r="I4923">
            <v>5628</v>
          </cell>
          <cell r="J4923">
            <v>0.13806761643835616</v>
          </cell>
        </row>
        <row r="4924">
          <cell r="I4924">
            <v>5629</v>
          </cell>
          <cell r="J4924">
            <v>0.13806942465753425</v>
          </cell>
        </row>
        <row r="4925">
          <cell r="I4925">
            <v>5630</v>
          </cell>
          <cell r="J4925">
            <v>0.13807123287671233</v>
          </cell>
        </row>
        <row r="4926">
          <cell r="I4926">
            <v>5631</v>
          </cell>
          <cell r="J4926">
            <v>0.13807304109589041</v>
          </cell>
        </row>
        <row r="4927">
          <cell r="I4927">
            <v>5632</v>
          </cell>
          <cell r="J4927">
            <v>0.1380748493150685</v>
          </cell>
        </row>
        <row r="4928">
          <cell r="I4928">
            <v>5633</v>
          </cell>
          <cell r="J4928">
            <v>0.13807665753424658</v>
          </cell>
        </row>
        <row r="4929">
          <cell r="I4929">
            <v>5634</v>
          </cell>
          <cell r="J4929">
            <v>0.13807846575342467</v>
          </cell>
        </row>
        <row r="4930">
          <cell r="I4930">
            <v>5635</v>
          </cell>
          <cell r="J4930">
            <v>0.13808027397260275</v>
          </cell>
        </row>
        <row r="4931">
          <cell r="I4931">
            <v>5636</v>
          </cell>
          <cell r="J4931">
            <v>0.13808208219178084</v>
          </cell>
        </row>
        <row r="4932">
          <cell r="I4932">
            <v>5637</v>
          </cell>
          <cell r="J4932">
            <v>0.13808389041095892</v>
          </cell>
        </row>
        <row r="4933">
          <cell r="I4933">
            <v>5638</v>
          </cell>
          <cell r="J4933">
            <v>0.138085698630137</v>
          </cell>
        </row>
        <row r="4934">
          <cell r="I4934">
            <v>5639</v>
          </cell>
          <cell r="J4934">
            <v>0.13808750684931506</v>
          </cell>
        </row>
        <row r="4935">
          <cell r="I4935">
            <v>5640</v>
          </cell>
          <cell r="J4935">
            <v>0.13808931506849315</v>
          </cell>
        </row>
        <row r="4936">
          <cell r="I4936">
            <v>5641</v>
          </cell>
          <cell r="J4936">
            <v>0.13809112328767123</v>
          </cell>
        </row>
        <row r="4937">
          <cell r="I4937">
            <v>5642</v>
          </cell>
          <cell r="J4937">
            <v>0.13809293150684931</v>
          </cell>
        </row>
        <row r="4938">
          <cell r="I4938">
            <v>5643</v>
          </cell>
          <cell r="J4938">
            <v>0.1380947397260274</v>
          </cell>
        </row>
        <row r="4939">
          <cell r="I4939">
            <v>5644</v>
          </cell>
          <cell r="J4939">
            <v>0.13809654794520548</v>
          </cell>
        </row>
        <row r="4940">
          <cell r="I4940">
            <v>5645</v>
          </cell>
          <cell r="J4940">
            <v>0.13809835616438357</v>
          </cell>
        </row>
        <row r="4941">
          <cell r="I4941">
            <v>5646</v>
          </cell>
          <cell r="J4941">
            <v>0.13810016438356165</v>
          </cell>
        </row>
        <row r="4942">
          <cell r="I4942">
            <v>5647</v>
          </cell>
          <cell r="J4942">
            <v>0.13810197260273974</v>
          </cell>
        </row>
        <row r="4943">
          <cell r="I4943">
            <v>5648</v>
          </cell>
          <cell r="J4943">
            <v>0.13810378082191782</v>
          </cell>
        </row>
        <row r="4944">
          <cell r="I4944">
            <v>5649</v>
          </cell>
          <cell r="J4944">
            <v>0.13810558904109591</v>
          </cell>
        </row>
        <row r="4945">
          <cell r="I4945">
            <v>5650</v>
          </cell>
          <cell r="J4945">
            <v>0.13810739726027399</v>
          </cell>
        </row>
        <row r="4946">
          <cell r="I4946">
            <v>5651</v>
          </cell>
          <cell r="J4946">
            <v>0.13810920547945207</v>
          </cell>
        </row>
        <row r="4947">
          <cell r="I4947">
            <v>5652</v>
          </cell>
          <cell r="J4947">
            <v>0.13811101369863013</v>
          </cell>
        </row>
        <row r="4948">
          <cell r="I4948">
            <v>5653</v>
          </cell>
          <cell r="J4948">
            <v>0.13811282191780822</v>
          </cell>
        </row>
        <row r="4949">
          <cell r="I4949">
            <v>5654</v>
          </cell>
          <cell r="J4949">
            <v>0.1381146301369863</v>
          </cell>
        </row>
        <row r="4950">
          <cell r="I4950">
            <v>5655</v>
          </cell>
          <cell r="J4950">
            <v>0.13811643835616438</v>
          </cell>
        </row>
        <row r="4951">
          <cell r="I4951">
            <v>5656</v>
          </cell>
          <cell r="J4951">
            <v>0.13811824657534247</v>
          </cell>
        </row>
        <row r="4952">
          <cell r="I4952">
            <v>5657</v>
          </cell>
          <cell r="J4952">
            <v>0.13812005479452055</v>
          </cell>
        </row>
        <row r="4953">
          <cell r="I4953">
            <v>5658</v>
          </cell>
          <cell r="J4953">
            <v>0.13812186301369864</v>
          </cell>
        </row>
        <row r="4954">
          <cell r="I4954">
            <v>5659</v>
          </cell>
          <cell r="J4954">
            <v>0.13812367123287672</v>
          </cell>
        </row>
        <row r="4955">
          <cell r="I4955">
            <v>5660</v>
          </cell>
          <cell r="J4955">
            <v>0.13812547945205481</v>
          </cell>
        </row>
        <row r="4956">
          <cell r="I4956">
            <v>5661</v>
          </cell>
          <cell r="J4956">
            <v>0.13812728767123289</v>
          </cell>
        </row>
        <row r="4957">
          <cell r="I4957">
            <v>5662</v>
          </cell>
          <cell r="J4957">
            <v>0.13812909589041097</v>
          </cell>
        </row>
        <row r="4958">
          <cell r="I4958">
            <v>5663</v>
          </cell>
          <cell r="J4958">
            <v>0.13813090410958906</v>
          </cell>
        </row>
        <row r="4959">
          <cell r="I4959">
            <v>5664</v>
          </cell>
          <cell r="J4959">
            <v>0.13813271232876712</v>
          </cell>
        </row>
        <row r="4960">
          <cell r="I4960">
            <v>5665</v>
          </cell>
          <cell r="J4960">
            <v>0.1381345205479452</v>
          </cell>
        </row>
        <row r="4961">
          <cell r="I4961">
            <v>5666</v>
          </cell>
          <cell r="J4961">
            <v>0.13813632876712328</v>
          </cell>
        </row>
        <row r="4962">
          <cell r="I4962">
            <v>5667</v>
          </cell>
          <cell r="J4962">
            <v>0.13813813698630137</v>
          </cell>
        </row>
        <row r="4963">
          <cell r="I4963">
            <v>5668</v>
          </cell>
          <cell r="J4963">
            <v>0.13813994520547945</v>
          </cell>
        </row>
        <row r="4964">
          <cell r="I4964">
            <v>5669</v>
          </cell>
          <cell r="J4964">
            <v>0.13814175342465754</v>
          </cell>
        </row>
        <row r="4965">
          <cell r="I4965">
            <v>5670</v>
          </cell>
          <cell r="J4965">
            <v>0.13814356164383562</v>
          </cell>
        </row>
        <row r="4966">
          <cell r="I4966">
            <v>5671</v>
          </cell>
          <cell r="J4966">
            <v>0.13814536986301371</v>
          </cell>
        </row>
        <row r="4967">
          <cell r="I4967">
            <v>5672</v>
          </cell>
          <cell r="J4967">
            <v>0.13814717808219179</v>
          </cell>
        </row>
        <row r="4968">
          <cell r="I4968">
            <v>5673</v>
          </cell>
          <cell r="J4968">
            <v>0.13814898630136987</v>
          </cell>
        </row>
        <row r="4969">
          <cell r="I4969">
            <v>5674</v>
          </cell>
          <cell r="J4969">
            <v>0.13815079452054796</v>
          </cell>
        </row>
        <row r="4970">
          <cell r="I4970">
            <v>5675</v>
          </cell>
          <cell r="J4970">
            <v>0.13815260273972604</v>
          </cell>
        </row>
        <row r="4971">
          <cell r="I4971">
            <v>5676</v>
          </cell>
          <cell r="J4971">
            <v>0.13815441095890413</v>
          </cell>
        </row>
        <row r="4972">
          <cell r="I4972">
            <v>5677</v>
          </cell>
          <cell r="J4972">
            <v>0.13815621917808218</v>
          </cell>
        </row>
        <row r="4973">
          <cell r="I4973">
            <v>5678</v>
          </cell>
          <cell r="J4973">
            <v>0.13815802739726027</v>
          </cell>
        </row>
        <row r="4974">
          <cell r="I4974">
            <v>5679</v>
          </cell>
          <cell r="J4974">
            <v>0.13815983561643835</v>
          </cell>
        </row>
        <row r="4975">
          <cell r="I4975">
            <v>5680</v>
          </cell>
          <cell r="J4975">
            <v>0.13816164383561644</v>
          </cell>
        </row>
        <row r="4976">
          <cell r="I4976">
            <v>5681</v>
          </cell>
          <cell r="J4976">
            <v>0.13816345205479452</v>
          </cell>
        </row>
        <row r="4977">
          <cell r="I4977">
            <v>5682</v>
          </cell>
          <cell r="J4977">
            <v>0.13816526027397261</v>
          </cell>
        </row>
        <row r="4978">
          <cell r="I4978">
            <v>5683</v>
          </cell>
          <cell r="J4978">
            <v>0.13816706849315069</v>
          </cell>
        </row>
        <row r="4979">
          <cell r="I4979">
            <v>5684</v>
          </cell>
          <cell r="J4979">
            <v>0.13816887671232878</v>
          </cell>
        </row>
        <row r="4980">
          <cell r="I4980">
            <v>5685</v>
          </cell>
          <cell r="J4980">
            <v>0.13817068493150686</v>
          </cell>
        </row>
        <row r="4981">
          <cell r="I4981">
            <v>5686</v>
          </cell>
          <cell r="J4981">
            <v>0.13817249315068494</v>
          </cell>
        </row>
        <row r="4982">
          <cell r="I4982">
            <v>5687</v>
          </cell>
          <cell r="J4982">
            <v>0.13817430136986303</v>
          </cell>
        </row>
        <row r="4983">
          <cell r="I4983">
            <v>5688</v>
          </cell>
          <cell r="J4983">
            <v>0.13817610958904111</v>
          </cell>
        </row>
        <row r="4984">
          <cell r="I4984">
            <v>5689</v>
          </cell>
          <cell r="J4984">
            <v>0.1381779178082192</v>
          </cell>
        </row>
        <row r="4985">
          <cell r="I4985">
            <v>5690</v>
          </cell>
          <cell r="J4985">
            <v>0.13817972602739725</v>
          </cell>
        </row>
        <row r="4986">
          <cell r="I4986">
            <v>5691</v>
          </cell>
          <cell r="J4986">
            <v>0.13818153424657534</v>
          </cell>
        </row>
        <row r="4987">
          <cell r="I4987">
            <v>5692</v>
          </cell>
          <cell r="J4987">
            <v>0.13818334246575342</v>
          </cell>
        </row>
        <row r="4988">
          <cell r="I4988">
            <v>5693</v>
          </cell>
          <cell r="J4988">
            <v>0.13818515068493151</v>
          </cell>
        </row>
        <row r="4989">
          <cell r="I4989">
            <v>5694</v>
          </cell>
          <cell r="J4989">
            <v>0.13818695890410959</v>
          </cell>
        </row>
        <row r="4990">
          <cell r="I4990">
            <v>5695</v>
          </cell>
          <cell r="J4990">
            <v>0.13818876712328768</v>
          </cell>
        </row>
        <row r="4991">
          <cell r="I4991">
            <v>5696</v>
          </cell>
          <cell r="J4991">
            <v>0.13819057534246576</v>
          </cell>
        </row>
        <row r="4992">
          <cell r="I4992">
            <v>5697</v>
          </cell>
          <cell r="J4992">
            <v>0.13819238356164384</v>
          </cell>
        </row>
        <row r="4993">
          <cell r="I4993">
            <v>5698</v>
          </cell>
          <cell r="J4993">
            <v>0.13819419178082193</v>
          </cell>
        </row>
        <row r="4994">
          <cell r="I4994">
            <v>5699</v>
          </cell>
          <cell r="J4994">
            <v>0.13819600000000001</v>
          </cell>
        </row>
        <row r="4995">
          <cell r="I4995">
            <v>5700</v>
          </cell>
          <cell r="J4995">
            <v>0.1381978082191781</v>
          </cell>
        </row>
        <row r="4996">
          <cell r="I4996">
            <v>5701</v>
          </cell>
          <cell r="J4996">
            <v>0.13819961643835618</v>
          </cell>
        </row>
        <row r="4997">
          <cell r="I4997">
            <v>5702</v>
          </cell>
          <cell r="J4997">
            <v>0.13820142465753424</v>
          </cell>
        </row>
        <row r="4998">
          <cell r="I4998">
            <v>5703</v>
          </cell>
          <cell r="J4998">
            <v>0.13820323287671232</v>
          </cell>
        </row>
        <row r="4999">
          <cell r="I4999">
            <v>5704</v>
          </cell>
          <cell r="J4999">
            <v>0.13820504109589041</v>
          </cell>
        </row>
        <row r="5000">
          <cell r="I5000">
            <v>5705</v>
          </cell>
          <cell r="J5000">
            <v>0.13820684931506849</v>
          </cell>
        </row>
        <row r="5001">
          <cell r="I5001">
            <v>5706</v>
          </cell>
          <cell r="J5001">
            <v>0.13820865753424658</v>
          </cell>
        </row>
        <row r="5002">
          <cell r="I5002">
            <v>5707</v>
          </cell>
          <cell r="J5002">
            <v>0.13821046575342466</v>
          </cell>
        </row>
        <row r="5003">
          <cell r="I5003">
            <v>5708</v>
          </cell>
          <cell r="J5003">
            <v>0.13821227397260274</v>
          </cell>
        </row>
        <row r="5004">
          <cell r="I5004">
            <v>5709</v>
          </cell>
          <cell r="J5004">
            <v>0.13821408219178083</v>
          </cell>
        </row>
        <row r="5005">
          <cell r="I5005">
            <v>5710</v>
          </cell>
          <cell r="J5005">
            <v>0.13821589041095891</v>
          </cell>
        </row>
        <row r="5006">
          <cell r="I5006">
            <v>5711</v>
          </cell>
          <cell r="J5006">
            <v>0.138217698630137</v>
          </cell>
        </row>
        <row r="5007">
          <cell r="I5007">
            <v>5712</v>
          </cell>
          <cell r="J5007">
            <v>0.13821950684931508</v>
          </cell>
        </row>
        <row r="5008">
          <cell r="I5008">
            <v>5713</v>
          </cell>
          <cell r="J5008">
            <v>0.13822131506849317</v>
          </cell>
        </row>
        <row r="5009">
          <cell r="I5009">
            <v>5714</v>
          </cell>
          <cell r="J5009">
            <v>0.13822312328767125</v>
          </cell>
        </row>
        <row r="5010">
          <cell r="I5010">
            <v>5715</v>
          </cell>
          <cell r="J5010">
            <v>0.13822493150684931</v>
          </cell>
        </row>
        <row r="5011">
          <cell r="I5011">
            <v>5716</v>
          </cell>
          <cell r="J5011">
            <v>0.13822673972602739</v>
          </cell>
        </row>
        <row r="5012">
          <cell r="I5012">
            <v>5717</v>
          </cell>
          <cell r="J5012">
            <v>0.13822854794520548</v>
          </cell>
        </row>
        <row r="5013">
          <cell r="I5013">
            <v>5718</v>
          </cell>
          <cell r="J5013">
            <v>0.13823035616438356</v>
          </cell>
        </row>
        <row r="5014">
          <cell r="I5014">
            <v>5719</v>
          </cell>
          <cell r="J5014">
            <v>0.13823216438356165</v>
          </cell>
        </row>
        <row r="5015">
          <cell r="I5015">
            <v>5720</v>
          </cell>
          <cell r="J5015">
            <v>0.13823397260273973</v>
          </cell>
        </row>
        <row r="5016">
          <cell r="I5016">
            <v>5721</v>
          </cell>
          <cell r="J5016">
            <v>0.13823578082191781</v>
          </cell>
        </row>
        <row r="5017">
          <cell r="I5017">
            <v>5722</v>
          </cell>
          <cell r="J5017">
            <v>0.1382375890410959</v>
          </cell>
        </row>
        <row r="5018">
          <cell r="I5018">
            <v>5723</v>
          </cell>
          <cell r="J5018">
            <v>0.13823939726027398</v>
          </cell>
        </row>
        <row r="5019">
          <cell r="I5019">
            <v>5724</v>
          </cell>
          <cell r="J5019">
            <v>0.13824120547945207</v>
          </cell>
        </row>
        <row r="5020">
          <cell r="I5020">
            <v>5725</v>
          </cell>
          <cell r="J5020">
            <v>0.13824301369863015</v>
          </cell>
        </row>
        <row r="5021">
          <cell r="I5021">
            <v>5726</v>
          </cell>
          <cell r="J5021">
            <v>0.13824482191780824</v>
          </cell>
        </row>
        <row r="5022">
          <cell r="I5022">
            <v>5727</v>
          </cell>
          <cell r="J5022">
            <v>0.13824663013698632</v>
          </cell>
        </row>
        <row r="5023">
          <cell r="I5023">
            <v>5728</v>
          </cell>
          <cell r="J5023">
            <v>0.13824843835616438</v>
          </cell>
        </row>
        <row r="5024">
          <cell r="I5024">
            <v>5729</v>
          </cell>
          <cell r="J5024">
            <v>0.13825024657534246</v>
          </cell>
        </row>
        <row r="5025">
          <cell r="I5025">
            <v>5730</v>
          </cell>
          <cell r="J5025">
            <v>0.13825205479452055</v>
          </cell>
        </row>
        <row r="5026">
          <cell r="I5026">
            <v>5731</v>
          </cell>
          <cell r="J5026">
            <v>0.13825386301369863</v>
          </cell>
        </row>
        <row r="5027">
          <cell r="I5027">
            <v>5732</v>
          </cell>
          <cell r="J5027">
            <v>0.13825567123287671</v>
          </cell>
        </row>
        <row r="5028">
          <cell r="I5028">
            <v>5733</v>
          </cell>
          <cell r="J5028">
            <v>0.1382574794520548</v>
          </cell>
        </row>
        <row r="5029">
          <cell r="I5029">
            <v>5734</v>
          </cell>
          <cell r="J5029">
            <v>0.13825928767123288</v>
          </cell>
        </row>
        <row r="5030">
          <cell r="I5030">
            <v>5735</v>
          </cell>
          <cell r="J5030">
            <v>0.13826109589041097</v>
          </cell>
        </row>
        <row r="5031">
          <cell r="I5031">
            <v>5736</v>
          </cell>
          <cell r="J5031">
            <v>0.13826290410958905</v>
          </cell>
        </row>
        <row r="5032">
          <cell r="I5032">
            <v>5737</v>
          </cell>
          <cell r="J5032">
            <v>0.13826471232876714</v>
          </cell>
        </row>
        <row r="5033">
          <cell r="I5033">
            <v>5738</v>
          </cell>
          <cell r="J5033">
            <v>0.13826652054794522</v>
          </cell>
        </row>
        <row r="5034">
          <cell r="I5034">
            <v>5739</v>
          </cell>
          <cell r="J5034">
            <v>0.13826832876712331</v>
          </cell>
        </row>
        <row r="5035">
          <cell r="I5035">
            <v>5740</v>
          </cell>
          <cell r="J5035">
            <v>0.13827013698630136</v>
          </cell>
        </row>
        <row r="5036">
          <cell r="I5036">
            <v>5741</v>
          </cell>
          <cell r="J5036">
            <v>0.13827194520547945</v>
          </cell>
        </row>
        <row r="5037">
          <cell r="I5037">
            <v>5742</v>
          </cell>
          <cell r="J5037">
            <v>0.13827375342465753</v>
          </cell>
        </row>
        <row r="5038">
          <cell r="I5038">
            <v>5743</v>
          </cell>
          <cell r="J5038">
            <v>0.13827556164383561</v>
          </cell>
        </row>
        <row r="5039">
          <cell r="I5039">
            <v>5744</v>
          </cell>
          <cell r="J5039">
            <v>0.1382773698630137</v>
          </cell>
        </row>
        <row r="5040">
          <cell r="I5040">
            <v>5745</v>
          </cell>
          <cell r="J5040">
            <v>0.13827917808219178</v>
          </cell>
        </row>
        <row r="5041">
          <cell r="I5041">
            <v>5746</v>
          </cell>
          <cell r="J5041">
            <v>0.13828098630136987</v>
          </cell>
        </row>
        <row r="5042">
          <cell r="I5042">
            <v>5747</v>
          </cell>
          <cell r="J5042">
            <v>0.13828279452054795</v>
          </cell>
        </row>
        <row r="5043">
          <cell r="I5043">
            <v>5748</v>
          </cell>
          <cell r="J5043">
            <v>0.13828460273972604</v>
          </cell>
        </row>
        <row r="5044">
          <cell r="I5044">
            <v>5749</v>
          </cell>
          <cell r="J5044">
            <v>0.13828641095890412</v>
          </cell>
        </row>
        <row r="5045">
          <cell r="I5045">
            <v>5750</v>
          </cell>
          <cell r="J5045">
            <v>0.13828821917808221</v>
          </cell>
        </row>
        <row r="5046">
          <cell r="I5046">
            <v>5751</v>
          </cell>
          <cell r="J5046">
            <v>0.13829002739726029</v>
          </cell>
        </row>
        <row r="5047">
          <cell r="I5047">
            <v>5752</v>
          </cell>
          <cell r="J5047">
            <v>0.13829183561643837</v>
          </cell>
        </row>
        <row r="5048">
          <cell r="I5048">
            <v>5753</v>
          </cell>
          <cell r="J5048">
            <v>0.13829364383561643</v>
          </cell>
        </row>
        <row r="5049">
          <cell r="I5049">
            <v>5754</v>
          </cell>
          <cell r="J5049">
            <v>0.13829545205479452</v>
          </cell>
        </row>
        <row r="5050">
          <cell r="I5050">
            <v>5755</v>
          </cell>
          <cell r="J5050">
            <v>0.1382972602739726</v>
          </cell>
        </row>
        <row r="5051">
          <cell r="I5051">
            <v>5756</v>
          </cell>
          <cell r="J5051">
            <v>0.13829906849315068</v>
          </cell>
        </row>
        <row r="5052">
          <cell r="I5052">
            <v>5757</v>
          </cell>
          <cell r="J5052">
            <v>0.13830087671232877</v>
          </cell>
        </row>
        <row r="5053">
          <cell r="I5053">
            <v>5758</v>
          </cell>
          <cell r="J5053">
            <v>0.13830268493150685</v>
          </cell>
        </row>
        <row r="5054">
          <cell r="I5054">
            <v>5759</v>
          </cell>
          <cell r="J5054">
            <v>0.13830449315068494</v>
          </cell>
        </row>
        <row r="5055">
          <cell r="I5055">
            <v>5760</v>
          </cell>
          <cell r="J5055">
            <v>0.13830630136986302</v>
          </cell>
        </row>
        <row r="5056">
          <cell r="I5056">
            <v>5761</v>
          </cell>
          <cell r="J5056">
            <v>0.13830810958904111</v>
          </cell>
        </row>
        <row r="5057">
          <cell r="I5057">
            <v>5762</v>
          </cell>
          <cell r="J5057">
            <v>0.13830991780821919</v>
          </cell>
        </row>
        <row r="5058">
          <cell r="I5058">
            <v>5763</v>
          </cell>
          <cell r="J5058">
            <v>0.13831172602739727</v>
          </cell>
        </row>
        <row r="5059">
          <cell r="I5059">
            <v>5764</v>
          </cell>
          <cell r="J5059">
            <v>0.13831353424657536</v>
          </cell>
        </row>
        <row r="5060">
          <cell r="I5060">
            <v>5765</v>
          </cell>
          <cell r="J5060">
            <v>0.13831534246575344</v>
          </cell>
        </row>
        <row r="5061">
          <cell r="I5061">
            <v>5766</v>
          </cell>
          <cell r="J5061">
            <v>0.1383171506849315</v>
          </cell>
        </row>
        <row r="5062">
          <cell r="I5062">
            <v>5767</v>
          </cell>
          <cell r="J5062">
            <v>0.13831895890410958</v>
          </cell>
        </row>
        <row r="5063">
          <cell r="I5063">
            <v>5768</v>
          </cell>
          <cell r="J5063">
            <v>0.13832076712328767</v>
          </cell>
        </row>
        <row r="5064">
          <cell r="I5064">
            <v>5769</v>
          </cell>
          <cell r="J5064">
            <v>0.13832257534246575</v>
          </cell>
        </row>
        <row r="5065">
          <cell r="I5065">
            <v>5770</v>
          </cell>
          <cell r="J5065">
            <v>0.13832438356164384</v>
          </cell>
        </row>
        <row r="5066">
          <cell r="I5066">
            <v>5771</v>
          </cell>
          <cell r="J5066">
            <v>0.13832619178082192</v>
          </cell>
        </row>
        <row r="5067">
          <cell r="I5067">
            <v>5772</v>
          </cell>
          <cell r="J5067">
            <v>0.13832800000000001</v>
          </cell>
        </row>
        <row r="5068">
          <cell r="I5068">
            <v>5773</v>
          </cell>
          <cell r="J5068">
            <v>0.13832980821917809</v>
          </cell>
        </row>
        <row r="5069">
          <cell r="I5069">
            <v>5774</v>
          </cell>
          <cell r="J5069">
            <v>0.13833161643835618</v>
          </cell>
        </row>
        <row r="5070">
          <cell r="I5070">
            <v>5775</v>
          </cell>
          <cell r="J5070">
            <v>0.13833342465753426</v>
          </cell>
        </row>
        <row r="5071">
          <cell r="I5071">
            <v>5776</v>
          </cell>
          <cell r="J5071">
            <v>0.13833523287671234</v>
          </cell>
        </row>
        <row r="5072">
          <cell r="I5072">
            <v>5777</v>
          </cell>
          <cell r="J5072">
            <v>0.13833704109589043</v>
          </cell>
        </row>
        <row r="5073">
          <cell r="I5073">
            <v>5778</v>
          </cell>
          <cell r="J5073">
            <v>0.13833884931506849</v>
          </cell>
        </row>
        <row r="5074">
          <cell r="I5074">
            <v>5779</v>
          </cell>
          <cell r="J5074">
            <v>0.13834065753424657</v>
          </cell>
        </row>
        <row r="5075">
          <cell r="I5075">
            <v>5780</v>
          </cell>
          <cell r="J5075">
            <v>0.13834246575342465</v>
          </cell>
        </row>
        <row r="5076">
          <cell r="I5076">
            <v>5781</v>
          </cell>
          <cell r="J5076">
            <v>0.13834427397260274</v>
          </cell>
        </row>
        <row r="5077">
          <cell r="I5077">
            <v>5782</v>
          </cell>
          <cell r="J5077">
            <v>0.13834608219178082</v>
          </cell>
        </row>
        <row r="5078">
          <cell r="I5078">
            <v>5783</v>
          </cell>
          <cell r="J5078">
            <v>0.13834789041095891</v>
          </cell>
        </row>
        <row r="5079">
          <cell r="I5079">
            <v>5784</v>
          </cell>
          <cell r="J5079">
            <v>0.13834969863013699</v>
          </cell>
        </row>
        <row r="5080">
          <cell r="I5080">
            <v>5785</v>
          </cell>
          <cell r="J5080">
            <v>0.13835150684931508</v>
          </cell>
        </row>
        <row r="5081">
          <cell r="I5081">
            <v>5786</v>
          </cell>
          <cell r="J5081">
            <v>0.13835331506849316</v>
          </cell>
        </row>
        <row r="5082">
          <cell r="I5082">
            <v>5787</v>
          </cell>
          <cell r="J5082">
            <v>0.13835512328767124</v>
          </cell>
        </row>
        <row r="5083">
          <cell r="I5083">
            <v>5788</v>
          </cell>
          <cell r="J5083">
            <v>0.13835693150684933</v>
          </cell>
        </row>
        <row r="5084">
          <cell r="I5084">
            <v>5789</v>
          </cell>
          <cell r="J5084">
            <v>0.13835873972602741</v>
          </cell>
        </row>
        <row r="5085">
          <cell r="I5085">
            <v>5790</v>
          </cell>
          <cell r="J5085">
            <v>0.1383605479452055</v>
          </cell>
        </row>
        <row r="5086">
          <cell r="I5086">
            <v>5791</v>
          </cell>
          <cell r="J5086">
            <v>0.13836235616438355</v>
          </cell>
        </row>
        <row r="5087">
          <cell r="I5087">
            <v>5792</v>
          </cell>
          <cell r="J5087">
            <v>0.13836416438356164</v>
          </cell>
        </row>
        <row r="5088">
          <cell r="I5088">
            <v>5793</v>
          </cell>
          <cell r="J5088">
            <v>0.13836597260273972</v>
          </cell>
        </row>
        <row r="5089">
          <cell r="I5089">
            <v>5794</v>
          </cell>
          <cell r="J5089">
            <v>0.13836778082191781</v>
          </cell>
        </row>
        <row r="5090">
          <cell r="I5090">
            <v>5795</v>
          </cell>
          <cell r="J5090">
            <v>0.13836958904109589</v>
          </cell>
        </row>
        <row r="5091">
          <cell r="I5091">
            <v>5796</v>
          </cell>
          <cell r="J5091">
            <v>0.13837139726027398</v>
          </cell>
        </row>
        <row r="5092">
          <cell r="I5092">
            <v>5797</v>
          </cell>
          <cell r="J5092">
            <v>0.13837320547945206</v>
          </cell>
        </row>
        <row r="5093">
          <cell r="I5093">
            <v>5798</v>
          </cell>
          <cell r="J5093">
            <v>0.13837501369863014</v>
          </cell>
        </row>
        <row r="5094">
          <cell r="I5094">
            <v>5799</v>
          </cell>
          <cell r="J5094">
            <v>0.13837682191780823</v>
          </cell>
        </row>
        <row r="5095">
          <cell r="I5095">
            <v>5800</v>
          </cell>
          <cell r="J5095">
            <v>0.13837863013698631</v>
          </cell>
        </row>
        <row r="5096">
          <cell r="I5096">
            <v>5801</v>
          </cell>
          <cell r="J5096">
            <v>0.1383804383561644</v>
          </cell>
        </row>
        <row r="5097">
          <cell r="I5097">
            <v>5802</v>
          </cell>
          <cell r="J5097">
            <v>0.13838224657534248</v>
          </cell>
        </row>
        <row r="5098">
          <cell r="I5098">
            <v>5803</v>
          </cell>
          <cell r="J5098">
            <v>0.13838405479452057</v>
          </cell>
        </row>
        <row r="5099">
          <cell r="I5099">
            <v>5804</v>
          </cell>
          <cell r="J5099">
            <v>0.13838586301369862</v>
          </cell>
        </row>
        <row r="5100">
          <cell r="I5100">
            <v>5805</v>
          </cell>
          <cell r="J5100">
            <v>0.13838767123287671</v>
          </cell>
        </row>
        <row r="5101">
          <cell r="I5101">
            <v>5806</v>
          </cell>
          <cell r="J5101">
            <v>0.13838947945205479</v>
          </cell>
        </row>
        <row r="5102">
          <cell r="I5102">
            <v>5807</v>
          </cell>
          <cell r="J5102">
            <v>0.13839128767123288</v>
          </cell>
        </row>
        <row r="5103">
          <cell r="I5103">
            <v>5808</v>
          </cell>
          <cell r="J5103">
            <v>0.13839309589041096</v>
          </cell>
        </row>
        <row r="5104">
          <cell r="I5104">
            <v>5809</v>
          </cell>
          <cell r="J5104">
            <v>0.13839490410958905</v>
          </cell>
        </row>
        <row r="5105">
          <cell r="I5105">
            <v>5810</v>
          </cell>
          <cell r="J5105">
            <v>0.13839671232876713</v>
          </cell>
        </row>
        <row r="5106">
          <cell r="I5106">
            <v>5811</v>
          </cell>
          <cell r="J5106">
            <v>0.13839852054794521</v>
          </cell>
        </row>
        <row r="5107">
          <cell r="I5107">
            <v>5812</v>
          </cell>
          <cell r="J5107">
            <v>0.1384003287671233</v>
          </cell>
        </row>
        <row r="5108">
          <cell r="I5108">
            <v>5813</v>
          </cell>
          <cell r="J5108">
            <v>0.13840213698630138</v>
          </cell>
        </row>
        <row r="5109">
          <cell r="I5109">
            <v>5814</v>
          </cell>
          <cell r="J5109">
            <v>0.13840394520547947</v>
          </cell>
        </row>
        <row r="5110">
          <cell r="I5110">
            <v>5815</v>
          </cell>
          <cell r="J5110">
            <v>0.13840575342465755</v>
          </cell>
        </row>
        <row r="5111">
          <cell r="I5111">
            <v>5816</v>
          </cell>
          <cell r="J5111">
            <v>0.13840756164383561</v>
          </cell>
        </row>
        <row r="5112">
          <cell r="I5112">
            <v>5817</v>
          </cell>
          <cell r="J5112">
            <v>0.13840936986301369</v>
          </cell>
        </row>
        <row r="5113">
          <cell r="I5113">
            <v>5818</v>
          </cell>
          <cell r="J5113">
            <v>0.13841117808219178</v>
          </cell>
        </row>
        <row r="5114">
          <cell r="I5114">
            <v>5819</v>
          </cell>
          <cell r="J5114">
            <v>0.13841298630136986</v>
          </cell>
        </row>
        <row r="5115">
          <cell r="I5115">
            <v>5820</v>
          </cell>
          <cell r="J5115">
            <v>0.13841479452054795</v>
          </cell>
        </row>
        <row r="5116">
          <cell r="I5116">
            <v>5821</v>
          </cell>
          <cell r="J5116">
            <v>0.13841660273972603</v>
          </cell>
        </row>
        <row r="5117">
          <cell r="I5117">
            <v>5822</v>
          </cell>
          <cell r="J5117">
            <v>0.13841841095890411</v>
          </cell>
        </row>
        <row r="5118">
          <cell r="I5118">
            <v>5823</v>
          </cell>
          <cell r="J5118">
            <v>0.1384202191780822</v>
          </cell>
        </row>
        <row r="5119">
          <cell r="I5119">
            <v>5824</v>
          </cell>
          <cell r="J5119">
            <v>0.13842202739726028</v>
          </cell>
        </row>
        <row r="5120">
          <cell r="I5120">
            <v>5825</v>
          </cell>
          <cell r="J5120">
            <v>0.13842383561643837</v>
          </cell>
        </row>
        <row r="5121">
          <cell r="I5121">
            <v>5826</v>
          </cell>
          <cell r="J5121">
            <v>0.13842564383561645</v>
          </cell>
        </row>
        <row r="5122">
          <cell r="I5122">
            <v>5827</v>
          </cell>
          <cell r="J5122">
            <v>0.13842745205479454</v>
          </cell>
        </row>
        <row r="5123">
          <cell r="I5123">
            <v>5828</v>
          </cell>
          <cell r="J5123">
            <v>0.13842926027397262</v>
          </cell>
        </row>
        <row r="5124">
          <cell r="I5124">
            <v>5829</v>
          </cell>
          <cell r="J5124">
            <v>0.13843106849315068</v>
          </cell>
        </row>
        <row r="5125">
          <cell r="I5125">
            <v>5830</v>
          </cell>
          <cell r="J5125">
            <v>0.13843287671232876</v>
          </cell>
        </row>
        <row r="5126">
          <cell r="I5126">
            <v>5831</v>
          </cell>
          <cell r="J5126">
            <v>0.13843468493150685</v>
          </cell>
        </row>
        <row r="5127">
          <cell r="I5127">
            <v>5832</v>
          </cell>
          <cell r="J5127">
            <v>0.13843649315068493</v>
          </cell>
        </row>
        <row r="5128">
          <cell r="I5128">
            <v>5833</v>
          </cell>
          <cell r="J5128">
            <v>0.13843830136986301</v>
          </cell>
        </row>
        <row r="5129">
          <cell r="I5129">
            <v>5834</v>
          </cell>
          <cell r="J5129">
            <v>0.1384401095890411</v>
          </cell>
        </row>
        <row r="5130">
          <cell r="I5130">
            <v>5835</v>
          </cell>
          <cell r="J5130">
            <v>0.13844191780821918</v>
          </cell>
        </row>
        <row r="5131">
          <cell r="I5131">
            <v>5836</v>
          </cell>
          <cell r="J5131">
            <v>0.13844372602739727</v>
          </cell>
        </row>
        <row r="5132">
          <cell r="I5132">
            <v>5837</v>
          </cell>
          <cell r="J5132">
            <v>0.13844553424657535</v>
          </cell>
        </row>
        <row r="5133">
          <cell r="I5133">
            <v>5838</v>
          </cell>
          <cell r="J5133">
            <v>0.13844734246575344</v>
          </cell>
        </row>
        <row r="5134">
          <cell r="I5134">
            <v>5839</v>
          </cell>
          <cell r="J5134">
            <v>0.13844915068493152</v>
          </cell>
        </row>
        <row r="5135">
          <cell r="I5135">
            <v>5840</v>
          </cell>
          <cell r="J5135">
            <v>0.13845095890410961</v>
          </cell>
        </row>
        <row r="5136">
          <cell r="I5136">
            <v>5841</v>
          </cell>
          <cell r="J5136">
            <v>0.13845276712328769</v>
          </cell>
        </row>
        <row r="5137">
          <cell r="I5137">
            <v>5842</v>
          </cell>
          <cell r="J5137">
            <v>0.13845457534246575</v>
          </cell>
        </row>
        <row r="5138">
          <cell r="I5138">
            <v>5843</v>
          </cell>
          <cell r="J5138">
            <v>0.13845638356164383</v>
          </cell>
        </row>
        <row r="5139">
          <cell r="I5139">
            <v>5844</v>
          </cell>
          <cell r="J5139">
            <v>0.13845819178082192</v>
          </cell>
        </row>
        <row r="5140">
          <cell r="I5140">
            <v>5845</v>
          </cell>
          <cell r="J5140">
            <v>0.13846</v>
          </cell>
        </row>
        <row r="5141">
          <cell r="I5141">
            <v>5846</v>
          </cell>
          <cell r="J5141">
            <v>0.13846180821917808</v>
          </cell>
        </row>
        <row r="5142">
          <cell r="I5142">
            <v>5847</v>
          </cell>
          <cell r="J5142">
            <v>0.13846361643835617</v>
          </cell>
        </row>
        <row r="5143">
          <cell r="I5143">
            <v>5848</v>
          </cell>
          <cell r="J5143">
            <v>0.13846542465753425</v>
          </cell>
        </row>
        <row r="5144">
          <cell r="I5144">
            <v>5849</v>
          </cell>
          <cell r="J5144">
            <v>0.13846723287671234</v>
          </cell>
        </row>
        <row r="5145">
          <cell r="I5145">
            <v>5850</v>
          </cell>
          <cell r="J5145">
            <v>0.13846904109589042</v>
          </cell>
        </row>
        <row r="5146">
          <cell r="I5146">
            <v>5851</v>
          </cell>
          <cell r="J5146">
            <v>0.13847084931506851</v>
          </cell>
        </row>
        <row r="5147">
          <cell r="I5147">
            <v>5852</v>
          </cell>
          <cell r="J5147">
            <v>0.13847265753424659</v>
          </cell>
        </row>
        <row r="5148">
          <cell r="I5148">
            <v>5853</v>
          </cell>
          <cell r="J5148">
            <v>0.13847446575342467</v>
          </cell>
        </row>
        <row r="5149">
          <cell r="I5149">
            <v>5854</v>
          </cell>
          <cell r="J5149">
            <v>0.13847627397260273</v>
          </cell>
        </row>
        <row r="5150">
          <cell r="I5150">
            <v>5855</v>
          </cell>
          <cell r="J5150">
            <v>0.13847808219178082</v>
          </cell>
        </row>
        <row r="5151">
          <cell r="I5151">
            <v>5856</v>
          </cell>
          <cell r="J5151">
            <v>0.1384798904109589</v>
          </cell>
        </row>
        <row r="5152">
          <cell r="I5152">
            <v>5857</v>
          </cell>
          <cell r="J5152">
            <v>0.13848169863013698</v>
          </cell>
        </row>
        <row r="5153">
          <cell r="I5153">
            <v>5858</v>
          </cell>
          <cell r="J5153">
            <v>0.13848350684931507</v>
          </cell>
        </row>
        <row r="5154">
          <cell r="I5154">
            <v>5859</v>
          </cell>
          <cell r="J5154">
            <v>0.13848531506849315</v>
          </cell>
        </row>
        <row r="5155">
          <cell r="I5155">
            <v>5860</v>
          </cell>
          <cell r="J5155">
            <v>0.13848712328767124</v>
          </cell>
        </row>
        <row r="5156">
          <cell r="I5156">
            <v>5861</v>
          </cell>
          <cell r="J5156">
            <v>0.13848893150684932</v>
          </cell>
        </row>
        <row r="5157">
          <cell r="I5157">
            <v>5862</v>
          </cell>
          <cell r="J5157">
            <v>0.13849073972602741</v>
          </cell>
        </row>
        <row r="5158">
          <cell r="I5158">
            <v>5863</v>
          </cell>
          <cell r="J5158">
            <v>0.13849254794520549</v>
          </cell>
        </row>
        <row r="5159">
          <cell r="I5159">
            <v>5864</v>
          </cell>
          <cell r="J5159">
            <v>0.13849435616438358</v>
          </cell>
        </row>
        <row r="5160">
          <cell r="I5160">
            <v>5865</v>
          </cell>
          <cell r="J5160">
            <v>0.13849616438356166</v>
          </cell>
        </row>
        <row r="5161">
          <cell r="I5161">
            <v>5866</v>
          </cell>
          <cell r="J5161">
            <v>0.13849797260273974</v>
          </cell>
        </row>
        <row r="5162">
          <cell r="I5162">
            <v>5867</v>
          </cell>
          <cell r="J5162">
            <v>0.1384997808219178</v>
          </cell>
        </row>
        <row r="5163">
          <cell r="I5163">
            <v>5868</v>
          </cell>
          <cell r="J5163">
            <v>0.13850158904109588</v>
          </cell>
        </row>
        <row r="5164">
          <cell r="I5164">
            <v>5869</v>
          </cell>
          <cell r="J5164">
            <v>0.13850339726027397</v>
          </cell>
        </row>
        <row r="5165">
          <cell r="I5165">
            <v>5870</v>
          </cell>
          <cell r="J5165">
            <v>0.13850520547945205</v>
          </cell>
        </row>
        <row r="5166">
          <cell r="I5166">
            <v>5871</v>
          </cell>
          <cell r="J5166">
            <v>0.13850701369863014</v>
          </cell>
        </row>
        <row r="5167">
          <cell r="I5167">
            <v>5872</v>
          </cell>
          <cell r="J5167">
            <v>0.13850882191780822</v>
          </cell>
        </row>
        <row r="5168">
          <cell r="I5168">
            <v>5873</v>
          </cell>
          <cell r="J5168">
            <v>0.13851063013698631</v>
          </cell>
        </row>
        <row r="5169">
          <cell r="I5169">
            <v>5874</v>
          </cell>
          <cell r="J5169">
            <v>0.13851243835616439</v>
          </cell>
        </row>
        <row r="5170">
          <cell r="I5170">
            <v>5875</v>
          </cell>
          <cell r="J5170">
            <v>0.13851424657534248</v>
          </cell>
        </row>
        <row r="5171">
          <cell r="I5171">
            <v>5876</v>
          </cell>
          <cell r="J5171">
            <v>0.13851605479452056</v>
          </cell>
        </row>
        <row r="5172">
          <cell r="I5172">
            <v>5877</v>
          </cell>
          <cell r="J5172">
            <v>0.13851786301369864</v>
          </cell>
        </row>
        <row r="5173">
          <cell r="I5173">
            <v>5878</v>
          </cell>
          <cell r="J5173">
            <v>0.13851967123287673</v>
          </cell>
        </row>
        <row r="5174">
          <cell r="I5174">
            <v>5879</v>
          </cell>
          <cell r="J5174">
            <v>0.13852147945205481</v>
          </cell>
        </row>
        <row r="5175">
          <cell r="I5175">
            <v>5880</v>
          </cell>
          <cell r="J5175">
            <v>0.13852328767123287</v>
          </cell>
        </row>
        <row r="5176">
          <cell r="I5176">
            <v>5881</v>
          </cell>
          <cell r="J5176">
            <v>0.13852509589041095</v>
          </cell>
        </row>
        <row r="5177">
          <cell r="I5177">
            <v>5882</v>
          </cell>
          <cell r="J5177">
            <v>0.13852690410958904</v>
          </cell>
        </row>
        <row r="5178">
          <cell r="I5178">
            <v>5883</v>
          </cell>
          <cell r="J5178">
            <v>0.13852871232876712</v>
          </cell>
        </row>
        <row r="5179">
          <cell r="I5179">
            <v>5884</v>
          </cell>
          <cell r="J5179">
            <v>0.13853052054794521</v>
          </cell>
        </row>
        <row r="5180">
          <cell r="I5180">
            <v>5885</v>
          </cell>
          <cell r="J5180">
            <v>0.13853232876712329</v>
          </cell>
        </row>
        <row r="5181">
          <cell r="I5181">
            <v>5886</v>
          </cell>
          <cell r="J5181">
            <v>0.13853413698630138</v>
          </cell>
        </row>
        <row r="5182">
          <cell r="I5182">
            <v>5887</v>
          </cell>
          <cell r="J5182">
            <v>0.13853594520547946</v>
          </cell>
        </row>
        <row r="5183">
          <cell r="I5183">
            <v>5888</v>
          </cell>
          <cell r="J5183">
            <v>0.13853775342465754</v>
          </cell>
        </row>
        <row r="5184">
          <cell r="I5184">
            <v>5889</v>
          </cell>
          <cell r="J5184">
            <v>0.13853956164383563</v>
          </cell>
        </row>
        <row r="5185">
          <cell r="I5185">
            <v>5890</v>
          </cell>
          <cell r="J5185">
            <v>0.13854136986301371</v>
          </cell>
        </row>
        <row r="5186">
          <cell r="I5186">
            <v>5891</v>
          </cell>
          <cell r="J5186">
            <v>0.1385431780821918</v>
          </cell>
        </row>
        <row r="5187">
          <cell r="I5187">
            <v>5892</v>
          </cell>
          <cell r="J5187">
            <v>0.13854498630136985</v>
          </cell>
        </row>
        <row r="5188">
          <cell r="I5188">
            <v>5893</v>
          </cell>
          <cell r="J5188">
            <v>0.13854679452054794</v>
          </cell>
        </row>
        <row r="5189">
          <cell r="I5189">
            <v>5894</v>
          </cell>
          <cell r="J5189">
            <v>0.13854860273972602</v>
          </cell>
        </row>
        <row r="5190">
          <cell r="I5190">
            <v>5895</v>
          </cell>
          <cell r="J5190">
            <v>0.13855041095890411</v>
          </cell>
        </row>
        <row r="5191">
          <cell r="I5191">
            <v>5896</v>
          </cell>
          <cell r="J5191">
            <v>0.13855221917808219</v>
          </cell>
        </row>
        <row r="5192">
          <cell r="I5192">
            <v>5897</v>
          </cell>
          <cell r="J5192">
            <v>0.13855402739726028</v>
          </cell>
        </row>
        <row r="5193">
          <cell r="I5193">
            <v>5898</v>
          </cell>
          <cell r="J5193">
            <v>0.13855583561643836</v>
          </cell>
        </row>
        <row r="5194">
          <cell r="I5194">
            <v>5899</v>
          </cell>
          <cell r="J5194">
            <v>0.13855764383561645</v>
          </cell>
        </row>
        <row r="5195">
          <cell r="I5195">
            <v>5900</v>
          </cell>
          <cell r="J5195">
            <v>0.13855945205479453</v>
          </cell>
        </row>
        <row r="5196">
          <cell r="I5196">
            <v>5901</v>
          </cell>
          <cell r="J5196">
            <v>0.13856126027397261</v>
          </cell>
        </row>
        <row r="5197">
          <cell r="I5197">
            <v>5902</v>
          </cell>
          <cell r="J5197">
            <v>0.1385630684931507</v>
          </cell>
        </row>
        <row r="5198">
          <cell r="I5198">
            <v>5903</v>
          </cell>
          <cell r="J5198">
            <v>0.13856487671232878</v>
          </cell>
        </row>
        <row r="5199">
          <cell r="I5199">
            <v>5904</v>
          </cell>
          <cell r="J5199">
            <v>0.13856668493150687</v>
          </cell>
        </row>
        <row r="5200">
          <cell r="I5200">
            <v>5905</v>
          </cell>
          <cell r="J5200">
            <v>0.13856849315068492</v>
          </cell>
        </row>
        <row r="5201">
          <cell r="I5201">
            <v>5906</v>
          </cell>
          <cell r="J5201">
            <v>0.13857030136986301</v>
          </cell>
        </row>
        <row r="5202">
          <cell r="I5202">
            <v>5907</v>
          </cell>
          <cell r="J5202">
            <v>0.13857210958904109</v>
          </cell>
        </row>
        <row r="5203">
          <cell r="I5203">
            <v>5908</v>
          </cell>
          <cell r="J5203">
            <v>0.13857391780821918</v>
          </cell>
        </row>
        <row r="5204">
          <cell r="I5204">
            <v>5909</v>
          </cell>
          <cell r="J5204">
            <v>0.13857572602739726</v>
          </cell>
        </row>
        <row r="5205">
          <cell r="I5205">
            <v>5910</v>
          </cell>
          <cell r="J5205">
            <v>0.13857753424657535</v>
          </cell>
        </row>
        <row r="5206">
          <cell r="I5206">
            <v>5911</v>
          </cell>
          <cell r="J5206">
            <v>0.13857934246575343</v>
          </cell>
        </row>
        <row r="5207">
          <cell r="I5207">
            <v>5912</v>
          </cell>
          <cell r="J5207">
            <v>0.13858115068493151</v>
          </cell>
        </row>
        <row r="5208">
          <cell r="I5208">
            <v>5913</v>
          </cell>
          <cell r="J5208">
            <v>0.1385829589041096</v>
          </cell>
        </row>
        <row r="5209">
          <cell r="I5209">
            <v>5914</v>
          </cell>
          <cell r="J5209">
            <v>0.13858476712328768</v>
          </cell>
        </row>
        <row r="5210">
          <cell r="I5210">
            <v>5915</v>
          </cell>
          <cell r="J5210">
            <v>0.13858657534246577</v>
          </cell>
        </row>
        <row r="5211">
          <cell r="I5211">
            <v>5916</v>
          </cell>
          <cell r="J5211">
            <v>0.13858838356164385</v>
          </cell>
        </row>
        <row r="5212">
          <cell r="I5212">
            <v>5917</v>
          </cell>
          <cell r="J5212">
            <v>0.13859019178082194</v>
          </cell>
        </row>
        <row r="5213">
          <cell r="I5213">
            <v>5918</v>
          </cell>
          <cell r="J5213">
            <v>0.13859199999999999</v>
          </cell>
        </row>
        <row r="5214">
          <cell r="I5214">
            <v>5919</v>
          </cell>
          <cell r="J5214">
            <v>0.13859380821917808</v>
          </cell>
        </row>
        <row r="5215">
          <cell r="I5215">
            <v>5920</v>
          </cell>
          <cell r="J5215">
            <v>0.13859561643835616</v>
          </cell>
        </row>
        <row r="5216">
          <cell r="I5216">
            <v>5921</v>
          </cell>
          <cell r="J5216">
            <v>0.13859742465753425</v>
          </cell>
        </row>
        <row r="5217">
          <cell r="I5217">
            <v>5922</v>
          </cell>
          <cell r="J5217">
            <v>0.13859923287671233</v>
          </cell>
        </row>
        <row r="5218">
          <cell r="I5218">
            <v>5923</v>
          </cell>
          <cell r="J5218">
            <v>0.13860104109589041</v>
          </cell>
        </row>
        <row r="5219">
          <cell r="I5219">
            <v>5924</v>
          </cell>
          <cell r="J5219">
            <v>0.1386028493150685</v>
          </cell>
        </row>
        <row r="5220">
          <cell r="I5220">
            <v>5925</v>
          </cell>
          <cell r="J5220">
            <v>0.13860465753424658</v>
          </cell>
        </row>
        <row r="5221">
          <cell r="I5221">
            <v>5926</v>
          </cell>
          <cell r="J5221">
            <v>0.13860646575342467</v>
          </cell>
        </row>
        <row r="5222">
          <cell r="I5222">
            <v>5927</v>
          </cell>
          <cell r="J5222">
            <v>0.13860827397260275</v>
          </cell>
        </row>
        <row r="5223">
          <cell r="I5223">
            <v>5928</v>
          </cell>
          <cell r="J5223">
            <v>0.13861008219178084</v>
          </cell>
        </row>
        <row r="5224">
          <cell r="I5224">
            <v>5929</v>
          </cell>
          <cell r="J5224">
            <v>0.13861189041095892</v>
          </cell>
        </row>
        <row r="5225">
          <cell r="I5225">
            <v>5930</v>
          </cell>
          <cell r="J5225">
            <v>0.13861369863013698</v>
          </cell>
        </row>
        <row r="5226">
          <cell r="I5226">
            <v>5931</v>
          </cell>
          <cell r="J5226">
            <v>0.13861550684931506</v>
          </cell>
        </row>
        <row r="5227">
          <cell r="I5227">
            <v>5932</v>
          </cell>
          <cell r="J5227">
            <v>0.13861731506849315</v>
          </cell>
        </row>
        <row r="5228">
          <cell r="I5228">
            <v>5933</v>
          </cell>
          <cell r="J5228">
            <v>0.13861912328767123</v>
          </cell>
        </row>
        <row r="5229">
          <cell r="I5229">
            <v>5934</v>
          </cell>
          <cell r="J5229">
            <v>0.13862093150684932</v>
          </cell>
        </row>
        <row r="5230">
          <cell r="I5230">
            <v>5935</v>
          </cell>
          <cell r="J5230">
            <v>0.1386227397260274</v>
          </cell>
        </row>
        <row r="5231">
          <cell r="I5231">
            <v>5936</v>
          </cell>
          <cell r="J5231">
            <v>0.13862454794520548</v>
          </cell>
        </row>
        <row r="5232">
          <cell r="I5232">
            <v>5937</v>
          </cell>
          <cell r="J5232">
            <v>0.13862635616438357</v>
          </cell>
        </row>
        <row r="5233">
          <cell r="I5233">
            <v>5938</v>
          </cell>
          <cell r="J5233">
            <v>0.13862816438356165</v>
          </cell>
        </row>
        <row r="5234">
          <cell r="I5234">
            <v>5939</v>
          </cell>
          <cell r="J5234">
            <v>0.13862997260273974</v>
          </cell>
        </row>
        <row r="5235">
          <cell r="I5235">
            <v>5940</v>
          </cell>
          <cell r="J5235">
            <v>0.13863178082191782</v>
          </cell>
        </row>
        <row r="5236">
          <cell r="I5236">
            <v>5941</v>
          </cell>
          <cell r="J5236">
            <v>0.13863358904109591</v>
          </cell>
        </row>
        <row r="5237">
          <cell r="I5237">
            <v>5942</v>
          </cell>
          <cell r="J5237">
            <v>0.13863539726027399</v>
          </cell>
        </row>
        <row r="5238">
          <cell r="I5238">
            <v>5943</v>
          </cell>
          <cell r="J5238">
            <v>0.13863720547945205</v>
          </cell>
        </row>
        <row r="5239">
          <cell r="I5239">
            <v>5944</v>
          </cell>
          <cell r="J5239">
            <v>0.13863901369863013</v>
          </cell>
        </row>
        <row r="5240">
          <cell r="I5240">
            <v>5945</v>
          </cell>
          <cell r="J5240">
            <v>0.13864082191780822</v>
          </cell>
        </row>
        <row r="5241">
          <cell r="I5241">
            <v>5946</v>
          </cell>
          <cell r="J5241">
            <v>0.1386426301369863</v>
          </cell>
        </row>
        <row r="5242">
          <cell r="I5242">
            <v>5947</v>
          </cell>
          <cell r="J5242">
            <v>0.13864443835616438</v>
          </cell>
        </row>
        <row r="5243">
          <cell r="I5243">
            <v>5948</v>
          </cell>
          <cell r="J5243">
            <v>0.13864624657534247</v>
          </cell>
        </row>
        <row r="5244">
          <cell r="I5244">
            <v>5949</v>
          </cell>
          <cell r="J5244">
            <v>0.13864805479452055</v>
          </cell>
        </row>
        <row r="5245">
          <cell r="I5245">
            <v>5950</v>
          </cell>
          <cell r="J5245">
            <v>0.13864986301369864</v>
          </cell>
        </row>
        <row r="5246">
          <cell r="I5246">
            <v>5951</v>
          </cell>
          <cell r="J5246">
            <v>0.13865167123287672</v>
          </cell>
        </row>
        <row r="5247">
          <cell r="I5247">
            <v>5952</v>
          </cell>
          <cell r="J5247">
            <v>0.13865347945205481</v>
          </cell>
        </row>
        <row r="5248">
          <cell r="I5248">
            <v>5953</v>
          </cell>
          <cell r="J5248">
            <v>0.13865528767123289</v>
          </cell>
        </row>
        <row r="5249">
          <cell r="I5249">
            <v>5954</v>
          </cell>
          <cell r="J5249">
            <v>0.13865709589041098</v>
          </cell>
        </row>
        <row r="5250">
          <cell r="I5250">
            <v>5955</v>
          </cell>
          <cell r="J5250">
            <v>0.13865890410958906</v>
          </cell>
        </row>
        <row r="5251">
          <cell r="I5251">
            <v>5956</v>
          </cell>
          <cell r="J5251">
            <v>0.13866071232876712</v>
          </cell>
        </row>
        <row r="5252">
          <cell r="I5252">
            <v>5957</v>
          </cell>
          <cell r="J5252">
            <v>0.1386625205479452</v>
          </cell>
        </row>
        <row r="5253">
          <cell r="I5253">
            <v>5958</v>
          </cell>
          <cell r="J5253">
            <v>0.13866432876712328</v>
          </cell>
        </row>
        <row r="5254">
          <cell r="I5254">
            <v>5959</v>
          </cell>
          <cell r="J5254">
            <v>0.13866613698630137</v>
          </cell>
        </row>
        <row r="5255">
          <cell r="I5255">
            <v>5960</v>
          </cell>
          <cell r="J5255">
            <v>0.13866794520547945</v>
          </cell>
        </row>
        <row r="5256">
          <cell r="I5256">
            <v>5961</v>
          </cell>
          <cell r="J5256">
            <v>0.13866975342465754</v>
          </cell>
        </row>
        <row r="5257">
          <cell r="I5257">
            <v>5962</v>
          </cell>
          <cell r="J5257">
            <v>0.13867156164383562</v>
          </cell>
        </row>
        <row r="5258">
          <cell r="I5258">
            <v>5963</v>
          </cell>
          <cell r="J5258">
            <v>0.13867336986301371</v>
          </cell>
        </row>
        <row r="5259">
          <cell r="I5259">
            <v>5964</v>
          </cell>
          <cell r="J5259">
            <v>0.13867517808219179</v>
          </cell>
        </row>
        <row r="5260">
          <cell r="I5260">
            <v>5965</v>
          </cell>
          <cell r="J5260">
            <v>0.13867698630136988</v>
          </cell>
        </row>
        <row r="5261">
          <cell r="I5261">
            <v>5966</v>
          </cell>
          <cell r="J5261">
            <v>0.13867879452054796</v>
          </cell>
        </row>
        <row r="5262">
          <cell r="I5262">
            <v>5967</v>
          </cell>
          <cell r="J5262">
            <v>0.13868060273972604</v>
          </cell>
        </row>
        <row r="5263">
          <cell r="I5263">
            <v>5968</v>
          </cell>
          <cell r="J5263">
            <v>0.1386824109589041</v>
          </cell>
        </row>
        <row r="5264">
          <cell r="I5264">
            <v>5969</v>
          </cell>
          <cell r="J5264">
            <v>0.13868421917808219</v>
          </cell>
        </row>
        <row r="5265">
          <cell r="I5265">
            <v>5970</v>
          </cell>
          <cell r="J5265">
            <v>0.13868602739726027</v>
          </cell>
        </row>
        <row r="5266">
          <cell r="I5266">
            <v>5971</v>
          </cell>
          <cell r="J5266">
            <v>0.13868783561643835</v>
          </cell>
        </row>
        <row r="5267">
          <cell r="I5267">
            <v>5972</v>
          </cell>
          <cell r="J5267">
            <v>0.13868964383561644</v>
          </cell>
        </row>
        <row r="5268">
          <cell r="I5268">
            <v>5973</v>
          </cell>
          <cell r="J5268">
            <v>0.13869145205479452</v>
          </cell>
        </row>
        <row r="5269">
          <cell r="I5269">
            <v>5974</v>
          </cell>
          <cell r="J5269">
            <v>0.13869326027397261</v>
          </cell>
        </row>
        <row r="5270">
          <cell r="I5270">
            <v>5975</v>
          </cell>
          <cell r="J5270">
            <v>0.13869506849315069</v>
          </cell>
        </row>
        <row r="5271">
          <cell r="I5271">
            <v>5976</v>
          </cell>
          <cell r="J5271">
            <v>0.13869687671232878</v>
          </cell>
        </row>
        <row r="5272">
          <cell r="I5272">
            <v>5977</v>
          </cell>
          <cell r="J5272">
            <v>0.13869868493150686</v>
          </cell>
        </row>
        <row r="5273">
          <cell r="I5273">
            <v>5978</v>
          </cell>
          <cell r="J5273">
            <v>0.13870049315068494</v>
          </cell>
        </row>
        <row r="5274">
          <cell r="I5274">
            <v>5979</v>
          </cell>
          <cell r="J5274">
            <v>0.13870230136986303</v>
          </cell>
        </row>
        <row r="5275">
          <cell r="I5275">
            <v>5980</v>
          </cell>
          <cell r="J5275">
            <v>0.13870410958904111</v>
          </cell>
        </row>
        <row r="5276">
          <cell r="I5276">
            <v>5981</v>
          </cell>
          <cell r="J5276">
            <v>0.13870591780821917</v>
          </cell>
        </row>
        <row r="5277">
          <cell r="I5277">
            <v>5982</v>
          </cell>
          <cell r="J5277">
            <v>0.13870772602739725</v>
          </cell>
        </row>
        <row r="5278">
          <cell r="I5278">
            <v>5983</v>
          </cell>
          <cell r="J5278">
            <v>0.13870953424657534</v>
          </cell>
        </row>
        <row r="5279">
          <cell r="I5279">
            <v>5984</v>
          </cell>
          <cell r="J5279">
            <v>0.13871134246575342</v>
          </cell>
        </row>
        <row r="5280">
          <cell r="I5280">
            <v>5985</v>
          </cell>
          <cell r="J5280">
            <v>0.13871315068493151</v>
          </cell>
        </row>
        <row r="5281">
          <cell r="I5281">
            <v>5986</v>
          </cell>
          <cell r="J5281">
            <v>0.13871495890410959</v>
          </cell>
        </row>
        <row r="5282">
          <cell r="I5282">
            <v>5987</v>
          </cell>
          <cell r="J5282">
            <v>0.13871676712328768</v>
          </cell>
        </row>
        <row r="5283">
          <cell r="I5283">
            <v>5988</v>
          </cell>
          <cell r="J5283">
            <v>0.13871857534246576</v>
          </cell>
        </row>
        <row r="5284">
          <cell r="I5284">
            <v>5989</v>
          </cell>
          <cell r="J5284">
            <v>0.13872038356164385</v>
          </cell>
        </row>
        <row r="5285">
          <cell r="I5285">
            <v>5990</v>
          </cell>
          <cell r="J5285">
            <v>0.13872219178082193</v>
          </cell>
        </row>
        <row r="5286">
          <cell r="I5286">
            <v>5991</v>
          </cell>
          <cell r="J5286">
            <v>0.13872400000000001</v>
          </cell>
        </row>
        <row r="5287">
          <cell r="I5287">
            <v>5992</v>
          </cell>
          <cell r="J5287">
            <v>0.1387258082191781</v>
          </cell>
        </row>
        <row r="5288">
          <cell r="I5288">
            <v>5993</v>
          </cell>
          <cell r="J5288">
            <v>0.13872761643835618</v>
          </cell>
        </row>
        <row r="5289">
          <cell r="I5289">
            <v>5994</v>
          </cell>
          <cell r="J5289">
            <v>0.13872942465753424</v>
          </cell>
        </row>
        <row r="5290">
          <cell r="I5290">
            <v>5995</v>
          </cell>
          <cell r="J5290">
            <v>0.13873123287671232</v>
          </cell>
        </row>
        <row r="5291">
          <cell r="I5291">
            <v>5996</v>
          </cell>
          <cell r="J5291">
            <v>0.13873304109589041</v>
          </cell>
        </row>
        <row r="5292">
          <cell r="I5292">
            <v>5997</v>
          </cell>
          <cell r="J5292">
            <v>0.13873484931506849</v>
          </cell>
        </row>
        <row r="5293">
          <cell r="I5293">
            <v>5998</v>
          </cell>
          <cell r="J5293">
            <v>0.13873665753424658</v>
          </cell>
        </row>
        <row r="5294">
          <cell r="I5294">
            <v>5999</v>
          </cell>
          <cell r="J5294">
            <v>0.13873846575342466</v>
          </cell>
        </row>
        <row r="5295">
          <cell r="I5295">
            <v>6000</v>
          </cell>
          <cell r="J5295">
            <v>0.13874027397260275</v>
          </cell>
        </row>
        <row r="5296">
          <cell r="I5296">
            <v>6001</v>
          </cell>
          <cell r="J5296">
            <v>0.13874208219178083</v>
          </cell>
        </row>
        <row r="5297">
          <cell r="I5297">
            <v>6002</v>
          </cell>
          <cell r="J5297">
            <v>0.13874389041095891</v>
          </cell>
        </row>
        <row r="5298">
          <cell r="I5298">
            <v>6003</v>
          </cell>
          <cell r="J5298">
            <v>0.138745698630137</v>
          </cell>
        </row>
        <row r="5299">
          <cell r="I5299">
            <v>6004</v>
          </cell>
          <cell r="J5299">
            <v>0.13874750684931508</v>
          </cell>
        </row>
        <row r="5300">
          <cell r="I5300">
            <v>6005</v>
          </cell>
          <cell r="J5300">
            <v>0.13874931506849317</v>
          </cell>
        </row>
        <row r="5301">
          <cell r="I5301">
            <v>6006</v>
          </cell>
          <cell r="J5301">
            <v>0.13875112328767122</v>
          </cell>
        </row>
        <row r="5302">
          <cell r="I5302">
            <v>6007</v>
          </cell>
          <cell r="J5302">
            <v>0.13875293150684931</v>
          </cell>
        </row>
        <row r="5303">
          <cell r="I5303">
            <v>6008</v>
          </cell>
          <cell r="J5303">
            <v>0.13875473972602739</v>
          </cell>
        </row>
        <row r="5304">
          <cell r="I5304">
            <v>6009</v>
          </cell>
          <cell r="J5304">
            <v>0.13875654794520548</v>
          </cell>
        </row>
        <row r="5305">
          <cell r="I5305">
            <v>6010</v>
          </cell>
          <cell r="J5305">
            <v>0.13875835616438356</v>
          </cell>
        </row>
        <row r="5306">
          <cell r="I5306">
            <v>6011</v>
          </cell>
          <cell r="J5306">
            <v>0.13876016438356165</v>
          </cell>
        </row>
        <row r="5307">
          <cell r="I5307">
            <v>6012</v>
          </cell>
          <cell r="J5307">
            <v>0.13876197260273973</v>
          </cell>
        </row>
        <row r="5308">
          <cell r="I5308">
            <v>6013</v>
          </cell>
          <cell r="J5308">
            <v>0.13876378082191781</v>
          </cell>
        </row>
        <row r="5309">
          <cell r="I5309">
            <v>6014</v>
          </cell>
          <cell r="J5309">
            <v>0.1387655890410959</v>
          </cell>
        </row>
        <row r="5310">
          <cell r="I5310">
            <v>6015</v>
          </cell>
          <cell r="J5310">
            <v>0.13876739726027398</v>
          </cell>
        </row>
        <row r="5311">
          <cell r="I5311">
            <v>6016</v>
          </cell>
          <cell r="J5311">
            <v>0.13876920547945207</v>
          </cell>
        </row>
        <row r="5312">
          <cell r="I5312">
            <v>6017</v>
          </cell>
          <cell r="J5312">
            <v>0.13877101369863015</v>
          </cell>
        </row>
        <row r="5313">
          <cell r="I5313">
            <v>6018</v>
          </cell>
          <cell r="J5313">
            <v>0.13877282191780824</v>
          </cell>
        </row>
        <row r="5314">
          <cell r="I5314">
            <v>6019</v>
          </cell>
          <cell r="J5314">
            <v>0.13877463013698629</v>
          </cell>
        </row>
        <row r="5315">
          <cell r="I5315">
            <v>6020</v>
          </cell>
          <cell r="J5315">
            <v>0.13877643835616438</v>
          </cell>
        </row>
        <row r="5316">
          <cell r="I5316">
            <v>6021</v>
          </cell>
          <cell r="J5316">
            <v>0.13877824657534246</v>
          </cell>
        </row>
        <row r="5317">
          <cell r="I5317">
            <v>6022</v>
          </cell>
          <cell r="J5317">
            <v>0.13878005479452055</v>
          </cell>
        </row>
        <row r="5318">
          <cell r="I5318">
            <v>6023</v>
          </cell>
          <cell r="J5318">
            <v>0.13878186301369863</v>
          </cell>
        </row>
        <row r="5319">
          <cell r="I5319">
            <v>6024</v>
          </cell>
          <cell r="J5319">
            <v>0.13878367123287672</v>
          </cell>
        </row>
        <row r="5320">
          <cell r="I5320">
            <v>6025</v>
          </cell>
          <cell r="J5320">
            <v>0.1387854794520548</v>
          </cell>
        </row>
        <row r="5321">
          <cell r="I5321">
            <v>6026</v>
          </cell>
          <cell r="J5321">
            <v>0.13878728767123288</v>
          </cell>
        </row>
        <row r="5322">
          <cell r="I5322">
            <v>6027</v>
          </cell>
          <cell r="J5322">
            <v>0.13878909589041097</v>
          </cell>
        </row>
        <row r="5323">
          <cell r="I5323">
            <v>6028</v>
          </cell>
          <cell r="J5323">
            <v>0.13879090410958905</v>
          </cell>
        </row>
        <row r="5324">
          <cell r="I5324">
            <v>6029</v>
          </cell>
          <cell r="J5324">
            <v>0.13879271232876714</v>
          </cell>
        </row>
        <row r="5325">
          <cell r="I5325">
            <v>6030</v>
          </cell>
          <cell r="J5325">
            <v>0.13879452054794522</v>
          </cell>
        </row>
        <row r="5326">
          <cell r="I5326">
            <v>6031</v>
          </cell>
          <cell r="J5326">
            <v>0.13879632876712331</v>
          </cell>
        </row>
        <row r="5327">
          <cell r="I5327">
            <v>6032</v>
          </cell>
          <cell r="J5327">
            <v>0.13879813698630136</v>
          </cell>
        </row>
        <row r="5328">
          <cell r="I5328">
            <v>6033</v>
          </cell>
          <cell r="J5328">
            <v>0.13879994520547945</v>
          </cell>
        </row>
        <row r="5329">
          <cell r="I5329">
            <v>6034</v>
          </cell>
          <cell r="J5329">
            <v>0.13880175342465753</v>
          </cell>
        </row>
        <row r="5330">
          <cell r="I5330">
            <v>6035</v>
          </cell>
          <cell r="J5330">
            <v>0.13880356164383562</v>
          </cell>
        </row>
        <row r="5331">
          <cell r="I5331">
            <v>6036</v>
          </cell>
          <cell r="J5331">
            <v>0.1388053698630137</v>
          </cell>
        </row>
        <row r="5332">
          <cell r="I5332">
            <v>6037</v>
          </cell>
          <cell r="J5332">
            <v>0.13880717808219178</v>
          </cell>
        </row>
        <row r="5333">
          <cell r="I5333">
            <v>6038</v>
          </cell>
          <cell r="J5333">
            <v>0.13880898630136987</v>
          </cell>
        </row>
        <row r="5334">
          <cell r="I5334">
            <v>6039</v>
          </cell>
          <cell r="J5334">
            <v>0.13881079452054795</v>
          </cell>
        </row>
        <row r="5335">
          <cell r="I5335">
            <v>6040</v>
          </cell>
          <cell r="J5335">
            <v>0.13881260273972604</v>
          </cell>
        </row>
        <row r="5336">
          <cell r="I5336">
            <v>6041</v>
          </cell>
          <cell r="J5336">
            <v>0.13881441095890412</v>
          </cell>
        </row>
        <row r="5337">
          <cell r="I5337">
            <v>6042</v>
          </cell>
          <cell r="J5337">
            <v>0.13881621917808221</v>
          </cell>
        </row>
        <row r="5338">
          <cell r="I5338">
            <v>6043</v>
          </cell>
          <cell r="J5338">
            <v>0.13881802739726029</v>
          </cell>
        </row>
        <row r="5339">
          <cell r="I5339">
            <v>6044</v>
          </cell>
          <cell r="J5339">
            <v>0.13881983561643835</v>
          </cell>
        </row>
        <row r="5340">
          <cell r="I5340">
            <v>6045</v>
          </cell>
          <cell r="J5340">
            <v>0.13882164383561643</v>
          </cell>
        </row>
        <row r="5341">
          <cell r="I5341">
            <v>6046</v>
          </cell>
          <cell r="J5341">
            <v>0.13882345205479452</v>
          </cell>
        </row>
        <row r="5342">
          <cell r="I5342">
            <v>6047</v>
          </cell>
          <cell r="J5342">
            <v>0.1388252602739726</v>
          </cell>
        </row>
        <row r="5343">
          <cell r="I5343">
            <v>6048</v>
          </cell>
          <cell r="J5343">
            <v>0.13882706849315068</v>
          </cell>
        </row>
        <row r="5344">
          <cell r="I5344">
            <v>6049</v>
          </cell>
          <cell r="J5344">
            <v>0.13882887671232877</v>
          </cell>
        </row>
        <row r="5345">
          <cell r="I5345">
            <v>6050</v>
          </cell>
          <cell r="J5345">
            <v>0.13883068493150685</v>
          </cell>
        </row>
        <row r="5346">
          <cell r="I5346">
            <v>6051</v>
          </cell>
          <cell r="J5346">
            <v>0.13883249315068494</v>
          </cell>
        </row>
        <row r="5347">
          <cell r="I5347">
            <v>6052</v>
          </cell>
          <cell r="J5347">
            <v>0.13883430136986302</v>
          </cell>
        </row>
        <row r="5348">
          <cell r="I5348">
            <v>6053</v>
          </cell>
          <cell r="J5348">
            <v>0.13883610958904111</v>
          </cell>
        </row>
        <row r="5349">
          <cell r="I5349">
            <v>6054</v>
          </cell>
          <cell r="J5349">
            <v>0.13883791780821919</v>
          </cell>
        </row>
        <row r="5350">
          <cell r="I5350">
            <v>6055</v>
          </cell>
          <cell r="J5350">
            <v>0.13883972602739728</v>
          </cell>
        </row>
        <row r="5351">
          <cell r="I5351">
            <v>6056</v>
          </cell>
          <cell r="J5351">
            <v>0.13884153424657536</v>
          </cell>
        </row>
        <row r="5352">
          <cell r="I5352">
            <v>6057</v>
          </cell>
          <cell r="J5352">
            <v>0.13884334246575342</v>
          </cell>
        </row>
        <row r="5353">
          <cell r="I5353">
            <v>6058</v>
          </cell>
          <cell r="J5353">
            <v>0.1388451506849315</v>
          </cell>
        </row>
        <row r="5354">
          <cell r="I5354">
            <v>6059</v>
          </cell>
          <cell r="J5354">
            <v>0.13884695890410959</v>
          </cell>
        </row>
        <row r="5355">
          <cell r="I5355">
            <v>6060</v>
          </cell>
          <cell r="J5355">
            <v>0.13884876712328767</v>
          </cell>
        </row>
        <row r="5356">
          <cell r="I5356">
            <v>6061</v>
          </cell>
          <cell r="J5356">
            <v>0.13885057534246575</v>
          </cell>
        </row>
        <row r="5357">
          <cell r="I5357">
            <v>6062</v>
          </cell>
          <cell r="J5357">
            <v>0.13885238356164384</v>
          </cell>
        </row>
        <row r="5358">
          <cell r="I5358">
            <v>6063</v>
          </cell>
          <cell r="J5358">
            <v>0.13885419178082192</v>
          </cell>
        </row>
        <row r="5359">
          <cell r="I5359">
            <v>6064</v>
          </cell>
          <cell r="J5359">
            <v>0.13885600000000001</v>
          </cell>
        </row>
        <row r="5360">
          <cell r="I5360">
            <v>6065</v>
          </cell>
          <cell r="J5360">
            <v>0.13885780821917809</v>
          </cell>
        </row>
        <row r="5361">
          <cell r="I5361">
            <v>6066</v>
          </cell>
          <cell r="J5361">
            <v>0.13885961643835618</v>
          </cell>
        </row>
        <row r="5362">
          <cell r="I5362">
            <v>6067</v>
          </cell>
          <cell r="J5362">
            <v>0.13886142465753426</v>
          </cell>
        </row>
        <row r="5363">
          <cell r="I5363">
            <v>6068</v>
          </cell>
          <cell r="J5363">
            <v>0.13886323287671234</v>
          </cell>
        </row>
        <row r="5364">
          <cell r="I5364">
            <v>6069</v>
          </cell>
          <cell r="J5364">
            <v>0.13886504109589043</v>
          </cell>
        </row>
        <row r="5365">
          <cell r="I5365">
            <v>6070</v>
          </cell>
          <cell r="J5365">
            <v>0.13886684931506849</v>
          </cell>
        </row>
        <row r="5366">
          <cell r="I5366">
            <v>6071</v>
          </cell>
          <cell r="J5366">
            <v>0.13886865753424657</v>
          </cell>
        </row>
        <row r="5367">
          <cell r="I5367">
            <v>6072</v>
          </cell>
          <cell r="J5367">
            <v>0.13887046575342465</v>
          </cell>
        </row>
        <row r="5368">
          <cell r="I5368">
            <v>6073</v>
          </cell>
          <cell r="J5368">
            <v>0.13887227397260274</v>
          </cell>
        </row>
        <row r="5369">
          <cell r="I5369">
            <v>6074</v>
          </cell>
          <cell r="J5369">
            <v>0.13887408219178082</v>
          </cell>
        </row>
        <row r="5370">
          <cell r="I5370">
            <v>6075</v>
          </cell>
          <cell r="J5370">
            <v>0.13887589041095891</v>
          </cell>
        </row>
        <row r="5371">
          <cell r="I5371">
            <v>6076</v>
          </cell>
          <cell r="J5371">
            <v>0.13887769863013699</v>
          </cell>
        </row>
        <row r="5372">
          <cell r="I5372">
            <v>6077</v>
          </cell>
          <cell r="J5372">
            <v>0.13887950684931508</v>
          </cell>
        </row>
        <row r="5373">
          <cell r="I5373">
            <v>6078</v>
          </cell>
          <cell r="J5373">
            <v>0.13888131506849316</v>
          </cell>
        </row>
        <row r="5374">
          <cell r="I5374">
            <v>6079</v>
          </cell>
          <cell r="J5374">
            <v>0.13888312328767125</v>
          </cell>
        </row>
        <row r="5375">
          <cell r="I5375">
            <v>6080</v>
          </cell>
          <cell r="J5375">
            <v>0.13888493150684933</v>
          </cell>
        </row>
        <row r="5376">
          <cell r="I5376">
            <v>6081</v>
          </cell>
          <cell r="J5376">
            <v>0.13888673972602741</v>
          </cell>
        </row>
        <row r="5377">
          <cell r="I5377">
            <v>6082</v>
          </cell>
          <cell r="J5377">
            <v>0.1388885479452055</v>
          </cell>
        </row>
        <row r="5378">
          <cell r="I5378">
            <v>6083</v>
          </cell>
          <cell r="J5378">
            <v>0.13889035616438355</v>
          </cell>
        </row>
        <row r="5379">
          <cell r="I5379">
            <v>6084</v>
          </cell>
          <cell r="J5379">
            <v>0.13889216438356164</v>
          </cell>
        </row>
        <row r="5380">
          <cell r="I5380">
            <v>6085</v>
          </cell>
          <cell r="J5380">
            <v>0.13889397260273972</v>
          </cell>
        </row>
        <row r="5381">
          <cell r="I5381">
            <v>6086</v>
          </cell>
          <cell r="J5381">
            <v>0.13889578082191781</v>
          </cell>
        </row>
        <row r="5382">
          <cell r="I5382">
            <v>6087</v>
          </cell>
          <cell r="J5382">
            <v>0.13889758904109589</v>
          </cell>
        </row>
        <row r="5383">
          <cell r="I5383">
            <v>6088</v>
          </cell>
          <cell r="J5383">
            <v>0.13889939726027398</v>
          </cell>
        </row>
        <row r="5384">
          <cell r="I5384">
            <v>6089</v>
          </cell>
          <cell r="J5384">
            <v>0.13890120547945206</v>
          </cell>
        </row>
        <row r="5385">
          <cell r="I5385">
            <v>6090</v>
          </cell>
          <cell r="J5385">
            <v>0.13890301369863015</v>
          </cell>
        </row>
        <row r="5386">
          <cell r="I5386">
            <v>6091</v>
          </cell>
          <cell r="J5386">
            <v>0.13890482191780823</v>
          </cell>
        </row>
        <row r="5387">
          <cell r="I5387">
            <v>6092</v>
          </cell>
          <cell r="J5387">
            <v>0.13890663013698631</v>
          </cell>
        </row>
        <row r="5388">
          <cell r="I5388">
            <v>6093</v>
          </cell>
          <cell r="J5388">
            <v>0.1389084383561644</v>
          </cell>
        </row>
        <row r="5389">
          <cell r="I5389">
            <v>6094</v>
          </cell>
          <cell r="J5389">
            <v>0.13891024657534248</v>
          </cell>
        </row>
        <row r="5390">
          <cell r="I5390">
            <v>6095</v>
          </cell>
          <cell r="J5390">
            <v>0.13891205479452054</v>
          </cell>
        </row>
        <row r="5391">
          <cell r="I5391">
            <v>6096</v>
          </cell>
          <cell r="J5391">
            <v>0.13891386301369862</v>
          </cell>
        </row>
        <row r="5392">
          <cell r="I5392">
            <v>6097</v>
          </cell>
          <cell r="J5392">
            <v>0.13891567123287671</v>
          </cell>
        </row>
        <row r="5393">
          <cell r="I5393">
            <v>6098</v>
          </cell>
          <cell r="J5393">
            <v>0.13891747945205479</v>
          </cell>
        </row>
        <row r="5394">
          <cell r="I5394">
            <v>6099</v>
          </cell>
          <cell r="J5394">
            <v>0.13891928767123288</v>
          </cell>
        </row>
        <row r="5395">
          <cell r="I5395">
            <v>6100</v>
          </cell>
          <cell r="J5395">
            <v>0.13892109589041096</v>
          </cell>
        </row>
        <row r="5396">
          <cell r="I5396">
            <v>6101</v>
          </cell>
          <cell r="J5396">
            <v>0.13892290410958905</v>
          </cell>
        </row>
        <row r="5397">
          <cell r="I5397">
            <v>6102</v>
          </cell>
          <cell r="J5397">
            <v>0.13892471232876713</v>
          </cell>
        </row>
        <row r="5398">
          <cell r="I5398">
            <v>6103</v>
          </cell>
          <cell r="J5398">
            <v>0.13892652054794521</v>
          </cell>
        </row>
        <row r="5399">
          <cell r="I5399">
            <v>6104</v>
          </cell>
          <cell r="J5399">
            <v>0.1389283287671233</v>
          </cell>
        </row>
        <row r="5400">
          <cell r="I5400">
            <v>6105</v>
          </cell>
          <cell r="J5400">
            <v>0.13893013698630138</v>
          </cell>
        </row>
        <row r="5401">
          <cell r="I5401">
            <v>6106</v>
          </cell>
          <cell r="J5401">
            <v>0.13893194520547947</v>
          </cell>
        </row>
        <row r="5402">
          <cell r="I5402">
            <v>6107</v>
          </cell>
          <cell r="J5402">
            <v>0.13893375342465755</v>
          </cell>
        </row>
        <row r="5403">
          <cell r="I5403">
            <v>6108</v>
          </cell>
          <cell r="J5403">
            <v>0.13893556164383561</v>
          </cell>
        </row>
        <row r="5404">
          <cell r="I5404">
            <v>6109</v>
          </cell>
          <cell r="J5404">
            <v>0.13893736986301369</v>
          </cell>
        </row>
        <row r="5405">
          <cell r="I5405">
            <v>6110</v>
          </cell>
          <cell r="J5405">
            <v>0.13893917808219178</v>
          </cell>
        </row>
        <row r="5406">
          <cell r="I5406">
            <v>6111</v>
          </cell>
          <cell r="J5406">
            <v>0.13894098630136986</v>
          </cell>
        </row>
        <row r="5407">
          <cell r="I5407">
            <v>6112</v>
          </cell>
          <cell r="J5407">
            <v>0.13894279452054795</v>
          </cell>
        </row>
        <row r="5408">
          <cell r="I5408">
            <v>6113</v>
          </cell>
          <cell r="J5408">
            <v>0.13894460273972603</v>
          </cell>
        </row>
        <row r="5409">
          <cell r="I5409">
            <v>6114</v>
          </cell>
          <cell r="J5409">
            <v>0.13894641095890412</v>
          </cell>
        </row>
        <row r="5410">
          <cell r="I5410">
            <v>6115</v>
          </cell>
          <cell r="J5410">
            <v>0.1389482191780822</v>
          </cell>
        </row>
        <row r="5411">
          <cell r="I5411">
            <v>6116</v>
          </cell>
          <cell r="J5411">
            <v>0.13895002739726028</v>
          </cell>
        </row>
        <row r="5412">
          <cell r="I5412">
            <v>6117</v>
          </cell>
          <cell r="J5412">
            <v>0.13895183561643837</v>
          </cell>
        </row>
        <row r="5413">
          <cell r="I5413">
            <v>6118</v>
          </cell>
          <cell r="J5413">
            <v>0.13895364383561645</v>
          </cell>
        </row>
        <row r="5414">
          <cell r="I5414">
            <v>6119</v>
          </cell>
          <cell r="J5414">
            <v>0.13895545205479454</v>
          </cell>
        </row>
        <row r="5415">
          <cell r="I5415">
            <v>6120</v>
          </cell>
          <cell r="J5415">
            <v>0.13895726027397259</v>
          </cell>
        </row>
        <row r="5416">
          <cell r="I5416">
            <v>6121</v>
          </cell>
          <cell r="J5416">
            <v>0.13895906849315068</v>
          </cell>
        </row>
        <row r="5417">
          <cell r="I5417">
            <v>6122</v>
          </cell>
          <cell r="J5417">
            <v>0.13896087671232876</v>
          </cell>
        </row>
        <row r="5418">
          <cell r="I5418">
            <v>6123</v>
          </cell>
          <cell r="J5418">
            <v>0.13896268493150685</v>
          </cell>
        </row>
        <row r="5419">
          <cell r="I5419">
            <v>6124</v>
          </cell>
          <cell r="J5419">
            <v>0.13896449315068493</v>
          </cell>
        </row>
        <row r="5420">
          <cell r="I5420">
            <v>6125</v>
          </cell>
          <cell r="J5420">
            <v>0.13896630136986302</v>
          </cell>
        </row>
        <row r="5421">
          <cell r="I5421">
            <v>6126</v>
          </cell>
          <cell r="J5421">
            <v>0.1389681095890411</v>
          </cell>
        </row>
        <row r="5422">
          <cell r="I5422">
            <v>6127</v>
          </cell>
          <cell r="J5422">
            <v>0.13896991780821918</v>
          </cell>
        </row>
        <row r="5423">
          <cell r="I5423">
            <v>6128</v>
          </cell>
          <cell r="J5423">
            <v>0.13897172602739727</v>
          </cell>
        </row>
        <row r="5424">
          <cell r="I5424">
            <v>6129</v>
          </cell>
          <cell r="J5424">
            <v>0.13897353424657535</v>
          </cell>
        </row>
        <row r="5425">
          <cell r="I5425">
            <v>6130</v>
          </cell>
          <cell r="J5425">
            <v>0.13897534246575344</v>
          </cell>
        </row>
        <row r="5426">
          <cell r="I5426">
            <v>6131</v>
          </cell>
          <cell r="J5426">
            <v>0.13897715068493152</v>
          </cell>
        </row>
        <row r="5427">
          <cell r="I5427">
            <v>6132</v>
          </cell>
          <cell r="J5427">
            <v>0.13897895890410961</v>
          </cell>
        </row>
        <row r="5428">
          <cell r="I5428">
            <v>6133</v>
          </cell>
          <cell r="J5428">
            <v>0.13898076712328766</v>
          </cell>
        </row>
        <row r="5429">
          <cell r="I5429">
            <v>6134</v>
          </cell>
          <cell r="J5429">
            <v>0.13898257534246575</v>
          </cell>
        </row>
        <row r="5430">
          <cell r="I5430">
            <v>6135</v>
          </cell>
          <cell r="J5430">
            <v>0.13898438356164383</v>
          </cell>
        </row>
        <row r="5431">
          <cell r="I5431">
            <v>6136</v>
          </cell>
          <cell r="J5431">
            <v>0.13898619178082192</v>
          </cell>
        </row>
        <row r="5432">
          <cell r="I5432">
            <v>6137</v>
          </cell>
          <cell r="J5432">
            <v>0.138988</v>
          </cell>
        </row>
        <row r="5433">
          <cell r="I5433">
            <v>6138</v>
          </cell>
          <cell r="J5433">
            <v>0.13898980821917808</v>
          </cell>
        </row>
        <row r="5434">
          <cell r="I5434">
            <v>6139</v>
          </cell>
          <cell r="J5434">
            <v>0.13899161643835617</v>
          </cell>
        </row>
        <row r="5435">
          <cell r="I5435">
            <v>6140</v>
          </cell>
          <cell r="J5435">
            <v>0.13899342465753425</v>
          </cell>
        </row>
        <row r="5436">
          <cell r="I5436">
            <v>6141</v>
          </cell>
          <cell r="J5436">
            <v>0.13899523287671234</v>
          </cell>
        </row>
        <row r="5437">
          <cell r="I5437">
            <v>6142</v>
          </cell>
          <cell r="J5437">
            <v>0.13899704109589042</v>
          </cell>
        </row>
        <row r="5438">
          <cell r="I5438">
            <v>6143</v>
          </cell>
          <cell r="J5438">
            <v>0.13899884931506851</v>
          </cell>
        </row>
        <row r="5439">
          <cell r="I5439">
            <v>6144</v>
          </cell>
          <cell r="J5439">
            <v>0.13900065753424659</v>
          </cell>
        </row>
        <row r="5440">
          <cell r="I5440">
            <v>6145</v>
          </cell>
          <cell r="J5440">
            <v>0.13900246575342468</v>
          </cell>
        </row>
        <row r="5441">
          <cell r="I5441">
            <v>6146</v>
          </cell>
          <cell r="J5441">
            <v>0.13900427397260273</v>
          </cell>
        </row>
        <row r="5442">
          <cell r="I5442">
            <v>6147</v>
          </cell>
          <cell r="J5442">
            <v>0.13900608219178082</v>
          </cell>
        </row>
        <row r="5443">
          <cell r="I5443">
            <v>6148</v>
          </cell>
          <cell r="J5443">
            <v>0.1390078904109589</v>
          </cell>
        </row>
        <row r="5444">
          <cell r="I5444">
            <v>6149</v>
          </cell>
          <cell r="J5444">
            <v>0.13900969863013699</v>
          </cell>
        </row>
        <row r="5445">
          <cell r="I5445">
            <v>6150</v>
          </cell>
          <cell r="J5445">
            <v>0.13901150684931507</v>
          </cell>
        </row>
        <row r="5446">
          <cell r="I5446">
            <v>6151</v>
          </cell>
          <cell r="J5446">
            <v>0.13901331506849315</v>
          </cell>
        </row>
        <row r="5447">
          <cell r="I5447">
            <v>6152</v>
          </cell>
          <cell r="J5447">
            <v>0.13901512328767124</v>
          </cell>
        </row>
        <row r="5448">
          <cell r="I5448">
            <v>6153</v>
          </cell>
          <cell r="J5448">
            <v>0.13901693150684932</v>
          </cell>
        </row>
        <row r="5449">
          <cell r="I5449">
            <v>6154</v>
          </cell>
          <cell r="J5449">
            <v>0.13901873972602741</v>
          </cell>
        </row>
        <row r="5450">
          <cell r="I5450">
            <v>6155</v>
          </cell>
          <cell r="J5450">
            <v>0.13902054794520549</v>
          </cell>
        </row>
        <row r="5451">
          <cell r="I5451">
            <v>6156</v>
          </cell>
          <cell r="J5451">
            <v>0.13902235616438358</v>
          </cell>
        </row>
        <row r="5452">
          <cell r="I5452">
            <v>6157</v>
          </cell>
          <cell r="J5452">
            <v>0.13902416438356166</v>
          </cell>
        </row>
        <row r="5453">
          <cell r="I5453">
            <v>6158</v>
          </cell>
          <cell r="J5453">
            <v>0.13902597260273974</v>
          </cell>
        </row>
        <row r="5454">
          <cell r="I5454">
            <v>6159</v>
          </cell>
          <cell r="J5454">
            <v>0.1390277808219178</v>
          </cell>
        </row>
        <row r="5455">
          <cell r="I5455">
            <v>6160</v>
          </cell>
          <cell r="J5455">
            <v>0.13902958904109589</v>
          </cell>
        </row>
        <row r="5456">
          <cell r="I5456">
            <v>6161</v>
          </cell>
          <cell r="J5456">
            <v>0.13903139726027397</v>
          </cell>
        </row>
        <row r="5457">
          <cell r="I5457">
            <v>6162</v>
          </cell>
          <cell r="J5457">
            <v>0.13903320547945205</v>
          </cell>
        </row>
        <row r="5458">
          <cell r="I5458">
            <v>6163</v>
          </cell>
          <cell r="J5458">
            <v>0.13903501369863014</v>
          </cell>
        </row>
        <row r="5459">
          <cell r="I5459">
            <v>6164</v>
          </cell>
          <cell r="J5459">
            <v>0.13903682191780822</v>
          </cell>
        </row>
        <row r="5460">
          <cell r="I5460">
            <v>6165</v>
          </cell>
          <cell r="J5460">
            <v>0.13903863013698631</v>
          </cell>
        </row>
        <row r="5461">
          <cell r="I5461">
            <v>6166</v>
          </cell>
          <cell r="J5461">
            <v>0.13904043835616439</v>
          </cell>
        </row>
        <row r="5462">
          <cell r="I5462">
            <v>6167</v>
          </cell>
          <cell r="J5462">
            <v>0.13904224657534248</v>
          </cell>
        </row>
        <row r="5463">
          <cell r="I5463">
            <v>6168</v>
          </cell>
          <cell r="J5463">
            <v>0.13904405479452056</v>
          </cell>
        </row>
        <row r="5464">
          <cell r="I5464">
            <v>6169</v>
          </cell>
          <cell r="J5464">
            <v>0.13904586301369865</v>
          </cell>
        </row>
        <row r="5465">
          <cell r="I5465">
            <v>6170</v>
          </cell>
          <cell r="J5465">
            <v>0.13904767123287673</v>
          </cell>
        </row>
        <row r="5466">
          <cell r="I5466">
            <v>6171</v>
          </cell>
          <cell r="J5466">
            <v>0.13904947945205479</v>
          </cell>
        </row>
        <row r="5467">
          <cell r="I5467">
            <v>6172</v>
          </cell>
          <cell r="J5467">
            <v>0.13905128767123287</v>
          </cell>
        </row>
        <row r="5468">
          <cell r="I5468">
            <v>6173</v>
          </cell>
          <cell r="J5468">
            <v>0.13905309589041095</v>
          </cell>
        </row>
        <row r="5469">
          <cell r="I5469">
            <v>6174</v>
          </cell>
          <cell r="J5469">
            <v>0.13905490410958904</v>
          </cell>
        </row>
        <row r="5470">
          <cell r="I5470">
            <v>6175</v>
          </cell>
          <cell r="J5470">
            <v>0.13905671232876712</v>
          </cell>
        </row>
        <row r="5471">
          <cell r="I5471">
            <v>6176</v>
          </cell>
          <cell r="J5471">
            <v>0.13905852054794521</v>
          </cell>
        </row>
        <row r="5472">
          <cell r="I5472">
            <v>6177</v>
          </cell>
          <cell r="J5472">
            <v>0.13906032876712329</v>
          </cell>
        </row>
        <row r="5473">
          <cell r="I5473">
            <v>6178</v>
          </cell>
          <cell r="J5473">
            <v>0.13906213698630138</v>
          </cell>
        </row>
        <row r="5474">
          <cell r="I5474">
            <v>6179</v>
          </cell>
          <cell r="J5474">
            <v>0.13906394520547946</v>
          </cell>
        </row>
        <row r="5475">
          <cell r="I5475">
            <v>6180</v>
          </cell>
          <cell r="J5475">
            <v>0.13906575342465755</v>
          </cell>
        </row>
        <row r="5476">
          <cell r="I5476">
            <v>6181</v>
          </cell>
          <cell r="J5476">
            <v>0.13906756164383563</v>
          </cell>
        </row>
        <row r="5477">
          <cell r="I5477">
            <v>6182</v>
          </cell>
          <cell r="J5477">
            <v>0.13906936986301371</v>
          </cell>
        </row>
        <row r="5478">
          <cell r="I5478">
            <v>6183</v>
          </cell>
          <cell r="J5478">
            <v>0.1390711780821918</v>
          </cell>
        </row>
        <row r="5479">
          <cell r="I5479">
            <v>6184</v>
          </cell>
          <cell r="J5479">
            <v>0.13907298630136986</v>
          </cell>
        </row>
        <row r="5480">
          <cell r="I5480">
            <v>6185</v>
          </cell>
          <cell r="J5480">
            <v>0.13907479452054794</v>
          </cell>
        </row>
        <row r="5481">
          <cell r="I5481">
            <v>6186</v>
          </cell>
          <cell r="J5481">
            <v>0.13907660273972602</v>
          </cell>
        </row>
        <row r="5482">
          <cell r="I5482">
            <v>6187</v>
          </cell>
          <cell r="J5482">
            <v>0.13907841095890411</v>
          </cell>
        </row>
        <row r="5483">
          <cell r="I5483">
            <v>6188</v>
          </cell>
          <cell r="J5483">
            <v>0.13908021917808219</v>
          </cell>
        </row>
        <row r="5484">
          <cell r="I5484">
            <v>6189</v>
          </cell>
          <cell r="J5484">
            <v>0.13908202739726028</v>
          </cell>
        </row>
        <row r="5485">
          <cell r="I5485">
            <v>6190</v>
          </cell>
          <cell r="J5485">
            <v>0.13908383561643836</v>
          </cell>
        </row>
        <row r="5486">
          <cell r="I5486">
            <v>6191</v>
          </cell>
          <cell r="J5486">
            <v>0.13908564383561645</v>
          </cell>
        </row>
        <row r="5487">
          <cell r="I5487">
            <v>6192</v>
          </cell>
          <cell r="J5487">
            <v>0.13908745205479453</v>
          </cell>
        </row>
        <row r="5488">
          <cell r="I5488">
            <v>6193</v>
          </cell>
          <cell r="J5488">
            <v>0.13908926027397261</v>
          </cell>
        </row>
        <row r="5489">
          <cell r="I5489">
            <v>6194</v>
          </cell>
          <cell r="J5489">
            <v>0.1390910684931507</v>
          </cell>
        </row>
        <row r="5490">
          <cell r="I5490">
            <v>6195</v>
          </cell>
          <cell r="J5490">
            <v>0.13909287671232878</v>
          </cell>
        </row>
        <row r="5491">
          <cell r="I5491">
            <v>6196</v>
          </cell>
          <cell r="J5491">
            <v>0.13909468493150687</v>
          </cell>
        </row>
        <row r="5492">
          <cell r="I5492">
            <v>6197</v>
          </cell>
          <cell r="J5492">
            <v>0.13909649315068492</v>
          </cell>
        </row>
        <row r="5493">
          <cell r="I5493">
            <v>6198</v>
          </cell>
          <cell r="J5493">
            <v>0.13909830136986301</v>
          </cell>
        </row>
        <row r="5494">
          <cell r="I5494">
            <v>6199</v>
          </cell>
          <cell r="J5494">
            <v>0.13910010958904109</v>
          </cell>
        </row>
        <row r="5495">
          <cell r="I5495">
            <v>6200</v>
          </cell>
          <cell r="J5495">
            <v>0.13910191780821918</v>
          </cell>
        </row>
        <row r="5496">
          <cell r="I5496">
            <v>6201</v>
          </cell>
          <cell r="J5496">
            <v>0.13910372602739726</v>
          </cell>
        </row>
        <row r="5497">
          <cell r="I5497">
            <v>6202</v>
          </cell>
          <cell r="J5497">
            <v>0.13910553424657535</v>
          </cell>
        </row>
        <row r="5498">
          <cell r="I5498">
            <v>6203</v>
          </cell>
          <cell r="J5498">
            <v>0.13910734246575343</v>
          </cell>
        </row>
        <row r="5499">
          <cell r="I5499">
            <v>6204</v>
          </cell>
          <cell r="J5499">
            <v>0.13910915068493152</v>
          </cell>
        </row>
        <row r="5500">
          <cell r="I5500">
            <v>6205</v>
          </cell>
          <cell r="J5500">
            <v>0.1391109589041096</v>
          </cell>
        </row>
        <row r="5501">
          <cell r="I5501">
            <v>6206</v>
          </cell>
          <cell r="J5501">
            <v>0.13911276712328768</v>
          </cell>
        </row>
        <row r="5502">
          <cell r="I5502">
            <v>6207</v>
          </cell>
          <cell r="J5502">
            <v>0.13911457534246577</v>
          </cell>
        </row>
        <row r="5503">
          <cell r="I5503">
            <v>6208</v>
          </cell>
          <cell r="J5503">
            <v>0.13911638356164385</v>
          </cell>
        </row>
        <row r="5504">
          <cell r="I5504">
            <v>6209</v>
          </cell>
          <cell r="J5504">
            <v>0.13911819178082191</v>
          </cell>
        </row>
        <row r="5505">
          <cell r="I5505">
            <v>6210</v>
          </cell>
          <cell r="J5505">
            <v>0.13911999999999999</v>
          </cell>
        </row>
        <row r="5506">
          <cell r="I5506">
            <v>6211</v>
          </cell>
          <cell r="J5506">
            <v>0.13912180821917808</v>
          </cell>
        </row>
        <row r="5507">
          <cell r="I5507">
            <v>6212</v>
          </cell>
          <cell r="J5507">
            <v>0.13912361643835616</v>
          </cell>
        </row>
        <row r="5508">
          <cell r="I5508">
            <v>6213</v>
          </cell>
          <cell r="J5508">
            <v>0.13912542465753425</v>
          </cell>
        </row>
        <row r="5509">
          <cell r="I5509">
            <v>6214</v>
          </cell>
          <cell r="J5509">
            <v>0.13912723287671233</v>
          </cell>
        </row>
        <row r="5510">
          <cell r="I5510">
            <v>6215</v>
          </cell>
          <cell r="J5510">
            <v>0.13912904109589042</v>
          </cell>
        </row>
        <row r="5511">
          <cell r="I5511">
            <v>6216</v>
          </cell>
          <cell r="J5511">
            <v>0.1391308493150685</v>
          </cell>
        </row>
        <row r="5512">
          <cell r="I5512">
            <v>6217</v>
          </cell>
          <cell r="J5512">
            <v>0.13913265753424658</v>
          </cell>
        </row>
        <row r="5513">
          <cell r="I5513">
            <v>6218</v>
          </cell>
          <cell r="J5513">
            <v>0.13913446575342467</v>
          </cell>
        </row>
        <row r="5514">
          <cell r="I5514">
            <v>6219</v>
          </cell>
          <cell r="J5514">
            <v>0.13913627397260275</v>
          </cell>
        </row>
        <row r="5515">
          <cell r="I5515">
            <v>6220</v>
          </cell>
          <cell r="J5515">
            <v>0.13913808219178084</v>
          </cell>
        </row>
        <row r="5516">
          <cell r="I5516">
            <v>6221</v>
          </cell>
          <cell r="J5516">
            <v>0.13913989041095892</v>
          </cell>
        </row>
        <row r="5517">
          <cell r="I5517">
            <v>6222</v>
          </cell>
          <cell r="J5517">
            <v>0.13914169863013698</v>
          </cell>
        </row>
        <row r="5518">
          <cell r="I5518">
            <v>6223</v>
          </cell>
          <cell r="J5518">
            <v>0.13914350684931506</v>
          </cell>
        </row>
        <row r="5519">
          <cell r="I5519">
            <v>6224</v>
          </cell>
          <cell r="J5519">
            <v>0.13914531506849315</v>
          </cell>
        </row>
        <row r="5520">
          <cell r="I5520">
            <v>6225</v>
          </cell>
          <cell r="J5520">
            <v>0.13914712328767123</v>
          </cell>
        </row>
        <row r="5521">
          <cell r="I5521">
            <v>6226</v>
          </cell>
          <cell r="J5521">
            <v>0.13914893150684932</v>
          </cell>
        </row>
        <row r="5522">
          <cell r="I5522">
            <v>6227</v>
          </cell>
          <cell r="J5522">
            <v>0.1391507397260274</v>
          </cell>
        </row>
        <row r="5523">
          <cell r="I5523">
            <v>6228</v>
          </cell>
          <cell r="J5523">
            <v>0.13915254794520548</v>
          </cell>
        </row>
        <row r="5524">
          <cell r="I5524">
            <v>6229</v>
          </cell>
          <cell r="J5524">
            <v>0.13915435616438357</v>
          </cell>
        </row>
        <row r="5525">
          <cell r="I5525">
            <v>6230</v>
          </cell>
          <cell r="J5525">
            <v>0.13915616438356165</v>
          </cell>
        </row>
        <row r="5526">
          <cell r="I5526">
            <v>6231</v>
          </cell>
          <cell r="J5526">
            <v>0.13915797260273974</v>
          </cell>
        </row>
        <row r="5527">
          <cell r="I5527">
            <v>6232</v>
          </cell>
          <cell r="J5527">
            <v>0.13915978082191782</v>
          </cell>
        </row>
        <row r="5528">
          <cell r="I5528">
            <v>6233</v>
          </cell>
          <cell r="J5528">
            <v>0.13916158904109591</v>
          </cell>
        </row>
        <row r="5529">
          <cell r="I5529">
            <v>6234</v>
          </cell>
          <cell r="J5529">
            <v>0.13916339726027399</v>
          </cell>
        </row>
        <row r="5530">
          <cell r="I5530">
            <v>6235</v>
          </cell>
          <cell r="J5530">
            <v>0.13916520547945205</v>
          </cell>
        </row>
        <row r="5531">
          <cell r="I5531">
            <v>6236</v>
          </cell>
          <cell r="J5531">
            <v>0.13916701369863013</v>
          </cell>
        </row>
        <row r="5532">
          <cell r="I5532">
            <v>6237</v>
          </cell>
          <cell r="J5532">
            <v>0.13916882191780822</v>
          </cell>
        </row>
        <row r="5533">
          <cell r="I5533">
            <v>6238</v>
          </cell>
          <cell r="J5533">
            <v>0.1391706301369863</v>
          </cell>
        </row>
        <row r="5534">
          <cell r="I5534">
            <v>6239</v>
          </cell>
          <cell r="J5534">
            <v>0.13917243835616439</v>
          </cell>
        </row>
        <row r="5535">
          <cell r="I5535">
            <v>6240</v>
          </cell>
          <cell r="J5535">
            <v>0.13917424657534247</v>
          </cell>
        </row>
        <row r="5536">
          <cell r="I5536">
            <v>6241</v>
          </cell>
          <cell r="J5536">
            <v>0.13917605479452055</v>
          </cell>
        </row>
        <row r="5537">
          <cell r="I5537">
            <v>6242</v>
          </cell>
          <cell r="J5537">
            <v>0.13917786301369864</v>
          </cell>
        </row>
        <row r="5538">
          <cell r="I5538">
            <v>6243</v>
          </cell>
          <cell r="J5538">
            <v>0.13917967123287672</v>
          </cell>
        </row>
        <row r="5539">
          <cell r="I5539">
            <v>6244</v>
          </cell>
          <cell r="J5539">
            <v>0.13918147945205481</v>
          </cell>
        </row>
        <row r="5540">
          <cell r="I5540">
            <v>6245</v>
          </cell>
          <cell r="J5540">
            <v>0.13918328767123289</v>
          </cell>
        </row>
        <row r="5541">
          <cell r="I5541">
            <v>6246</v>
          </cell>
          <cell r="J5541">
            <v>0.13918509589041098</v>
          </cell>
        </row>
        <row r="5542">
          <cell r="I5542">
            <v>6247</v>
          </cell>
          <cell r="J5542">
            <v>0.13918690410958903</v>
          </cell>
        </row>
        <row r="5543">
          <cell r="I5543">
            <v>6248</v>
          </cell>
          <cell r="J5543">
            <v>0.13918871232876712</v>
          </cell>
        </row>
        <row r="5544">
          <cell r="I5544">
            <v>6249</v>
          </cell>
          <cell r="J5544">
            <v>0.1391905205479452</v>
          </cell>
        </row>
        <row r="5545">
          <cell r="I5545">
            <v>6250</v>
          </cell>
          <cell r="J5545">
            <v>0.13919232876712329</v>
          </cell>
        </row>
        <row r="5546">
          <cell r="I5546">
            <v>6251</v>
          </cell>
          <cell r="J5546">
            <v>0.13919413698630137</v>
          </cell>
        </row>
        <row r="5547">
          <cell r="I5547">
            <v>6252</v>
          </cell>
          <cell r="J5547">
            <v>0.13919594520547945</v>
          </cell>
        </row>
        <row r="5548">
          <cell r="I5548">
            <v>6253</v>
          </cell>
          <cell r="J5548">
            <v>0.13919775342465754</v>
          </cell>
        </row>
        <row r="5549">
          <cell r="I5549">
            <v>6254</v>
          </cell>
          <cell r="J5549">
            <v>0.13919956164383562</v>
          </cell>
        </row>
        <row r="5550">
          <cell r="I5550">
            <v>6255</v>
          </cell>
          <cell r="J5550">
            <v>0.13920136986301371</v>
          </cell>
        </row>
        <row r="5551">
          <cell r="I5551">
            <v>6256</v>
          </cell>
          <cell r="J5551">
            <v>0.13920317808219179</v>
          </cell>
        </row>
        <row r="5552">
          <cell r="I5552">
            <v>6257</v>
          </cell>
          <cell r="J5552">
            <v>0.13920498630136988</v>
          </cell>
        </row>
        <row r="5553">
          <cell r="I5553">
            <v>6258</v>
          </cell>
          <cell r="J5553">
            <v>0.13920679452054796</v>
          </cell>
        </row>
        <row r="5554">
          <cell r="I5554">
            <v>6259</v>
          </cell>
          <cell r="J5554">
            <v>0.13920860273972605</v>
          </cell>
        </row>
        <row r="5555">
          <cell r="I5555">
            <v>6260</v>
          </cell>
          <cell r="J5555">
            <v>0.1392104109589041</v>
          </cell>
        </row>
        <row r="5556">
          <cell r="I5556">
            <v>6261</v>
          </cell>
          <cell r="J5556">
            <v>0.13921221917808219</v>
          </cell>
        </row>
        <row r="5557">
          <cell r="I5557">
            <v>6262</v>
          </cell>
          <cell r="J5557">
            <v>0.13921402739726027</v>
          </cell>
        </row>
        <row r="5558">
          <cell r="I5558">
            <v>6263</v>
          </cell>
          <cell r="J5558">
            <v>0.13921583561643835</v>
          </cell>
        </row>
        <row r="5559">
          <cell r="I5559">
            <v>6264</v>
          </cell>
          <cell r="J5559">
            <v>0.13921764383561644</v>
          </cell>
        </row>
        <row r="5560">
          <cell r="I5560">
            <v>6265</v>
          </cell>
          <cell r="J5560">
            <v>0.13921945205479452</v>
          </cell>
        </row>
        <row r="5561">
          <cell r="I5561">
            <v>6266</v>
          </cell>
          <cell r="J5561">
            <v>0.13922126027397261</v>
          </cell>
        </row>
        <row r="5562">
          <cell r="I5562">
            <v>6267</v>
          </cell>
          <cell r="J5562">
            <v>0.13922306849315069</v>
          </cell>
        </row>
        <row r="5563">
          <cell r="I5563">
            <v>6268</v>
          </cell>
          <cell r="J5563">
            <v>0.13922487671232878</v>
          </cell>
        </row>
        <row r="5564">
          <cell r="I5564">
            <v>6269</v>
          </cell>
          <cell r="J5564">
            <v>0.13922668493150686</v>
          </cell>
        </row>
        <row r="5565">
          <cell r="I5565">
            <v>6270</v>
          </cell>
          <cell r="J5565">
            <v>0.13922849315068495</v>
          </cell>
        </row>
        <row r="5566">
          <cell r="I5566">
            <v>6271</v>
          </cell>
          <cell r="J5566">
            <v>0.13923030136986303</v>
          </cell>
        </row>
        <row r="5567">
          <cell r="I5567">
            <v>6272</v>
          </cell>
          <cell r="J5567">
            <v>0.13923210958904111</v>
          </cell>
        </row>
        <row r="5568">
          <cell r="I5568">
            <v>6273</v>
          </cell>
          <cell r="J5568">
            <v>0.13923391780821917</v>
          </cell>
        </row>
        <row r="5569">
          <cell r="I5569">
            <v>6274</v>
          </cell>
          <cell r="J5569">
            <v>0.13923572602739726</v>
          </cell>
        </row>
        <row r="5570">
          <cell r="I5570">
            <v>6275</v>
          </cell>
          <cell r="J5570">
            <v>0.13923753424657534</v>
          </cell>
        </row>
        <row r="5571">
          <cell r="I5571">
            <v>6276</v>
          </cell>
          <cell r="J5571">
            <v>0.13923934246575342</v>
          </cell>
        </row>
        <row r="5572">
          <cell r="I5572">
            <v>6277</v>
          </cell>
          <cell r="J5572">
            <v>0.13924115068493151</v>
          </cell>
        </row>
        <row r="5573">
          <cell r="I5573">
            <v>6278</v>
          </cell>
          <cell r="J5573">
            <v>0.13924295890410959</v>
          </cell>
        </row>
        <row r="5574">
          <cell r="I5574">
            <v>6279</v>
          </cell>
          <cell r="J5574">
            <v>0.13924476712328768</v>
          </cell>
        </row>
        <row r="5575">
          <cell r="I5575">
            <v>6280</v>
          </cell>
          <cell r="J5575">
            <v>0.13924657534246576</v>
          </cell>
        </row>
        <row r="5576">
          <cell r="I5576">
            <v>6281</v>
          </cell>
          <cell r="J5576">
            <v>0.13924838356164385</v>
          </cell>
        </row>
        <row r="5577">
          <cell r="I5577">
            <v>6282</v>
          </cell>
          <cell r="J5577">
            <v>0.13925019178082193</v>
          </cell>
        </row>
        <row r="5578">
          <cell r="I5578">
            <v>6283</v>
          </cell>
          <cell r="J5578">
            <v>0.13925200000000001</v>
          </cell>
        </row>
        <row r="5579">
          <cell r="I5579">
            <v>6284</v>
          </cell>
          <cell r="J5579">
            <v>0.1392538082191781</v>
          </cell>
        </row>
        <row r="5580">
          <cell r="I5580">
            <v>6285</v>
          </cell>
          <cell r="J5580">
            <v>0.13925561643835616</v>
          </cell>
        </row>
        <row r="5581">
          <cell r="I5581">
            <v>6286</v>
          </cell>
          <cell r="J5581">
            <v>0.13925742465753424</v>
          </cell>
        </row>
        <row r="5582">
          <cell r="I5582">
            <v>6287</v>
          </cell>
          <cell r="J5582">
            <v>0.13925923287671232</v>
          </cell>
        </row>
        <row r="5583">
          <cell r="I5583">
            <v>6288</v>
          </cell>
          <cell r="J5583">
            <v>0.13926104109589041</v>
          </cell>
        </row>
        <row r="5584">
          <cell r="I5584">
            <v>6289</v>
          </cell>
          <cell r="J5584">
            <v>0.13926284931506849</v>
          </cell>
        </row>
        <row r="5585">
          <cell r="I5585">
            <v>6290</v>
          </cell>
          <cell r="J5585">
            <v>0.13926465753424658</v>
          </cell>
        </row>
        <row r="5586">
          <cell r="I5586">
            <v>6291</v>
          </cell>
          <cell r="J5586">
            <v>0.13926646575342466</v>
          </cell>
        </row>
        <row r="5587">
          <cell r="I5587">
            <v>6292</v>
          </cell>
          <cell r="J5587">
            <v>0.13926827397260275</v>
          </cell>
        </row>
        <row r="5588">
          <cell r="I5588">
            <v>6293</v>
          </cell>
          <cell r="J5588">
            <v>0.13927008219178083</v>
          </cell>
        </row>
        <row r="5589">
          <cell r="I5589">
            <v>6294</v>
          </cell>
          <cell r="J5589">
            <v>0.13927189041095892</v>
          </cell>
        </row>
        <row r="5590">
          <cell r="I5590">
            <v>6295</v>
          </cell>
          <cell r="J5590">
            <v>0.139273698630137</v>
          </cell>
        </row>
        <row r="5591">
          <cell r="I5591">
            <v>6296</v>
          </cell>
          <cell r="J5591">
            <v>0.13927550684931508</v>
          </cell>
        </row>
        <row r="5592">
          <cell r="I5592">
            <v>6297</v>
          </cell>
          <cell r="J5592">
            <v>0.13927731506849317</v>
          </cell>
        </row>
        <row r="5593">
          <cell r="I5593">
            <v>6298</v>
          </cell>
          <cell r="J5593">
            <v>0.13927912328767122</v>
          </cell>
        </row>
        <row r="5594">
          <cell r="I5594">
            <v>6299</v>
          </cell>
          <cell r="J5594">
            <v>0.13928093150684931</v>
          </cell>
        </row>
        <row r="5595">
          <cell r="I5595">
            <v>6300</v>
          </cell>
          <cell r="J5595">
            <v>0.13928273972602739</v>
          </cell>
        </row>
        <row r="5596">
          <cell r="I5596">
            <v>6301</v>
          </cell>
          <cell r="J5596">
            <v>0.13928454794520548</v>
          </cell>
        </row>
        <row r="5597">
          <cell r="I5597">
            <v>6302</v>
          </cell>
          <cell r="J5597">
            <v>0.13928635616438356</v>
          </cell>
        </row>
        <row r="5598">
          <cell r="I5598">
            <v>6303</v>
          </cell>
          <cell r="J5598">
            <v>0.13928816438356165</v>
          </cell>
        </row>
        <row r="5599">
          <cell r="I5599">
            <v>6304</v>
          </cell>
          <cell r="J5599">
            <v>0.13928997260273973</v>
          </cell>
        </row>
        <row r="5600">
          <cell r="I5600">
            <v>6305</v>
          </cell>
          <cell r="J5600">
            <v>0.13929178082191782</v>
          </cell>
        </row>
        <row r="5601">
          <cell r="I5601">
            <v>6306</v>
          </cell>
          <cell r="J5601">
            <v>0.1392935890410959</v>
          </cell>
        </row>
        <row r="5602">
          <cell r="I5602">
            <v>6307</v>
          </cell>
          <cell r="J5602">
            <v>0.13929539726027398</v>
          </cell>
        </row>
        <row r="5603">
          <cell r="I5603">
            <v>6308</v>
          </cell>
          <cell r="J5603">
            <v>0.13929720547945207</v>
          </cell>
        </row>
        <row r="5604">
          <cell r="I5604">
            <v>6309</v>
          </cell>
          <cell r="J5604">
            <v>0.13929901369863015</v>
          </cell>
        </row>
        <row r="5605">
          <cell r="I5605">
            <v>6310</v>
          </cell>
          <cell r="J5605">
            <v>0.13930082191780824</v>
          </cell>
        </row>
        <row r="5606">
          <cell r="I5606">
            <v>6311</v>
          </cell>
          <cell r="J5606">
            <v>0.13930263013698629</v>
          </cell>
        </row>
        <row r="5607">
          <cell r="I5607">
            <v>6312</v>
          </cell>
          <cell r="J5607">
            <v>0.13930443835616438</v>
          </cell>
        </row>
        <row r="5608">
          <cell r="I5608">
            <v>6313</v>
          </cell>
          <cell r="J5608">
            <v>0.13930624657534246</v>
          </cell>
        </row>
        <row r="5609">
          <cell r="I5609">
            <v>6314</v>
          </cell>
          <cell r="J5609">
            <v>0.13930805479452055</v>
          </cell>
        </row>
        <row r="5610">
          <cell r="I5610">
            <v>6315</v>
          </cell>
          <cell r="J5610">
            <v>0.13930986301369863</v>
          </cell>
        </row>
        <row r="5611">
          <cell r="I5611">
            <v>6316</v>
          </cell>
          <cell r="J5611">
            <v>0.13931167123287672</v>
          </cell>
        </row>
        <row r="5612">
          <cell r="I5612">
            <v>6317</v>
          </cell>
          <cell r="J5612">
            <v>0.1393134794520548</v>
          </cell>
        </row>
        <row r="5613">
          <cell r="I5613">
            <v>6318</v>
          </cell>
          <cell r="J5613">
            <v>0.13931528767123288</v>
          </cell>
        </row>
        <row r="5614">
          <cell r="I5614">
            <v>6319</v>
          </cell>
          <cell r="J5614">
            <v>0.13931709589041097</v>
          </cell>
        </row>
        <row r="5615">
          <cell r="I5615">
            <v>6320</v>
          </cell>
          <cell r="J5615">
            <v>0.13931890410958905</v>
          </cell>
        </row>
        <row r="5616">
          <cell r="I5616">
            <v>6321</v>
          </cell>
          <cell r="J5616">
            <v>0.13932071232876714</v>
          </cell>
        </row>
        <row r="5617">
          <cell r="I5617">
            <v>6322</v>
          </cell>
          <cell r="J5617">
            <v>0.13932252054794522</v>
          </cell>
        </row>
        <row r="5618">
          <cell r="I5618">
            <v>6323</v>
          </cell>
          <cell r="J5618">
            <v>0.13932432876712328</v>
          </cell>
        </row>
        <row r="5619">
          <cell r="I5619">
            <v>6324</v>
          </cell>
          <cell r="J5619">
            <v>0.13932613698630136</v>
          </cell>
        </row>
        <row r="5620">
          <cell r="I5620">
            <v>6325</v>
          </cell>
          <cell r="J5620">
            <v>0.13932794520547945</v>
          </cell>
        </row>
        <row r="5621">
          <cell r="I5621">
            <v>6326</v>
          </cell>
          <cell r="J5621">
            <v>0.13932975342465753</v>
          </cell>
        </row>
        <row r="5622">
          <cell r="I5622">
            <v>6327</v>
          </cell>
          <cell r="J5622">
            <v>0.13933156164383562</v>
          </cell>
        </row>
        <row r="5623">
          <cell r="I5623">
            <v>6328</v>
          </cell>
          <cell r="J5623">
            <v>0.1393333698630137</v>
          </cell>
        </row>
        <row r="5624">
          <cell r="I5624">
            <v>6329</v>
          </cell>
          <cell r="J5624">
            <v>0.13933517808219179</v>
          </cell>
        </row>
        <row r="5625">
          <cell r="I5625">
            <v>6330</v>
          </cell>
          <cell r="J5625">
            <v>0.13933698630136987</v>
          </cell>
        </row>
        <row r="5626">
          <cell r="I5626">
            <v>6331</v>
          </cell>
          <cell r="J5626">
            <v>0.13933879452054795</v>
          </cell>
        </row>
        <row r="5627">
          <cell r="I5627">
            <v>6332</v>
          </cell>
          <cell r="J5627">
            <v>0.13934060273972604</v>
          </cell>
        </row>
        <row r="5628">
          <cell r="I5628">
            <v>6333</v>
          </cell>
          <cell r="J5628">
            <v>0.13934241095890412</v>
          </cell>
        </row>
        <row r="5629">
          <cell r="I5629">
            <v>6334</v>
          </cell>
          <cell r="J5629">
            <v>0.13934421917808221</v>
          </cell>
        </row>
        <row r="5630">
          <cell r="I5630">
            <v>6335</v>
          </cell>
          <cell r="J5630">
            <v>0.13934602739726029</v>
          </cell>
        </row>
        <row r="5631">
          <cell r="I5631">
            <v>6336</v>
          </cell>
          <cell r="J5631">
            <v>0.13934783561643835</v>
          </cell>
        </row>
        <row r="5632">
          <cell r="I5632">
            <v>6337</v>
          </cell>
          <cell r="J5632">
            <v>0.13934964383561643</v>
          </cell>
        </row>
        <row r="5633">
          <cell r="I5633">
            <v>6338</v>
          </cell>
          <cell r="J5633">
            <v>0.13935145205479452</v>
          </cell>
        </row>
        <row r="5634">
          <cell r="I5634">
            <v>6339</v>
          </cell>
          <cell r="J5634">
            <v>0.1393532602739726</v>
          </cell>
        </row>
        <row r="5635">
          <cell r="I5635">
            <v>6340</v>
          </cell>
          <cell r="J5635">
            <v>0.13935506849315069</v>
          </cell>
        </row>
        <row r="5636">
          <cell r="I5636">
            <v>6341</v>
          </cell>
          <cell r="J5636">
            <v>0.13935687671232877</v>
          </cell>
        </row>
        <row r="5637">
          <cell r="I5637">
            <v>6342</v>
          </cell>
          <cell r="J5637">
            <v>0.13935868493150685</v>
          </cell>
        </row>
        <row r="5638">
          <cell r="I5638">
            <v>6343</v>
          </cell>
          <cell r="J5638">
            <v>0.13936049315068494</v>
          </cell>
        </row>
        <row r="5639">
          <cell r="I5639">
            <v>6344</v>
          </cell>
          <cell r="J5639">
            <v>0.13936230136986302</v>
          </cell>
        </row>
        <row r="5640">
          <cell r="I5640">
            <v>6345</v>
          </cell>
          <cell r="J5640">
            <v>0.13936410958904111</v>
          </cell>
        </row>
        <row r="5641">
          <cell r="I5641">
            <v>6346</v>
          </cell>
          <cell r="J5641">
            <v>0.13936591780821919</v>
          </cell>
        </row>
        <row r="5642">
          <cell r="I5642">
            <v>6347</v>
          </cell>
          <cell r="J5642">
            <v>0.13936772602739728</v>
          </cell>
        </row>
        <row r="5643">
          <cell r="I5643">
            <v>6348</v>
          </cell>
          <cell r="J5643">
            <v>0.13936953424657536</v>
          </cell>
        </row>
        <row r="5644">
          <cell r="I5644">
            <v>6349</v>
          </cell>
          <cell r="J5644">
            <v>0.13937134246575342</v>
          </cell>
        </row>
        <row r="5645">
          <cell r="I5645">
            <v>6350</v>
          </cell>
          <cell r="J5645">
            <v>0.1393731506849315</v>
          </cell>
        </row>
        <row r="5646">
          <cell r="I5646">
            <v>6351</v>
          </cell>
          <cell r="J5646">
            <v>0.13937495890410959</v>
          </cell>
        </row>
        <row r="5647">
          <cell r="I5647">
            <v>6352</v>
          </cell>
          <cell r="J5647">
            <v>0.13937676712328767</v>
          </cell>
        </row>
        <row r="5648">
          <cell r="I5648">
            <v>6353</v>
          </cell>
          <cell r="J5648">
            <v>0.13937857534246575</v>
          </cell>
        </row>
        <row r="5649">
          <cell r="I5649">
            <v>6354</v>
          </cell>
          <cell r="J5649">
            <v>0.13938038356164384</v>
          </cell>
        </row>
        <row r="5650">
          <cell r="I5650">
            <v>6355</v>
          </cell>
          <cell r="J5650">
            <v>0.13938219178082192</v>
          </cell>
        </row>
        <row r="5651">
          <cell r="I5651">
            <v>6356</v>
          </cell>
          <cell r="J5651">
            <v>0.13938400000000001</v>
          </cell>
        </row>
        <row r="5652">
          <cell r="I5652">
            <v>6357</v>
          </cell>
          <cell r="J5652">
            <v>0.13938580821917809</v>
          </cell>
        </row>
        <row r="5653">
          <cell r="I5653">
            <v>6358</v>
          </cell>
          <cell r="J5653">
            <v>0.13938761643835618</v>
          </cell>
        </row>
        <row r="5654">
          <cell r="I5654">
            <v>6359</v>
          </cell>
          <cell r="J5654">
            <v>0.13938942465753426</v>
          </cell>
        </row>
        <row r="5655">
          <cell r="I5655">
            <v>6360</v>
          </cell>
          <cell r="J5655">
            <v>0.13939123287671235</v>
          </cell>
        </row>
        <row r="5656">
          <cell r="I5656">
            <v>6361</v>
          </cell>
          <cell r="J5656">
            <v>0.1393930410958904</v>
          </cell>
        </row>
        <row r="5657">
          <cell r="I5657">
            <v>6362</v>
          </cell>
          <cell r="J5657">
            <v>0.13939484931506849</v>
          </cell>
        </row>
        <row r="5658">
          <cell r="I5658">
            <v>6363</v>
          </cell>
          <cell r="J5658">
            <v>0.13939665753424657</v>
          </cell>
        </row>
        <row r="5659">
          <cell r="I5659">
            <v>6364</v>
          </cell>
          <cell r="J5659">
            <v>0.13939846575342466</v>
          </cell>
        </row>
        <row r="5660">
          <cell r="I5660">
            <v>6365</v>
          </cell>
          <cell r="J5660">
            <v>0.13940027397260274</v>
          </cell>
        </row>
        <row r="5661">
          <cell r="I5661">
            <v>6366</v>
          </cell>
          <cell r="J5661">
            <v>0.13940208219178082</v>
          </cell>
        </row>
        <row r="5662">
          <cell r="I5662">
            <v>6367</v>
          </cell>
          <cell r="J5662">
            <v>0.13940389041095891</v>
          </cell>
        </row>
        <row r="5663">
          <cell r="I5663">
            <v>6368</v>
          </cell>
          <cell r="J5663">
            <v>0.13940569863013699</v>
          </cell>
        </row>
        <row r="5664">
          <cell r="I5664">
            <v>6369</v>
          </cell>
          <cell r="J5664">
            <v>0.13940750684931508</v>
          </cell>
        </row>
        <row r="5665">
          <cell r="I5665">
            <v>6370</v>
          </cell>
          <cell r="J5665">
            <v>0.13940931506849316</v>
          </cell>
        </row>
        <row r="5666">
          <cell r="I5666">
            <v>6371</v>
          </cell>
          <cell r="J5666">
            <v>0.13941112328767125</v>
          </cell>
        </row>
        <row r="5667">
          <cell r="I5667">
            <v>6372</v>
          </cell>
          <cell r="J5667">
            <v>0.13941293150684933</v>
          </cell>
        </row>
        <row r="5668">
          <cell r="I5668">
            <v>6373</v>
          </cell>
          <cell r="J5668">
            <v>0.13941473972602741</v>
          </cell>
        </row>
        <row r="5669">
          <cell r="I5669">
            <v>6374</v>
          </cell>
          <cell r="J5669">
            <v>0.13941654794520547</v>
          </cell>
        </row>
        <row r="5670">
          <cell r="I5670">
            <v>6375</v>
          </cell>
          <cell r="J5670">
            <v>0.13941835616438356</v>
          </cell>
        </row>
        <row r="5671">
          <cell r="I5671">
            <v>6376</v>
          </cell>
          <cell r="J5671">
            <v>0.13942016438356164</v>
          </cell>
        </row>
        <row r="5672">
          <cell r="I5672">
            <v>6377</v>
          </cell>
          <cell r="J5672">
            <v>0.13942197260273972</v>
          </cell>
        </row>
        <row r="5673">
          <cell r="I5673">
            <v>6378</v>
          </cell>
          <cell r="J5673">
            <v>0.13942378082191781</v>
          </cell>
        </row>
        <row r="5674">
          <cell r="I5674">
            <v>6379</v>
          </cell>
          <cell r="J5674">
            <v>0.13942558904109589</v>
          </cell>
        </row>
        <row r="5675">
          <cell r="I5675">
            <v>6380</v>
          </cell>
          <cell r="J5675">
            <v>0.13942739726027398</v>
          </cell>
        </row>
        <row r="5676">
          <cell r="I5676">
            <v>6381</v>
          </cell>
          <cell r="J5676">
            <v>0.13942920547945206</v>
          </cell>
        </row>
        <row r="5677">
          <cell r="I5677">
            <v>6382</v>
          </cell>
          <cell r="J5677">
            <v>0.13943101369863015</v>
          </cell>
        </row>
        <row r="5678">
          <cell r="I5678">
            <v>6383</v>
          </cell>
          <cell r="J5678">
            <v>0.13943282191780823</v>
          </cell>
        </row>
        <row r="5679">
          <cell r="I5679">
            <v>6384</v>
          </cell>
          <cell r="J5679">
            <v>0.13943463013698632</v>
          </cell>
        </row>
        <row r="5680">
          <cell r="I5680">
            <v>6385</v>
          </cell>
          <cell r="J5680">
            <v>0.1394364383561644</v>
          </cell>
        </row>
        <row r="5681">
          <cell r="I5681">
            <v>6386</v>
          </cell>
          <cell r="J5681">
            <v>0.13943824657534248</v>
          </cell>
        </row>
        <row r="5682">
          <cell r="I5682">
            <v>6387</v>
          </cell>
          <cell r="J5682">
            <v>0.13944005479452054</v>
          </cell>
        </row>
        <row r="5683">
          <cell r="I5683">
            <v>6388</v>
          </cell>
          <cell r="J5683">
            <v>0.13944186301369862</v>
          </cell>
        </row>
        <row r="5684">
          <cell r="I5684">
            <v>6389</v>
          </cell>
          <cell r="J5684">
            <v>0.13944367123287671</v>
          </cell>
        </row>
        <row r="5685">
          <cell r="I5685">
            <v>6390</v>
          </cell>
          <cell r="J5685">
            <v>0.13944547945205479</v>
          </cell>
        </row>
        <row r="5686">
          <cell r="I5686">
            <v>6391</v>
          </cell>
          <cell r="J5686">
            <v>0.13944728767123288</v>
          </cell>
        </row>
        <row r="5687">
          <cell r="I5687">
            <v>6392</v>
          </cell>
          <cell r="J5687">
            <v>0.13944909589041096</v>
          </cell>
        </row>
        <row r="5688">
          <cell r="I5688">
            <v>6393</v>
          </cell>
          <cell r="J5688">
            <v>0.13945090410958905</v>
          </cell>
        </row>
        <row r="5689">
          <cell r="I5689">
            <v>6394</v>
          </cell>
          <cell r="J5689">
            <v>0.13945271232876713</v>
          </cell>
        </row>
        <row r="5690">
          <cell r="I5690">
            <v>6395</v>
          </cell>
          <cell r="J5690">
            <v>0.13945452054794522</v>
          </cell>
        </row>
        <row r="5691">
          <cell r="I5691">
            <v>6396</v>
          </cell>
          <cell r="J5691">
            <v>0.1394563287671233</v>
          </cell>
        </row>
        <row r="5692">
          <cell r="I5692">
            <v>6397</v>
          </cell>
          <cell r="J5692">
            <v>0.13945813698630138</v>
          </cell>
        </row>
        <row r="5693">
          <cell r="I5693">
            <v>6398</v>
          </cell>
          <cell r="J5693">
            <v>0.13945994520547947</v>
          </cell>
        </row>
        <row r="5694">
          <cell r="I5694">
            <v>6399</v>
          </cell>
          <cell r="J5694">
            <v>0.13946175342465753</v>
          </cell>
        </row>
        <row r="5695">
          <cell r="I5695">
            <v>6400</v>
          </cell>
          <cell r="J5695">
            <v>0.13946356164383561</v>
          </cell>
        </row>
        <row r="5696">
          <cell r="I5696">
            <v>6401</v>
          </cell>
          <cell r="J5696">
            <v>0.13946536986301369</v>
          </cell>
        </row>
        <row r="5697">
          <cell r="I5697">
            <v>6402</v>
          </cell>
          <cell r="J5697">
            <v>0.13946717808219178</v>
          </cell>
        </row>
        <row r="5698">
          <cell r="I5698">
            <v>6403</v>
          </cell>
          <cell r="J5698">
            <v>0.13946898630136986</v>
          </cell>
        </row>
        <row r="5699">
          <cell r="I5699">
            <v>6404</v>
          </cell>
          <cell r="J5699">
            <v>0.13947079452054795</v>
          </cell>
        </row>
        <row r="5700">
          <cell r="I5700">
            <v>6405</v>
          </cell>
          <cell r="J5700">
            <v>0.13947260273972603</v>
          </cell>
        </row>
        <row r="5701">
          <cell r="I5701">
            <v>6406</v>
          </cell>
          <cell r="J5701">
            <v>0.13947441095890412</v>
          </cell>
        </row>
        <row r="5702">
          <cell r="I5702">
            <v>6407</v>
          </cell>
          <cell r="J5702">
            <v>0.1394762191780822</v>
          </cell>
        </row>
        <row r="5703">
          <cell r="I5703">
            <v>6408</v>
          </cell>
          <cell r="J5703">
            <v>0.13947802739726028</v>
          </cell>
        </row>
        <row r="5704">
          <cell r="I5704">
            <v>6409</v>
          </cell>
          <cell r="J5704">
            <v>0.13947983561643837</v>
          </cell>
        </row>
        <row r="5705">
          <cell r="I5705">
            <v>6410</v>
          </cell>
          <cell r="J5705">
            <v>0.13948164383561645</v>
          </cell>
        </row>
        <row r="5706">
          <cell r="I5706">
            <v>6411</v>
          </cell>
          <cell r="J5706">
            <v>0.13948345205479454</v>
          </cell>
        </row>
        <row r="5707">
          <cell r="I5707">
            <v>6412</v>
          </cell>
          <cell r="J5707">
            <v>0.13948526027397259</v>
          </cell>
        </row>
        <row r="5708">
          <cell r="I5708">
            <v>6413</v>
          </cell>
          <cell r="J5708">
            <v>0.13948706849315068</v>
          </cell>
        </row>
        <row r="5709">
          <cell r="I5709">
            <v>6414</v>
          </cell>
          <cell r="J5709">
            <v>0.13948887671232876</v>
          </cell>
        </row>
        <row r="5710">
          <cell r="I5710">
            <v>6415</v>
          </cell>
          <cell r="J5710">
            <v>0.13949068493150685</v>
          </cell>
        </row>
        <row r="5711">
          <cell r="I5711">
            <v>6416</v>
          </cell>
          <cell r="J5711">
            <v>0.13949249315068493</v>
          </cell>
        </row>
        <row r="5712">
          <cell r="I5712">
            <v>6417</v>
          </cell>
          <cell r="J5712">
            <v>0.13949430136986302</v>
          </cell>
        </row>
        <row r="5713">
          <cell r="I5713">
            <v>6418</v>
          </cell>
          <cell r="J5713">
            <v>0.1394961095890411</v>
          </cell>
        </row>
        <row r="5714">
          <cell r="I5714">
            <v>6419</v>
          </cell>
          <cell r="J5714">
            <v>0.13949791780821919</v>
          </cell>
        </row>
        <row r="5715">
          <cell r="I5715">
            <v>6420</v>
          </cell>
          <cell r="J5715">
            <v>0.13949972602739727</v>
          </cell>
        </row>
        <row r="5716">
          <cell r="I5716">
            <v>6421</v>
          </cell>
          <cell r="J5716">
            <v>0.13950153424657535</v>
          </cell>
        </row>
        <row r="5717">
          <cell r="I5717">
            <v>6422</v>
          </cell>
          <cell r="J5717">
            <v>0.13950334246575344</v>
          </cell>
        </row>
        <row r="5718">
          <cell r="I5718">
            <v>6423</v>
          </cell>
          <cell r="J5718">
            <v>0.13950515068493152</v>
          </cell>
        </row>
        <row r="5719">
          <cell r="I5719">
            <v>6424</v>
          </cell>
          <cell r="J5719">
            <v>0.13950695890410961</v>
          </cell>
        </row>
        <row r="5720">
          <cell r="I5720">
            <v>6425</v>
          </cell>
          <cell r="J5720">
            <v>0.13950876712328766</v>
          </cell>
        </row>
        <row r="5721">
          <cell r="I5721">
            <v>6426</v>
          </cell>
          <cell r="J5721">
            <v>0.13951057534246575</v>
          </cell>
        </row>
        <row r="5722">
          <cell r="I5722">
            <v>6427</v>
          </cell>
          <cell r="J5722">
            <v>0.13951238356164383</v>
          </cell>
        </row>
        <row r="5723">
          <cell r="I5723">
            <v>6428</v>
          </cell>
          <cell r="J5723">
            <v>0.13951419178082192</v>
          </cell>
        </row>
        <row r="5724">
          <cell r="I5724">
            <v>6429</v>
          </cell>
          <cell r="J5724">
            <v>0.139516</v>
          </cell>
        </row>
        <row r="5725">
          <cell r="I5725">
            <v>6430</v>
          </cell>
          <cell r="J5725">
            <v>0.13951780821917809</v>
          </cell>
        </row>
        <row r="5726">
          <cell r="I5726">
            <v>6431</v>
          </cell>
          <cell r="J5726">
            <v>0.13951961643835617</v>
          </cell>
        </row>
        <row r="5727">
          <cell r="I5727">
            <v>6432</v>
          </cell>
          <cell r="J5727">
            <v>0.13952142465753425</v>
          </cell>
        </row>
        <row r="5728">
          <cell r="I5728">
            <v>6433</v>
          </cell>
          <cell r="J5728">
            <v>0.13952323287671234</v>
          </cell>
        </row>
        <row r="5729">
          <cell r="I5729">
            <v>6434</v>
          </cell>
          <cell r="J5729">
            <v>0.13952504109589042</v>
          </cell>
        </row>
        <row r="5730">
          <cell r="I5730">
            <v>6435</v>
          </cell>
          <cell r="J5730">
            <v>0.13952684931506851</v>
          </cell>
        </row>
        <row r="5731">
          <cell r="I5731">
            <v>6436</v>
          </cell>
          <cell r="J5731">
            <v>0.13952865753424659</v>
          </cell>
        </row>
        <row r="5732">
          <cell r="I5732">
            <v>6437</v>
          </cell>
          <cell r="J5732">
            <v>0.13953046575342465</v>
          </cell>
        </row>
        <row r="5733">
          <cell r="I5733">
            <v>6438</v>
          </cell>
          <cell r="J5733">
            <v>0.13953227397260273</v>
          </cell>
        </row>
        <row r="5734">
          <cell r="I5734">
            <v>6439</v>
          </cell>
          <cell r="J5734">
            <v>0.13953408219178082</v>
          </cell>
        </row>
        <row r="5735">
          <cell r="I5735">
            <v>6440</v>
          </cell>
          <cell r="J5735">
            <v>0.1395358904109589</v>
          </cell>
        </row>
        <row r="5736">
          <cell r="I5736">
            <v>6441</v>
          </cell>
          <cell r="J5736">
            <v>0.13953769863013699</v>
          </cell>
        </row>
        <row r="5737">
          <cell r="I5737">
            <v>6442</v>
          </cell>
          <cell r="J5737">
            <v>0.13953950684931507</v>
          </cell>
        </row>
        <row r="5738">
          <cell r="I5738">
            <v>6443</v>
          </cell>
          <cell r="J5738">
            <v>0.13954131506849315</v>
          </cell>
        </row>
        <row r="5739">
          <cell r="I5739">
            <v>6444</v>
          </cell>
          <cell r="J5739">
            <v>0.13954312328767124</v>
          </cell>
        </row>
        <row r="5740">
          <cell r="I5740">
            <v>6445</v>
          </cell>
          <cell r="J5740">
            <v>0.13954493150684932</v>
          </cell>
        </row>
        <row r="5741">
          <cell r="I5741">
            <v>6446</v>
          </cell>
          <cell r="J5741">
            <v>0.13954673972602741</v>
          </cell>
        </row>
        <row r="5742">
          <cell r="I5742">
            <v>6447</v>
          </cell>
          <cell r="J5742">
            <v>0.13954854794520549</v>
          </cell>
        </row>
        <row r="5743">
          <cell r="I5743">
            <v>6448</v>
          </cell>
          <cell r="J5743">
            <v>0.13955035616438358</v>
          </cell>
        </row>
        <row r="5744">
          <cell r="I5744">
            <v>6449</v>
          </cell>
          <cell r="J5744">
            <v>0.13955216438356166</v>
          </cell>
        </row>
        <row r="5745">
          <cell r="I5745">
            <v>6450</v>
          </cell>
          <cell r="J5745">
            <v>0.13955397260273972</v>
          </cell>
        </row>
        <row r="5746">
          <cell r="I5746">
            <v>6451</v>
          </cell>
          <cell r="J5746">
            <v>0.1395557808219178</v>
          </cell>
        </row>
        <row r="5747">
          <cell r="I5747">
            <v>6452</v>
          </cell>
          <cell r="J5747">
            <v>0.13955758904109589</v>
          </cell>
        </row>
        <row r="5748">
          <cell r="I5748">
            <v>6453</v>
          </cell>
          <cell r="J5748">
            <v>0.13955939726027397</v>
          </cell>
        </row>
        <row r="5749">
          <cell r="I5749">
            <v>6454</v>
          </cell>
          <cell r="J5749">
            <v>0.13956120547945206</v>
          </cell>
        </row>
        <row r="5750">
          <cell r="I5750">
            <v>6455</v>
          </cell>
          <cell r="J5750">
            <v>0.13956301369863014</v>
          </cell>
        </row>
        <row r="5751">
          <cell r="I5751">
            <v>6456</v>
          </cell>
          <cell r="J5751">
            <v>0.13956482191780822</v>
          </cell>
        </row>
        <row r="5752">
          <cell r="I5752">
            <v>6457</v>
          </cell>
          <cell r="J5752">
            <v>0.13956663013698631</v>
          </cell>
        </row>
        <row r="5753">
          <cell r="I5753">
            <v>6458</v>
          </cell>
          <cell r="J5753">
            <v>0.13956843835616439</v>
          </cell>
        </row>
        <row r="5754">
          <cell r="I5754">
            <v>6459</v>
          </cell>
          <cell r="J5754">
            <v>0.13957024657534248</v>
          </cell>
        </row>
        <row r="5755">
          <cell r="I5755">
            <v>6460</v>
          </cell>
          <cell r="J5755">
            <v>0.13957205479452056</v>
          </cell>
        </row>
        <row r="5756">
          <cell r="I5756">
            <v>6461</v>
          </cell>
          <cell r="J5756">
            <v>0.13957386301369865</v>
          </cell>
        </row>
        <row r="5757">
          <cell r="I5757">
            <v>6462</v>
          </cell>
          <cell r="J5757">
            <v>0.13957567123287673</v>
          </cell>
        </row>
        <row r="5758">
          <cell r="I5758">
            <v>6463</v>
          </cell>
          <cell r="J5758">
            <v>0.13957747945205479</v>
          </cell>
        </row>
        <row r="5759">
          <cell r="I5759">
            <v>6464</v>
          </cell>
          <cell r="J5759">
            <v>0.13957928767123287</v>
          </cell>
        </row>
        <row r="5760">
          <cell r="I5760">
            <v>6465</v>
          </cell>
          <cell r="J5760">
            <v>0.13958109589041096</v>
          </cell>
        </row>
        <row r="5761">
          <cell r="I5761">
            <v>6466</v>
          </cell>
          <cell r="J5761">
            <v>0.13958290410958904</v>
          </cell>
        </row>
        <row r="5762">
          <cell r="I5762">
            <v>6467</v>
          </cell>
          <cell r="J5762">
            <v>0.13958471232876712</v>
          </cell>
        </row>
        <row r="5763">
          <cell r="I5763">
            <v>6468</v>
          </cell>
          <cell r="J5763">
            <v>0.13958652054794521</v>
          </cell>
        </row>
        <row r="5764">
          <cell r="I5764">
            <v>6469</v>
          </cell>
          <cell r="J5764">
            <v>0.13958832876712329</v>
          </cell>
        </row>
        <row r="5765">
          <cell r="I5765">
            <v>6470</v>
          </cell>
          <cell r="J5765">
            <v>0.13959013698630138</v>
          </cell>
        </row>
        <row r="5766">
          <cell r="I5766">
            <v>6471</v>
          </cell>
          <cell r="J5766">
            <v>0.13959194520547946</v>
          </cell>
        </row>
        <row r="5767">
          <cell r="I5767">
            <v>6472</v>
          </cell>
          <cell r="J5767">
            <v>0.13959375342465755</v>
          </cell>
        </row>
        <row r="5768">
          <cell r="I5768">
            <v>6473</v>
          </cell>
          <cell r="J5768">
            <v>0.13959556164383563</v>
          </cell>
        </row>
        <row r="5769">
          <cell r="I5769">
            <v>6474</v>
          </cell>
          <cell r="J5769">
            <v>0.13959736986301371</v>
          </cell>
        </row>
        <row r="5770">
          <cell r="I5770">
            <v>6475</v>
          </cell>
          <cell r="J5770">
            <v>0.13959917808219177</v>
          </cell>
        </row>
        <row r="5771">
          <cell r="I5771">
            <v>6476</v>
          </cell>
          <cell r="J5771">
            <v>0.13960098630136986</v>
          </cell>
        </row>
        <row r="5772">
          <cell r="I5772">
            <v>6477</v>
          </cell>
          <cell r="J5772">
            <v>0.13960279452054794</v>
          </cell>
        </row>
        <row r="5773">
          <cell r="I5773">
            <v>6478</v>
          </cell>
          <cell r="J5773">
            <v>0.13960460273972602</v>
          </cell>
        </row>
        <row r="5774">
          <cell r="I5774">
            <v>6479</v>
          </cell>
          <cell r="J5774">
            <v>0.13960641095890411</v>
          </cell>
        </row>
        <row r="5775">
          <cell r="I5775">
            <v>6480</v>
          </cell>
          <cell r="J5775">
            <v>0.13960821917808219</v>
          </cell>
        </row>
        <row r="5776">
          <cell r="I5776">
            <v>6481</v>
          </cell>
          <cell r="J5776">
            <v>0.13961002739726028</v>
          </cell>
        </row>
        <row r="5777">
          <cell r="I5777">
            <v>6482</v>
          </cell>
          <cell r="J5777">
            <v>0.13961183561643836</v>
          </cell>
        </row>
        <row r="5778">
          <cell r="I5778">
            <v>6483</v>
          </cell>
          <cell r="J5778">
            <v>0.13961364383561645</v>
          </cell>
        </row>
        <row r="5779">
          <cell r="I5779">
            <v>6484</v>
          </cell>
          <cell r="J5779">
            <v>0.13961545205479453</v>
          </cell>
        </row>
        <row r="5780">
          <cell r="I5780">
            <v>6485</v>
          </cell>
          <cell r="J5780">
            <v>0.13961726027397262</v>
          </cell>
        </row>
        <row r="5781">
          <cell r="I5781">
            <v>6486</v>
          </cell>
          <cell r="J5781">
            <v>0.1396190684931507</v>
          </cell>
        </row>
        <row r="5782">
          <cell r="I5782">
            <v>6487</v>
          </cell>
          <cell r="J5782">
            <v>0.13962087671232878</v>
          </cell>
        </row>
        <row r="5783">
          <cell r="I5783">
            <v>6488</v>
          </cell>
          <cell r="J5783">
            <v>0.13962268493150684</v>
          </cell>
        </row>
        <row r="5784">
          <cell r="I5784">
            <v>6489</v>
          </cell>
          <cell r="J5784">
            <v>0.13962449315068493</v>
          </cell>
        </row>
        <row r="5785">
          <cell r="I5785">
            <v>6490</v>
          </cell>
          <cell r="J5785">
            <v>0.13962630136986301</v>
          </cell>
        </row>
        <row r="5786">
          <cell r="I5786">
            <v>6491</v>
          </cell>
          <cell r="J5786">
            <v>0.13962810958904109</v>
          </cell>
        </row>
        <row r="5787">
          <cell r="I5787">
            <v>6492</v>
          </cell>
          <cell r="J5787">
            <v>0.13962991780821918</v>
          </cell>
        </row>
        <row r="5788">
          <cell r="I5788">
            <v>6493</v>
          </cell>
          <cell r="J5788">
            <v>0.13963172602739726</v>
          </cell>
        </row>
        <row r="5789">
          <cell r="I5789">
            <v>6494</v>
          </cell>
          <cell r="J5789">
            <v>0.13963353424657535</v>
          </cell>
        </row>
        <row r="5790">
          <cell r="I5790">
            <v>6495</v>
          </cell>
          <cell r="J5790">
            <v>0.13963534246575343</v>
          </cell>
        </row>
        <row r="5791">
          <cell r="I5791">
            <v>6496</v>
          </cell>
          <cell r="J5791">
            <v>0.13963715068493152</v>
          </cell>
        </row>
        <row r="5792">
          <cell r="I5792">
            <v>6497</v>
          </cell>
          <cell r="J5792">
            <v>0.1396389589041096</v>
          </cell>
        </row>
        <row r="5793">
          <cell r="I5793">
            <v>6498</v>
          </cell>
          <cell r="J5793">
            <v>0.13964076712328768</v>
          </cell>
        </row>
        <row r="5794">
          <cell r="I5794">
            <v>6499</v>
          </cell>
          <cell r="J5794">
            <v>0.13964257534246577</v>
          </cell>
        </row>
        <row r="5795">
          <cell r="I5795">
            <v>6500</v>
          </cell>
          <cell r="J5795">
            <v>0.13964438356164385</v>
          </cell>
        </row>
        <row r="5796">
          <cell r="I5796">
            <v>6501</v>
          </cell>
          <cell r="J5796">
            <v>0.13964619178082191</v>
          </cell>
        </row>
        <row r="5797">
          <cell r="I5797">
            <v>6502</v>
          </cell>
          <cell r="J5797">
            <v>0.13964799999999999</v>
          </cell>
        </row>
        <row r="5798">
          <cell r="I5798">
            <v>6503</v>
          </cell>
          <cell r="J5798">
            <v>0.13964980821917808</v>
          </cell>
        </row>
        <row r="5799">
          <cell r="I5799">
            <v>6504</v>
          </cell>
          <cell r="J5799">
            <v>0.13965161643835616</v>
          </cell>
        </row>
        <row r="5800">
          <cell r="I5800">
            <v>6505</v>
          </cell>
          <cell r="J5800">
            <v>0.13965342465753425</v>
          </cell>
        </row>
        <row r="5801">
          <cell r="I5801">
            <v>6506</v>
          </cell>
          <cell r="J5801">
            <v>0.13965523287671233</v>
          </cell>
        </row>
        <row r="5802">
          <cell r="I5802">
            <v>6507</v>
          </cell>
          <cell r="J5802">
            <v>0.13965704109589042</v>
          </cell>
        </row>
        <row r="5803">
          <cell r="I5803">
            <v>6508</v>
          </cell>
          <cell r="J5803">
            <v>0.1396588493150685</v>
          </cell>
        </row>
        <row r="5804">
          <cell r="I5804">
            <v>6509</v>
          </cell>
          <cell r="J5804">
            <v>0.13966065753424659</v>
          </cell>
        </row>
        <row r="5805">
          <cell r="I5805">
            <v>6510</v>
          </cell>
          <cell r="J5805">
            <v>0.13966246575342467</v>
          </cell>
        </row>
        <row r="5806">
          <cell r="I5806">
            <v>6511</v>
          </cell>
          <cell r="J5806">
            <v>0.13966427397260275</v>
          </cell>
        </row>
        <row r="5807">
          <cell r="I5807">
            <v>6512</v>
          </cell>
          <cell r="J5807">
            <v>0.13966608219178084</v>
          </cell>
        </row>
        <row r="5808">
          <cell r="I5808">
            <v>6513</v>
          </cell>
          <cell r="J5808">
            <v>0.13966789041095889</v>
          </cell>
        </row>
        <row r="5809">
          <cell r="I5809">
            <v>6514</v>
          </cell>
          <cell r="J5809">
            <v>0.13966969863013698</v>
          </cell>
        </row>
        <row r="5810">
          <cell r="I5810">
            <v>6515</v>
          </cell>
          <cell r="J5810">
            <v>0.13967150684931506</v>
          </cell>
        </row>
        <row r="5811">
          <cell r="I5811">
            <v>6516</v>
          </cell>
          <cell r="J5811">
            <v>0.13967331506849315</v>
          </cell>
        </row>
        <row r="5812">
          <cell r="I5812">
            <v>6517</v>
          </cell>
          <cell r="J5812">
            <v>0.13967512328767123</v>
          </cell>
        </row>
        <row r="5813">
          <cell r="I5813">
            <v>6518</v>
          </cell>
          <cell r="J5813">
            <v>0.13967693150684932</v>
          </cell>
        </row>
        <row r="5814">
          <cell r="I5814">
            <v>6519</v>
          </cell>
          <cell r="J5814">
            <v>0.1396787397260274</v>
          </cell>
        </row>
        <row r="5815">
          <cell r="I5815">
            <v>6520</v>
          </cell>
          <cell r="J5815">
            <v>0.13968054794520549</v>
          </cell>
        </row>
        <row r="5816">
          <cell r="I5816">
            <v>6521</v>
          </cell>
          <cell r="J5816">
            <v>0.13968235616438357</v>
          </cell>
        </row>
        <row r="5817">
          <cell r="I5817">
            <v>6522</v>
          </cell>
          <cell r="J5817">
            <v>0.13968416438356165</v>
          </cell>
        </row>
        <row r="5818">
          <cell r="I5818">
            <v>6523</v>
          </cell>
          <cell r="J5818">
            <v>0.13968597260273974</v>
          </cell>
        </row>
        <row r="5819">
          <cell r="I5819">
            <v>6524</v>
          </cell>
          <cell r="J5819">
            <v>0.13968778082191782</v>
          </cell>
        </row>
        <row r="5820">
          <cell r="I5820">
            <v>6525</v>
          </cell>
          <cell r="J5820">
            <v>0.13968958904109591</v>
          </cell>
        </row>
        <row r="5821">
          <cell r="I5821">
            <v>6526</v>
          </cell>
          <cell r="J5821">
            <v>0.13969139726027396</v>
          </cell>
        </row>
        <row r="5822">
          <cell r="I5822">
            <v>6527</v>
          </cell>
          <cell r="J5822">
            <v>0.13969320547945205</v>
          </cell>
        </row>
        <row r="5823">
          <cell r="I5823">
            <v>6528</v>
          </cell>
          <cell r="J5823">
            <v>0.13969501369863013</v>
          </cell>
        </row>
        <row r="5824">
          <cell r="I5824">
            <v>6529</v>
          </cell>
          <cell r="J5824">
            <v>0.13969682191780822</v>
          </cell>
        </row>
        <row r="5825">
          <cell r="I5825">
            <v>6530</v>
          </cell>
          <cell r="J5825">
            <v>0.1396986301369863</v>
          </cell>
        </row>
        <row r="5826">
          <cell r="I5826">
            <v>6531</v>
          </cell>
          <cell r="J5826">
            <v>0.13970043835616439</v>
          </cell>
        </row>
        <row r="5827">
          <cell r="I5827">
            <v>6532</v>
          </cell>
          <cell r="J5827">
            <v>0.13970224657534247</v>
          </cell>
        </row>
        <row r="5828">
          <cell r="I5828">
            <v>6533</v>
          </cell>
          <cell r="J5828">
            <v>0.13970405479452055</v>
          </cell>
        </row>
        <row r="5829">
          <cell r="I5829">
            <v>6534</v>
          </cell>
          <cell r="J5829">
            <v>0.13970586301369864</v>
          </cell>
        </row>
        <row r="5830">
          <cell r="I5830">
            <v>6535</v>
          </cell>
          <cell r="J5830">
            <v>0.13970767123287672</v>
          </cell>
        </row>
        <row r="5831">
          <cell r="I5831">
            <v>6536</v>
          </cell>
          <cell r="J5831">
            <v>0.13970947945205481</v>
          </cell>
        </row>
        <row r="5832">
          <cell r="I5832">
            <v>6537</v>
          </cell>
          <cell r="J5832">
            <v>0.13971128767123289</v>
          </cell>
        </row>
        <row r="5833">
          <cell r="I5833">
            <v>6538</v>
          </cell>
          <cell r="J5833">
            <v>0.13971309589041098</v>
          </cell>
        </row>
        <row r="5834">
          <cell r="I5834">
            <v>6539</v>
          </cell>
          <cell r="J5834">
            <v>0.13971490410958903</v>
          </cell>
        </row>
        <row r="5835">
          <cell r="I5835">
            <v>6540</v>
          </cell>
          <cell r="J5835">
            <v>0.13971671232876712</v>
          </cell>
        </row>
        <row r="5836">
          <cell r="I5836">
            <v>6541</v>
          </cell>
          <cell r="J5836">
            <v>0.1397185205479452</v>
          </cell>
        </row>
        <row r="5837">
          <cell r="I5837">
            <v>6542</v>
          </cell>
          <cell r="J5837">
            <v>0.13972032876712329</v>
          </cell>
        </row>
        <row r="5838">
          <cell r="I5838">
            <v>6543</v>
          </cell>
          <cell r="J5838">
            <v>0.13972213698630137</v>
          </cell>
        </row>
        <row r="5839">
          <cell r="I5839">
            <v>6544</v>
          </cell>
          <cell r="J5839">
            <v>0.13972394520547946</v>
          </cell>
        </row>
        <row r="5840">
          <cell r="I5840">
            <v>6545</v>
          </cell>
          <cell r="J5840">
            <v>0.13972575342465754</v>
          </cell>
        </row>
        <row r="5841">
          <cell r="I5841">
            <v>6546</v>
          </cell>
          <cell r="J5841">
            <v>0.13972756164383562</v>
          </cell>
        </row>
        <row r="5842">
          <cell r="I5842">
            <v>6547</v>
          </cell>
          <cell r="J5842">
            <v>0.13972936986301371</v>
          </cell>
        </row>
        <row r="5843">
          <cell r="I5843">
            <v>6548</v>
          </cell>
          <cell r="J5843">
            <v>0.13973117808219179</v>
          </cell>
        </row>
        <row r="5844">
          <cell r="I5844">
            <v>6549</v>
          </cell>
          <cell r="J5844">
            <v>0.13973298630136988</v>
          </cell>
        </row>
        <row r="5845">
          <cell r="I5845">
            <v>6550</v>
          </cell>
          <cell r="J5845">
            <v>0.13973479452054796</v>
          </cell>
        </row>
        <row r="5846">
          <cell r="I5846">
            <v>6551</v>
          </cell>
          <cell r="J5846">
            <v>0.13973660273972602</v>
          </cell>
        </row>
        <row r="5847">
          <cell r="I5847">
            <v>6552</v>
          </cell>
          <cell r="J5847">
            <v>0.1397384109589041</v>
          </cell>
        </row>
        <row r="5848">
          <cell r="I5848">
            <v>6553</v>
          </cell>
          <cell r="J5848">
            <v>0.13974021917808219</v>
          </cell>
        </row>
        <row r="5849">
          <cell r="I5849">
            <v>6554</v>
          </cell>
          <cell r="J5849">
            <v>0.13974202739726027</v>
          </cell>
        </row>
        <row r="5850">
          <cell r="I5850">
            <v>6555</v>
          </cell>
          <cell r="J5850">
            <v>0.13974383561643836</v>
          </cell>
        </row>
        <row r="5851">
          <cell r="I5851">
            <v>6556</v>
          </cell>
          <cell r="J5851">
            <v>0.13974564383561644</v>
          </cell>
        </row>
        <row r="5852">
          <cell r="I5852">
            <v>6557</v>
          </cell>
          <cell r="J5852">
            <v>0.13974745205479452</v>
          </cell>
        </row>
        <row r="5853">
          <cell r="I5853">
            <v>6558</v>
          </cell>
          <cell r="J5853">
            <v>0.13974926027397261</v>
          </cell>
        </row>
        <row r="5854">
          <cell r="I5854">
            <v>6559</v>
          </cell>
          <cell r="J5854">
            <v>0.13975106849315069</v>
          </cell>
        </row>
        <row r="5855">
          <cell r="I5855">
            <v>6560</v>
          </cell>
          <cell r="J5855">
            <v>0.13975287671232878</v>
          </cell>
        </row>
        <row r="5856">
          <cell r="I5856">
            <v>6561</v>
          </cell>
          <cell r="J5856">
            <v>0.13975468493150686</v>
          </cell>
        </row>
        <row r="5857">
          <cell r="I5857">
            <v>6562</v>
          </cell>
          <cell r="J5857">
            <v>0.13975649315068495</v>
          </cell>
        </row>
        <row r="5858">
          <cell r="I5858">
            <v>6563</v>
          </cell>
          <cell r="J5858">
            <v>0.13975830136986303</v>
          </cell>
        </row>
        <row r="5859">
          <cell r="I5859">
            <v>6564</v>
          </cell>
          <cell r="J5859">
            <v>0.13976010958904109</v>
          </cell>
        </row>
        <row r="5860">
          <cell r="I5860">
            <v>6565</v>
          </cell>
          <cell r="J5860">
            <v>0.13976191780821917</v>
          </cell>
        </row>
        <row r="5861">
          <cell r="I5861">
            <v>6566</v>
          </cell>
          <cell r="J5861">
            <v>0.13976372602739726</v>
          </cell>
        </row>
        <row r="5862">
          <cell r="I5862">
            <v>6567</v>
          </cell>
          <cell r="J5862">
            <v>0.13976553424657534</v>
          </cell>
        </row>
        <row r="5863">
          <cell r="I5863">
            <v>6568</v>
          </cell>
          <cell r="J5863">
            <v>0.13976734246575342</v>
          </cell>
        </row>
        <row r="5864">
          <cell r="I5864">
            <v>6569</v>
          </cell>
          <cell r="J5864">
            <v>0.13976915068493151</v>
          </cell>
        </row>
        <row r="5865">
          <cell r="I5865">
            <v>6570</v>
          </cell>
          <cell r="J5865">
            <v>0.13977095890410959</v>
          </cell>
        </row>
        <row r="5866">
          <cell r="I5866">
            <v>6571</v>
          </cell>
          <cell r="J5866">
            <v>0.13977276712328768</v>
          </cell>
        </row>
        <row r="5867">
          <cell r="I5867">
            <v>6572</v>
          </cell>
          <cell r="J5867">
            <v>0.13977457534246576</v>
          </cell>
        </row>
        <row r="5868">
          <cell r="I5868">
            <v>6573</v>
          </cell>
          <cell r="J5868">
            <v>0.13977638356164385</v>
          </cell>
        </row>
        <row r="5869">
          <cell r="I5869">
            <v>6574</v>
          </cell>
          <cell r="J5869">
            <v>0.13977819178082193</v>
          </cell>
        </row>
        <row r="5870">
          <cell r="I5870">
            <v>6575</v>
          </cell>
          <cell r="J5870">
            <v>0.13978000000000002</v>
          </cell>
        </row>
        <row r="5871">
          <cell r="I5871">
            <v>6576</v>
          </cell>
          <cell r="J5871">
            <v>0.1397818082191781</v>
          </cell>
        </row>
        <row r="5872">
          <cell r="I5872">
            <v>6577</v>
          </cell>
          <cell r="J5872">
            <v>0.13978361643835616</v>
          </cell>
        </row>
        <row r="5873">
          <cell r="I5873">
            <v>6578</v>
          </cell>
          <cell r="J5873">
            <v>0.13978542465753424</v>
          </cell>
        </row>
        <row r="5874">
          <cell r="I5874">
            <v>6579</v>
          </cell>
          <cell r="J5874">
            <v>0.13978723287671233</v>
          </cell>
        </row>
        <row r="5875">
          <cell r="I5875">
            <v>6580</v>
          </cell>
          <cell r="J5875">
            <v>0.13978904109589041</v>
          </cell>
        </row>
        <row r="5876">
          <cell r="I5876">
            <v>6581</v>
          </cell>
          <cell r="J5876">
            <v>0.13979084931506849</v>
          </cell>
        </row>
        <row r="5877">
          <cell r="I5877">
            <v>6582</v>
          </cell>
          <cell r="J5877">
            <v>0.13979265753424658</v>
          </cell>
        </row>
        <row r="5878">
          <cell r="I5878">
            <v>6583</v>
          </cell>
          <cell r="J5878">
            <v>0.13979446575342466</v>
          </cell>
        </row>
        <row r="5879">
          <cell r="I5879">
            <v>6584</v>
          </cell>
          <cell r="J5879">
            <v>0.13979627397260275</v>
          </cell>
        </row>
        <row r="5880">
          <cell r="I5880">
            <v>6585</v>
          </cell>
          <cell r="J5880">
            <v>0.13979808219178083</v>
          </cell>
        </row>
        <row r="5881">
          <cell r="I5881">
            <v>6586</v>
          </cell>
          <cell r="J5881">
            <v>0.13979989041095892</v>
          </cell>
        </row>
        <row r="5882">
          <cell r="I5882">
            <v>6587</v>
          </cell>
          <cell r="J5882">
            <v>0.139801698630137</v>
          </cell>
        </row>
        <row r="5883">
          <cell r="I5883">
            <v>6588</v>
          </cell>
          <cell r="J5883">
            <v>0.13980350684931508</v>
          </cell>
        </row>
        <row r="5884">
          <cell r="I5884">
            <v>6589</v>
          </cell>
          <cell r="J5884">
            <v>0.13980531506849314</v>
          </cell>
        </row>
        <row r="5885">
          <cell r="I5885">
            <v>6590</v>
          </cell>
          <cell r="J5885">
            <v>0.13980712328767123</v>
          </cell>
        </row>
        <row r="5886">
          <cell r="I5886">
            <v>6591</v>
          </cell>
          <cell r="J5886">
            <v>0.13980893150684931</v>
          </cell>
        </row>
        <row r="5887">
          <cell r="I5887">
            <v>6592</v>
          </cell>
          <cell r="J5887">
            <v>0.13981073972602739</v>
          </cell>
        </row>
        <row r="5888">
          <cell r="I5888">
            <v>6593</v>
          </cell>
          <cell r="J5888">
            <v>0.13981254794520548</v>
          </cell>
        </row>
        <row r="5889">
          <cell r="I5889">
            <v>6594</v>
          </cell>
          <cell r="J5889">
            <v>0.13981435616438356</v>
          </cell>
        </row>
        <row r="5890">
          <cell r="I5890">
            <v>6595</v>
          </cell>
          <cell r="J5890">
            <v>0.13981616438356165</v>
          </cell>
        </row>
        <row r="5891">
          <cell r="I5891">
            <v>6596</v>
          </cell>
          <cell r="J5891">
            <v>0.13981797260273973</v>
          </cell>
        </row>
        <row r="5892">
          <cell r="I5892">
            <v>6597</v>
          </cell>
          <cell r="J5892">
            <v>0.13981978082191782</v>
          </cell>
        </row>
        <row r="5893">
          <cell r="I5893">
            <v>6598</v>
          </cell>
          <cell r="J5893">
            <v>0.1398215890410959</v>
          </cell>
        </row>
        <row r="5894">
          <cell r="I5894">
            <v>6599</v>
          </cell>
          <cell r="J5894">
            <v>0.13982339726027398</v>
          </cell>
        </row>
        <row r="5895">
          <cell r="I5895">
            <v>6600</v>
          </cell>
          <cell r="J5895">
            <v>0.13982520547945207</v>
          </cell>
        </row>
        <row r="5896">
          <cell r="I5896">
            <v>6601</v>
          </cell>
          <cell r="J5896">
            <v>0.13982701369863015</v>
          </cell>
        </row>
        <row r="5897">
          <cell r="I5897">
            <v>6602</v>
          </cell>
          <cell r="J5897">
            <v>0.13982882191780821</v>
          </cell>
        </row>
        <row r="5898">
          <cell r="I5898">
            <v>6603</v>
          </cell>
          <cell r="J5898">
            <v>0.13983063013698629</v>
          </cell>
        </row>
        <row r="5899">
          <cell r="I5899">
            <v>6604</v>
          </cell>
          <cell r="J5899">
            <v>0.13983243835616438</v>
          </cell>
        </row>
        <row r="5900">
          <cell r="I5900">
            <v>6605</v>
          </cell>
          <cell r="J5900">
            <v>0.13983424657534246</v>
          </cell>
        </row>
        <row r="5901">
          <cell r="I5901">
            <v>6606</v>
          </cell>
          <cell r="J5901">
            <v>0.13983605479452055</v>
          </cell>
        </row>
        <row r="5902">
          <cell r="I5902">
            <v>6607</v>
          </cell>
          <cell r="J5902">
            <v>0.13983786301369863</v>
          </cell>
        </row>
        <row r="5903">
          <cell r="I5903">
            <v>6608</v>
          </cell>
          <cell r="J5903">
            <v>0.13983967123287672</v>
          </cell>
        </row>
        <row r="5904">
          <cell r="I5904">
            <v>6609</v>
          </cell>
          <cell r="J5904">
            <v>0.1398414794520548</v>
          </cell>
        </row>
        <row r="5905">
          <cell r="I5905">
            <v>6610</v>
          </cell>
          <cell r="J5905">
            <v>0.13984328767123289</v>
          </cell>
        </row>
        <row r="5906">
          <cell r="I5906">
            <v>6611</v>
          </cell>
          <cell r="J5906">
            <v>0.13984509589041097</v>
          </cell>
        </row>
        <row r="5907">
          <cell r="I5907">
            <v>6612</v>
          </cell>
          <cell r="J5907">
            <v>0.13984690410958905</v>
          </cell>
        </row>
        <row r="5908">
          <cell r="I5908">
            <v>6613</v>
          </cell>
          <cell r="J5908">
            <v>0.13984871232876714</v>
          </cell>
        </row>
        <row r="5909">
          <cell r="I5909">
            <v>6614</v>
          </cell>
          <cell r="J5909">
            <v>0.13985052054794522</v>
          </cell>
        </row>
        <row r="5910">
          <cell r="I5910">
            <v>6615</v>
          </cell>
          <cell r="J5910">
            <v>0.13985232876712328</v>
          </cell>
        </row>
        <row r="5911">
          <cell r="I5911">
            <v>6616</v>
          </cell>
          <cell r="J5911">
            <v>0.13985413698630136</v>
          </cell>
        </row>
        <row r="5912">
          <cell r="I5912">
            <v>6617</v>
          </cell>
          <cell r="J5912">
            <v>0.13985594520547945</v>
          </cell>
        </row>
        <row r="5913">
          <cell r="I5913">
            <v>6618</v>
          </cell>
          <cell r="J5913">
            <v>0.13985775342465753</v>
          </cell>
        </row>
        <row r="5914">
          <cell r="I5914">
            <v>6619</v>
          </cell>
          <cell r="J5914">
            <v>0.13985956164383562</v>
          </cell>
        </row>
        <row r="5915">
          <cell r="I5915">
            <v>6620</v>
          </cell>
          <cell r="J5915">
            <v>0.1398613698630137</v>
          </cell>
        </row>
        <row r="5916">
          <cell r="I5916">
            <v>6621</v>
          </cell>
          <cell r="J5916">
            <v>0.13986317808219179</v>
          </cell>
        </row>
        <row r="5917">
          <cell r="I5917">
            <v>6622</v>
          </cell>
          <cell r="J5917">
            <v>0.13986498630136987</v>
          </cell>
        </row>
        <row r="5918">
          <cell r="I5918">
            <v>6623</v>
          </cell>
          <cell r="J5918">
            <v>0.13986679452054795</v>
          </cell>
        </row>
        <row r="5919">
          <cell r="I5919">
            <v>6624</v>
          </cell>
          <cell r="J5919">
            <v>0.13986860273972604</v>
          </cell>
        </row>
        <row r="5920">
          <cell r="I5920">
            <v>6625</v>
          </cell>
          <cell r="J5920">
            <v>0.13987041095890412</v>
          </cell>
        </row>
        <row r="5921">
          <cell r="I5921">
            <v>6626</v>
          </cell>
          <cell r="J5921">
            <v>0.13987221917808221</v>
          </cell>
        </row>
        <row r="5922">
          <cell r="I5922">
            <v>6627</v>
          </cell>
          <cell r="J5922">
            <v>0.13987402739726029</v>
          </cell>
        </row>
        <row r="5923">
          <cell r="I5923">
            <v>6628</v>
          </cell>
          <cell r="J5923">
            <v>0.13987583561643835</v>
          </cell>
        </row>
        <row r="5924">
          <cell r="I5924">
            <v>6629</v>
          </cell>
          <cell r="J5924">
            <v>0.13987764383561643</v>
          </cell>
        </row>
        <row r="5925">
          <cell r="I5925">
            <v>6630</v>
          </cell>
          <cell r="J5925">
            <v>0.13987945205479452</v>
          </cell>
        </row>
        <row r="5926">
          <cell r="I5926">
            <v>6631</v>
          </cell>
          <cell r="J5926">
            <v>0.1398812602739726</v>
          </cell>
        </row>
        <row r="5927">
          <cell r="I5927">
            <v>6632</v>
          </cell>
          <cell r="J5927">
            <v>0.13988306849315069</v>
          </cell>
        </row>
        <row r="5928">
          <cell r="I5928">
            <v>6633</v>
          </cell>
          <cell r="J5928">
            <v>0.13988487671232877</v>
          </cell>
        </row>
        <row r="5929">
          <cell r="I5929">
            <v>6634</v>
          </cell>
          <cell r="J5929">
            <v>0.13988668493150686</v>
          </cell>
        </row>
        <row r="5930">
          <cell r="I5930">
            <v>6635</v>
          </cell>
          <cell r="J5930">
            <v>0.13988849315068494</v>
          </cell>
        </row>
        <row r="5931">
          <cell r="I5931">
            <v>6636</v>
          </cell>
          <cell r="J5931">
            <v>0.13989030136986302</v>
          </cell>
        </row>
        <row r="5932">
          <cell r="I5932">
            <v>6637</v>
          </cell>
          <cell r="J5932">
            <v>0.13989210958904111</v>
          </cell>
        </row>
        <row r="5933">
          <cell r="I5933">
            <v>6638</v>
          </cell>
          <cell r="J5933">
            <v>0.13989391780821919</v>
          </cell>
        </row>
        <row r="5934">
          <cell r="I5934">
            <v>6639</v>
          </cell>
          <cell r="J5934">
            <v>0.13989572602739728</v>
          </cell>
        </row>
        <row r="5935">
          <cell r="I5935">
            <v>6640</v>
          </cell>
          <cell r="J5935">
            <v>0.13989753424657533</v>
          </cell>
        </row>
        <row r="5936">
          <cell r="I5936">
            <v>6641</v>
          </cell>
          <cell r="J5936">
            <v>0.13989934246575342</v>
          </cell>
        </row>
        <row r="5937">
          <cell r="I5937">
            <v>6642</v>
          </cell>
          <cell r="J5937">
            <v>0.1399011506849315</v>
          </cell>
        </row>
        <row r="5938">
          <cell r="I5938">
            <v>6643</v>
          </cell>
          <cell r="J5938">
            <v>0.13990295890410959</v>
          </cell>
        </row>
        <row r="5939">
          <cell r="I5939">
            <v>6644</v>
          </cell>
          <cell r="J5939">
            <v>0.13990476712328767</v>
          </cell>
        </row>
        <row r="5940">
          <cell r="I5940">
            <v>6645</v>
          </cell>
          <cell r="J5940">
            <v>0.13990657534246576</v>
          </cell>
        </row>
        <row r="5941">
          <cell r="I5941">
            <v>6646</v>
          </cell>
          <cell r="J5941">
            <v>0.13990838356164384</v>
          </cell>
        </row>
        <row r="5942">
          <cell r="I5942">
            <v>6647</v>
          </cell>
          <cell r="J5942">
            <v>0.13991019178082192</v>
          </cell>
        </row>
        <row r="5943">
          <cell r="I5943">
            <v>6648</v>
          </cell>
          <cell r="J5943">
            <v>0.13991200000000001</v>
          </cell>
        </row>
        <row r="5944">
          <cell r="I5944">
            <v>6649</v>
          </cell>
          <cell r="J5944">
            <v>0.13991380821917809</v>
          </cell>
        </row>
        <row r="5945">
          <cell r="I5945">
            <v>6650</v>
          </cell>
          <cell r="J5945">
            <v>0.13991561643835618</v>
          </cell>
        </row>
        <row r="5946">
          <cell r="I5946">
            <v>6651</v>
          </cell>
          <cell r="J5946">
            <v>0.13991742465753426</v>
          </cell>
        </row>
        <row r="5947">
          <cell r="I5947">
            <v>6652</v>
          </cell>
          <cell r="J5947">
            <v>0.13991923287671235</v>
          </cell>
        </row>
        <row r="5948">
          <cell r="I5948">
            <v>6653</v>
          </cell>
          <cell r="J5948">
            <v>0.1399210410958904</v>
          </cell>
        </row>
        <row r="5949">
          <cell r="I5949">
            <v>6654</v>
          </cell>
          <cell r="J5949">
            <v>0.13992284931506849</v>
          </cell>
        </row>
        <row r="5950">
          <cell r="I5950">
            <v>6655</v>
          </cell>
          <cell r="J5950">
            <v>0.13992465753424657</v>
          </cell>
        </row>
        <row r="5951">
          <cell r="I5951">
            <v>6656</v>
          </cell>
          <cell r="J5951">
            <v>0.13992646575342466</v>
          </cell>
        </row>
        <row r="5952">
          <cell r="I5952">
            <v>6657</v>
          </cell>
          <cell r="J5952">
            <v>0.13992827397260274</v>
          </cell>
        </row>
        <row r="5953">
          <cell r="I5953">
            <v>6658</v>
          </cell>
          <cell r="J5953">
            <v>0.13993008219178082</v>
          </cell>
        </row>
        <row r="5954">
          <cell r="I5954">
            <v>6659</v>
          </cell>
          <cell r="J5954">
            <v>0.13993189041095891</v>
          </cell>
        </row>
        <row r="5955">
          <cell r="I5955">
            <v>6660</v>
          </cell>
          <cell r="J5955">
            <v>0.13993369863013699</v>
          </cell>
        </row>
        <row r="5956">
          <cell r="I5956">
            <v>6661</v>
          </cell>
          <cell r="J5956">
            <v>0.13993550684931508</v>
          </cell>
        </row>
        <row r="5957">
          <cell r="I5957">
            <v>6662</v>
          </cell>
          <cell r="J5957">
            <v>0.13993731506849316</v>
          </cell>
        </row>
        <row r="5958">
          <cell r="I5958">
            <v>6663</v>
          </cell>
          <cell r="J5958">
            <v>0.13993912328767125</v>
          </cell>
        </row>
        <row r="5959">
          <cell r="I5959">
            <v>6664</v>
          </cell>
          <cell r="J5959">
            <v>0.13994093150684933</v>
          </cell>
        </row>
        <row r="5960">
          <cell r="I5960">
            <v>6665</v>
          </cell>
          <cell r="J5960">
            <v>0.13994273972602739</v>
          </cell>
        </row>
        <row r="5961">
          <cell r="I5961">
            <v>6666</v>
          </cell>
          <cell r="J5961">
            <v>0.13994454794520547</v>
          </cell>
        </row>
        <row r="5962">
          <cell r="I5962">
            <v>6667</v>
          </cell>
          <cell r="J5962">
            <v>0.13994635616438356</v>
          </cell>
        </row>
        <row r="5963">
          <cell r="I5963">
            <v>6668</v>
          </cell>
          <cell r="J5963">
            <v>0.13994816438356164</v>
          </cell>
        </row>
        <row r="5964">
          <cell r="I5964">
            <v>6669</v>
          </cell>
          <cell r="J5964">
            <v>0.13994997260273973</v>
          </cell>
        </row>
        <row r="5965">
          <cell r="I5965">
            <v>6670</v>
          </cell>
          <cell r="J5965">
            <v>0.13995178082191781</v>
          </cell>
        </row>
        <row r="5966">
          <cell r="I5966">
            <v>6671</v>
          </cell>
          <cell r="J5966">
            <v>0.13995358904109589</v>
          </cell>
        </row>
        <row r="5967">
          <cell r="I5967">
            <v>6672</v>
          </cell>
          <cell r="J5967">
            <v>0.13995539726027398</v>
          </cell>
        </row>
        <row r="5968">
          <cell r="I5968">
            <v>6673</v>
          </cell>
          <cell r="J5968">
            <v>0.13995720547945206</v>
          </cell>
        </row>
        <row r="5969">
          <cell r="I5969">
            <v>6674</v>
          </cell>
          <cell r="J5969">
            <v>0.13995901369863015</v>
          </cell>
        </row>
        <row r="5970">
          <cell r="I5970">
            <v>6675</v>
          </cell>
          <cell r="J5970">
            <v>0.13996082191780823</v>
          </cell>
        </row>
        <row r="5971">
          <cell r="I5971">
            <v>6676</v>
          </cell>
          <cell r="J5971">
            <v>0.13996263013698632</v>
          </cell>
        </row>
        <row r="5972">
          <cell r="I5972">
            <v>6677</v>
          </cell>
          <cell r="J5972">
            <v>0.1399644383561644</v>
          </cell>
        </row>
        <row r="5973">
          <cell r="I5973">
            <v>6678</v>
          </cell>
          <cell r="J5973">
            <v>0.13996624657534246</v>
          </cell>
        </row>
        <row r="5974">
          <cell r="I5974">
            <v>6679</v>
          </cell>
          <cell r="J5974">
            <v>0.13996805479452054</v>
          </cell>
        </row>
        <row r="5975">
          <cell r="I5975">
            <v>6680</v>
          </cell>
          <cell r="J5975">
            <v>0.13996986301369863</v>
          </cell>
        </row>
        <row r="5976">
          <cell r="I5976">
            <v>6681</v>
          </cell>
          <cell r="J5976">
            <v>0.13997167123287671</v>
          </cell>
        </row>
        <row r="5977">
          <cell r="I5977">
            <v>6682</v>
          </cell>
          <cell r="J5977">
            <v>0.13997347945205479</v>
          </cell>
        </row>
        <row r="5978">
          <cell r="I5978">
            <v>6683</v>
          </cell>
          <cell r="J5978">
            <v>0.13997528767123288</v>
          </cell>
        </row>
        <row r="5979">
          <cell r="I5979">
            <v>6684</v>
          </cell>
          <cell r="J5979">
            <v>0.13997709589041096</v>
          </cell>
        </row>
        <row r="5980">
          <cell r="I5980">
            <v>6685</v>
          </cell>
          <cell r="J5980">
            <v>0.13997890410958905</v>
          </cell>
        </row>
        <row r="5981">
          <cell r="I5981">
            <v>6686</v>
          </cell>
          <cell r="J5981">
            <v>0.13998071232876713</v>
          </cell>
        </row>
        <row r="5982">
          <cell r="I5982">
            <v>6687</v>
          </cell>
          <cell r="J5982">
            <v>0.13998252054794522</v>
          </cell>
        </row>
        <row r="5983">
          <cell r="I5983">
            <v>6688</v>
          </cell>
          <cell r="J5983">
            <v>0.1399843287671233</v>
          </cell>
        </row>
        <row r="5984">
          <cell r="I5984">
            <v>6689</v>
          </cell>
          <cell r="J5984">
            <v>0.13998613698630138</v>
          </cell>
        </row>
        <row r="5985">
          <cell r="I5985">
            <v>6690</v>
          </cell>
          <cell r="J5985">
            <v>0.13998794520547947</v>
          </cell>
        </row>
        <row r="5986">
          <cell r="I5986">
            <v>6691</v>
          </cell>
          <cell r="J5986">
            <v>0.13998975342465753</v>
          </cell>
        </row>
        <row r="5987">
          <cell r="I5987">
            <v>6692</v>
          </cell>
          <cell r="J5987">
            <v>0.13999156164383561</v>
          </cell>
        </row>
        <row r="5988">
          <cell r="I5988">
            <v>6693</v>
          </cell>
          <cell r="J5988">
            <v>0.13999336986301369</v>
          </cell>
        </row>
        <row r="5989">
          <cell r="I5989">
            <v>6694</v>
          </cell>
          <cell r="J5989">
            <v>0.13999517808219178</v>
          </cell>
        </row>
        <row r="5990">
          <cell r="I5990">
            <v>6695</v>
          </cell>
          <cell r="J5990">
            <v>0.13999698630136986</v>
          </cell>
        </row>
        <row r="5991">
          <cell r="I5991">
            <v>6696</v>
          </cell>
          <cell r="J5991">
            <v>0.13999879452054795</v>
          </cell>
        </row>
        <row r="5992">
          <cell r="I5992">
            <v>6697</v>
          </cell>
          <cell r="J5992">
            <v>0.14000060273972603</v>
          </cell>
        </row>
        <row r="5993">
          <cell r="I5993">
            <v>6698</v>
          </cell>
          <cell r="J5993">
            <v>0.14000241095890412</v>
          </cell>
        </row>
        <row r="5994">
          <cell r="I5994">
            <v>6699</v>
          </cell>
          <cell r="J5994">
            <v>0.1400042191780822</v>
          </cell>
        </row>
        <row r="5995">
          <cell r="I5995">
            <v>6700</v>
          </cell>
          <cell r="J5995">
            <v>0.14000602739726029</v>
          </cell>
        </row>
        <row r="5996">
          <cell r="I5996">
            <v>6701</v>
          </cell>
          <cell r="J5996">
            <v>0.14000783561643837</v>
          </cell>
        </row>
        <row r="5997">
          <cell r="I5997">
            <v>6702</v>
          </cell>
          <cell r="J5997">
            <v>0.14000964383561645</v>
          </cell>
        </row>
        <row r="5998">
          <cell r="I5998">
            <v>6703</v>
          </cell>
          <cell r="J5998">
            <v>0.14001145205479454</v>
          </cell>
        </row>
        <row r="5999">
          <cell r="I5999">
            <v>6704</v>
          </cell>
          <cell r="J5999">
            <v>0.1400132602739726</v>
          </cell>
        </row>
        <row r="6000">
          <cell r="I6000">
            <v>6705</v>
          </cell>
          <cell r="J6000">
            <v>0.14001506849315068</v>
          </cell>
        </row>
        <row r="6001">
          <cell r="I6001">
            <v>6706</v>
          </cell>
          <cell r="J6001">
            <v>0.14001687671232876</v>
          </cell>
        </row>
        <row r="6002">
          <cell r="I6002">
            <v>6707</v>
          </cell>
          <cell r="J6002">
            <v>0.14001868493150685</v>
          </cell>
        </row>
        <row r="6003">
          <cell r="I6003">
            <v>6708</v>
          </cell>
          <cell r="J6003">
            <v>0.14002049315068493</v>
          </cell>
        </row>
        <row r="6004">
          <cell r="I6004">
            <v>6709</v>
          </cell>
          <cell r="J6004">
            <v>0.14002230136986302</v>
          </cell>
        </row>
        <row r="6005">
          <cell r="I6005">
            <v>6710</v>
          </cell>
          <cell r="J6005">
            <v>0.1400241095890411</v>
          </cell>
        </row>
        <row r="6006">
          <cell r="I6006">
            <v>6711</v>
          </cell>
          <cell r="J6006">
            <v>0.14002591780821919</v>
          </cell>
        </row>
        <row r="6007">
          <cell r="I6007">
            <v>6712</v>
          </cell>
          <cell r="J6007">
            <v>0.14002772602739727</v>
          </cell>
        </row>
        <row r="6008">
          <cell r="I6008">
            <v>6713</v>
          </cell>
          <cell r="J6008">
            <v>0.14002953424657535</v>
          </cell>
        </row>
        <row r="6009">
          <cell r="I6009">
            <v>6714</v>
          </cell>
          <cell r="J6009">
            <v>0.14003134246575344</v>
          </cell>
        </row>
        <row r="6010">
          <cell r="I6010">
            <v>6715</v>
          </cell>
          <cell r="J6010">
            <v>0.14003315068493152</v>
          </cell>
        </row>
        <row r="6011">
          <cell r="I6011">
            <v>6716</v>
          </cell>
          <cell r="J6011">
            <v>0.14003495890410958</v>
          </cell>
        </row>
        <row r="6012">
          <cell r="I6012">
            <v>6717</v>
          </cell>
          <cell r="J6012">
            <v>0.14003676712328766</v>
          </cell>
        </row>
        <row r="6013">
          <cell r="I6013">
            <v>6718</v>
          </cell>
          <cell r="J6013">
            <v>0.14003857534246575</v>
          </cell>
        </row>
        <row r="6014">
          <cell r="I6014">
            <v>6719</v>
          </cell>
          <cell r="J6014">
            <v>0.14004038356164383</v>
          </cell>
        </row>
        <row r="6015">
          <cell r="I6015">
            <v>6720</v>
          </cell>
          <cell r="J6015">
            <v>0.14004219178082192</v>
          </cell>
        </row>
        <row r="6016">
          <cell r="I6016">
            <v>6721</v>
          </cell>
          <cell r="J6016">
            <v>0.140044</v>
          </cell>
        </row>
        <row r="6017">
          <cell r="I6017">
            <v>6722</v>
          </cell>
          <cell r="J6017">
            <v>0.14004580821917809</v>
          </cell>
        </row>
        <row r="6018">
          <cell r="I6018">
            <v>6723</v>
          </cell>
          <cell r="J6018">
            <v>0.14004761643835617</v>
          </cell>
        </row>
        <row r="6019">
          <cell r="I6019">
            <v>6724</v>
          </cell>
          <cell r="J6019">
            <v>0.14004942465753425</v>
          </cell>
        </row>
        <row r="6020">
          <cell r="I6020">
            <v>6725</v>
          </cell>
          <cell r="J6020">
            <v>0.14005123287671234</v>
          </cell>
        </row>
        <row r="6021">
          <cell r="I6021">
            <v>6726</v>
          </cell>
          <cell r="J6021">
            <v>0.14005304109589042</v>
          </cell>
        </row>
        <row r="6022">
          <cell r="I6022">
            <v>6727</v>
          </cell>
          <cell r="J6022">
            <v>0.14005484931506851</v>
          </cell>
        </row>
        <row r="6023">
          <cell r="I6023">
            <v>6728</v>
          </cell>
          <cell r="J6023">
            <v>0.14005665753424659</v>
          </cell>
        </row>
        <row r="6024">
          <cell r="I6024">
            <v>6729</v>
          </cell>
          <cell r="J6024">
            <v>0.14005846575342465</v>
          </cell>
        </row>
        <row r="6025">
          <cell r="I6025">
            <v>6730</v>
          </cell>
          <cell r="J6025">
            <v>0.14006027397260273</v>
          </cell>
        </row>
        <row r="6026">
          <cell r="I6026">
            <v>6731</v>
          </cell>
          <cell r="J6026">
            <v>0.14006208219178082</v>
          </cell>
        </row>
        <row r="6027">
          <cell r="I6027">
            <v>6732</v>
          </cell>
          <cell r="J6027">
            <v>0.1400638904109589</v>
          </cell>
        </row>
        <row r="6028">
          <cell r="I6028">
            <v>6733</v>
          </cell>
          <cell r="J6028">
            <v>0.14006569863013699</v>
          </cell>
        </row>
        <row r="6029">
          <cell r="I6029">
            <v>6734</v>
          </cell>
          <cell r="J6029">
            <v>0.14006750684931507</v>
          </cell>
        </row>
        <row r="6030">
          <cell r="I6030">
            <v>6735</v>
          </cell>
          <cell r="J6030">
            <v>0.14006931506849316</v>
          </cell>
        </row>
        <row r="6031">
          <cell r="I6031">
            <v>6736</v>
          </cell>
          <cell r="J6031">
            <v>0.14007112328767124</v>
          </cell>
        </row>
        <row r="6032">
          <cell r="I6032">
            <v>6737</v>
          </cell>
          <cell r="J6032">
            <v>0.14007293150684932</v>
          </cell>
        </row>
        <row r="6033">
          <cell r="I6033">
            <v>6738</v>
          </cell>
          <cell r="J6033">
            <v>0.14007473972602741</v>
          </cell>
        </row>
        <row r="6034">
          <cell r="I6034">
            <v>6739</v>
          </cell>
          <cell r="J6034">
            <v>0.14007654794520549</v>
          </cell>
        </row>
        <row r="6035">
          <cell r="I6035">
            <v>6740</v>
          </cell>
          <cell r="J6035">
            <v>0.14007835616438358</v>
          </cell>
        </row>
        <row r="6036">
          <cell r="I6036">
            <v>6741</v>
          </cell>
          <cell r="J6036">
            <v>0.14008016438356163</v>
          </cell>
        </row>
        <row r="6037">
          <cell r="I6037">
            <v>6742</v>
          </cell>
          <cell r="J6037">
            <v>0.14008197260273972</v>
          </cell>
        </row>
        <row r="6038">
          <cell r="I6038">
            <v>6743</v>
          </cell>
          <cell r="J6038">
            <v>0.1400837808219178</v>
          </cell>
        </row>
        <row r="6039">
          <cell r="I6039">
            <v>6744</v>
          </cell>
          <cell r="J6039">
            <v>0.14008558904109589</v>
          </cell>
        </row>
        <row r="6040">
          <cell r="I6040">
            <v>6745</v>
          </cell>
          <cell r="J6040">
            <v>0.14008739726027397</v>
          </cell>
        </row>
        <row r="6041">
          <cell r="I6041">
            <v>6746</v>
          </cell>
          <cell r="J6041">
            <v>0.14008920547945206</v>
          </cell>
        </row>
        <row r="6042">
          <cell r="I6042">
            <v>6747</v>
          </cell>
          <cell r="J6042">
            <v>0.14009101369863014</v>
          </cell>
        </row>
        <row r="6043">
          <cell r="I6043">
            <v>6748</v>
          </cell>
          <cell r="J6043">
            <v>0.14009282191780822</v>
          </cell>
        </row>
        <row r="6044">
          <cell r="I6044">
            <v>6749</v>
          </cell>
          <cell r="J6044">
            <v>0.14009463013698631</v>
          </cell>
        </row>
        <row r="6045">
          <cell r="I6045">
            <v>6750</v>
          </cell>
          <cell r="J6045">
            <v>0.14009643835616439</v>
          </cell>
        </row>
        <row r="6046">
          <cell r="I6046">
            <v>6751</v>
          </cell>
          <cell r="J6046">
            <v>0.14009824657534248</v>
          </cell>
        </row>
        <row r="6047">
          <cell r="I6047">
            <v>6752</v>
          </cell>
          <cell r="J6047">
            <v>0.14010005479452056</v>
          </cell>
        </row>
        <row r="6048">
          <cell r="I6048">
            <v>6753</v>
          </cell>
          <cell r="J6048">
            <v>0.14010186301369865</v>
          </cell>
        </row>
        <row r="6049">
          <cell r="I6049">
            <v>6754</v>
          </cell>
          <cell r="J6049">
            <v>0.1401036712328767</v>
          </cell>
        </row>
        <row r="6050">
          <cell r="I6050">
            <v>6755</v>
          </cell>
          <cell r="J6050">
            <v>0.14010547945205479</v>
          </cell>
        </row>
        <row r="6051">
          <cell r="I6051">
            <v>6756</v>
          </cell>
          <cell r="J6051">
            <v>0.14010728767123287</v>
          </cell>
        </row>
        <row r="6052">
          <cell r="I6052">
            <v>6757</v>
          </cell>
          <cell r="J6052">
            <v>0.14010909589041096</v>
          </cell>
        </row>
        <row r="6053">
          <cell r="I6053">
            <v>6758</v>
          </cell>
          <cell r="J6053">
            <v>0.14011090410958904</v>
          </cell>
        </row>
        <row r="6054">
          <cell r="I6054">
            <v>6759</v>
          </cell>
          <cell r="J6054">
            <v>0.14011271232876713</v>
          </cell>
        </row>
        <row r="6055">
          <cell r="I6055">
            <v>6760</v>
          </cell>
          <cell r="J6055">
            <v>0.14011452054794521</v>
          </cell>
        </row>
        <row r="6056">
          <cell r="I6056">
            <v>6761</v>
          </cell>
          <cell r="J6056">
            <v>0.14011632876712329</v>
          </cell>
        </row>
        <row r="6057">
          <cell r="I6057">
            <v>6762</v>
          </cell>
          <cell r="J6057">
            <v>0.14011813698630138</v>
          </cell>
        </row>
        <row r="6058">
          <cell r="I6058">
            <v>6763</v>
          </cell>
          <cell r="J6058">
            <v>0.14011994520547946</v>
          </cell>
        </row>
        <row r="6059">
          <cell r="I6059">
            <v>6764</v>
          </cell>
          <cell r="J6059">
            <v>0.14012175342465755</v>
          </cell>
        </row>
        <row r="6060">
          <cell r="I6060">
            <v>6765</v>
          </cell>
          <cell r="J6060">
            <v>0.14012356164383563</v>
          </cell>
        </row>
        <row r="6061">
          <cell r="I6061">
            <v>6766</v>
          </cell>
          <cell r="J6061">
            <v>0.14012536986301372</v>
          </cell>
        </row>
        <row r="6062">
          <cell r="I6062">
            <v>6767</v>
          </cell>
          <cell r="J6062">
            <v>0.14012717808219177</v>
          </cell>
        </row>
        <row r="6063">
          <cell r="I6063">
            <v>6768</v>
          </cell>
          <cell r="J6063">
            <v>0.14012898630136986</v>
          </cell>
        </row>
        <row r="6064">
          <cell r="I6064">
            <v>6769</v>
          </cell>
          <cell r="J6064">
            <v>0.14013079452054794</v>
          </cell>
        </row>
        <row r="6065">
          <cell r="I6065">
            <v>6770</v>
          </cell>
          <cell r="J6065">
            <v>0.14013260273972603</v>
          </cell>
        </row>
        <row r="6066">
          <cell r="I6066">
            <v>6771</v>
          </cell>
          <cell r="J6066">
            <v>0.14013441095890411</v>
          </cell>
        </row>
        <row r="6067">
          <cell r="I6067">
            <v>6772</v>
          </cell>
          <cell r="J6067">
            <v>0.14013621917808219</v>
          </cell>
        </row>
        <row r="6068">
          <cell r="I6068">
            <v>6773</v>
          </cell>
          <cell r="J6068">
            <v>0.14013802739726028</v>
          </cell>
        </row>
        <row r="6069">
          <cell r="I6069">
            <v>6774</v>
          </cell>
          <cell r="J6069">
            <v>0.14013983561643836</v>
          </cell>
        </row>
        <row r="6070">
          <cell r="I6070">
            <v>6775</v>
          </cell>
          <cell r="J6070">
            <v>0.14014164383561645</v>
          </cell>
        </row>
        <row r="6071">
          <cell r="I6071">
            <v>6776</v>
          </cell>
          <cell r="J6071">
            <v>0.14014345205479453</v>
          </cell>
        </row>
        <row r="6072">
          <cell r="I6072">
            <v>6777</v>
          </cell>
          <cell r="J6072">
            <v>0.14014526027397262</v>
          </cell>
        </row>
        <row r="6073">
          <cell r="I6073">
            <v>6778</v>
          </cell>
          <cell r="J6073">
            <v>0.1401470684931507</v>
          </cell>
        </row>
        <row r="6074">
          <cell r="I6074">
            <v>6779</v>
          </cell>
          <cell r="J6074">
            <v>0.14014887671232878</v>
          </cell>
        </row>
        <row r="6075">
          <cell r="I6075">
            <v>6780</v>
          </cell>
          <cell r="J6075">
            <v>0.14015068493150684</v>
          </cell>
        </row>
        <row r="6076">
          <cell r="I6076">
            <v>6781</v>
          </cell>
          <cell r="J6076">
            <v>0.14015249315068493</v>
          </cell>
        </row>
        <row r="6077">
          <cell r="I6077">
            <v>6782</v>
          </cell>
          <cell r="J6077">
            <v>0.14015430136986301</v>
          </cell>
        </row>
        <row r="6078">
          <cell r="I6078">
            <v>6783</v>
          </cell>
          <cell r="J6078">
            <v>0.14015610958904109</v>
          </cell>
        </row>
        <row r="6079">
          <cell r="I6079">
            <v>6784</v>
          </cell>
          <cell r="J6079">
            <v>0.14015791780821918</v>
          </cell>
        </row>
        <row r="6080">
          <cell r="I6080">
            <v>6785</v>
          </cell>
          <cell r="J6080">
            <v>0.14015972602739726</v>
          </cell>
        </row>
        <row r="6081">
          <cell r="I6081">
            <v>6786</v>
          </cell>
          <cell r="J6081">
            <v>0.14016153424657535</v>
          </cell>
        </row>
        <row r="6082">
          <cell r="I6082">
            <v>6787</v>
          </cell>
          <cell r="J6082">
            <v>0.14016334246575343</v>
          </cell>
        </row>
        <row r="6083">
          <cell r="I6083">
            <v>6788</v>
          </cell>
          <cell r="J6083">
            <v>0.14016515068493152</v>
          </cell>
        </row>
        <row r="6084">
          <cell r="I6084">
            <v>6789</v>
          </cell>
          <cell r="J6084">
            <v>0.1401669589041096</v>
          </cell>
        </row>
        <row r="6085">
          <cell r="I6085">
            <v>6790</v>
          </cell>
          <cell r="J6085">
            <v>0.14016876712328769</v>
          </cell>
        </row>
        <row r="6086">
          <cell r="I6086">
            <v>6791</v>
          </cell>
          <cell r="J6086">
            <v>0.14017057534246577</v>
          </cell>
        </row>
        <row r="6087">
          <cell r="I6087">
            <v>6792</v>
          </cell>
          <cell r="J6087">
            <v>0.14017238356164383</v>
          </cell>
        </row>
        <row r="6088">
          <cell r="I6088">
            <v>6793</v>
          </cell>
          <cell r="J6088">
            <v>0.14017419178082191</v>
          </cell>
        </row>
        <row r="6089">
          <cell r="I6089">
            <v>6794</v>
          </cell>
          <cell r="J6089">
            <v>0.140176</v>
          </cell>
        </row>
        <row r="6090">
          <cell r="I6090">
            <v>6795</v>
          </cell>
          <cell r="J6090">
            <v>0.14017780821917808</v>
          </cell>
        </row>
        <row r="6091">
          <cell r="I6091">
            <v>6796</v>
          </cell>
          <cell r="J6091">
            <v>0.14017961643835616</v>
          </cell>
        </row>
        <row r="6092">
          <cell r="I6092">
            <v>6797</v>
          </cell>
          <cell r="J6092">
            <v>0.14018142465753425</v>
          </cell>
        </row>
        <row r="6093">
          <cell r="I6093">
            <v>6798</v>
          </cell>
          <cell r="J6093">
            <v>0.14018323287671233</v>
          </cell>
        </row>
        <row r="6094">
          <cell r="I6094">
            <v>6799</v>
          </cell>
          <cell r="J6094">
            <v>0.14018504109589042</v>
          </cell>
        </row>
        <row r="6095">
          <cell r="I6095">
            <v>6800</v>
          </cell>
          <cell r="J6095">
            <v>0.1401868493150685</v>
          </cell>
        </row>
        <row r="6096">
          <cell r="I6096">
            <v>6801</v>
          </cell>
          <cell r="J6096">
            <v>0.14018865753424659</v>
          </cell>
        </row>
        <row r="6097">
          <cell r="I6097">
            <v>6802</v>
          </cell>
          <cell r="J6097">
            <v>0.14019046575342467</v>
          </cell>
        </row>
        <row r="6098">
          <cell r="I6098">
            <v>6803</v>
          </cell>
          <cell r="J6098">
            <v>0.14019227397260275</v>
          </cell>
        </row>
        <row r="6099">
          <cell r="I6099">
            <v>6804</v>
          </cell>
          <cell r="J6099">
            <v>0.14019408219178084</v>
          </cell>
        </row>
        <row r="6100">
          <cell r="I6100">
            <v>6805</v>
          </cell>
          <cell r="J6100">
            <v>0.1401958904109589</v>
          </cell>
        </row>
        <row r="6101">
          <cell r="I6101">
            <v>6806</v>
          </cell>
          <cell r="J6101">
            <v>0.14019769863013698</v>
          </cell>
        </row>
        <row r="6102">
          <cell r="I6102">
            <v>6807</v>
          </cell>
          <cell r="J6102">
            <v>0.14019950684931506</v>
          </cell>
        </row>
        <row r="6103">
          <cell r="I6103">
            <v>6808</v>
          </cell>
          <cell r="J6103">
            <v>0.14020131506849315</v>
          </cell>
        </row>
        <row r="6104">
          <cell r="I6104">
            <v>6809</v>
          </cell>
          <cell r="J6104">
            <v>0.14020312328767123</v>
          </cell>
        </row>
        <row r="6105">
          <cell r="I6105">
            <v>6810</v>
          </cell>
          <cell r="J6105">
            <v>0.14020493150684932</v>
          </cell>
        </row>
        <row r="6106">
          <cell r="I6106">
            <v>6811</v>
          </cell>
          <cell r="J6106">
            <v>0.1402067397260274</v>
          </cell>
        </row>
        <row r="6107">
          <cell r="I6107">
            <v>6812</v>
          </cell>
          <cell r="J6107">
            <v>0.14020854794520549</v>
          </cell>
        </row>
        <row r="6108">
          <cell r="I6108">
            <v>6813</v>
          </cell>
          <cell r="J6108">
            <v>0.14021035616438357</v>
          </cell>
        </row>
        <row r="6109">
          <cell r="I6109">
            <v>6814</v>
          </cell>
          <cell r="J6109">
            <v>0.14021216438356165</v>
          </cell>
        </row>
        <row r="6110">
          <cell r="I6110">
            <v>6815</v>
          </cell>
          <cell r="J6110">
            <v>0.14021397260273974</v>
          </cell>
        </row>
        <row r="6111">
          <cell r="I6111">
            <v>6816</v>
          </cell>
          <cell r="J6111">
            <v>0.14021578082191782</v>
          </cell>
        </row>
        <row r="6112">
          <cell r="I6112">
            <v>6817</v>
          </cell>
          <cell r="J6112">
            <v>0.14021758904109588</v>
          </cell>
        </row>
        <row r="6113">
          <cell r="I6113">
            <v>6818</v>
          </cell>
          <cell r="J6113">
            <v>0.14021939726027396</v>
          </cell>
        </row>
        <row r="6114">
          <cell r="I6114">
            <v>6819</v>
          </cell>
          <cell r="J6114">
            <v>0.14022120547945205</v>
          </cell>
        </row>
        <row r="6115">
          <cell r="I6115">
            <v>6820</v>
          </cell>
          <cell r="J6115">
            <v>0.14022301369863013</v>
          </cell>
        </row>
        <row r="6116">
          <cell r="I6116">
            <v>6821</v>
          </cell>
          <cell r="J6116">
            <v>0.14022482191780822</v>
          </cell>
        </row>
        <row r="6117">
          <cell r="I6117">
            <v>6822</v>
          </cell>
          <cell r="J6117">
            <v>0.1402266301369863</v>
          </cell>
        </row>
        <row r="6118">
          <cell r="I6118">
            <v>6823</v>
          </cell>
          <cell r="J6118">
            <v>0.14022843835616439</v>
          </cell>
        </row>
        <row r="6119">
          <cell r="I6119">
            <v>6824</v>
          </cell>
          <cell r="J6119">
            <v>0.14023024657534247</v>
          </cell>
        </row>
        <row r="6120">
          <cell r="I6120">
            <v>6825</v>
          </cell>
          <cell r="J6120">
            <v>0.14023205479452056</v>
          </cell>
        </row>
        <row r="6121">
          <cell r="I6121">
            <v>6826</v>
          </cell>
          <cell r="J6121">
            <v>0.14023386301369864</v>
          </cell>
        </row>
        <row r="6122">
          <cell r="I6122">
            <v>6827</v>
          </cell>
          <cell r="J6122">
            <v>0.14023567123287672</v>
          </cell>
        </row>
        <row r="6123">
          <cell r="I6123">
            <v>6828</v>
          </cell>
          <cell r="J6123">
            <v>0.14023747945205481</v>
          </cell>
        </row>
        <row r="6124">
          <cell r="I6124">
            <v>6829</v>
          </cell>
          <cell r="J6124">
            <v>0.14023928767123289</v>
          </cell>
        </row>
        <row r="6125">
          <cell r="I6125">
            <v>6830</v>
          </cell>
          <cell r="J6125">
            <v>0.14024109589041095</v>
          </cell>
        </row>
        <row r="6126">
          <cell r="I6126">
            <v>6831</v>
          </cell>
          <cell r="J6126">
            <v>0.14024290410958903</v>
          </cell>
        </row>
        <row r="6127">
          <cell r="I6127">
            <v>6832</v>
          </cell>
          <cell r="J6127">
            <v>0.14024471232876712</v>
          </cell>
        </row>
        <row r="6128">
          <cell r="I6128">
            <v>6833</v>
          </cell>
          <cell r="J6128">
            <v>0.1402465205479452</v>
          </cell>
        </row>
        <row r="6129">
          <cell r="I6129">
            <v>6834</v>
          </cell>
          <cell r="J6129">
            <v>0.14024832876712329</v>
          </cell>
        </row>
        <row r="6130">
          <cell r="I6130">
            <v>6835</v>
          </cell>
          <cell r="J6130">
            <v>0.14025013698630137</v>
          </cell>
        </row>
        <row r="6131">
          <cell r="I6131">
            <v>6836</v>
          </cell>
          <cell r="J6131">
            <v>0.14025194520547946</v>
          </cell>
        </row>
        <row r="6132">
          <cell r="I6132">
            <v>6837</v>
          </cell>
          <cell r="J6132">
            <v>0.14025375342465754</v>
          </cell>
        </row>
        <row r="6133">
          <cell r="I6133">
            <v>6838</v>
          </cell>
          <cell r="J6133">
            <v>0.14025556164383562</v>
          </cell>
        </row>
        <row r="6134">
          <cell r="I6134">
            <v>6839</v>
          </cell>
          <cell r="J6134">
            <v>0.14025736986301371</v>
          </cell>
        </row>
        <row r="6135">
          <cell r="I6135">
            <v>6840</v>
          </cell>
          <cell r="J6135">
            <v>0.14025917808219179</v>
          </cell>
        </row>
        <row r="6136">
          <cell r="I6136">
            <v>6841</v>
          </cell>
          <cell r="J6136">
            <v>0.14026098630136988</v>
          </cell>
        </row>
        <row r="6137">
          <cell r="I6137">
            <v>6842</v>
          </cell>
          <cell r="J6137">
            <v>0.14026279452054796</v>
          </cell>
        </row>
        <row r="6138">
          <cell r="I6138">
            <v>6843</v>
          </cell>
          <cell r="J6138">
            <v>0.14026460273972602</v>
          </cell>
        </row>
        <row r="6139">
          <cell r="I6139">
            <v>6844</v>
          </cell>
          <cell r="J6139">
            <v>0.1402664109589041</v>
          </cell>
        </row>
        <row r="6140">
          <cell r="I6140">
            <v>6845</v>
          </cell>
          <cell r="J6140">
            <v>0.14026821917808219</v>
          </cell>
        </row>
        <row r="6141">
          <cell r="I6141">
            <v>6846</v>
          </cell>
          <cell r="J6141">
            <v>0.14027002739726027</v>
          </cell>
        </row>
        <row r="6142">
          <cell r="I6142">
            <v>6847</v>
          </cell>
          <cell r="J6142">
            <v>0.14027183561643836</v>
          </cell>
        </row>
        <row r="6143">
          <cell r="I6143">
            <v>6848</v>
          </cell>
          <cell r="J6143">
            <v>0.14027364383561644</v>
          </cell>
        </row>
        <row r="6144">
          <cell r="I6144">
            <v>6849</v>
          </cell>
          <cell r="J6144">
            <v>0.14027545205479452</v>
          </cell>
        </row>
        <row r="6145">
          <cell r="I6145">
            <v>6850</v>
          </cell>
          <cell r="J6145">
            <v>0.14027726027397261</v>
          </cell>
        </row>
        <row r="6146">
          <cell r="I6146">
            <v>6851</v>
          </cell>
          <cell r="J6146">
            <v>0.14027906849315069</v>
          </cell>
        </row>
        <row r="6147">
          <cell r="I6147">
            <v>6852</v>
          </cell>
          <cell r="J6147">
            <v>0.14028087671232878</v>
          </cell>
        </row>
        <row r="6148">
          <cell r="I6148">
            <v>6853</v>
          </cell>
          <cell r="J6148">
            <v>0.14028268493150686</v>
          </cell>
        </row>
        <row r="6149">
          <cell r="I6149">
            <v>6854</v>
          </cell>
          <cell r="J6149">
            <v>0.14028449315068495</v>
          </cell>
        </row>
        <row r="6150">
          <cell r="I6150">
            <v>6855</v>
          </cell>
          <cell r="J6150">
            <v>0.14028630136986303</v>
          </cell>
        </row>
        <row r="6151">
          <cell r="I6151">
            <v>6856</v>
          </cell>
          <cell r="J6151">
            <v>0.14028810958904109</v>
          </cell>
        </row>
        <row r="6152">
          <cell r="I6152">
            <v>6857</v>
          </cell>
          <cell r="J6152">
            <v>0.14028991780821917</v>
          </cell>
        </row>
        <row r="6153">
          <cell r="I6153">
            <v>6858</v>
          </cell>
          <cell r="J6153">
            <v>0.14029172602739726</v>
          </cell>
        </row>
        <row r="6154">
          <cell r="I6154">
            <v>6859</v>
          </cell>
          <cell r="J6154">
            <v>0.14029353424657534</v>
          </cell>
        </row>
        <row r="6155">
          <cell r="I6155">
            <v>6860</v>
          </cell>
          <cell r="J6155">
            <v>0.14029534246575343</v>
          </cell>
        </row>
        <row r="6156">
          <cell r="I6156">
            <v>6861</v>
          </cell>
          <cell r="J6156">
            <v>0.14029715068493151</v>
          </cell>
        </row>
        <row r="6157">
          <cell r="I6157">
            <v>6862</v>
          </cell>
          <cell r="J6157">
            <v>0.14029895890410959</v>
          </cell>
        </row>
        <row r="6158">
          <cell r="I6158">
            <v>6863</v>
          </cell>
          <cell r="J6158">
            <v>0.14030076712328768</v>
          </cell>
        </row>
        <row r="6159">
          <cell r="I6159">
            <v>6864</v>
          </cell>
          <cell r="J6159">
            <v>0.14030257534246576</v>
          </cell>
        </row>
        <row r="6160">
          <cell r="I6160">
            <v>6865</v>
          </cell>
          <cell r="J6160">
            <v>0.14030438356164385</v>
          </cell>
        </row>
        <row r="6161">
          <cell r="I6161">
            <v>6866</v>
          </cell>
          <cell r="J6161">
            <v>0.14030619178082193</v>
          </cell>
        </row>
        <row r="6162">
          <cell r="I6162">
            <v>6867</v>
          </cell>
          <cell r="J6162">
            <v>0.14030800000000002</v>
          </cell>
        </row>
        <row r="6163">
          <cell r="I6163">
            <v>6868</v>
          </cell>
          <cell r="J6163">
            <v>0.14030980821917807</v>
          </cell>
        </row>
        <row r="6164">
          <cell r="I6164">
            <v>6869</v>
          </cell>
          <cell r="J6164">
            <v>0.14031161643835616</v>
          </cell>
        </row>
        <row r="6165">
          <cell r="I6165">
            <v>6870</v>
          </cell>
          <cell r="J6165">
            <v>0.14031342465753424</v>
          </cell>
        </row>
        <row r="6166">
          <cell r="I6166">
            <v>6871</v>
          </cell>
          <cell r="J6166">
            <v>0.14031523287671233</v>
          </cell>
        </row>
        <row r="6167">
          <cell r="I6167">
            <v>6872</v>
          </cell>
          <cell r="J6167">
            <v>0.14031704109589041</v>
          </cell>
        </row>
        <row r="6168">
          <cell r="I6168">
            <v>6873</v>
          </cell>
          <cell r="J6168">
            <v>0.14031884931506849</v>
          </cell>
        </row>
        <row r="6169">
          <cell r="I6169">
            <v>6874</v>
          </cell>
          <cell r="J6169">
            <v>0.14032065753424658</v>
          </cell>
        </row>
        <row r="6170">
          <cell r="I6170">
            <v>6875</v>
          </cell>
          <cell r="J6170">
            <v>0.14032246575342466</v>
          </cell>
        </row>
        <row r="6171">
          <cell r="I6171">
            <v>6876</v>
          </cell>
          <cell r="J6171">
            <v>0.14032427397260275</v>
          </cell>
        </row>
        <row r="6172">
          <cell r="I6172">
            <v>6877</v>
          </cell>
          <cell r="J6172">
            <v>0.14032608219178083</v>
          </cell>
        </row>
        <row r="6173">
          <cell r="I6173">
            <v>6878</v>
          </cell>
          <cell r="J6173">
            <v>0.14032789041095892</v>
          </cell>
        </row>
        <row r="6174">
          <cell r="I6174">
            <v>6879</v>
          </cell>
          <cell r="J6174">
            <v>0.140329698630137</v>
          </cell>
        </row>
        <row r="6175">
          <cell r="I6175">
            <v>6880</v>
          </cell>
          <cell r="J6175">
            <v>0.14033150684931509</v>
          </cell>
        </row>
        <row r="6176">
          <cell r="I6176">
            <v>6881</v>
          </cell>
          <cell r="J6176">
            <v>0.14033331506849314</v>
          </cell>
        </row>
        <row r="6177">
          <cell r="I6177">
            <v>6882</v>
          </cell>
          <cell r="J6177">
            <v>0.14033512328767123</v>
          </cell>
        </row>
        <row r="6178">
          <cell r="I6178">
            <v>6883</v>
          </cell>
          <cell r="J6178">
            <v>0.14033693150684931</v>
          </cell>
        </row>
        <row r="6179">
          <cell r="I6179">
            <v>6884</v>
          </cell>
          <cell r="J6179">
            <v>0.14033873972602739</v>
          </cell>
        </row>
        <row r="6180">
          <cell r="I6180">
            <v>6885</v>
          </cell>
          <cell r="J6180">
            <v>0.14034054794520548</v>
          </cell>
        </row>
        <row r="6181">
          <cell r="I6181">
            <v>6886</v>
          </cell>
          <cell r="J6181">
            <v>0.14034235616438356</v>
          </cell>
        </row>
        <row r="6182">
          <cell r="I6182">
            <v>6887</v>
          </cell>
          <cell r="J6182">
            <v>0.14034416438356165</v>
          </cell>
        </row>
        <row r="6183">
          <cell r="I6183">
            <v>6888</v>
          </cell>
          <cell r="J6183">
            <v>0.14034597260273973</v>
          </cell>
        </row>
        <row r="6184">
          <cell r="I6184">
            <v>6889</v>
          </cell>
          <cell r="J6184">
            <v>0.14034778082191782</v>
          </cell>
        </row>
        <row r="6185">
          <cell r="I6185">
            <v>6890</v>
          </cell>
          <cell r="J6185">
            <v>0.1403495890410959</v>
          </cell>
        </row>
        <row r="6186">
          <cell r="I6186">
            <v>6891</v>
          </cell>
          <cell r="J6186">
            <v>0.14035139726027399</v>
          </cell>
        </row>
        <row r="6187">
          <cell r="I6187">
            <v>6892</v>
          </cell>
          <cell r="J6187">
            <v>0.14035320547945207</v>
          </cell>
        </row>
        <row r="6188">
          <cell r="I6188">
            <v>6893</v>
          </cell>
          <cell r="J6188">
            <v>0.14035501369863015</v>
          </cell>
        </row>
        <row r="6189">
          <cell r="I6189">
            <v>6894</v>
          </cell>
          <cell r="J6189">
            <v>0.14035682191780821</v>
          </cell>
        </row>
        <row r="6190">
          <cell r="I6190">
            <v>6895</v>
          </cell>
          <cell r="J6190">
            <v>0.1403586301369863</v>
          </cell>
        </row>
        <row r="6191">
          <cell r="I6191">
            <v>6896</v>
          </cell>
          <cell r="J6191">
            <v>0.14036043835616438</v>
          </cell>
        </row>
        <row r="6192">
          <cell r="I6192">
            <v>6897</v>
          </cell>
          <cell r="J6192">
            <v>0.14036224657534246</v>
          </cell>
        </row>
        <row r="6193">
          <cell r="I6193">
            <v>6898</v>
          </cell>
          <cell r="J6193">
            <v>0.14036405479452055</v>
          </cell>
        </row>
        <row r="6194">
          <cell r="I6194">
            <v>6899</v>
          </cell>
          <cell r="J6194">
            <v>0.14036586301369863</v>
          </cell>
        </row>
        <row r="6195">
          <cell r="I6195">
            <v>6900</v>
          </cell>
          <cell r="J6195">
            <v>0.14036767123287672</v>
          </cell>
        </row>
        <row r="6196">
          <cell r="I6196">
            <v>6901</v>
          </cell>
          <cell r="J6196">
            <v>0.1403694794520548</v>
          </cell>
        </row>
        <row r="6197">
          <cell r="I6197">
            <v>6902</v>
          </cell>
          <cell r="J6197">
            <v>0.14037128767123289</v>
          </cell>
        </row>
        <row r="6198">
          <cell r="I6198">
            <v>6903</v>
          </cell>
          <cell r="J6198">
            <v>0.14037309589041097</v>
          </cell>
        </row>
        <row r="6199">
          <cell r="I6199">
            <v>6904</v>
          </cell>
          <cell r="J6199">
            <v>0.14037490410958905</v>
          </cell>
        </row>
        <row r="6200">
          <cell r="I6200">
            <v>6905</v>
          </cell>
          <cell r="J6200">
            <v>0.14037671232876714</v>
          </cell>
        </row>
        <row r="6201">
          <cell r="I6201">
            <v>6906</v>
          </cell>
          <cell r="J6201">
            <v>0.1403785205479452</v>
          </cell>
        </row>
        <row r="6202">
          <cell r="I6202">
            <v>6907</v>
          </cell>
          <cell r="J6202">
            <v>0.14038032876712328</v>
          </cell>
        </row>
        <row r="6203">
          <cell r="I6203">
            <v>6908</v>
          </cell>
          <cell r="J6203">
            <v>0.14038213698630136</v>
          </cell>
        </row>
        <row r="6204">
          <cell r="I6204">
            <v>6909</v>
          </cell>
          <cell r="J6204">
            <v>0.14038394520547945</v>
          </cell>
        </row>
        <row r="6205">
          <cell r="I6205">
            <v>6910</v>
          </cell>
          <cell r="J6205">
            <v>0.14038575342465753</v>
          </cell>
        </row>
        <row r="6206">
          <cell r="I6206">
            <v>6911</v>
          </cell>
          <cell r="J6206">
            <v>0.14038756164383562</v>
          </cell>
        </row>
        <row r="6207">
          <cell r="I6207">
            <v>6912</v>
          </cell>
          <cell r="J6207">
            <v>0.1403893698630137</v>
          </cell>
        </row>
        <row r="6208">
          <cell r="I6208">
            <v>6913</v>
          </cell>
          <cell r="J6208">
            <v>0.14039117808219179</v>
          </cell>
        </row>
        <row r="6209">
          <cell r="I6209">
            <v>6914</v>
          </cell>
          <cell r="J6209">
            <v>0.14039298630136987</v>
          </cell>
        </row>
        <row r="6210">
          <cell r="I6210">
            <v>6915</v>
          </cell>
          <cell r="J6210">
            <v>0.14039479452054796</v>
          </cell>
        </row>
        <row r="6211">
          <cell r="I6211">
            <v>6916</v>
          </cell>
          <cell r="J6211">
            <v>0.14039660273972604</v>
          </cell>
        </row>
        <row r="6212">
          <cell r="I6212">
            <v>6917</v>
          </cell>
          <cell r="J6212">
            <v>0.14039841095890412</v>
          </cell>
        </row>
        <row r="6213">
          <cell r="I6213">
            <v>6918</v>
          </cell>
          <cell r="J6213">
            <v>0.14040021917808221</v>
          </cell>
        </row>
        <row r="6214">
          <cell r="I6214">
            <v>6919</v>
          </cell>
          <cell r="J6214">
            <v>0.14040202739726027</v>
          </cell>
        </row>
        <row r="6215">
          <cell r="I6215">
            <v>6920</v>
          </cell>
          <cell r="J6215">
            <v>0.14040383561643835</v>
          </cell>
        </row>
        <row r="6216">
          <cell r="I6216">
            <v>6921</v>
          </cell>
          <cell r="J6216">
            <v>0.14040564383561643</v>
          </cell>
        </row>
        <row r="6217">
          <cell r="I6217">
            <v>6922</v>
          </cell>
          <cell r="J6217">
            <v>0.14040745205479452</v>
          </cell>
        </row>
        <row r="6218">
          <cell r="I6218">
            <v>6923</v>
          </cell>
          <cell r="J6218">
            <v>0.1404092602739726</v>
          </cell>
        </row>
        <row r="6219">
          <cell r="I6219">
            <v>6924</v>
          </cell>
          <cell r="J6219">
            <v>0.14041106849315069</v>
          </cell>
        </row>
        <row r="6220">
          <cell r="I6220">
            <v>6925</v>
          </cell>
          <cell r="J6220">
            <v>0.14041287671232877</v>
          </cell>
        </row>
        <row r="6221">
          <cell r="I6221">
            <v>6926</v>
          </cell>
          <cell r="J6221">
            <v>0.14041468493150686</v>
          </cell>
        </row>
        <row r="6222">
          <cell r="I6222">
            <v>6927</v>
          </cell>
          <cell r="J6222">
            <v>0.14041649315068494</v>
          </cell>
        </row>
        <row r="6223">
          <cell r="I6223">
            <v>6928</v>
          </cell>
          <cell r="J6223">
            <v>0.14041830136986302</v>
          </cell>
        </row>
        <row r="6224">
          <cell r="I6224">
            <v>6929</v>
          </cell>
          <cell r="J6224">
            <v>0.14042010958904111</v>
          </cell>
        </row>
        <row r="6225">
          <cell r="I6225">
            <v>6930</v>
          </cell>
          <cell r="J6225">
            <v>0.14042191780821919</v>
          </cell>
        </row>
        <row r="6226">
          <cell r="I6226">
            <v>6931</v>
          </cell>
          <cell r="J6226">
            <v>0.14042372602739728</v>
          </cell>
        </row>
        <row r="6227">
          <cell r="I6227">
            <v>6932</v>
          </cell>
          <cell r="J6227">
            <v>0.14042553424657533</v>
          </cell>
        </row>
        <row r="6228">
          <cell r="I6228">
            <v>6933</v>
          </cell>
          <cell r="J6228">
            <v>0.14042734246575342</v>
          </cell>
        </row>
        <row r="6229">
          <cell r="I6229">
            <v>6934</v>
          </cell>
          <cell r="J6229">
            <v>0.1404291506849315</v>
          </cell>
        </row>
        <row r="6230">
          <cell r="I6230">
            <v>6935</v>
          </cell>
          <cell r="J6230">
            <v>0.14043095890410959</v>
          </cell>
        </row>
        <row r="6231">
          <cell r="I6231">
            <v>6936</v>
          </cell>
          <cell r="J6231">
            <v>0.14043276712328767</v>
          </cell>
        </row>
        <row r="6232">
          <cell r="I6232">
            <v>6937</v>
          </cell>
          <cell r="J6232">
            <v>0.14043457534246576</v>
          </cell>
        </row>
        <row r="6233">
          <cell r="I6233">
            <v>6938</v>
          </cell>
          <cell r="J6233">
            <v>0.14043638356164384</v>
          </cell>
        </row>
        <row r="6234">
          <cell r="I6234">
            <v>6939</v>
          </cell>
          <cell r="J6234">
            <v>0.14043819178082192</v>
          </cell>
        </row>
        <row r="6235">
          <cell r="I6235">
            <v>6940</v>
          </cell>
          <cell r="J6235">
            <v>0.14044000000000001</v>
          </cell>
        </row>
        <row r="6236">
          <cell r="I6236">
            <v>6941</v>
          </cell>
          <cell r="J6236">
            <v>0.14044180821917809</v>
          </cell>
        </row>
        <row r="6237">
          <cell r="I6237">
            <v>6942</v>
          </cell>
          <cell r="J6237">
            <v>0.14044361643835618</v>
          </cell>
        </row>
        <row r="6238">
          <cell r="I6238">
            <v>6943</v>
          </cell>
          <cell r="J6238">
            <v>0.14044542465753426</v>
          </cell>
        </row>
        <row r="6239">
          <cell r="I6239">
            <v>6944</v>
          </cell>
          <cell r="J6239">
            <v>0.14044723287671232</v>
          </cell>
        </row>
        <row r="6240">
          <cell r="I6240">
            <v>6945</v>
          </cell>
          <cell r="J6240">
            <v>0.1404490410958904</v>
          </cell>
        </row>
        <row r="6241">
          <cell r="I6241">
            <v>6946</v>
          </cell>
          <cell r="J6241">
            <v>0.14045084931506849</v>
          </cell>
        </row>
        <row r="6242">
          <cell r="I6242">
            <v>6947</v>
          </cell>
          <cell r="J6242">
            <v>0.14045265753424657</v>
          </cell>
        </row>
        <row r="6243">
          <cell r="I6243">
            <v>6948</v>
          </cell>
          <cell r="J6243">
            <v>0.14045446575342466</v>
          </cell>
        </row>
        <row r="6244">
          <cell r="I6244">
            <v>6949</v>
          </cell>
          <cell r="J6244">
            <v>0.14045627397260274</v>
          </cell>
        </row>
        <row r="6245">
          <cell r="I6245">
            <v>6950</v>
          </cell>
          <cell r="J6245">
            <v>0.14045808219178083</v>
          </cell>
        </row>
        <row r="6246">
          <cell r="I6246">
            <v>6951</v>
          </cell>
          <cell r="J6246">
            <v>0.14045989041095891</v>
          </cell>
        </row>
        <row r="6247">
          <cell r="I6247">
            <v>6952</v>
          </cell>
          <cell r="J6247">
            <v>0.14046169863013699</v>
          </cell>
        </row>
        <row r="6248">
          <cell r="I6248">
            <v>6953</v>
          </cell>
          <cell r="J6248">
            <v>0.14046350684931508</v>
          </cell>
        </row>
        <row r="6249">
          <cell r="I6249">
            <v>6954</v>
          </cell>
          <cell r="J6249">
            <v>0.14046531506849316</v>
          </cell>
        </row>
        <row r="6250">
          <cell r="I6250">
            <v>6955</v>
          </cell>
          <cell r="J6250">
            <v>0.14046712328767125</v>
          </cell>
        </row>
        <row r="6251">
          <cell r="I6251">
            <v>6956</v>
          </cell>
          <cell r="J6251">
            <v>0.14046893150684933</v>
          </cell>
        </row>
        <row r="6252">
          <cell r="I6252">
            <v>6957</v>
          </cell>
          <cell r="J6252">
            <v>0.14047073972602739</v>
          </cell>
        </row>
        <row r="6253">
          <cell r="I6253">
            <v>6958</v>
          </cell>
          <cell r="J6253">
            <v>0.14047254794520547</v>
          </cell>
        </row>
        <row r="6254">
          <cell r="I6254">
            <v>6959</v>
          </cell>
          <cell r="J6254">
            <v>0.14047435616438356</v>
          </cell>
        </row>
        <row r="6255">
          <cell r="I6255">
            <v>6960</v>
          </cell>
          <cell r="J6255">
            <v>0.14047616438356164</v>
          </cell>
        </row>
        <row r="6256">
          <cell r="I6256">
            <v>6961</v>
          </cell>
          <cell r="J6256">
            <v>0.14047797260273973</v>
          </cell>
        </row>
        <row r="6257">
          <cell r="I6257">
            <v>6962</v>
          </cell>
          <cell r="J6257">
            <v>0.14047978082191781</v>
          </cell>
        </row>
        <row r="6258">
          <cell r="I6258">
            <v>6963</v>
          </cell>
          <cell r="J6258">
            <v>0.14048158904109589</v>
          </cell>
        </row>
        <row r="6259">
          <cell r="I6259">
            <v>6964</v>
          </cell>
          <cell r="J6259">
            <v>0.14048339726027398</v>
          </cell>
        </row>
        <row r="6260">
          <cell r="I6260">
            <v>6965</v>
          </cell>
          <cell r="J6260">
            <v>0.14048520547945206</v>
          </cell>
        </row>
        <row r="6261">
          <cell r="I6261">
            <v>6966</v>
          </cell>
          <cell r="J6261">
            <v>0.14048701369863015</v>
          </cell>
        </row>
        <row r="6262">
          <cell r="I6262">
            <v>6967</v>
          </cell>
          <cell r="J6262">
            <v>0.14048882191780823</v>
          </cell>
        </row>
        <row r="6263">
          <cell r="I6263">
            <v>6968</v>
          </cell>
          <cell r="J6263">
            <v>0.14049063013698632</v>
          </cell>
        </row>
        <row r="6264">
          <cell r="I6264">
            <v>6969</v>
          </cell>
          <cell r="J6264">
            <v>0.1404924383561644</v>
          </cell>
        </row>
        <row r="6265">
          <cell r="I6265">
            <v>6970</v>
          </cell>
          <cell r="J6265">
            <v>0.14049424657534246</v>
          </cell>
        </row>
        <row r="6266">
          <cell r="I6266">
            <v>6971</v>
          </cell>
          <cell r="J6266">
            <v>0.14049605479452054</v>
          </cell>
        </row>
        <row r="6267">
          <cell r="I6267">
            <v>6972</v>
          </cell>
          <cell r="J6267">
            <v>0.14049786301369863</v>
          </cell>
        </row>
        <row r="6268">
          <cell r="I6268">
            <v>6973</v>
          </cell>
          <cell r="J6268">
            <v>0.14049967123287671</v>
          </cell>
        </row>
        <row r="6269">
          <cell r="I6269">
            <v>6974</v>
          </cell>
          <cell r="J6269">
            <v>0.14050147945205479</v>
          </cell>
        </row>
        <row r="6270">
          <cell r="I6270">
            <v>6975</v>
          </cell>
          <cell r="J6270">
            <v>0.14050328767123288</v>
          </cell>
        </row>
        <row r="6271">
          <cell r="I6271">
            <v>6976</v>
          </cell>
          <cell r="J6271">
            <v>0.14050509589041096</v>
          </cell>
        </row>
        <row r="6272">
          <cell r="I6272">
            <v>6977</v>
          </cell>
          <cell r="J6272">
            <v>0.14050690410958905</v>
          </cell>
        </row>
        <row r="6273">
          <cell r="I6273">
            <v>6978</v>
          </cell>
          <cell r="J6273">
            <v>0.14050871232876713</v>
          </cell>
        </row>
        <row r="6274">
          <cell r="I6274">
            <v>6979</v>
          </cell>
          <cell r="J6274">
            <v>0.14051052054794522</v>
          </cell>
        </row>
        <row r="6275">
          <cell r="I6275">
            <v>6980</v>
          </cell>
          <cell r="J6275">
            <v>0.1405123287671233</v>
          </cell>
        </row>
        <row r="6276">
          <cell r="I6276">
            <v>6981</v>
          </cell>
          <cell r="J6276">
            <v>0.14051413698630139</v>
          </cell>
        </row>
        <row r="6277">
          <cell r="I6277">
            <v>6982</v>
          </cell>
          <cell r="J6277">
            <v>0.14051594520547944</v>
          </cell>
        </row>
        <row r="6278">
          <cell r="I6278">
            <v>6983</v>
          </cell>
          <cell r="J6278">
            <v>0.14051775342465753</v>
          </cell>
        </row>
        <row r="6279">
          <cell r="I6279">
            <v>6984</v>
          </cell>
          <cell r="J6279">
            <v>0.14051956164383561</v>
          </cell>
        </row>
        <row r="6280">
          <cell r="I6280">
            <v>6985</v>
          </cell>
          <cell r="J6280">
            <v>0.1405213698630137</v>
          </cell>
        </row>
        <row r="6281">
          <cell r="I6281">
            <v>6986</v>
          </cell>
          <cell r="J6281">
            <v>0.14052317808219178</v>
          </cell>
        </row>
        <row r="6282">
          <cell r="I6282">
            <v>6987</v>
          </cell>
          <cell r="J6282">
            <v>0.14052498630136986</v>
          </cell>
        </row>
        <row r="6283">
          <cell r="I6283">
            <v>6988</v>
          </cell>
          <cell r="J6283">
            <v>0.14052679452054795</v>
          </cell>
        </row>
        <row r="6284">
          <cell r="I6284">
            <v>6989</v>
          </cell>
          <cell r="J6284">
            <v>0.14052860273972603</v>
          </cell>
        </row>
        <row r="6285">
          <cell r="I6285">
            <v>6990</v>
          </cell>
          <cell r="J6285">
            <v>0.14053041095890412</v>
          </cell>
        </row>
        <row r="6286">
          <cell r="I6286">
            <v>6991</v>
          </cell>
          <cell r="J6286">
            <v>0.1405322191780822</v>
          </cell>
        </row>
        <row r="6287">
          <cell r="I6287">
            <v>6992</v>
          </cell>
          <cell r="J6287">
            <v>0.14053402739726029</v>
          </cell>
        </row>
        <row r="6288">
          <cell r="I6288">
            <v>6993</v>
          </cell>
          <cell r="J6288">
            <v>0.14053583561643837</v>
          </cell>
        </row>
        <row r="6289">
          <cell r="I6289">
            <v>6994</v>
          </cell>
          <cell r="J6289">
            <v>0.14053764383561645</v>
          </cell>
        </row>
        <row r="6290">
          <cell r="I6290">
            <v>6995</v>
          </cell>
          <cell r="J6290">
            <v>0.14053945205479451</v>
          </cell>
        </row>
        <row r="6291">
          <cell r="I6291">
            <v>6996</v>
          </cell>
          <cell r="J6291">
            <v>0.1405412602739726</v>
          </cell>
        </row>
        <row r="6292">
          <cell r="I6292">
            <v>6997</v>
          </cell>
          <cell r="J6292">
            <v>0.14054306849315068</v>
          </cell>
        </row>
        <row r="6293">
          <cell r="I6293">
            <v>6998</v>
          </cell>
          <cell r="J6293">
            <v>0.14054487671232876</v>
          </cell>
        </row>
        <row r="6294">
          <cell r="I6294">
            <v>6999</v>
          </cell>
          <cell r="J6294">
            <v>0.14054668493150685</v>
          </cell>
        </row>
        <row r="6295">
          <cell r="I6295">
            <v>7000</v>
          </cell>
          <cell r="J6295">
            <v>0.14054849315068493</v>
          </cell>
        </row>
        <row r="6296">
          <cell r="I6296">
            <v>7001</v>
          </cell>
          <cell r="J6296">
            <v>0.14055030136986302</v>
          </cell>
        </row>
        <row r="6297">
          <cell r="I6297">
            <v>7002</v>
          </cell>
          <cell r="J6297">
            <v>0.1405521095890411</v>
          </cell>
        </row>
        <row r="6298">
          <cell r="I6298">
            <v>7003</v>
          </cell>
          <cell r="J6298">
            <v>0.14055391780821919</v>
          </cell>
        </row>
        <row r="6299">
          <cell r="I6299">
            <v>7004</v>
          </cell>
          <cell r="J6299">
            <v>0.14055572602739727</v>
          </cell>
        </row>
        <row r="6300">
          <cell r="I6300">
            <v>7005</v>
          </cell>
          <cell r="J6300">
            <v>0.14055753424657536</v>
          </cell>
        </row>
        <row r="6301">
          <cell r="I6301">
            <v>7006</v>
          </cell>
          <cell r="J6301">
            <v>0.14055934246575344</v>
          </cell>
        </row>
        <row r="6302">
          <cell r="I6302">
            <v>7007</v>
          </cell>
          <cell r="J6302">
            <v>0.14056115068493152</v>
          </cell>
        </row>
        <row r="6303">
          <cell r="I6303">
            <v>7008</v>
          </cell>
          <cell r="J6303">
            <v>0.14056295890410958</v>
          </cell>
        </row>
        <row r="6304">
          <cell r="I6304">
            <v>7009</v>
          </cell>
          <cell r="J6304">
            <v>0.14056476712328766</v>
          </cell>
        </row>
        <row r="6305">
          <cell r="I6305">
            <v>7010</v>
          </cell>
          <cell r="J6305">
            <v>0.14056657534246575</v>
          </cell>
        </row>
        <row r="6306">
          <cell r="I6306">
            <v>7011</v>
          </cell>
          <cell r="J6306">
            <v>0.14056838356164383</v>
          </cell>
        </row>
        <row r="6307">
          <cell r="I6307">
            <v>7012</v>
          </cell>
          <cell r="J6307">
            <v>0.14057019178082192</v>
          </cell>
        </row>
        <row r="6308">
          <cell r="I6308">
            <v>7013</v>
          </cell>
          <cell r="J6308">
            <v>0.140572</v>
          </cell>
        </row>
        <row r="6309">
          <cell r="I6309">
            <v>7014</v>
          </cell>
          <cell r="J6309">
            <v>0.14057380821917809</v>
          </cell>
        </row>
        <row r="6310">
          <cell r="I6310">
            <v>7015</v>
          </cell>
          <cell r="J6310">
            <v>0.14057561643835617</v>
          </cell>
        </row>
        <row r="6311">
          <cell r="I6311">
            <v>7016</v>
          </cell>
          <cell r="J6311">
            <v>0.14057742465753426</v>
          </cell>
        </row>
        <row r="6312">
          <cell r="I6312">
            <v>7017</v>
          </cell>
          <cell r="J6312">
            <v>0.14057923287671234</v>
          </cell>
        </row>
        <row r="6313">
          <cell r="I6313">
            <v>7018</v>
          </cell>
          <cell r="J6313">
            <v>0.14058104109589042</v>
          </cell>
        </row>
        <row r="6314">
          <cell r="I6314">
            <v>7019</v>
          </cell>
          <cell r="J6314">
            <v>0.14058284931506851</v>
          </cell>
        </row>
        <row r="6315">
          <cell r="I6315">
            <v>7020</v>
          </cell>
          <cell r="J6315">
            <v>0.14058465753424657</v>
          </cell>
        </row>
        <row r="6316">
          <cell r="I6316">
            <v>7021</v>
          </cell>
          <cell r="J6316">
            <v>0.14058646575342465</v>
          </cell>
        </row>
        <row r="6317">
          <cell r="I6317">
            <v>7022</v>
          </cell>
          <cell r="J6317">
            <v>0.14058827397260273</v>
          </cell>
        </row>
        <row r="6318">
          <cell r="I6318">
            <v>7023</v>
          </cell>
          <cell r="J6318">
            <v>0.14059008219178082</v>
          </cell>
        </row>
        <row r="6319">
          <cell r="I6319">
            <v>7024</v>
          </cell>
          <cell r="J6319">
            <v>0.1405918904109589</v>
          </cell>
        </row>
        <row r="6320">
          <cell r="I6320">
            <v>7025</v>
          </cell>
          <cell r="J6320">
            <v>0.14059369863013699</v>
          </cell>
        </row>
        <row r="6321">
          <cell r="I6321">
            <v>7026</v>
          </cell>
          <cell r="J6321">
            <v>0.14059550684931507</v>
          </cell>
        </row>
        <row r="6322">
          <cell r="I6322">
            <v>7027</v>
          </cell>
          <cell r="J6322">
            <v>0.14059731506849316</v>
          </cell>
        </row>
        <row r="6323">
          <cell r="I6323">
            <v>7028</v>
          </cell>
          <cell r="J6323">
            <v>0.14059912328767124</v>
          </cell>
        </row>
        <row r="6324">
          <cell r="I6324">
            <v>7029</v>
          </cell>
          <cell r="J6324">
            <v>0.14060093150684932</v>
          </cell>
        </row>
        <row r="6325">
          <cell r="I6325">
            <v>7030</v>
          </cell>
          <cell r="J6325">
            <v>0.14060273972602741</v>
          </cell>
        </row>
        <row r="6326">
          <cell r="I6326">
            <v>7031</v>
          </cell>
          <cell r="J6326">
            <v>0.14060454794520549</v>
          </cell>
        </row>
        <row r="6327">
          <cell r="I6327">
            <v>7032</v>
          </cell>
          <cell r="J6327">
            <v>0.14060635616438358</v>
          </cell>
        </row>
        <row r="6328">
          <cell r="I6328">
            <v>7033</v>
          </cell>
          <cell r="J6328">
            <v>0.14060816438356163</v>
          </cell>
        </row>
        <row r="6329">
          <cell r="I6329">
            <v>7034</v>
          </cell>
          <cell r="J6329">
            <v>0.14060997260273972</v>
          </cell>
        </row>
        <row r="6330">
          <cell r="I6330">
            <v>7035</v>
          </cell>
          <cell r="J6330">
            <v>0.1406117808219178</v>
          </cell>
        </row>
        <row r="6331">
          <cell r="I6331">
            <v>7036</v>
          </cell>
          <cell r="J6331">
            <v>0.14061358904109589</v>
          </cell>
        </row>
        <row r="6332">
          <cell r="I6332">
            <v>7037</v>
          </cell>
          <cell r="J6332">
            <v>0.14061539726027397</v>
          </cell>
        </row>
        <row r="6333">
          <cell r="I6333">
            <v>7038</v>
          </cell>
          <cell r="J6333">
            <v>0.14061720547945206</v>
          </cell>
        </row>
        <row r="6334">
          <cell r="I6334">
            <v>7039</v>
          </cell>
          <cell r="J6334">
            <v>0.14061901369863014</v>
          </cell>
        </row>
        <row r="6335">
          <cell r="I6335">
            <v>7040</v>
          </cell>
          <cell r="J6335">
            <v>0.14062082191780823</v>
          </cell>
        </row>
        <row r="6336">
          <cell r="I6336">
            <v>7041</v>
          </cell>
          <cell r="J6336">
            <v>0.14062263013698631</v>
          </cell>
        </row>
        <row r="6337">
          <cell r="I6337">
            <v>7042</v>
          </cell>
          <cell r="J6337">
            <v>0.14062443835616439</v>
          </cell>
        </row>
        <row r="6338">
          <cell r="I6338">
            <v>7043</v>
          </cell>
          <cell r="J6338">
            <v>0.14062624657534248</v>
          </cell>
        </row>
        <row r="6339">
          <cell r="I6339">
            <v>7044</v>
          </cell>
          <cell r="J6339">
            <v>0.14062805479452056</v>
          </cell>
        </row>
        <row r="6340">
          <cell r="I6340">
            <v>7045</v>
          </cell>
          <cell r="J6340">
            <v>0.14062986301369865</v>
          </cell>
        </row>
        <row r="6341">
          <cell r="I6341">
            <v>7046</v>
          </cell>
          <cell r="J6341">
            <v>0.1406316712328767</v>
          </cell>
        </row>
        <row r="6342">
          <cell r="I6342">
            <v>7047</v>
          </cell>
          <cell r="J6342">
            <v>0.14063347945205479</v>
          </cell>
        </row>
        <row r="6343">
          <cell r="I6343">
            <v>7048</v>
          </cell>
          <cell r="J6343">
            <v>0.14063528767123287</v>
          </cell>
        </row>
        <row r="6344">
          <cell r="I6344">
            <v>7049</v>
          </cell>
          <cell r="J6344">
            <v>0.14063709589041096</v>
          </cell>
        </row>
        <row r="6345">
          <cell r="I6345">
            <v>7050</v>
          </cell>
          <cell r="J6345">
            <v>0.14063890410958904</v>
          </cell>
        </row>
        <row r="6346">
          <cell r="I6346">
            <v>7051</v>
          </cell>
          <cell r="J6346">
            <v>0.14064071232876713</v>
          </cell>
        </row>
        <row r="6347">
          <cell r="I6347">
            <v>7052</v>
          </cell>
          <cell r="J6347">
            <v>0.14064252054794521</v>
          </cell>
        </row>
        <row r="6348">
          <cell r="I6348">
            <v>7053</v>
          </cell>
          <cell r="J6348">
            <v>0.14064432876712329</v>
          </cell>
        </row>
        <row r="6349">
          <cell r="I6349">
            <v>7054</v>
          </cell>
          <cell r="J6349">
            <v>0.14064613698630138</v>
          </cell>
        </row>
        <row r="6350">
          <cell r="I6350">
            <v>7055</v>
          </cell>
          <cell r="J6350">
            <v>0.14064794520547946</v>
          </cell>
        </row>
        <row r="6351">
          <cell r="I6351">
            <v>7056</v>
          </cell>
          <cell r="J6351">
            <v>0.14064975342465755</v>
          </cell>
        </row>
        <row r="6352">
          <cell r="I6352">
            <v>7057</v>
          </cell>
          <cell r="J6352">
            <v>0.14065156164383563</v>
          </cell>
        </row>
        <row r="6353">
          <cell r="I6353">
            <v>7058</v>
          </cell>
          <cell r="J6353">
            <v>0.14065336986301369</v>
          </cell>
        </row>
        <row r="6354">
          <cell r="I6354">
            <v>7059</v>
          </cell>
          <cell r="J6354">
            <v>0.14065517808219177</v>
          </cell>
        </row>
        <row r="6355">
          <cell r="I6355">
            <v>7060</v>
          </cell>
          <cell r="J6355">
            <v>0.14065698630136986</v>
          </cell>
        </row>
        <row r="6356">
          <cell r="I6356">
            <v>7061</v>
          </cell>
          <cell r="J6356">
            <v>0.14065879452054794</v>
          </cell>
        </row>
        <row r="6357">
          <cell r="I6357">
            <v>7062</v>
          </cell>
          <cell r="J6357">
            <v>0.14066060273972603</v>
          </cell>
        </row>
        <row r="6358">
          <cell r="I6358">
            <v>7063</v>
          </cell>
          <cell r="J6358">
            <v>0.14066241095890411</v>
          </cell>
        </row>
        <row r="6359">
          <cell r="I6359">
            <v>7064</v>
          </cell>
          <cell r="J6359">
            <v>0.14066421917808219</v>
          </cell>
        </row>
        <row r="6360">
          <cell r="I6360">
            <v>7065</v>
          </cell>
          <cell r="J6360">
            <v>0.14066602739726028</v>
          </cell>
        </row>
        <row r="6361">
          <cell r="I6361">
            <v>7066</v>
          </cell>
          <cell r="J6361">
            <v>0.14066783561643836</v>
          </cell>
        </row>
        <row r="6362">
          <cell r="I6362">
            <v>7067</v>
          </cell>
          <cell r="J6362">
            <v>0.14066964383561645</v>
          </cell>
        </row>
        <row r="6363">
          <cell r="I6363">
            <v>7068</v>
          </cell>
          <cell r="J6363">
            <v>0.14067145205479453</v>
          </cell>
        </row>
        <row r="6364">
          <cell r="I6364">
            <v>7069</v>
          </cell>
          <cell r="J6364">
            <v>0.14067326027397262</v>
          </cell>
        </row>
        <row r="6365">
          <cell r="I6365">
            <v>7070</v>
          </cell>
          <cell r="J6365">
            <v>0.1406750684931507</v>
          </cell>
        </row>
        <row r="6366">
          <cell r="I6366">
            <v>7071</v>
          </cell>
          <cell r="J6366">
            <v>0.14067687671232876</v>
          </cell>
        </row>
        <row r="6367">
          <cell r="I6367">
            <v>7072</v>
          </cell>
          <cell r="J6367">
            <v>0.14067868493150684</v>
          </cell>
        </row>
        <row r="6368">
          <cell r="I6368">
            <v>7073</v>
          </cell>
          <cell r="J6368">
            <v>0.14068049315068493</v>
          </cell>
        </row>
        <row r="6369">
          <cell r="I6369">
            <v>7074</v>
          </cell>
          <cell r="J6369">
            <v>0.14068230136986301</v>
          </cell>
        </row>
        <row r="6370">
          <cell r="I6370">
            <v>7075</v>
          </cell>
          <cell r="J6370">
            <v>0.1406841095890411</v>
          </cell>
        </row>
        <row r="6371">
          <cell r="I6371">
            <v>7076</v>
          </cell>
          <cell r="J6371">
            <v>0.14068591780821918</v>
          </cell>
        </row>
        <row r="6372">
          <cell r="I6372">
            <v>7077</v>
          </cell>
          <cell r="J6372">
            <v>0.14068772602739726</v>
          </cell>
        </row>
        <row r="6373">
          <cell r="I6373">
            <v>7078</v>
          </cell>
          <cell r="J6373">
            <v>0.14068953424657535</v>
          </cell>
        </row>
        <row r="6374">
          <cell r="I6374">
            <v>7079</v>
          </cell>
          <cell r="J6374">
            <v>0.14069134246575343</v>
          </cell>
        </row>
        <row r="6375">
          <cell r="I6375">
            <v>7080</v>
          </cell>
          <cell r="J6375">
            <v>0.14069315068493152</v>
          </cell>
        </row>
        <row r="6376">
          <cell r="I6376">
            <v>7081</v>
          </cell>
          <cell r="J6376">
            <v>0.1406949589041096</v>
          </cell>
        </row>
        <row r="6377">
          <cell r="I6377">
            <v>7082</v>
          </cell>
          <cell r="J6377">
            <v>0.14069676712328769</v>
          </cell>
        </row>
        <row r="6378">
          <cell r="I6378">
            <v>7083</v>
          </cell>
          <cell r="J6378">
            <v>0.14069857534246577</v>
          </cell>
        </row>
        <row r="6379">
          <cell r="I6379">
            <v>7084</v>
          </cell>
          <cell r="J6379">
            <v>0.14070038356164383</v>
          </cell>
        </row>
        <row r="6380">
          <cell r="I6380">
            <v>7085</v>
          </cell>
          <cell r="J6380">
            <v>0.14070219178082191</v>
          </cell>
        </row>
        <row r="6381">
          <cell r="I6381">
            <v>7086</v>
          </cell>
          <cell r="J6381">
            <v>0.140704</v>
          </cell>
        </row>
        <row r="6382">
          <cell r="I6382">
            <v>7087</v>
          </cell>
          <cell r="J6382">
            <v>0.14070580821917808</v>
          </cell>
        </row>
        <row r="6383">
          <cell r="I6383">
            <v>7088</v>
          </cell>
          <cell r="J6383">
            <v>0.14070761643835616</v>
          </cell>
        </row>
        <row r="6384">
          <cell r="I6384">
            <v>7089</v>
          </cell>
          <cell r="J6384">
            <v>0.14070942465753425</v>
          </cell>
        </row>
        <row r="6385">
          <cell r="I6385">
            <v>7090</v>
          </cell>
          <cell r="J6385">
            <v>0.14071123287671233</v>
          </cell>
        </row>
        <row r="6386">
          <cell r="I6386">
            <v>7091</v>
          </cell>
          <cell r="J6386">
            <v>0.14071304109589042</v>
          </cell>
        </row>
        <row r="6387">
          <cell r="I6387">
            <v>7092</v>
          </cell>
          <cell r="J6387">
            <v>0.1407148493150685</v>
          </cell>
        </row>
        <row r="6388">
          <cell r="I6388">
            <v>7093</v>
          </cell>
          <cell r="J6388">
            <v>0.14071665753424659</v>
          </cell>
        </row>
        <row r="6389">
          <cell r="I6389">
            <v>7094</v>
          </cell>
          <cell r="J6389">
            <v>0.14071846575342467</v>
          </cell>
        </row>
        <row r="6390">
          <cell r="I6390">
            <v>7095</v>
          </cell>
          <cell r="J6390">
            <v>0.14072027397260276</v>
          </cell>
        </row>
        <row r="6391">
          <cell r="I6391">
            <v>7096</v>
          </cell>
          <cell r="J6391">
            <v>0.14072208219178084</v>
          </cell>
        </row>
        <row r="6392">
          <cell r="I6392">
            <v>7097</v>
          </cell>
          <cell r="J6392">
            <v>0.1407238904109589</v>
          </cell>
        </row>
        <row r="6393">
          <cell r="I6393">
            <v>7098</v>
          </cell>
          <cell r="J6393">
            <v>0.14072569863013698</v>
          </cell>
        </row>
        <row r="6394">
          <cell r="I6394">
            <v>7099</v>
          </cell>
          <cell r="J6394">
            <v>0.14072750684931506</v>
          </cell>
        </row>
        <row r="6395">
          <cell r="I6395">
            <v>7100</v>
          </cell>
          <cell r="J6395">
            <v>0.14072931506849315</v>
          </cell>
        </row>
        <row r="6396">
          <cell r="I6396">
            <v>7101</v>
          </cell>
          <cell r="J6396">
            <v>0.14073112328767123</v>
          </cell>
        </row>
        <row r="6397">
          <cell r="I6397">
            <v>7102</v>
          </cell>
          <cell r="J6397">
            <v>0.14073293150684932</v>
          </cell>
        </row>
        <row r="6398">
          <cell r="I6398">
            <v>7103</v>
          </cell>
          <cell r="J6398">
            <v>0.1407347397260274</v>
          </cell>
        </row>
        <row r="6399">
          <cell r="I6399">
            <v>7104</v>
          </cell>
          <cell r="J6399">
            <v>0.14073654794520549</v>
          </cell>
        </row>
        <row r="6400">
          <cell r="I6400">
            <v>7105</v>
          </cell>
          <cell r="J6400">
            <v>0.14073835616438357</v>
          </cell>
        </row>
        <row r="6401">
          <cell r="I6401">
            <v>7106</v>
          </cell>
          <cell r="J6401">
            <v>0.14074016438356166</v>
          </cell>
        </row>
        <row r="6402">
          <cell r="I6402">
            <v>7107</v>
          </cell>
          <cell r="J6402">
            <v>0.14074197260273974</v>
          </cell>
        </row>
        <row r="6403">
          <cell r="I6403">
            <v>7108</v>
          </cell>
          <cell r="J6403">
            <v>0.14074378082191782</v>
          </cell>
        </row>
        <row r="6404">
          <cell r="I6404">
            <v>7109</v>
          </cell>
          <cell r="J6404">
            <v>0.14074558904109588</v>
          </cell>
        </row>
        <row r="6405">
          <cell r="I6405">
            <v>7110</v>
          </cell>
          <cell r="J6405">
            <v>0.14074739726027397</v>
          </cell>
        </row>
        <row r="6406">
          <cell r="I6406">
            <v>7111</v>
          </cell>
          <cell r="J6406">
            <v>0.14074920547945205</v>
          </cell>
        </row>
        <row r="6407">
          <cell r="I6407">
            <v>7112</v>
          </cell>
          <cell r="J6407">
            <v>0.14075101369863013</v>
          </cell>
        </row>
        <row r="6408">
          <cell r="I6408">
            <v>7113</v>
          </cell>
          <cell r="J6408">
            <v>0.14075282191780822</v>
          </cell>
        </row>
        <row r="6409">
          <cell r="I6409">
            <v>7114</v>
          </cell>
          <cell r="J6409">
            <v>0.1407546301369863</v>
          </cell>
        </row>
        <row r="6410">
          <cell r="I6410">
            <v>7115</v>
          </cell>
          <cell r="J6410">
            <v>0.14075643835616439</v>
          </cell>
        </row>
        <row r="6411">
          <cell r="I6411">
            <v>7116</v>
          </cell>
          <cell r="J6411">
            <v>0.14075824657534247</v>
          </cell>
        </row>
        <row r="6412">
          <cell r="I6412">
            <v>7117</v>
          </cell>
          <cell r="J6412">
            <v>0.14076005479452056</v>
          </cell>
        </row>
        <row r="6413">
          <cell r="I6413">
            <v>7118</v>
          </cell>
          <cell r="J6413">
            <v>0.14076186301369864</v>
          </cell>
        </row>
        <row r="6414">
          <cell r="I6414">
            <v>7119</v>
          </cell>
          <cell r="J6414">
            <v>0.14076367123287672</v>
          </cell>
        </row>
        <row r="6415">
          <cell r="I6415">
            <v>7120</v>
          </cell>
          <cell r="J6415">
            <v>0.14076547945205481</v>
          </cell>
        </row>
        <row r="6416">
          <cell r="I6416">
            <v>7121</v>
          </cell>
          <cell r="J6416">
            <v>0.14076728767123289</v>
          </cell>
        </row>
        <row r="6417">
          <cell r="I6417">
            <v>7122</v>
          </cell>
          <cell r="J6417">
            <v>0.14076909589041095</v>
          </cell>
        </row>
        <row r="6418">
          <cell r="I6418">
            <v>7123</v>
          </cell>
          <cell r="J6418">
            <v>0.14077090410958903</v>
          </cell>
        </row>
        <row r="6419">
          <cell r="I6419">
            <v>7124</v>
          </cell>
          <cell r="J6419">
            <v>0.14077271232876712</v>
          </cell>
        </row>
        <row r="6420">
          <cell r="I6420">
            <v>7125</v>
          </cell>
          <cell r="J6420">
            <v>0.1407745205479452</v>
          </cell>
        </row>
        <row r="6421">
          <cell r="I6421">
            <v>7126</v>
          </cell>
          <cell r="J6421">
            <v>0.14077632876712329</v>
          </cell>
        </row>
        <row r="6422">
          <cell r="I6422">
            <v>7127</v>
          </cell>
          <cell r="J6422">
            <v>0.14077813698630137</v>
          </cell>
        </row>
        <row r="6423">
          <cell r="I6423">
            <v>7128</v>
          </cell>
          <cell r="J6423">
            <v>0.14077994520547946</v>
          </cell>
        </row>
        <row r="6424">
          <cell r="I6424">
            <v>7129</v>
          </cell>
          <cell r="J6424">
            <v>0.14078175342465754</v>
          </cell>
        </row>
        <row r="6425">
          <cell r="I6425">
            <v>7130</v>
          </cell>
          <cell r="J6425">
            <v>0.14078356164383563</v>
          </cell>
        </row>
        <row r="6426">
          <cell r="I6426">
            <v>7131</v>
          </cell>
          <cell r="J6426">
            <v>0.14078536986301371</v>
          </cell>
        </row>
        <row r="6427">
          <cell r="I6427">
            <v>7132</v>
          </cell>
          <cell r="J6427">
            <v>0.14078717808219179</v>
          </cell>
        </row>
        <row r="6428">
          <cell r="I6428">
            <v>7133</v>
          </cell>
          <cell r="J6428">
            <v>0.14078898630136988</v>
          </cell>
        </row>
        <row r="6429">
          <cell r="I6429">
            <v>7134</v>
          </cell>
          <cell r="J6429">
            <v>0.14079079452054793</v>
          </cell>
        </row>
        <row r="6430">
          <cell r="I6430">
            <v>7135</v>
          </cell>
          <cell r="J6430">
            <v>0.14079260273972602</v>
          </cell>
        </row>
        <row r="6431">
          <cell r="I6431">
            <v>7136</v>
          </cell>
          <cell r="J6431">
            <v>0.1407944109589041</v>
          </cell>
        </row>
        <row r="6432">
          <cell r="I6432">
            <v>7137</v>
          </cell>
          <cell r="J6432">
            <v>0.14079621917808219</v>
          </cell>
        </row>
        <row r="6433">
          <cell r="I6433">
            <v>7138</v>
          </cell>
          <cell r="J6433">
            <v>0.14079802739726027</v>
          </cell>
        </row>
        <row r="6434">
          <cell r="I6434">
            <v>7139</v>
          </cell>
          <cell r="J6434">
            <v>0.14079983561643836</v>
          </cell>
        </row>
        <row r="6435">
          <cell r="I6435">
            <v>7140</v>
          </cell>
          <cell r="J6435">
            <v>0.14080164383561644</v>
          </cell>
        </row>
        <row r="6436">
          <cell r="I6436">
            <v>7141</v>
          </cell>
          <cell r="J6436">
            <v>0.14080345205479453</v>
          </cell>
        </row>
        <row r="6437">
          <cell r="I6437">
            <v>7142</v>
          </cell>
          <cell r="J6437">
            <v>0.14080526027397261</v>
          </cell>
        </row>
        <row r="6438">
          <cell r="I6438">
            <v>7143</v>
          </cell>
          <cell r="J6438">
            <v>0.14080706849315069</v>
          </cell>
        </row>
        <row r="6439">
          <cell r="I6439">
            <v>7144</v>
          </cell>
          <cell r="J6439">
            <v>0.14080887671232878</v>
          </cell>
        </row>
        <row r="6440">
          <cell r="I6440">
            <v>7145</v>
          </cell>
          <cell r="J6440">
            <v>0.14081068493150686</v>
          </cell>
        </row>
        <row r="6441">
          <cell r="I6441">
            <v>7146</v>
          </cell>
          <cell r="J6441">
            <v>0.14081249315068495</v>
          </cell>
        </row>
        <row r="6442">
          <cell r="I6442">
            <v>7147</v>
          </cell>
          <cell r="J6442">
            <v>0.140814301369863</v>
          </cell>
        </row>
        <row r="6443">
          <cell r="I6443">
            <v>7148</v>
          </cell>
          <cell r="J6443">
            <v>0.14081610958904109</v>
          </cell>
        </row>
        <row r="6444">
          <cell r="I6444">
            <v>7149</v>
          </cell>
          <cell r="J6444">
            <v>0.14081791780821917</v>
          </cell>
        </row>
        <row r="6445">
          <cell r="I6445">
            <v>7150</v>
          </cell>
          <cell r="J6445">
            <v>0.14081972602739726</v>
          </cell>
        </row>
        <row r="6446">
          <cell r="I6446">
            <v>7151</v>
          </cell>
          <cell r="J6446">
            <v>0.14082153424657534</v>
          </cell>
        </row>
        <row r="6447">
          <cell r="I6447">
            <v>7152</v>
          </cell>
          <cell r="J6447">
            <v>0.14082334246575343</v>
          </cell>
        </row>
        <row r="6448">
          <cell r="I6448">
            <v>7153</v>
          </cell>
          <cell r="J6448">
            <v>0.14082515068493151</v>
          </cell>
        </row>
        <row r="6449">
          <cell r="I6449">
            <v>7154</v>
          </cell>
          <cell r="J6449">
            <v>0.14082695890410959</v>
          </cell>
        </row>
        <row r="6450">
          <cell r="I6450">
            <v>7155</v>
          </cell>
          <cell r="J6450">
            <v>0.14082876712328768</v>
          </cell>
        </row>
        <row r="6451">
          <cell r="I6451">
            <v>7156</v>
          </cell>
          <cell r="J6451">
            <v>0.14083057534246576</v>
          </cell>
        </row>
        <row r="6452">
          <cell r="I6452">
            <v>7157</v>
          </cell>
          <cell r="J6452">
            <v>0.14083238356164385</v>
          </cell>
        </row>
        <row r="6453">
          <cell r="I6453">
            <v>7158</v>
          </cell>
          <cell r="J6453">
            <v>0.14083419178082193</v>
          </cell>
        </row>
        <row r="6454">
          <cell r="I6454">
            <v>7159</v>
          </cell>
          <cell r="J6454">
            <v>0.14083600000000002</v>
          </cell>
        </row>
        <row r="6455">
          <cell r="I6455">
            <v>7160</v>
          </cell>
          <cell r="J6455">
            <v>0.14083780821917807</v>
          </cell>
        </row>
        <row r="6456">
          <cell r="I6456">
            <v>7161</v>
          </cell>
          <cell r="J6456">
            <v>0.14083961643835616</v>
          </cell>
        </row>
        <row r="6457">
          <cell r="I6457">
            <v>7162</v>
          </cell>
          <cell r="J6457">
            <v>0.14084142465753424</v>
          </cell>
        </row>
        <row r="6458">
          <cell r="I6458">
            <v>7163</v>
          </cell>
          <cell r="J6458">
            <v>0.14084323287671233</v>
          </cell>
        </row>
        <row r="6459">
          <cell r="I6459">
            <v>7164</v>
          </cell>
          <cell r="J6459">
            <v>0.14084504109589041</v>
          </cell>
        </row>
        <row r="6460">
          <cell r="I6460">
            <v>7165</v>
          </cell>
          <cell r="J6460">
            <v>0.1408468493150685</v>
          </cell>
        </row>
        <row r="6461">
          <cell r="I6461">
            <v>7166</v>
          </cell>
          <cell r="J6461">
            <v>0.14084865753424658</v>
          </cell>
        </row>
        <row r="6462">
          <cell r="I6462">
            <v>7167</v>
          </cell>
          <cell r="J6462">
            <v>0.14085046575342466</v>
          </cell>
        </row>
        <row r="6463">
          <cell r="I6463">
            <v>7168</v>
          </cell>
          <cell r="J6463">
            <v>0.14085227397260275</v>
          </cell>
        </row>
        <row r="6464">
          <cell r="I6464">
            <v>7169</v>
          </cell>
          <cell r="J6464">
            <v>0.14085408219178083</v>
          </cell>
        </row>
        <row r="6465">
          <cell r="I6465">
            <v>7170</v>
          </cell>
          <cell r="J6465">
            <v>0.14085589041095892</v>
          </cell>
        </row>
        <row r="6466">
          <cell r="I6466">
            <v>7171</v>
          </cell>
          <cell r="J6466">
            <v>0.140857698630137</v>
          </cell>
        </row>
        <row r="6467">
          <cell r="I6467">
            <v>7172</v>
          </cell>
          <cell r="J6467">
            <v>0.14085950684931509</v>
          </cell>
        </row>
        <row r="6468">
          <cell r="I6468">
            <v>7173</v>
          </cell>
          <cell r="J6468">
            <v>0.14086131506849314</v>
          </cell>
        </row>
        <row r="6469">
          <cell r="I6469">
            <v>7174</v>
          </cell>
          <cell r="J6469">
            <v>0.14086312328767123</v>
          </cell>
        </row>
        <row r="6470">
          <cell r="I6470">
            <v>7175</v>
          </cell>
          <cell r="J6470">
            <v>0.14086493150684931</v>
          </cell>
        </row>
        <row r="6471">
          <cell r="I6471">
            <v>7176</v>
          </cell>
          <cell r="J6471">
            <v>0.1408667397260274</v>
          </cell>
        </row>
        <row r="6472">
          <cell r="I6472">
            <v>7177</v>
          </cell>
          <cell r="J6472">
            <v>0.14086854794520548</v>
          </cell>
        </row>
        <row r="6473">
          <cell r="I6473">
            <v>7178</v>
          </cell>
          <cell r="J6473">
            <v>0.14087035616438356</v>
          </cell>
        </row>
        <row r="6474">
          <cell r="I6474">
            <v>7179</v>
          </cell>
          <cell r="J6474">
            <v>0.14087216438356165</v>
          </cell>
        </row>
        <row r="6475">
          <cell r="I6475">
            <v>7180</v>
          </cell>
          <cell r="J6475">
            <v>0.14087397260273973</v>
          </cell>
        </row>
        <row r="6476">
          <cell r="I6476">
            <v>7181</v>
          </cell>
          <cell r="J6476">
            <v>0.14087578082191782</v>
          </cell>
        </row>
        <row r="6477">
          <cell r="I6477">
            <v>7182</v>
          </cell>
          <cell r="J6477">
            <v>0.1408775890410959</v>
          </cell>
        </row>
        <row r="6478">
          <cell r="I6478">
            <v>7183</v>
          </cell>
          <cell r="J6478">
            <v>0.14087939726027399</v>
          </cell>
        </row>
        <row r="6479">
          <cell r="I6479">
            <v>7184</v>
          </cell>
          <cell r="J6479">
            <v>0.14088120547945207</v>
          </cell>
        </row>
        <row r="6480">
          <cell r="I6480">
            <v>7185</v>
          </cell>
          <cell r="J6480">
            <v>0.14088301369863013</v>
          </cell>
        </row>
        <row r="6481">
          <cell r="I6481">
            <v>7186</v>
          </cell>
          <cell r="J6481">
            <v>0.14088482191780821</v>
          </cell>
        </row>
        <row r="6482">
          <cell r="I6482">
            <v>7187</v>
          </cell>
          <cell r="J6482">
            <v>0.1408866301369863</v>
          </cell>
        </row>
        <row r="6483">
          <cell r="I6483">
            <v>7188</v>
          </cell>
          <cell r="J6483">
            <v>0.14088843835616438</v>
          </cell>
        </row>
        <row r="6484">
          <cell r="I6484">
            <v>7189</v>
          </cell>
          <cell r="J6484">
            <v>0.14089024657534246</v>
          </cell>
        </row>
        <row r="6485">
          <cell r="I6485">
            <v>7190</v>
          </cell>
          <cell r="J6485">
            <v>0.14089205479452055</v>
          </cell>
        </row>
        <row r="6486">
          <cell r="I6486">
            <v>7191</v>
          </cell>
          <cell r="J6486">
            <v>0.14089386301369863</v>
          </cell>
        </row>
        <row r="6487">
          <cell r="I6487">
            <v>7192</v>
          </cell>
          <cell r="J6487">
            <v>0.14089567123287672</v>
          </cell>
        </row>
        <row r="6488">
          <cell r="I6488">
            <v>7193</v>
          </cell>
          <cell r="J6488">
            <v>0.1408974794520548</v>
          </cell>
        </row>
        <row r="6489">
          <cell r="I6489">
            <v>7194</v>
          </cell>
          <cell r="J6489">
            <v>0.14089928767123289</v>
          </cell>
        </row>
        <row r="6490">
          <cell r="I6490">
            <v>7195</v>
          </cell>
          <cell r="J6490">
            <v>0.14090109589041097</v>
          </cell>
        </row>
        <row r="6491">
          <cell r="I6491">
            <v>7196</v>
          </cell>
          <cell r="J6491">
            <v>0.14090290410958906</v>
          </cell>
        </row>
        <row r="6492">
          <cell r="I6492">
            <v>7197</v>
          </cell>
          <cell r="J6492">
            <v>0.14090471232876714</v>
          </cell>
        </row>
        <row r="6493">
          <cell r="I6493">
            <v>7198</v>
          </cell>
          <cell r="J6493">
            <v>0.1409065205479452</v>
          </cell>
        </row>
        <row r="6494">
          <cell r="I6494">
            <v>7199</v>
          </cell>
          <cell r="J6494">
            <v>0.14090832876712328</v>
          </cell>
        </row>
        <row r="6495">
          <cell r="I6495">
            <v>7200</v>
          </cell>
          <cell r="J6495">
            <v>0.14091013698630137</v>
          </cell>
        </row>
        <row r="6496">
          <cell r="I6496">
            <v>7201</v>
          </cell>
          <cell r="J6496">
            <v>0.14091194520547945</v>
          </cell>
        </row>
        <row r="6497">
          <cell r="I6497">
            <v>7202</v>
          </cell>
          <cell r="J6497">
            <v>0.14091375342465753</v>
          </cell>
        </row>
        <row r="6498">
          <cell r="I6498">
            <v>7203</v>
          </cell>
          <cell r="J6498">
            <v>0.14091556164383562</v>
          </cell>
        </row>
        <row r="6499">
          <cell r="I6499">
            <v>7204</v>
          </cell>
          <cell r="J6499">
            <v>0.1409173698630137</v>
          </cell>
        </row>
        <row r="6500">
          <cell r="I6500">
            <v>7205</v>
          </cell>
          <cell r="J6500">
            <v>0.14091917808219179</v>
          </cell>
        </row>
        <row r="6501">
          <cell r="I6501">
            <v>7206</v>
          </cell>
          <cell r="J6501">
            <v>0.14092098630136987</v>
          </cell>
        </row>
        <row r="6502">
          <cell r="I6502">
            <v>7207</v>
          </cell>
          <cell r="J6502">
            <v>0.14092279452054796</v>
          </cell>
        </row>
        <row r="6503">
          <cell r="I6503">
            <v>7208</v>
          </cell>
          <cell r="J6503">
            <v>0.14092460273972604</v>
          </cell>
        </row>
        <row r="6504">
          <cell r="I6504">
            <v>7209</v>
          </cell>
          <cell r="J6504">
            <v>0.14092641095890412</v>
          </cell>
        </row>
        <row r="6505">
          <cell r="I6505">
            <v>7210</v>
          </cell>
          <cell r="J6505">
            <v>0.14092821917808218</v>
          </cell>
        </row>
        <row r="6506">
          <cell r="I6506">
            <v>7211</v>
          </cell>
          <cell r="J6506">
            <v>0.14093002739726027</v>
          </cell>
        </row>
        <row r="6507">
          <cell r="I6507">
            <v>7212</v>
          </cell>
          <cell r="J6507">
            <v>0.14093183561643835</v>
          </cell>
        </row>
        <row r="6508">
          <cell r="I6508">
            <v>7213</v>
          </cell>
          <cell r="J6508">
            <v>0.14093364383561643</v>
          </cell>
        </row>
        <row r="6509">
          <cell r="I6509">
            <v>7214</v>
          </cell>
          <cell r="J6509">
            <v>0.14093545205479452</v>
          </cell>
        </row>
        <row r="6510">
          <cell r="I6510">
            <v>7215</v>
          </cell>
          <cell r="J6510">
            <v>0.1409372602739726</v>
          </cell>
        </row>
        <row r="6511">
          <cell r="I6511">
            <v>7216</v>
          </cell>
          <cell r="J6511">
            <v>0.14093906849315069</v>
          </cell>
        </row>
        <row r="6512">
          <cell r="I6512">
            <v>7217</v>
          </cell>
          <cell r="J6512">
            <v>0.14094087671232877</v>
          </cell>
        </row>
        <row r="6513">
          <cell r="I6513">
            <v>7218</v>
          </cell>
          <cell r="J6513">
            <v>0.14094268493150686</v>
          </cell>
        </row>
        <row r="6514">
          <cell r="I6514">
            <v>7219</v>
          </cell>
          <cell r="J6514">
            <v>0.14094449315068494</v>
          </cell>
        </row>
        <row r="6515">
          <cell r="I6515">
            <v>7220</v>
          </cell>
          <cell r="J6515">
            <v>0.14094630136986303</v>
          </cell>
        </row>
        <row r="6516">
          <cell r="I6516">
            <v>7221</v>
          </cell>
          <cell r="J6516">
            <v>0.14094810958904111</v>
          </cell>
        </row>
        <row r="6517">
          <cell r="I6517">
            <v>7222</v>
          </cell>
          <cell r="J6517">
            <v>0.14094991780821919</v>
          </cell>
        </row>
        <row r="6518">
          <cell r="I6518">
            <v>7223</v>
          </cell>
          <cell r="J6518">
            <v>0.14095172602739725</v>
          </cell>
        </row>
        <row r="6519">
          <cell r="I6519">
            <v>7224</v>
          </cell>
          <cell r="J6519">
            <v>0.14095353424657533</v>
          </cell>
        </row>
        <row r="6520">
          <cell r="I6520">
            <v>7225</v>
          </cell>
          <cell r="J6520">
            <v>0.14095534246575342</v>
          </cell>
        </row>
        <row r="6521">
          <cell r="I6521">
            <v>7226</v>
          </cell>
          <cell r="J6521">
            <v>0.1409571506849315</v>
          </cell>
        </row>
        <row r="6522">
          <cell r="I6522">
            <v>7227</v>
          </cell>
          <cell r="J6522">
            <v>0.14095895890410959</v>
          </cell>
        </row>
        <row r="6523">
          <cell r="I6523">
            <v>7228</v>
          </cell>
          <cell r="J6523">
            <v>0.14096076712328767</v>
          </cell>
        </row>
        <row r="6524">
          <cell r="I6524">
            <v>7229</v>
          </cell>
          <cell r="J6524">
            <v>0.14096257534246576</v>
          </cell>
        </row>
        <row r="6525">
          <cell r="I6525">
            <v>7230</v>
          </cell>
          <cell r="J6525">
            <v>0.14096438356164384</v>
          </cell>
        </row>
        <row r="6526">
          <cell r="I6526">
            <v>7231</v>
          </cell>
          <cell r="J6526">
            <v>0.14096619178082193</v>
          </cell>
        </row>
        <row r="6527">
          <cell r="I6527">
            <v>7232</v>
          </cell>
          <cell r="J6527">
            <v>0.14096800000000001</v>
          </cell>
        </row>
        <row r="6528">
          <cell r="I6528">
            <v>7233</v>
          </cell>
          <cell r="J6528">
            <v>0.14096980821917809</v>
          </cell>
        </row>
        <row r="6529">
          <cell r="I6529">
            <v>7234</v>
          </cell>
          <cell r="J6529">
            <v>0.14097161643835618</v>
          </cell>
        </row>
        <row r="6530">
          <cell r="I6530">
            <v>7235</v>
          </cell>
          <cell r="J6530">
            <v>0.14097342465753426</v>
          </cell>
        </row>
        <row r="6531">
          <cell r="I6531">
            <v>7236</v>
          </cell>
          <cell r="J6531">
            <v>0.14097523287671232</v>
          </cell>
        </row>
        <row r="6532">
          <cell r="I6532">
            <v>7237</v>
          </cell>
          <cell r="J6532">
            <v>0.1409770410958904</v>
          </cell>
        </row>
        <row r="6533">
          <cell r="I6533">
            <v>7238</v>
          </cell>
          <cell r="J6533">
            <v>0.14097884931506849</v>
          </cell>
        </row>
        <row r="6534">
          <cell r="I6534">
            <v>7239</v>
          </cell>
          <cell r="J6534">
            <v>0.14098065753424657</v>
          </cell>
        </row>
        <row r="6535">
          <cell r="I6535">
            <v>7240</v>
          </cell>
          <cell r="J6535">
            <v>0.14098246575342466</v>
          </cell>
        </row>
        <row r="6536">
          <cell r="I6536">
            <v>7241</v>
          </cell>
          <cell r="J6536">
            <v>0.14098427397260274</v>
          </cell>
        </row>
        <row r="6537">
          <cell r="I6537">
            <v>7242</v>
          </cell>
          <cell r="J6537">
            <v>0.14098608219178083</v>
          </cell>
        </row>
        <row r="6538">
          <cell r="I6538">
            <v>7243</v>
          </cell>
          <cell r="J6538">
            <v>0.14098789041095891</v>
          </cell>
        </row>
        <row r="6539">
          <cell r="I6539">
            <v>7244</v>
          </cell>
          <cell r="J6539">
            <v>0.14098969863013699</v>
          </cell>
        </row>
        <row r="6540">
          <cell r="I6540">
            <v>7245</v>
          </cell>
          <cell r="J6540">
            <v>0.14099150684931508</v>
          </cell>
        </row>
        <row r="6541">
          <cell r="I6541">
            <v>7246</v>
          </cell>
          <cell r="J6541">
            <v>0.14099331506849316</v>
          </cell>
        </row>
        <row r="6542">
          <cell r="I6542">
            <v>7247</v>
          </cell>
          <cell r="J6542">
            <v>0.14099512328767125</v>
          </cell>
        </row>
        <row r="6543">
          <cell r="I6543">
            <v>7248</v>
          </cell>
          <cell r="J6543">
            <v>0.14099693150684933</v>
          </cell>
        </row>
        <row r="6544">
          <cell r="I6544">
            <v>7249</v>
          </cell>
          <cell r="J6544">
            <v>0.14099873972602739</v>
          </cell>
        </row>
        <row r="6545">
          <cell r="I6545">
            <v>7250</v>
          </cell>
          <cell r="J6545">
            <v>0.14100054794520547</v>
          </cell>
        </row>
        <row r="6546">
          <cell r="I6546">
            <v>7251</v>
          </cell>
          <cell r="J6546">
            <v>0.14100235616438356</v>
          </cell>
        </row>
        <row r="6547">
          <cell r="I6547">
            <v>7252</v>
          </cell>
          <cell r="J6547">
            <v>0.14100416438356164</v>
          </cell>
        </row>
        <row r="6548">
          <cell r="I6548">
            <v>7253</v>
          </cell>
          <cell r="J6548">
            <v>0.14100597260273973</v>
          </cell>
        </row>
        <row r="6549">
          <cell r="I6549">
            <v>7254</v>
          </cell>
          <cell r="J6549">
            <v>0.14100778082191781</v>
          </cell>
        </row>
        <row r="6550">
          <cell r="I6550">
            <v>7255</v>
          </cell>
          <cell r="J6550">
            <v>0.1410095890410959</v>
          </cell>
        </row>
        <row r="6551">
          <cell r="I6551">
            <v>7256</v>
          </cell>
          <cell r="J6551">
            <v>0.14101139726027398</v>
          </cell>
        </row>
        <row r="6552">
          <cell r="I6552">
            <v>7257</v>
          </cell>
          <cell r="J6552">
            <v>0.14101320547945206</v>
          </cell>
        </row>
        <row r="6553">
          <cell r="I6553">
            <v>7258</v>
          </cell>
          <cell r="J6553">
            <v>0.14101501369863015</v>
          </cell>
        </row>
        <row r="6554">
          <cell r="I6554">
            <v>7259</v>
          </cell>
          <cell r="J6554">
            <v>0.14101682191780823</v>
          </cell>
        </row>
        <row r="6555">
          <cell r="I6555">
            <v>7260</v>
          </cell>
          <cell r="J6555">
            <v>0.14101863013698632</v>
          </cell>
        </row>
        <row r="6556">
          <cell r="I6556">
            <v>7261</v>
          </cell>
          <cell r="J6556">
            <v>0.14102043835616437</v>
          </cell>
        </row>
        <row r="6557">
          <cell r="I6557">
            <v>7262</v>
          </cell>
          <cell r="J6557">
            <v>0.14102224657534246</v>
          </cell>
        </row>
        <row r="6558">
          <cell r="I6558">
            <v>7263</v>
          </cell>
          <cell r="J6558">
            <v>0.14102405479452054</v>
          </cell>
        </row>
        <row r="6559">
          <cell r="I6559">
            <v>7264</v>
          </cell>
          <cell r="J6559">
            <v>0.14102586301369863</v>
          </cell>
        </row>
        <row r="6560">
          <cell r="I6560">
            <v>7265</v>
          </cell>
          <cell r="J6560">
            <v>0.14102767123287671</v>
          </cell>
        </row>
        <row r="6561">
          <cell r="I6561">
            <v>7266</v>
          </cell>
          <cell r="J6561">
            <v>0.1410294794520548</v>
          </cell>
        </row>
        <row r="6562">
          <cell r="I6562">
            <v>7267</v>
          </cell>
          <cell r="J6562">
            <v>0.14103128767123288</v>
          </cell>
        </row>
        <row r="6563">
          <cell r="I6563">
            <v>7268</v>
          </cell>
          <cell r="J6563">
            <v>0.14103309589041096</v>
          </cell>
        </row>
        <row r="6564">
          <cell r="I6564">
            <v>7269</v>
          </cell>
          <cell r="J6564">
            <v>0.14103490410958905</v>
          </cell>
        </row>
        <row r="6565">
          <cell r="I6565">
            <v>7270</v>
          </cell>
          <cell r="J6565">
            <v>0.14103671232876713</v>
          </cell>
        </row>
        <row r="6566">
          <cell r="I6566">
            <v>7271</v>
          </cell>
          <cell r="J6566">
            <v>0.14103852054794522</v>
          </cell>
        </row>
        <row r="6567">
          <cell r="I6567">
            <v>7272</v>
          </cell>
          <cell r="J6567">
            <v>0.1410403287671233</v>
          </cell>
        </row>
        <row r="6568">
          <cell r="I6568">
            <v>7273</v>
          </cell>
          <cell r="J6568">
            <v>0.14104213698630139</v>
          </cell>
        </row>
        <row r="6569">
          <cell r="I6569">
            <v>7274</v>
          </cell>
          <cell r="J6569">
            <v>0.14104394520547944</v>
          </cell>
        </row>
        <row r="6570">
          <cell r="I6570">
            <v>7275</v>
          </cell>
          <cell r="J6570">
            <v>0.14104575342465753</v>
          </cell>
        </row>
        <row r="6571">
          <cell r="I6571">
            <v>7276</v>
          </cell>
          <cell r="J6571">
            <v>0.14104756164383561</v>
          </cell>
        </row>
        <row r="6572">
          <cell r="I6572">
            <v>7277</v>
          </cell>
          <cell r="J6572">
            <v>0.1410493698630137</v>
          </cell>
        </row>
        <row r="6573">
          <cell r="I6573">
            <v>7278</v>
          </cell>
          <cell r="J6573">
            <v>0.14105117808219178</v>
          </cell>
        </row>
        <row r="6574">
          <cell r="I6574">
            <v>7279</v>
          </cell>
          <cell r="J6574">
            <v>0.14105298630136986</v>
          </cell>
        </row>
        <row r="6575">
          <cell r="I6575">
            <v>7280</v>
          </cell>
          <cell r="J6575">
            <v>0.14105479452054795</v>
          </cell>
        </row>
        <row r="6576">
          <cell r="I6576">
            <v>7281</v>
          </cell>
          <cell r="J6576">
            <v>0.14105660273972603</v>
          </cell>
        </row>
        <row r="6577">
          <cell r="I6577">
            <v>7282</v>
          </cell>
          <cell r="J6577">
            <v>0.14105841095890412</v>
          </cell>
        </row>
        <row r="6578">
          <cell r="I6578">
            <v>7283</v>
          </cell>
          <cell r="J6578">
            <v>0.1410602191780822</v>
          </cell>
        </row>
        <row r="6579">
          <cell r="I6579">
            <v>7284</v>
          </cell>
          <cell r="J6579">
            <v>0.14106202739726029</v>
          </cell>
        </row>
        <row r="6580">
          <cell r="I6580">
            <v>7285</v>
          </cell>
          <cell r="J6580">
            <v>0.14106383561643837</v>
          </cell>
        </row>
        <row r="6581">
          <cell r="I6581">
            <v>7286</v>
          </cell>
          <cell r="J6581">
            <v>0.14106564383561643</v>
          </cell>
        </row>
        <row r="6582">
          <cell r="I6582">
            <v>7287</v>
          </cell>
          <cell r="J6582">
            <v>0.14106745205479451</v>
          </cell>
        </row>
        <row r="6583">
          <cell r="I6583">
            <v>7288</v>
          </cell>
          <cell r="J6583">
            <v>0.1410692602739726</v>
          </cell>
        </row>
        <row r="6584">
          <cell r="I6584">
            <v>7289</v>
          </cell>
          <cell r="J6584">
            <v>0.14107106849315068</v>
          </cell>
        </row>
        <row r="6585">
          <cell r="I6585">
            <v>7290</v>
          </cell>
          <cell r="J6585">
            <v>0.14107287671232877</v>
          </cell>
        </row>
        <row r="6586">
          <cell r="I6586">
            <v>7291</v>
          </cell>
          <cell r="J6586">
            <v>0.14107468493150685</v>
          </cell>
        </row>
        <row r="6587">
          <cell r="I6587">
            <v>7292</v>
          </cell>
          <cell r="J6587">
            <v>0.14107649315068493</v>
          </cell>
        </row>
        <row r="6588">
          <cell r="I6588">
            <v>7293</v>
          </cell>
          <cell r="J6588">
            <v>0.14107830136986302</v>
          </cell>
        </row>
        <row r="6589">
          <cell r="I6589">
            <v>7294</v>
          </cell>
          <cell r="J6589">
            <v>0.1410801095890411</v>
          </cell>
        </row>
        <row r="6590">
          <cell r="I6590">
            <v>7295</v>
          </cell>
          <cell r="J6590">
            <v>0.14108191780821919</v>
          </cell>
        </row>
        <row r="6591">
          <cell r="I6591">
            <v>7296</v>
          </cell>
          <cell r="J6591">
            <v>0.14108372602739727</v>
          </cell>
        </row>
        <row r="6592">
          <cell r="I6592">
            <v>7297</v>
          </cell>
          <cell r="J6592">
            <v>0.14108553424657536</v>
          </cell>
        </row>
        <row r="6593">
          <cell r="I6593">
            <v>7298</v>
          </cell>
          <cell r="J6593">
            <v>0.14108734246575344</v>
          </cell>
        </row>
        <row r="6594">
          <cell r="I6594">
            <v>7299</v>
          </cell>
          <cell r="J6594">
            <v>0.1410891506849315</v>
          </cell>
        </row>
        <row r="6595">
          <cell r="I6595">
            <v>7300</v>
          </cell>
          <cell r="J6595">
            <v>0.14109095890410958</v>
          </cell>
        </row>
        <row r="6596">
          <cell r="I6596">
            <v>7301</v>
          </cell>
          <cell r="J6596">
            <v>0.14109276712328767</v>
          </cell>
        </row>
        <row r="6597">
          <cell r="I6597">
            <v>7302</v>
          </cell>
          <cell r="J6597">
            <v>0.14109457534246575</v>
          </cell>
        </row>
        <row r="6598">
          <cell r="I6598">
            <v>7303</v>
          </cell>
          <cell r="J6598">
            <v>0.14109638356164383</v>
          </cell>
        </row>
        <row r="6599">
          <cell r="I6599">
            <v>7304</v>
          </cell>
          <cell r="J6599">
            <v>0.14109819178082192</v>
          </cell>
        </row>
        <row r="6600">
          <cell r="I6600">
            <v>7305</v>
          </cell>
          <cell r="J6600">
            <v>0.1411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ured-Sold history"/>
      <sheetName val="carrying Value"/>
      <sheetName val="broker sheet-2"/>
      <sheetName val="LINK-SHEET"/>
      <sheetName val="Chart1"/>
      <sheetName val="OUTPUT"/>
      <sheetName val="Repo-EM"/>
      <sheetName val="Rev.Repo-EM"/>
    </sheetNames>
    <sheetDataSet>
      <sheetData sheetId="0"/>
      <sheetData sheetId="1"/>
      <sheetData sheetId="2" refreshError="1">
        <row r="7">
          <cell r="F7">
            <v>0</v>
          </cell>
          <cell r="G7">
            <v>5.1799999999999999E-2</v>
          </cell>
        </row>
        <row r="8">
          <cell r="F8">
            <v>8</v>
          </cell>
          <cell r="G8">
            <v>4.19E-2</v>
          </cell>
        </row>
        <row r="9">
          <cell r="F9">
            <v>16</v>
          </cell>
          <cell r="G9">
            <v>3.1800000000000002E-2</v>
          </cell>
        </row>
        <row r="10">
          <cell r="F10">
            <v>31</v>
          </cell>
          <cell r="G10">
            <v>2.58E-2</v>
          </cell>
        </row>
        <row r="11">
          <cell r="F11">
            <v>61</v>
          </cell>
          <cell r="G11">
            <v>2.4E-2</v>
          </cell>
        </row>
        <row r="12">
          <cell r="F12">
            <v>91</v>
          </cell>
          <cell r="G12">
            <v>2.3E-2</v>
          </cell>
        </row>
        <row r="13">
          <cell r="F13">
            <v>121</v>
          </cell>
          <cell r="G13">
            <v>2.23E-2</v>
          </cell>
        </row>
        <row r="14">
          <cell r="F14">
            <v>181</v>
          </cell>
          <cell r="G14">
            <v>2.23E-2</v>
          </cell>
        </row>
        <row r="15">
          <cell r="F15">
            <v>271</v>
          </cell>
          <cell r="G15">
            <v>2.29E-2</v>
          </cell>
        </row>
        <row r="16">
          <cell r="F16">
            <v>366</v>
          </cell>
          <cell r="G16">
            <v>3.2399999999999998E-2</v>
          </cell>
        </row>
        <row r="17">
          <cell r="F17">
            <v>732</v>
          </cell>
          <cell r="G17">
            <v>3.9600000000000003E-2</v>
          </cell>
        </row>
        <row r="18">
          <cell r="F18">
            <v>1097</v>
          </cell>
          <cell r="G18">
            <v>4.7100000000000003E-2</v>
          </cell>
        </row>
        <row r="19">
          <cell r="F19">
            <v>1462</v>
          </cell>
          <cell r="G19">
            <v>5.0900000000000001E-2</v>
          </cell>
        </row>
        <row r="20">
          <cell r="F20">
            <v>1828</v>
          </cell>
          <cell r="G20">
            <v>5.79E-2</v>
          </cell>
        </row>
        <row r="21">
          <cell r="F21">
            <v>2193</v>
          </cell>
          <cell r="G21">
            <v>5.79E-2</v>
          </cell>
        </row>
        <row r="22">
          <cell r="F22">
            <v>2558</v>
          </cell>
          <cell r="G22">
            <v>0.06</v>
          </cell>
        </row>
        <row r="23">
          <cell r="F23">
            <v>2923</v>
          </cell>
          <cell r="G23">
            <v>6.3500000000000001E-2</v>
          </cell>
        </row>
        <row r="24">
          <cell r="F24">
            <v>3289</v>
          </cell>
          <cell r="G24">
            <v>6.4000000000000001E-2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ured-Sold history"/>
      <sheetName val="carrying Value"/>
      <sheetName val="broker sheet-2"/>
      <sheetName val="LINK-SHEET"/>
      <sheetName val="Chart1"/>
      <sheetName val="OUTPUT"/>
      <sheetName val="Repo-EM"/>
      <sheetName val="Rev.Repo-EM"/>
      <sheetName val="Matured-Sold_history"/>
    </sheetNames>
    <sheetDataSet>
      <sheetData sheetId="0"/>
      <sheetData sheetId="1"/>
      <sheetData sheetId="2" refreshError="1">
        <row r="7">
          <cell r="F7">
            <v>0</v>
          </cell>
          <cell r="G7">
            <v>5.1799999999999999E-2</v>
          </cell>
        </row>
        <row r="8">
          <cell r="F8">
            <v>8</v>
          </cell>
          <cell r="G8">
            <v>4.19E-2</v>
          </cell>
        </row>
        <row r="9">
          <cell r="F9">
            <v>16</v>
          </cell>
          <cell r="G9">
            <v>3.1800000000000002E-2</v>
          </cell>
        </row>
        <row r="10">
          <cell r="F10">
            <v>31</v>
          </cell>
          <cell r="G10">
            <v>2.58E-2</v>
          </cell>
        </row>
        <row r="11">
          <cell r="F11">
            <v>61</v>
          </cell>
          <cell r="G11">
            <v>2.4E-2</v>
          </cell>
        </row>
        <row r="12">
          <cell r="F12">
            <v>91</v>
          </cell>
          <cell r="G12">
            <v>2.3E-2</v>
          </cell>
        </row>
        <row r="13">
          <cell r="F13">
            <v>121</v>
          </cell>
          <cell r="G13">
            <v>2.23E-2</v>
          </cell>
        </row>
        <row r="14">
          <cell r="F14">
            <v>181</v>
          </cell>
          <cell r="G14">
            <v>2.23E-2</v>
          </cell>
        </row>
        <row r="15">
          <cell r="F15">
            <v>271</v>
          </cell>
          <cell r="G15">
            <v>2.29E-2</v>
          </cell>
        </row>
        <row r="16">
          <cell r="F16">
            <v>366</v>
          </cell>
          <cell r="G16">
            <v>3.2399999999999998E-2</v>
          </cell>
        </row>
        <row r="17">
          <cell r="F17">
            <v>732</v>
          </cell>
          <cell r="G17">
            <v>3.9600000000000003E-2</v>
          </cell>
        </row>
        <row r="18">
          <cell r="F18">
            <v>1097</v>
          </cell>
          <cell r="G18">
            <v>4.7100000000000003E-2</v>
          </cell>
        </row>
        <row r="19">
          <cell r="F19">
            <v>1462</v>
          </cell>
          <cell r="G19">
            <v>5.0900000000000001E-2</v>
          </cell>
        </row>
        <row r="20">
          <cell r="F20">
            <v>1828</v>
          </cell>
          <cell r="G20">
            <v>5.79E-2</v>
          </cell>
        </row>
        <row r="21">
          <cell r="F21">
            <v>2193</v>
          </cell>
          <cell r="G21">
            <v>5.79E-2</v>
          </cell>
        </row>
        <row r="22">
          <cell r="F22">
            <v>2558</v>
          </cell>
          <cell r="G22">
            <v>0.06</v>
          </cell>
        </row>
        <row r="23">
          <cell r="F23">
            <v>2923</v>
          </cell>
          <cell r="G23">
            <v>6.3500000000000001E-2</v>
          </cell>
        </row>
        <row r="24">
          <cell r="F24">
            <v>3289</v>
          </cell>
          <cell r="G24">
            <v>6.4000000000000001E-2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ured-Sold history"/>
      <sheetName val="carrying Value"/>
      <sheetName val="broker sheet-2"/>
      <sheetName val="LINK-SHEET"/>
      <sheetName val="Chart1"/>
      <sheetName val="OUTPUT"/>
      <sheetName val="Repo-EM"/>
      <sheetName val="Rev.Repo-EM"/>
      <sheetName val="NAV 31.12.2017"/>
      <sheetName val="comparison"/>
      <sheetName val="Equity Portfolio"/>
      <sheetName val="Daily Trade Summary"/>
      <sheetName val="YTD Sales"/>
      <sheetName val="YTD Purchases"/>
      <sheetName val="TDR accrual "/>
      <sheetName val="PIB"/>
      <sheetName val="PIB Sold"/>
      <sheetName val="PIB -Accrual"/>
      <sheetName val="PIB Income "/>
      <sheetName val="T-Bills"/>
      <sheetName val="T-Bills Amortization "/>
      <sheetName val="TFCs -Market Value "/>
      <sheetName val="TFCs -Accrued Income"/>
      <sheetName val="PKRV"/>
      <sheetName val="Dividend"/>
      <sheetName val="Bonus"/>
      <sheetName val="Rates"/>
      <sheetName val="Right Shares - Mughal"/>
      <sheetName val="Right Shares - ICL"/>
      <sheetName val="Right Shares - HASCOL"/>
    </sheetNames>
    <sheetDataSet>
      <sheetData sheetId="0"/>
      <sheetData sheetId="1"/>
      <sheetData sheetId="2" refreshError="1">
        <row r="7">
          <cell r="F7">
            <v>0</v>
          </cell>
          <cell r="G7">
            <v>5.1799999999999999E-2</v>
          </cell>
        </row>
        <row r="8">
          <cell r="F8">
            <v>8</v>
          </cell>
          <cell r="G8">
            <v>4.19E-2</v>
          </cell>
        </row>
        <row r="9">
          <cell r="F9">
            <v>16</v>
          </cell>
          <cell r="G9">
            <v>3.1800000000000002E-2</v>
          </cell>
        </row>
        <row r="10">
          <cell r="F10">
            <v>31</v>
          </cell>
          <cell r="G10">
            <v>2.58E-2</v>
          </cell>
        </row>
        <row r="11">
          <cell r="F11">
            <v>61</v>
          </cell>
          <cell r="G11">
            <v>2.4E-2</v>
          </cell>
        </row>
        <row r="12">
          <cell r="F12">
            <v>91</v>
          </cell>
          <cell r="G12">
            <v>2.3E-2</v>
          </cell>
        </row>
        <row r="13">
          <cell r="F13">
            <v>121</v>
          </cell>
          <cell r="G13">
            <v>2.23E-2</v>
          </cell>
        </row>
        <row r="14">
          <cell r="F14">
            <v>181</v>
          </cell>
          <cell r="G14">
            <v>2.23E-2</v>
          </cell>
        </row>
        <row r="15">
          <cell r="F15">
            <v>271</v>
          </cell>
          <cell r="G15">
            <v>2.29E-2</v>
          </cell>
        </row>
        <row r="16">
          <cell r="F16">
            <v>366</v>
          </cell>
          <cell r="G16">
            <v>3.2399999999999998E-2</v>
          </cell>
        </row>
        <row r="17">
          <cell r="F17">
            <v>732</v>
          </cell>
          <cell r="G17">
            <v>3.9600000000000003E-2</v>
          </cell>
        </row>
        <row r="18">
          <cell r="F18">
            <v>1097</v>
          </cell>
          <cell r="G18">
            <v>4.7100000000000003E-2</v>
          </cell>
        </row>
        <row r="19">
          <cell r="F19">
            <v>1462</v>
          </cell>
          <cell r="G19">
            <v>5.0900000000000001E-2</v>
          </cell>
        </row>
        <row r="20">
          <cell r="F20">
            <v>1828</v>
          </cell>
          <cell r="G20">
            <v>5.79E-2</v>
          </cell>
        </row>
        <row r="21">
          <cell r="F21">
            <v>2193</v>
          </cell>
          <cell r="G21">
            <v>5.79E-2</v>
          </cell>
        </row>
        <row r="22">
          <cell r="F22">
            <v>2558</v>
          </cell>
          <cell r="G22">
            <v>0.06</v>
          </cell>
        </row>
        <row r="23">
          <cell r="F23">
            <v>2923</v>
          </cell>
          <cell r="G23">
            <v>6.3500000000000001E-2</v>
          </cell>
        </row>
        <row r="24">
          <cell r="F24">
            <v>3289</v>
          </cell>
          <cell r="G24">
            <v>6.4000000000000001E-2</v>
          </cell>
        </row>
      </sheetData>
      <sheetData sheetId="3"/>
      <sheetData sheetId="4"/>
      <sheetData sheetId="5"/>
      <sheetData sheetId="6"/>
      <sheetData sheetId="7"/>
      <sheetData sheetId="8">
        <row r="17">
          <cell r="E17">
            <v>0</v>
          </cell>
        </row>
      </sheetData>
      <sheetData sheetId="9">
        <row r="6">
          <cell r="F6">
            <v>11647618249.58</v>
          </cell>
        </row>
      </sheetData>
      <sheetData sheetId="10"/>
      <sheetData sheetId="11">
        <row r="37">
          <cell r="N37">
            <v>0</v>
          </cell>
        </row>
      </sheetData>
      <sheetData sheetId="12">
        <row r="357">
          <cell r="I357">
            <v>-115957878.93125448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F4">
            <v>43100</v>
          </cell>
        </row>
      </sheetData>
      <sheetData sheetId="24"/>
      <sheetData sheetId="25"/>
      <sheetData sheetId="26">
        <row r="1">
          <cell r="B1" t="str">
            <v>GASF</v>
          </cell>
        </row>
      </sheetData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T-BILL"/>
      <sheetName val="PIB"/>
      <sheetName val="Movement"/>
      <sheetName val="SalePurchase"/>
      <sheetName val="Capital Gain"/>
      <sheetName val="FIB"/>
      <sheetName val="UMMF UNITS"/>
      <sheetName val="CALL MONEY"/>
      <sheetName val="pric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 31.12.2017"/>
      <sheetName val="comparison"/>
      <sheetName val="Equity Portfolio"/>
      <sheetName val="Daily Trade Summary"/>
      <sheetName val="YTD Sales"/>
      <sheetName val="YTD Purchases"/>
      <sheetName val="TDR accrual "/>
      <sheetName val="PIB"/>
      <sheetName val="PIB Sold"/>
      <sheetName val="PIB -Accrual"/>
      <sheetName val="PIB Income "/>
      <sheetName val="T-Bills"/>
      <sheetName val="T-Bills Amortization "/>
      <sheetName val="TFCs -Market Value "/>
      <sheetName val="TFCs -Accrued Income"/>
      <sheetName val="PKRV"/>
      <sheetName val="Dividend"/>
      <sheetName val="Bonus"/>
      <sheetName val="Rates"/>
      <sheetName val="Right Shares - Mughal"/>
      <sheetName val="Right Shares - ICL"/>
      <sheetName val="Right Shares - HASCOL"/>
    </sheetNames>
    <sheetDataSet>
      <sheetData sheetId="0">
        <row r="17">
          <cell r="E17">
            <v>0</v>
          </cell>
        </row>
        <row r="65">
          <cell r="E65">
            <v>14499712927.731102</v>
          </cell>
        </row>
      </sheetData>
      <sheetData sheetId="1">
        <row r="6">
          <cell r="F6">
            <v>11647618249.58</v>
          </cell>
        </row>
      </sheetData>
      <sheetData sheetId="2"/>
      <sheetData sheetId="3">
        <row r="37">
          <cell r="N37">
            <v>0</v>
          </cell>
        </row>
      </sheetData>
      <sheetData sheetId="4">
        <row r="357">
          <cell r="I357">
            <v>-115957878.93125448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F4">
            <v>43100</v>
          </cell>
        </row>
      </sheetData>
      <sheetData sheetId="16"/>
      <sheetData sheetId="17"/>
      <sheetData sheetId="18">
        <row r="1">
          <cell r="B1" t="str">
            <v>GASF</v>
          </cell>
          <cell r="C1">
            <v>806</v>
          </cell>
          <cell r="D1" t="str">
            <v>Golden Arrow</v>
          </cell>
          <cell r="E1">
            <v>9.39</v>
          </cell>
          <cell r="F1">
            <v>9.39</v>
          </cell>
          <cell r="G1">
            <v>9.14</v>
          </cell>
          <cell r="H1">
            <v>9.19</v>
          </cell>
        </row>
        <row r="2">
          <cell r="B2" t="str">
            <v>PGF</v>
          </cell>
          <cell r="C2">
            <v>806</v>
          </cell>
          <cell r="D2" t="str">
            <v>PICIC Growth</v>
          </cell>
          <cell r="E2">
            <v>28.06</v>
          </cell>
          <cell r="F2">
            <v>29.05</v>
          </cell>
          <cell r="G2">
            <v>28.05</v>
          </cell>
          <cell r="H2">
            <v>28.35</v>
          </cell>
        </row>
        <row r="3">
          <cell r="B3" t="str">
            <v>PIF</v>
          </cell>
          <cell r="C3">
            <v>806</v>
          </cell>
          <cell r="D3" t="str">
            <v>PICIC Inv.Fund</v>
          </cell>
          <cell r="E3">
            <v>12.7</v>
          </cell>
          <cell r="F3">
            <v>13.35</v>
          </cell>
          <cell r="G3">
            <v>12.7</v>
          </cell>
          <cell r="H3">
            <v>13.35</v>
          </cell>
        </row>
        <row r="4">
          <cell r="B4" t="str">
            <v>TSMF</v>
          </cell>
          <cell r="C4">
            <v>806</v>
          </cell>
          <cell r="D4" t="str">
            <v>Tri-Star Mutual</v>
          </cell>
          <cell r="E4">
            <v>4.3</v>
          </cell>
          <cell r="F4">
            <v>4.3</v>
          </cell>
          <cell r="G4">
            <v>4.3</v>
          </cell>
          <cell r="H4">
            <v>4.3</v>
          </cell>
        </row>
        <row r="5">
          <cell r="B5" t="str">
            <v>ARM</v>
          </cell>
          <cell r="C5">
            <v>819</v>
          </cell>
          <cell r="D5" t="str">
            <v>Allied Rent.</v>
          </cell>
          <cell r="E5">
            <v>22.9</v>
          </cell>
          <cell r="F5">
            <v>24.4</v>
          </cell>
          <cell r="G5">
            <v>22.9</v>
          </cell>
          <cell r="H5">
            <v>24.4</v>
          </cell>
        </row>
        <row r="6">
          <cell r="B6" t="str">
            <v>ARMR4</v>
          </cell>
          <cell r="C6">
            <v>819</v>
          </cell>
          <cell r="D6" t="str">
            <v>Allied Rental(R</v>
          </cell>
          <cell r="E6">
            <v>3.67</v>
          </cell>
          <cell r="F6">
            <v>3.67</v>
          </cell>
          <cell r="G6">
            <v>3.66</v>
          </cell>
          <cell r="H6">
            <v>3.66</v>
          </cell>
        </row>
        <row r="7">
          <cell r="B7" t="str">
            <v>BRR</v>
          </cell>
          <cell r="C7">
            <v>819</v>
          </cell>
          <cell r="D7" t="str">
            <v>B.R.R.Guardian</v>
          </cell>
          <cell r="E7">
            <v>8</v>
          </cell>
          <cell r="F7">
            <v>8.1</v>
          </cell>
          <cell r="G7">
            <v>8</v>
          </cell>
          <cell r="H7">
            <v>8.1</v>
          </cell>
        </row>
        <row r="8">
          <cell r="B8" t="str">
            <v>FECM</v>
          </cell>
          <cell r="C8">
            <v>819</v>
          </cell>
          <cell r="D8" t="str">
            <v>Elite Cap.Mod</v>
          </cell>
          <cell r="E8">
            <v>2.14</v>
          </cell>
          <cell r="F8">
            <v>2.5299999999999998</v>
          </cell>
          <cell r="G8">
            <v>2.14</v>
          </cell>
          <cell r="H8">
            <v>2.5299999999999998</v>
          </cell>
        </row>
        <row r="9">
          <cell r="B9" t="str">
            <v>FEM</v>
          </cell>
          <cell r="C9">
            <v>819</v>
          </cell>
          <cell r="D9" t="str">
            <v>Equity ModarabaXD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</row>
        <row r="10">
          <cell r="B10" t="str">
            <v>ORIXM</v>
          </cell>
          <cell r="C10">
            <v>819</v>
          </cell>
          <cell r="D10" t="str">
            <v>Orix Modaraba</v>
          </cell>
          <cell r="E10">
            <v>20.8</v>
          </cell>
          <cell r="F10">
            <v>20.8</v>
          </cell>
          <cell r="G10">
            <v>20</v>
          </cell>
          <cell r="H10">
            <v>20</v>
          </cell>
        </row>
        <row r="11">
          <cell r="B11" t="str">
            <v>FHAM</v>
          </cell>
          <cell r="C11">
            <v>819</v>
          </cell>
          <cell r="D11" t="str">
            <v>Habib ModarabaXD</v>
          </cell>
          <cell r="E11">
            <v>10.050000000000001</v>
          </cell>
          <cell r="F11">
            <v>10.1</v>
          </cell>
          <cell r="G11">
            <v>10</v>
          </cell>
          <cell r="H11">
            <v>10.050000000000001</v>
          </cell>
        </row>
        <row r="12">
          <cell r="B12" t="str">
            <v>MODAM</v>
          </cell>
          <cell r="C12">
            <v>819</v>
          </cell>
          <cell r="D12" t="str">
            <v>Mod.Al-MaliXD</v>
          </cell>
          <cell r="E12">
            <v>3.7</v>
          </cell>
          <cell r="F12">
            <v>3.79</v>
          </cell>
          <cell r="G12">
            <v>3.7</v>
          </cell>
          <cell r="H12">
            <v>3.79</v>
          </cell>
        </row>
        <row r="13">
          <cell r="B13" t="str">
            <v>FNBM</v>
          </cell>
          <cell r="C13">
            <v>819</v>
          </cell>
          <cell r="D13" t="str">
            <v>Nat.Bank Mod.</v>
          </cell>
          <cell r="E13">
            <v>2.15</v>
          </cell>
          <cell r="F13">
            <v>2.15</v>
          </cell>
          <cell r="G13">
            <v>2.15</v>
          </cell>
          <cell r="H13">
            <v>2.15</v>
          </cell>
        </row>
        <row r="14">
          <cell r="B14" t="str">
            <v>PAKMI</v>
          </cell>
          <cell r="C14">
            <v>819</v>
          </cell>
          <cell r="D14" t="str">
            <v>Pak Mod.</v>
          </cell>
          <cell r="E14">
            <v>2.1</v>
          </cell>
          <cell r="F14">
            <v>2.1</v>
          </cell>
          <cell r="G14">
            <v>2.1</v>
          </cell>
          <cell r="H14">
            <v>2.1</v>
          </cell>
        </row>
        <row r="15">
          <cell r="B15" t="str">
            <v>PMI</v>
          </cell>
          <cell r="C15">
            <v>819</v>
          </cell>
          <cell r="D15" t="str">
            <v>Prud Mod.1stXD</v>
          </cell>
          <cell r="E15">
            <v>1.67</v>
          </cell>
          <cell r="F15">
            <v>1.75</v>
          </cell>
          <cell r="G15">
            <v>1.67</v>
          </cell>
          <cell r="H15">
            <v>1.7</v>
          </cell>
        </row>
        <row r="16">
          <cell r="B16" t="str">
            <v>FTSM</v>
          </cell>
          <cell r="C16">
            <v>819</v>
          </cell>
          <cell r="D16" t="str">
            <v>Tri-Star 1st. M</v>
          </cell>
          <cell r="E16">
            <v>11</v>
          </cell>
          <cell r="F16">
            <v>11</v>
          </cell>
          <cell r="G16">
            <v>11</v>
          </cell>
          <cell r="H16">
            <v>11</v>
          </cell>
        </row>
        <row r="17">
          <cell r="B17" t="str">
            <v>FUDLM</v>
          </cell>
          <cell r="C17">
            <v>819</v>
          </cell>
          <cell r="D17" t="str">
            <v>U.D.L.Modaraba</v>
          </cell>
          <cell r="E17">
            <v>22</v>
          </cell>
          <cell r="F17">
            <v>22</v>
          </cell>
          <cell r="G17">
            <v>21</v>
          </cell>
          <cell r="H17">
            <v>21</v>
          </cell>
        </row>
        <row r="18">
          <cell r="B18" t="str">
            <v>UCAPM</v>
          </cell>
          <cell r="C18">
            <v>819</v>
          </cell>
          <cell r="D18" t="str">
            <v>Unicap Modaraba</v>
          </cell>
          <cell r="E18">
            <v>1.5</v>
          </cell>
          <cell r="F18">
            <v>1.5</v>
          </cell>
          <cell r="G18">
            <v>1.35</v>
          </cell>
          <cell r="H18">
            <v>1.35</v>
          </cell>
        </row>
        <row r="19">
          <cell r="B19" t="str">
            <v>OLPL</v>
          </cell>
          <cell r="C19">
            <v>815</v>
          </cell>
          <cell r="D19" t="str">
            <v>Orix Leasing</v>
          </cell>
          <cell r="E19">
            <v>39.99</v>
          </cell>
          <cell r="F19">
            <v>41.9</v>
          </cell>
          <cell r="G19">
            <v>39.950000000000003</v>
          </cell>
          <cell r="H19">
            <v>41.51</v>
          </cell>
        </row>
        <row r="20">
          <cell r="B20" t="str">
            <v>PGLC</v>
          </cell>
          <cell r="C20">
            <v>815</v>
          </cell>
          <cell r="D20" t="str">
            <v>Pak Gulf Leasin</v>
          </cell>
          <cell r="E20">
            <v>15.75</v>
          </cell>
          <cell r="F20">
            <v>15.75</v>
          </cell>
          <cell r="G20">
            <v>15.05</v>
          </cell>
          <cell r="H20">
            <v>15.05</v>
          </cell>
        </row>
        <row r="21">
          <cell r="B21" t="str">
            <v>SLL</v>
          </cell>
          <cell r="C21">
            <v>815</v>
          </cell>
          <cell r="D21" t="str">
            <v>SME Leasing Ltd</v>
          </cell>
          <cell r="E21">
            <v>2.52</v>
          </cell>
          <cell r="F21">
            <v>2.87</v>
          </cell>
          <cell r="G21">
            <v>2.52</v>
          </cell>
          <cell r="H21">
            <v>2.87</v>
          </cell>
        </row>
        <row r="22">
          <cell r="B22" t="str">
            <v>SLCL</v>
          </cell>
          <cell r="C22">
            <v>815</v>
          </cell>
          <cell r="D22" t="str">
            <v>Security Leasin</v>
          </cell>
          <cell r="E22">
            <v>10.25</v>
          </cell>
          <cell r="F22">
            <v>11.21</v>
          </cell>
          <cell r="G22">
            <v>10.19</v>
          </cell>
          <cell r="H22">
            <v>10.49</v>
          </cell>
        </row>
        <row r="23">
          <cell r="B23" t="str">
            <v>SPLC</v>
          </cell>
          <cell r="C23">
            <v>815</v>
          </cell>
          <cell r="D23" t="str">
            <v>Saudi Pak Leasi</v>
          </cell>
          <cell r="E23">
            <v>1.69</v>
          </cell>
          <cell r="F23">
            <v>1.69</v>
          </cell>
          <cell r="G23">
            <v>1.64</v>
          </cell>
          <cell r="H23">
            <v>1.64</v>
          </cell>
        </row>
        <row r="24">
          <cell r="B24" t="str">
            <v>AHL</v>
          </cell>
          <cell r="C24">
            <v>813</v>
          </cell>
          <cell r="D24" t="str">
            <v>Arif Habib Ltd.</v>
          </cell>
          <cell r="E24">
            <v>39.15</v>
          </cell>
          <cell r="F24">
            <v>40.19</v>
          </cell>
          <cell r="G24">
            <v>39.15</v>
          </cell>
          <cell r="H24">
            <v>39.549999999999997</v>
          </cell>
        </row>
        <row r="25">
          <cell r="B25" t="str">
            <v>AHCL</v>
          </cell>
          <cell r="C25">
            <v>809</v>
          </cell>
          <cell r="D25" t="str">
            <v>Arif Habib Corp</v>
          </cell>
          <cell r="E25">
            <v>35</v>
          </cell>
          <cell r="F25">
            <v>36</v>
          </cell>
          <cell r="G25">
            <v>34.99</v>
          </cell>
          <cell r="H25">
            <v>35.47</v>
          </cell>
        </row>
        <row r="26">
          <cell r="B26" t="str">
            <v>ICIBL</v>
          </cell>
          <cell r="C26">
            <v>813</v>
          </cell>
          <cell r="D26" t="str">
            <v>Invest Bank</v>
          </cell>
          <cell r="E26">
            <v>1.54</v>
          </cell>
          <cell r="F26">
            <v>1.54</v>
          </cell>
          <cell r="G26">
            <v>1.4</v>
          </cell>
          <cell r="H26">
            <v>1.47</v>
          </cell>
        </row>
        <row r="27">
          <cell r="B27" t="str">
            <v>FDIBL</v>
          </cell>
          <cell r="C27">
            <v>813</v>
          </cell>
          <cell r="D27" t="str">
            <v>Ist.Dawood Bank</v>
          </cell>
          <cell r="E27">
            <v>1.72</v>
          </cell>
          <cell r="F27">
            <v>1.8</v>
          </cell>
          <cell r="G27">
            <v>1.52</v>
          </cell>
          <cell r="H27">
            <v>1.68</v>
          </cell>
        </row>
        <row r="28">
          <cell r="B28" t="str">
            <v>JSCL</v>
          </cell>
          <cell r="C28">
            <v>813</v>
          </cell>
          <cell r="D28" t="str">
            <v>Jah.Sidd. Co.</v>
          </cell>
          <cell r="E28">
            <v>18.05</v>
          </cell>
          <cell r="F28">
            <v>19.239999999999998</v>
          </cell>
          <cell r="G28">
            <v>18</v>
          </cell>
          <cell r="H28">
            <v>18.05</v>
          </cell>
        </row>
        <row r="29">
          <cell r="B29" t="str">
            <v>NEXT</v>
          </cell>
          <cell r="C29">
            <v>813</v>
          </cell>
          <cell r="D29" t="str">
            <v>Next Capital</v>
          </cell>
          <cell r="E29">
            <v>8.5</v>
          </cell>
          <cell r="F29">
            <v>8.8800000000000008</v>
          </cell>
          <cell r="G29">
            <v>8.5</v>
          </cell>
          <cell r="H29">
            <v>8.8800000000000008</v>
          </cell>
        </row>
        <row r="30">
          <cell r="B30" t="str">
            <v>AMBL</v>
          </cell>
          <cell r="C30">
            <v>813</v>
          </cell>
          <cell r="D30" t="str">
            <v>Apna Microfin.</v>
          </cell>
          <cell r="E30">
            <v>6.64</v>
          </cell>
          <cell r="F30">
            <v>7.79</v>
          </cell>
          <cell r="G30">
            <v>5.8</v>
          </cell>
          <cell r="H30">
            <v>7.47</v>
          </cell>
        </row>
        <row r="31">
          <cell r="B31" t="str">
            <v>ESBL</v>
          </cell>
          <cell r="C31">
            <v>813</v>
          </cell>
          <cell r="D31" t="str">
            <v>Escorts Bank</v>
          </cell>
          <cell r="E31">
            <v>15.9</v>
          </cell>
          <cell r="F31">
            <v>15.99</v>
          </cell>
          <cell r="G31">
            <v>14.9</v>
          </cell>
          <cell r="H31">
            <v>15.7</v>
          </cell>
        </row>
        <row r="32">
          <cell r="B32" t="str">
            <v>PSX</v>
          </cell>
          <cell r="C32">
            <v>813</v>
          </cell>
          <cell r="D32" t="str">
            <v>Pak Stock Exchange</v>
          </cell>
          <cell r="E32">
            <v>21.84</v>
          </cell>
          <cell r="F32">
            <v>22.4</v>
          </cell>
          <cell r="G32">
            <v>21.5</v>
          </cell>
          <cell r="H32">
            <v>22.4</v>
          </cell>
        </row>
        <row r="33">
          <cell r="B33" t="str">
            <v>FCSC</v>
          </cell>
          <cell r="C33">
            <v>813</v>
          </cell>
          <cell r="D33" t="str">
            <v>Ist.Capital Sec</v>
          </cell>
          <cell r="E33">
            <v>1.8</v>
          </cell>
          <cell r="F33">
            <v>1.79</v>
          </cell>
          <cell r="G33">
            <v>1.63</v>
          </cell>
          <cell r="H33">
            <v>1.7</v>
          </cell>
        </row>
        <row r="34">
          <cell r="B34" t="str">
            <v>IGIBL</v>
          </cell>
          <cell r="C34">
            <v>813</v>
          </cell>
          <cell r="D34" t="str">
            <v>IGI Inv.Bank</v>
          </cell>
          <cell r="E34">
            <v>2.95</v>
          </cell>
          <cell r="F34">
            <v>2.99</v>
          </cell>
          <cell r="G34">
            <v>2.9</v>
          </cell>
          <cell r="H34">
            <v>2.96</v>
          </cell>
        </row>
        <row r="35">
          <cell r="B35" t="str">
            <v>EFGH</v>
          </cell>
          <cell r="C35">
            <v>813</v>
          </cell>
          <cell r="D35" t="str">
            <v>EFG Hermes Pak</v>
          </cell>
          <cell r="E35">
            <v>82.01</v>
          </cell>
          <cell r="F35">
            <v>82.99</v>
          </cell>
          <cell r="G35">
            <v>80</v>
          </cell>
          <cell r="H35">
            <v>80.25</v>
          </cell>
        </row>
        <row r="36">
          <cell r="B36" t="str">
            <v>FNEL</v>
          </cell>
          <cell r="C36">
            <v>813</v>
          </cell>
          <cell r="D36" t="str">
            <v>F. Nat.Equities</v>
          </cell>
          <cell r="E36">
            <v>4.5999999999999996</v>
          </cell>
          <cell r="F36">
            <v>5.59</v>
          </cell>
          <cell r="G36">
            <v>4.5999999999999996</v>
          </cell>
          <cell r="H36">
            <v>5.13</v>
          </cell>
        </row>
        <row r="37">
          <cell r="B37" t="str">
            <v>JSIL</v>
          </cell>
          <cell r="C37">
            <v>813</v>
          </cell>
          <cell r="D37" t="str">
            <v>JS Investments</v>
          </cell>
          <cell r="E37">
            <v>9.4</v>
          </cell>
          <cell r="F37">
            <v>9.4</v>
          </cell>
          <cell r="G37">
            <v>9.4</v>
          </cell>
          <cell r="H37">
            <v>9.4</v>
          </cell>
        </row>
        <row r="38">
          <cell r="B38" t="str">
            <v>JSGCL</v>
          </cell>
          <cell r="C38">
            <v>813</v>
          </cell>
          <cell r="D38" t="str">
            <v>JS Global Cap.</v>
          </cell>
          <cell r="E38">
            <v>42</v>
          </cell>
          <cell r="F38">
            <v>42</v>
          </cell>
          <cell r="G38">
            <v>42</v>
          </cell>
          <cell r="H38">
            <v>42</v>
          </cell>
        </row>
        <row r="39">
          <cell r="B39" t="str">
            <v>PASL</v>
          </cell>
          <cell r="C39">
            <v>813</v>
          </cell>
          <cell r="D39" t="str">
            <v>Pervez Ahmed</v>
          </cell>
          <cell r="E39">
            <v>0.97</v>
          </cell>
          <cell r="F39">
            <v>1.1000000000000001</v>
          </cell>
          <cell r="G39">
            <v>0.95</v>
          </cell>
          <cell r="H39">
            <v>1.05</v>
          </cell>
        </row>
        <row r="40">
          <cell r="B40" t="str">
            <v>TRIBL</v>
          </cell>
          <cell r="C40">
            <v>813</v>
          </cell>
          <cell r="D40" t="str">
            <v>Trust Inv.Bank</v>
          </cell>
          <cell r="E40">
            <v>1.61</v>
          </cell>
          <cell r="F40">
            <v>1.75</v>
          </cell>
          <cell r="G40">
            <v>1.36</v>
          </cell>
          <cell r="H40">
            <v>1.43</v>
          </cell>
        </row>
        <row r="41">
          <cell r="B41" t="str">
            <v>ABL</v>
          </cell>
          <cell r="C41">
            <v>807</v>
          </cell>
          <cell r="D41" t="str">
            <v>Allied Bank Ltd</v>
          </cell>
          <cell r="E41">
            <v>84.5</v>
          </cell>
          <cell r="F41">
            <v>85</v>
          </cell>
          <cell r="G41">
            <v>84.5</v>
          </cell>
          <cell r="H41">
            <v>84.98</v>
          </cell>
        </row>
        <row r="42">
          <cell r="B42" t="str">
            <v>SMBL</v>
          </cell>
          <cell r="C42">
            <v>807</v>
          </cell>
          <cell r="D42" t="str">
            <v>Summit Bank</v>
          </cell>
          <cell r="E42">
            <v>2.5299999999999998</v>
          </cell>
          <cell r="F42">
            <v>3</v>
          </cell>
          <cell r="G42">
            <v>2.42</v>
          </cell>
          <cell r="H42">
            <v>2.77</v>
          </cell>
        </row>
        <row r="43">
          <cell r="B43" t="str">
            <v>AKBL</v>
          </cell>
          <cell r="C43">
            <v>807</v>
          </cell>
          <cell r="D43" t="str">
            <v>Askari Bank</v>
          </cell>
          <cell r="E43">
            <v>19.14</v>
          </cell>
          <cell r="F43">
            <v>19.350000000000001</v>
          </cell>
          <cell r="G43">
            <v>19.05</v>
          </cell>
          <cell r="H43">
            <v>19.309999999999999</v>
          </cell>
        </row>
        <row r="44">
          <cell r="B44" t="str">
            <v>BAFL</v>
          </cell>
          <cell r="C44">
            <v>807</v>
          </cell>
          <cell r="D44" t="str">
            <v>Bank Al-Falah</v>
          </cell>
          <cell r="E44">
            <v>42.13</v>
          </cell>
          <cell r="F44">
            <v>43</v>
          </cell>
          <cell r="G44">
            <v>42.01</v>
          </cell>
          <cell r="H44">
            <v>42.5</v>
          </cell>
        </row>
        <row r="45">
          <cell r="B45" t="str">
            <v>BIPL</v>
          </cell>
          <cell r="C45">
            <v>807</v>
          </cell>
          <cell r="D45" t="str">
            <v>Bankislami Pak.</v>
          </cell>
          <cell r="E45">
            <v>8.4499999999999993</v>
          </cell>
          <cell r="F45">
            <v>9.2899999999999991</v>
          </cell>
          <cell r="G45">
            <v>8.2100000000000009</v>
          </cell>
          <cell r="H45">
            <v>9.2899999999999991</v>
          </cell>
        </row>
        <row r="46">
          <cell r="B46" t="str">
            <v>BOK</v>
          </cell>
          <cell r="C46">
            <v>807</v>
          </cell>
          <cell r="D46" t="str">
            <v>Bank Of Khyber</v>
          </cell>
          <cell r="E46">
            <v>13.49</v>
          </cell>
          <cell r="F46">
            <v>13.5</v>
          </cell>
          <cell r="G46">
            <v>13.49</v>
          </cell>
          <cell r="H46">
            <v>13.5</v>
          </cell>
        </row>
        <row r="47">
          <cell r="B47" t="str">
            <v>BAHL</v>
          </cell>
          <cell r="C47">
            <v>807</v>
          </cell>
          <cell r="D47" t="str">
            <v>Bank AL-Habib</v>
          </cell>
          <cell r="E47">
            <v>57.85</v>
          </cell>
          <cell r="F47">
            <v>58.5</v>
          </cell>
          <cell r="G47">
            <v>57.14</v>
          </cell>
          <cell r="H47">
            <v>58.36</v>
          </cell>
        </row>
        <row r="48">
          <cell r="B48" t="str">
            <v>BOP</v>
          </cell>
          <cell r="C48">
            <v>807</v>
          </cell>
          <cell r="D48" t="str">
            <v>B.O.Punjab</v>
          </cell>
          <cell r="E48">
            <v>8.5</v>
          </cell>
          <cell r="F48">
            <v>8.5500000000000007</v>
          </cell>
          <cell r="G48">
            <v>8.1999999999999993</v>
          </cell>
          <cell r="H48">
            <v>8.24</v>
          </cell>
        </row>
        <row r="49">
          <cell r="B49" t="str">
            <v>FABL</v>
          </cell>
          <cell r="C49">
            <v>807</v>
          </cell>
          <cell r="D49" t="str">
            <v>Faysal Bank</v>
          </cell>
          <cell r="E49">
            <v>21.55</v>
          </cell>
          <cell r="F49">
            <v>21.6</v>
          </cell>
          <cell r="G49">
            <v>21.25</v>
          </cell>
          <cell r="H49">
            <v>21.26</v>
          </cell>
        </row>
        <row r="50">
          <cell r="B50" t="str">
            <v>HBL</v>
          </cell>
          <cell r="C50">
            <v>807</v>
          </cell>
          <cell r="D50" t="str">
            <v>Habib Bank</v>
          </cell>
          <cell r="E50">
            <v>167.68</v>
          </cell>
          <cell r="F50">
            <v>170.5</v>
          </cell>
          <cell r="G50">
            <v>166.8</v>
          </cell>
          <cell r="H50">
            <v>167.09</v>
          </cell>
        </row>
        <row r="51">
          <cell r="B51" t="str">
            <v>MEBL</v>
          </cell>
          <cell r="C51">
            <v>807</v>
          </cell>
          <cell r="D51" t="str">
            <v>Meezan Bank</v>
          </cell>
          <cell r="E51">
            <v>67.900000000000006</v>
          </cell>
          <cell r="F51">
            <v>67.900000000000006</v>
          </cell>
          <cell r="G51">
            <v>66.099999999999994</v>
          </cell>
          <cell r="H51">
            <v>67.099999999999994</v>
          </cell>
        </row>
        <row r="52">
          <cell r="B52" t="str">
            <v>NBP</v>
          </cell>
          <cell r="C52">
            <v>807</v>
          </cell>
          <cell r="D52" t="str">
            <v>National Bank</v>
          </cell>
          <cell r="E52">
            <v>46.98</v>
          </cell>
          <cell r="F52">
            <v>49.2</v>
          </cell>
          <cell r="G52">
            <v>46.98</v>
          </cell>
          <cell r="H52">
            <v>48.56</v>
          </cell>
        </row>
        <row r="53">
          <cell r="B53" t="str">
            <v>HMB</v>
          </cell>
          <cell r="C53">
            <v>807</v>
          </cell>
          <cell r="D53" t="str">
            <v>Habib Metropol.</v>
          </cell>
          <cell r="E53">
            <v>33.99</v>
          </cell>
          <cell r="F53">
            <v>34.5</v>
          </cell>
          <cell r="G53">
            <v>33.99</v>
          </cell>
          <cell r="H53">
            <v>34.5</v>
          </cell>
        </row>
        <row r="54">
          <cell r="B54" t="str">
            <v>MCB</v>
          </cell>
          <cell r="C54">
            <v>807</v>
          </cell>
          <cell r="D54" t="str">
            <v>MCB Bank LtdXD</v>
          </cell>
          <cell r="E54">
            <v>210</v>
          </cell>
          <cell r="F54">
            <v>214</v>
          </cell>
          <cell r="G54">
            <v>208.11</v>
          </cell>
          <cell r="H54">
            <v>212.32</v>
          </cell>
        </row>
        <row r="55">
          <cell r="B55" t="str">
            <v>JSBL</v>
          </cell>
          <cell r="C55">
            <v>807</v>
          </cell>
          <cell r="D55" t="str">
            <v>JS Bank Ltd</v>
          </cell>
          <cell r="E55">
            <v>7.35</v>
          </cell>
          <cell r="F55">
            <v>7.9</v>
          </cell>
          <cell r="G55">
            <v>7.1</v>
          </cell>
          <cell r="H55">
            <v>7.52</v>
          </cell>
        </row>
        <row r="56">
          <cell r="B56" t="str">
            <v>SILK</v>
          </cell>
          <cell r="C56">
            <v>807</v>
          </cell>
          <cell r="D56" t="str">
            <v>Silk Bank Ltd</v>
          </cell>
          <cell r="E56">
            <v>1.5</v>
          </cell>
          <cell r="F56">
            <v>1.65</v>
          </cell>
          <cell r="G56">
            <v>1.44</v>
          </cell>
          <cell r="H56">
            <v>1.58</v>
          </cell>
        </row>
        <row r="57">
          <cell r="B57" t="str">
            <v>SNBL</v>
          </cell>
          <cell r="C57">
            <v>807</v>
          </cell>
          <cell r="D57" t="str">
            <v>Soneri Bank Ltd</v>
          </cell>
          <cell r="E57">
            <v>13.4</v>
          </cell>
          <cell r="F57">
            <v>13.4</v>
          </cell>
          <cell r="G57">
            <v>13</v>
          </cell>
          <cell r="H57">
            <v>13.4</v>
          </cell>
        </row>
        <row r="58">
          <cell r="B58" t="str">
            <v>SCBPL</v>
          </cell>
          <cell r="C58">
            <v>807</v>
          </cell>
          <cell r="D58" t="str">
            <v>St.Chart.Bank</v>
          </cell>
          <cell r="E58">
            <v>23.85</v>
          </cell>
          <cell r="F58">
            <v>23.85</v>
          </cell>
          <cell r="G58">
            <v>23.85</v>
          </cell>
          <cell r="H58">
            <v>23.85</v>
          </cell>
        </row>
        <row r="59">
          <cell r="B59" t="str">
            <v>UBL</v>
          </cell>
          <cell r="C59">
            <v>807</v>
          </cell>
          <cell r="D59" t="str">
            <v>United Bank</v>
          </cell>
          <cell r="E59">
            <v>185</v>
          </cell>
          <cell r="F59">
            <v>189</v>
          </cell>
          <cell r="G59">
            <v>183</v>
          </cell>
          <cell r="H59">
            <v>187.97</v>
          </cell>
        </row>
        <row r="60">
          <cell r="B60" t="str">
            <v>AICL</v>
          </cell>
          <cell r="C60">
            <v>812</v>
          </cell>
          <cell r="D60" t="str">
            <v>Adamjee Ins.</v>
          </cell>
          <cell r="E60">
            <v>52.05</v>
          </cell>
          <cell r="F60">
            <v>54</v>
          </cell>
          <cell r="G60">
            <v>51.15</v>
          </cell>
          <cell r="H60">
            <v>51.97</v>
          </cell>
        </row>
        <row r="61">
          <cell r="B61" t="str">
            <v>AGIC</v>
          </cell>
          <cell r="C61">
            <v>812</v>
          </cell>
          <cell r="D61" t="str">
            <v>Ask.Gen.Insur.</v>
          </cell>
          <cell r="E61">
            <v>25.5</v>
          </cell>
          <cell r="F61">
            <v>25.65</v>
          </cell>
          <cell r="G61">
            <v>25</v>
          </cell>
          <cell r="H61">
            <v>25.04</v>
          </cell>
        </row>
        <row r="62">
          <cell r="B62" t="str">
            <v>CYAN</v>
          </cell>
          <cell r="C62">
            <v>812</v>
          </cell>
          <cell r="D62" t="str">
            <v>Cyan Limited</v>
          </cell>
          <cell r="E62">
            <v>33.56</v>
          </cell>
          <cell r="F62">
            <v>33.56</v>
          </cell>
          <cell r="G62">
            <v>33.56</v>
          </cell>
          <cell r="H62">
            <v>33.56</v>
          </cell>
        </row>
        <row r="63">
          <cell r="B63" t="str">
            <v>CSIL</v>
          </cell>
          <cell r="C63">
            <v>812</v>
          </cell>
          <cell r="D63" t="str">
            <v>Cres.Star Ins.</v>
          </cell>
          <cell r="E63">
            <v>4.1500000000000004</v>
          </cell>
          <cell r="F63">
            <v>4.22</v>
          </cell>
          <cell r="G63">
            <v>4.0199999999999996</v>
          </cell>
          <cell r="H63">
            <v>4.09</v>
          </cell>
        </row>
        <row r="64">
          <cell r="B64" t="str">
            <v>CSILR2</v>
          </cell>
          <cell r="C64">
            <v>812</v>
          </cell>
          <cell r="D64" t="str">
            <v>Crescent Star(R</v>
          </cell>
          <cell r="E64">
            <v>0.06</v>
          </cell>
          <cell r="F64">
            <v>0.09</v>
          </cell>
          <cell r="G64">
            <v>0.02</v>
          </cell>
          <cell r="H64">
            <v>0.03</v>
          </cell>
        </row>
        <row r="65">
          <cell r="B65" t="str">
            <v>EFUG</v>
          </cell>
          <cell r="C65">
            <v>812</v>
          </cell>
          <cell r="D65" t="str">
            <v>EFU General</v>
          </cell>
          <cell r="E65">
            <v>152.9</v>
          </cell>
          <cell r="F65">
            <v>152.9</v>
          </cell>
          <cell r="G65">
            <v>152.9</v>
          </cell>
          <cell r="H65">
            <v>152.9</v>
          </cell>
        </row>
        <row r="66">
          <cell r="B66" t="str">
            <v>EFUL</v>
          </cell>
          <cell r="C66">
            <v>812</v>
          </cell>
          <cell r="D66" t="str">
            <v>EFU Life Assr</v>
          </cell>
          <cell r="E66">
            <v>253.49</v>
          </cell>
          <cell r="F66">
            <v>253.49</v>
          </cell>
          <cell r="G66">
            <v>253.49</v>
          </cell>
          <cell r="H66">
            <v>253.49</v>
          </cell>
        </row>
        <row r="67">
          <cell r="B67" t="str">
            <v>HICL</v>
          </cell>
          <cell r="C67">
            <v>812</v>
          </cell>
          <cell r="D67" t="str">
            <v>Habib Ins.</v>
          </cell>
          <cell r="E67">
            <v>13.75</v>
          </cell>
          <cell r="F67">
            <v>13.75</v>
          </cell>
          <cell r="G67">
            <v>13.75</v>
          </cell>
          <cell r="H67">
            <v>13.75</v>
          </cell>
        </row>
        <row r="68">
          <cell r="B68" t="str">
            <v>IGIIL</v>
          </cell>
          <cell r="C68">
            <v>812</v>
          </cell>
          <cell r="D68" t="str">
            <v>IGI Insurance</v>
          </cell>
          <cell r="E68">
            <v>298.99</v>
          </cell>
          <cell r="F68">
            <v>298.99</v>
          </cell>
          <cell r="G68">
            <v>290</v>
          </cell>
          <cell r="H68">
            <v>292.89</v>
          </cell>
        </row>
        <row r="69">
          <cell r="B69" t="str">
            <v>ATIL</v>
          </cell>
          <cell r="C69">
            <v>812</v>
          </cell>
          <cell r="D69" t="str">
            <v>Atlas Ins. Ltd</v>
          </cell>
          <cell r="E69">
            <v>74</v>
          </cell>
          <cell r="F69">
            <v>77.900000000000006</v>
          </cell>
          <cell r="G69">
            <v>74</v>
          </cell>
          <cell r="H69">
            <v>76.44</v>
          </cell>
        </row>
        <row r="70">
          <cell r="B70" t="str">
            <v>PIL</v>
          </cell>
          <cell r="C70">
            <v>812</v>
          </cell>
          <cell r="D70" t="str">
            <v>PICIC Ins.Ltd.XR</v>
          </cell>
          <cell r="E70">
            <v>6.77</v>
          </cell>
          <cell r="F70">
            <v>7.33</v>
          </cell>
          <cell r="G70">
            <v>6.68</v>
          </cell>
          <cell r="H70">
            <v>7.24</v>
          </cell>
        </row>
        <row r="71">
          <cell r="B71" t="str">
            <v>PKGI</v>
          </cell>
          <cell r="C71">
            <v>812</v>
          </cell>
          <cell r="D71" t="str">
            <v>Pak Gen.Ins.</v>
          </cell>
          <cell r="E71">
            <v>6.88</v>
          </cell>
          <cell r="F71">
            <v>7.1</v>
          </cell>
          <cell r="G71">
            <v>6.85</v>
          </cell>
          <cell r="H71">
            <v>6.95</v>
          </cell>
        </row>
        <row r="72">
          <cell r="B72" t="str">
            <v>PAKRI</v>
          </cell>
          <cell r="C72">
            <v>812</v>
          </cell>
          <cell r="D72" t="str">
            <v>Pak Reinsurance</v>
          </cell>
          <cell r="E72">
            <v>43.15</v>
          </cell>
          <cell r="F72">
            <v>43.15</v>
          </cell>
          <cell r="G72">
            <v>41</v>
          </cell>
          <cell r="H72">
            <v>42.43</v>
          </cell>
        </row>
        <row r="73">
          <cell r="B73" t="str">
            <v>PINL</v>
          </cell>
          <cell r="C73">
            <v>812</v>
          </cell>
          <cell r="D73" t="str">
            <v>Premier Ins.XB</v>
          </cell>
          <cell r="E73">
            <v>8.76</v>
          </cell>
          <cell r="F73">
            <v>8.76</v>
          </cell>
          <cell r="G73">
            <v>8.61</v>
          </cell>
          <cell r="H73">
            <v>8.61</v>
          </cell>
        </row>
        <row r="74">
          <cell r="B74" t="str">
            <v>RICL</v>
          </cell>
          <cell r="C74">
            <v>812</v>
          </cell>
          <cell r="D74" t="str">
            <v>Reliance Ins.</v>
          </cell>
          <cell r="E74">
            <v>7.01</v>
          </cell>
          <cell r="F74">
            <v>7.01</v>
          </cell>
          <cell r="G74">
            <v>7</v>
          </cell>
          <cell r="H74">
            <v>7</v>
          </cell>
        </row>
        <row r="75">
          <cell r="B75" t="str">
            <v>TDIL</v>
          </cell>
          <cell r="C75">
            <v>812</v>
          </cell>
          <cell r="D75" t="str">
            <v>TPL Direct Insu</v>
          </cell>
          <cell r="E75">
            <v>24.8</v>
          </cell>
          <cell r="F75">
            <v>24.8</v>
          </cell>
          <cell r="G75">
            <v>24.8</v>
          </cell>
          <cell r="H75">
            <v>24.8</v>
          </cell>
        </row>
        <row r="76">
          <cell r="B76" t="str">
            <v>UNIC</v>
          </cell>
          <cell r="C76">
            <v>812</v>
          </cell>
          <cell r="D76" t="str">
            <v>United Insuranc</v>
          </cell>
          <cell r="E76">
            <v>15</v>
          </cell>
          <cell r="F76">
            <v>15.5</v>
          </cell>
          <cell r="G76">
            <v>15</v>
          </cell>
          <cell r="H76">
            <v>15.48</v>
          </cell>
        </row>
        <row r="77">
          <cell r="B77" t="str">
            <v>UVIC</v>
          </cell>
          <cell r="C77">
            <v>812</v>
          </cell>
          <cell r="D77" t="str">
            <v>Universal Ins.</v>
          </cell>
          <cell r="E77">
            <v>9.24</v>
          </cell>
          <cell r="F77">
            <v>9.24</v>
          </cell>
          <cell r="G77">
            <v>8.44</v>
          </cell>
          <cell r="H77">
            <v>9.24</v>
          </cell>
        </row>
        <row r="78">
          <cell r="B78" t="str">
            <v>AMTEX</v>
          </cell>
          <cell r="C78">
            <v>830</v>
          </cell>
          <cell r="D78" t="str">
            <v>Amtex Limited</v>
          </cell>
          <cell r="E78">
            <v>1.29</v>
          </cell>
          <cell r="F78">
            <v>1.29</v>
          </cell>
          <cell r="G78">
            <v>1.2</v>
          </cell>
          <cell r="H78">
            <v>1.29</v>
          </cell>
        </row>
        <row r="79">
          <cell r="B79" t="str">
            <v>ASTM</v>
          </cell>
          <cell r="C79">
            <v>830</v>
          </cell>
          <cell r="D79" t="str">
            <v>Asim Textile</v>
          </cell>
          <cell r="E79">
            <v>12.05</v>
          </cell>
          <cell r="F79">
            <v>13.99</v>
          </cell>
          <cell r="G79">
            <v>12</v>
          </cell>
          <cell r="H79">
            <v>13.99</v>
          </cell>
        </row>
        <row r="80">
          <cell r="B80" t="str">
            <v>BILF</v>
          </cell>
          <cell r="C80">
            <v>830</v>
          </cell>
          <cell r="D80" t="str">
            <v>Bilal Fibres</v>
          </cell>
          <cell r="E80">
            <v>3.88</v>
          </cell>
          <cell r="F80">
            <v>3.88</v>
          </cell>
          <cell r="G80">
            <v>3.52</v>
          </cell>
          <cell r="H80">
            <v>3.55</v>
          </cell>
        </row>
        <row r="81">
          <cell r="B81" t="str">
            <v>CWSM</v>
          </cell>
          <cell r="C81">
            <v>830</v>
          </cell>
          <cell r="D81" t="str">
            <v>Chakwal Spinning</v>
          </cell>
          <cell r="E81">
            <v>3.9</v>
          </cell>
          <cell r="F81">
            <v>4.0999999999999996</v>
          </cell>
          <cell r="G81">
            <v>3.83</v>
          </cell>
          <cell r="H81">
            <v>3.88</v>
          </cell>
        </row>
        <row r="82">
          <cell r="B82" t="str">
            <v>HIRAT</v>
          </cell>
          <cell r="C82">
            <v>830</v>
          </cell>
          <cell r="D82" t="str">
            <v>Hira Textile</v>
          </cell>
          <cell r="E82">
            <v>8.14</v>
          </cell>
          <cell r="F82">
            <v>8.5</v>
          </cell>
          <cell r="G82">
            <v>8.14</v>
          </cell>
          <cell r="H82">
            <v>8.32</v>
          </cell>
        </row>
        <row r="83">
          <cell r="B83" t="str">
            <v>CFL</v>
          </cell>
          <cell r="C83">
            <v>830</v>
          </cell>
          <cell r="D83" t="str">
            <v>Crescent Fibres</v>
          </cell>
          <cell r="E83">
            <v>22.49</v>
          </cell>
          <cell r="F83">
            <v>22.5</v>
          </cell>
          <cell r="G83">
            <v>22.49</v>
          </cell>
          <cell r="H83">
            <v>22.5</v>
          </cell>
        </row>
        <row r="84">
          <cell r="B84" t="str">
            <v>DSML</v>
          </cell>
          <cell r="C84">
            <v>830</v>
          </cell>
          <cell r="D84" t="str">
            <v>Dar-es-Salaam</v>
          </cell>
          <cell r="E84">
            <v>6</v>
          </cell>
          <cell r="F84">
            <v>6.02</v>
          </cell>
          <cell r="G84">
            <v>5</v>
          </cell>
          <cell r="H84">
            <v>5</v>
          </cell>
        </row>
        <row r="85">
          <cell r="B85" t="str">
            <v>DFSM</v>
          </cell>
          <cell r="C85">
            <v>830</v>
          </cell>
          <cell r="D85" t="str">
            <v>Dewan Farooque Sp.</v>
          </cell>
          <cell r="E85">
            <v>2.91</v>
          </cell>
          <cell r="F85">
            <v>3.3</v>
          </cell>
          <cell r="G85">
            <v>2.91</v>
          </cell>
          <cell r="H85">
            <v>3</v>
          </cell>
        </row>
        <row r="86">
          <cell r="B86" t="str">
            <v>DKTM</v>
          </cell>
          <cell r="C86">
            <v>830</v>
          </cell>
          <cell r="D86" t="str">
            <v>Dewan Khalid</v>
          </cell>
          <cell r="E86">
            <v>3.1</v>
          </cell>
          <cell r="F86">
            <v>3.24</v>
          </cell>
          <cell r="G86">
            <v>2.8</v>
          </cell>
          <cell r="H86">
            <v>3.09</v>
          </cell>
        </row>
        <row r="87">
          <cell r="B87" t="str">
            <v>DWTM</v>
          </cell>
          <cell r="C87">
            <v>830</v>
          </cell>
          <cell r="D87" t="str">
            <v>Dewan Textile</v>
          </cell>
          <cell r="E87">
            <v>7</v>
          </cell>
          <cell r="F87">
            <v>7</v>
          </cell>
          <cell r="G87">
            <v>7</v>
          </cell>
          <cell r="H87">
            <v>7</v>
          </cell>
        </row>
        <row r="88">
          <cell r="B88" t="str">
            <v>DSIL</v>
          </cell>
          <cell r="C88">
            <v>830</v>
          </cell>
          <cell r="D88" t="str">
            <v>D.S. Ind. Ltd.</v>
          </cell>
          <cell r="E88">
            <v>2.2999999999999998</v>
          </cell>
          <cell r="F88">
            <v>2.35</v>
          </cell>
          <cell r="G88">
            <v>2.1800000000000002</v>
          </cell>
          <cell r="H88">
            <v>2.2599999999999998</v>
          </cell>
        </row>
        <row r="89">
          <cell r="B89" t="str">
            <v>FZCM</v>
          </cell>
          <cell r="C89">
            <v>830</v>
          </cell>
          <cell r="D89" t="str">
            <v>Fazal Cloth</v>
          </cell>
          <cell r="E89">
            <v>0</v>
          </cell>
          <cell r="F89">
            <v>121.7133</v>
          </cell>
          <cell r="G89">
            <v>0</v>
          </cell>
          <cell r="H89">
            <v>121.7133</v>
          </cell>
        </row>
        <row r="90">
          <cell r="B90" t="str">
            <v>GADT</v>
          </cell>
          <cell r="C90">
            <v>830</v>
          </cell>
          <cell r="D90" t="str">
            <v>Gadoon Textile</v>
          </cell>
          <cell r="E90">
            <v>205</v>
          </cell>
          <cell r="F90">
            <v>205</v>
          </cell>
          <cell r="G90">
            <v>205</v>
          </cell>
          <cell r="H90">
            <v>207.67</v>
          </cell>
        </row>
        <row r="91">
          <cell r="B91" t="str">
            <v>GLAT</v>
          </cell>
          <cell r="C91">
            <v>830</v>
          </cell>
          <cell r="D91" t="str">
            <v>Glamour Textile</v>
          </cell>
          <cell r="E91">
            <v>30.51</v>
          </cell>
          <cell r="F91">
            <v>33.33</v>
          </cell>
          <cell r="G91">
            <v>30.5</v>
          </cell>
          <cell r="H91">
            <v>33.33</v>
          </cell>
        </row>
        <row r="92">
          <cell r="B92" t="str">
            <v>IDRT</v>
          </cell>
          <cell r="C92">
            <v>830</v>
          </cell>
          <cell r="D92" t="str">
            <v>Idrees TextileXD</v>
          </cell>
          <cell r="E92">
            <v>14.9</v>
          </cell>
          <cell r="F92">
            <v>14.9</v>
          </cell>
          <cell r="G92">
            <v>14.9</v>
          </cell>
          <cell r="H92">
            <v>14.9</v>
          </cell>
        </row>
        <row r="93">
          <cell r="B93" t="str">
            <v>KSTM</v>
          </cell>
          <cell r="C93">
            <v>830</v>
          </cell>
          <cell r="D93" t="str">
            <v>Khalid Siraj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</row>
        <row r="94">
          <cell r="B94" t="str">
            <v>KOSM</v>
          </cell>
          <cell r="C94">
            <v>830</v>
          </cell>
          <cell r="D94" t="str">
            <v>Kohinoor Spining</v>
          </cell>
          <cell r="E94">
            <v>3.25</v>
          </cell>
          <cell r="F94">
            <v>3.3</v>
          </cell>
          <cell r="G94">
            <v>3.05</v>
          </cell>
          <cell r="H94">
            <v>3.16</v>
          </cell>
        </row>
        <row r="95">
          <cell r="B95" t="str">
            <v>MQTM</v>
          </cell>
          <cell r="C95">
            <v>830</v>
          </cell>
          <cell r="D95" t="str">
            <v>Maqbool Textile</v>
          </cell>
          <cell r="E95">
            <v>28.42</v>
          </cell>
          <cell r="F95">
            <v>28.42</v>
          </cell>
          <cell r="G95">
            <v>28.42</v>
          </cell>
          <cell r="H95">
            <v>28.42</v>
          </cell>
        </row>
        <row r="96">
          <cell r="B96" t="str">
            <v>NCML</v>
          </cell>
          <cell r="C96">
            <v>830</v>
          </cell>
          <cell r="D96" t="str">
            <v>Nazir Cotton Mills</v>
          </cell>
          <cell r="E96">
            <v>3.65</v>
          </cell>
          <cell r="F96">
            <v>3.65</v>
          </cell>
          <cell r="G96">
            <v>3.4</v>
          </cell>
          <cell r="H96">
            <v>3.4</v>
          </cell>
        </row>
        <row r="97">
          <cell r="B97" t="str">
            <v>OLSM</v>
          </cell>
          <cell r="C97">
            <v>830</v>
          </cell>
          <cell r="D97" t="str">
            <v>Olympia Spinning</v>
          </cell>
          <cell r="E97">
            <v>12.3</v>
          </cell>
          <cell r="F97">
            <v>12.3</v>
          </cell>
          <cell r="G97">
            <v>12.3</v>
          </cell>
          <cell r="H97">
            <v>12.3</v>
          </cell>
        </row>
        <row r="98">
          <cell r="B98" t="str">
            <v>RAVT</v>
          </cell>
          <cell r="C98">
            <v>830</v>
          </cell>
          <cell r="D98" t="str">
            <v>Ravi Textile</v>
          </cell>
          <cell r="E98">
            <v>7.51</v>
          </cell>
          <cell r="F98">
            <v>9.1</v>
          </cell>
          <cell r="G98">
            <v>7.5</v>
          </cell>
          <cell r="H98">
            <v>8.6999999999999993</v>
          </cell>
        </row>
        <row r="99">
          <cell r="B99" t="str">
            <v>RUBY</v>
          </cell>
          <cell r="C99">
            <v>830</v>
          </cell>
          <cell r="D99" t="str">
            <v>Ruby Textile</v>
          </cell>
          <cell r="E99">
            <v>4.0999999999999996</v>
          </cell>
          <cell r="F99">
            <v>4.0999999999999996</v>
          </cell>
          <cell r="G99">
            <v>4.0999999999999996</v>
          </cell>
          <cell r="H99">
            <v>4.0999999999999996</v>
          </cell>
        </row>
        <row r="100">
          <cell r="B100" t="str">
            <v>SAIF</v>
          </cell>
          <cell r="C100">
            <v>830</v>
          </cell>
          <cell r="D100" t="str">
            <v>Saif Textile</v>
          </cell>
          <cell r="E100">
            <v>16.8</v>
          </cell>
          <cell r="F100">
            <v>17.73</v>
          </cell>
          <cell r="G100">
            <v>16.8</v>
          </cell>
          <cell r="H100">
            <v>17.5</v>
          </cell>
        </row>
        <row r="101">
          <cell r="B101" t="str">
            <v>SJTM</v>
          </cell>
          <cell r="C101">
            <v>830</v>
          </cell>
          <cell r="D101" t="str">
            <v>Sajjad Tex.</v>
          </cell>
          <cell r="E101">
            <v>4.2300000000000004</v>
          </cell>
          <cell r="F101">
            <v>4.5</v>
          </cell>
          <cell r="G101">
            <v>4.2300000000000004</v>
          </cell>
          <cell r="H101">
            <v>4.5</v>
          </cell>
        </row>
        <row r="102">
          <cell r="B102" t="str">
            <v>SANE</v>
          </cell>
          <cell r="C102">
            <v>830</v>
          </cell>
          <cell r="D102" t="str">
            <v>Salman Noman</v>
          </cell>
          <cell r="E102">
            <v>2.99</v>
          </cell>
          <cell r="F102">
            <v>2.99</v>
          </cell>
          <cell r="G102">
            <v>2.99</v>
          </cell>
          <cell r="H102">
            <v>2.99</v>
          </cell>
        </row>
        <row r="103">
          <cell r="B103" t="str">
            <v>SERT</v>
          </cell>
          <cell r="C103">
            <v>830</v>
          </cell>
          <cell r="D103" t="str">
            <v>Service Textile</v>
          </cell>
          <cell r="E103">
            <v>15.8</v>
          </cell>
          <cell r="F103">
            <v>15.8</v>
          </cell>
          <cell r="G103">
            <v>15.8</v>
          </cell>
          <cell r="H103">
            <v>15.8</v>
          </cell>
        </row>
        <row r="104">
          <cell r="B104" t="str">
            <v>UNITY</v>
          </cell>
          <cell r="C104">
            <v>830</v>
          </cell>
          <cell r="D104" t="str">
            <v>Unity Foods Ltd</v>
          </cell>
          <cell r="E104">
            <v>16.53</v>
          </cell>
          <cell r="F104">
            <v>16.53</v>
          </cell>
          <cell r="G104">
            <v>16.53</v>
          </cell>
          <cell r="H104">
            <v>16.53</v>
          </cell>
        </row>
        <row r="105">
          <cell r="B105" t="str">
            <v>TATM</v>
          </cell>
          <cell r="C105">
            <v>830</v>
          </cell>
          <cell r="D105" t="str">
            <v>Tata Textile</v>
          </cell>
          <cell r="E105">
            <v>26</v>
          </cell>
          <cell r="F105">
            <v>26</v>
          </cell>
          <cell r="G105">
            <v>26</v>
          </cell>
          <cell r="H105">
            <v>26</v>
          </cell>
        </row>
        <row r="106">
          <cell r="B106" t="str">
            <v>FML</v>
          </cell>
          <cell r="C106">
            <v>831</v>
          </cell>
          <cell r="D106" t="str">
            <v>Feroze 1888</v>
          </cell>
          <cell r="E106">
            <v>70</v>
          </cell>
          <cell r="F106">
            <v>73.489999999999995</v>
          </cell>
          <cell r="G106">
            <v>68.3</v>
          </cell>
          <cell r="H106">
            <v>68.61</v>
          </cell>
        </row>
        <row r="107">
          <cell r="B107" t="str">
            <v>SERF</v>
          </cell>
          <cell r="C107">
            <v>831</v>
          </cell>
          <cell r="D107" t="str">
            <v>Service Fabrics</v>
          </cell>
          <cell r="E107">
            <v>4.5</v>
          </cell>
          <cell r="F107">
            <v>4.5</v>
          </cell>
          <cell r="G107">
            <v>4.3</v>
          </cell>
          <cell r="H107">
            <v>4.5</v>
          </cell>
        </row>
        <row r="108">
          <cell r="B108" t="str">
            <v>YOUW</v>
          </cell>
          <cell r="C108">
            <v>831</v>
          </cell>
          <cell r="D108" t="str">
            <v>Yousuf Weaving</v>
          </cell>
          <cell r="E108">
            <v>4.45</v>
          </cell>
          <cell r="F108">
            <v>4.45</v>
          </cell>
          <cell r="G108">
            <v>4.1500000000000004</v>
          </cell>
          <cell r="H108">
            <v>4.18</v>
          </cell>
        </row>
        <row r="109">
          <cell r="B109" t="str">
            <v>ZTL</v>
          </cell>
          <cell r="C109">
            <v>831</v>
          </cell>
          <cell r="D109" t="str">
            <v>Zephyr Textile</v>
          </cell>
          <cell r="E109">
            <v>14.75</v>
          </cell>
          <cell r="F109">
            <v>14.99</v>
          </cell>
          <cell r="G109">
            <v>12.99</v>
          </cell>
          <cell r="H109">
            <v>14.97</v>
          </cell>
        </row>
        <row r="110">
          <cell r="B110" t="str">
            <v>CRTM</v>
          </cell>
          <cell r="C110">
            <v>829</v>
          </cell>
          <cell r="D110" t="str">
            <v>Crescent Tex.</v>
          </cell>
          <cell r="E110">
            <v>30.5</v>
          </cell>
          <cell r="F110">
            <v>30.8</v>
          </cell>
          <cell r="G110">
            <v>29.3</v>
          </cell>
          <cell r="H110">
            <v>29.85</v>
          </cell>
        </row>
        <row r="111">
          <cell r="B111" t="str">
            <v>NCL</v>
          </cell>
          <cell r="C111">
            <v>829</v>
          </cell>
          <cell r="D111" t="str">
            <v>Nishat (Chun.)</v>
          </cell>
          <cell r="E111">
            <v>47.9</v>
          </cell>
          <cell r="F111">
            <v>47.9</v>
          </cell>
          <cell r="G111">
            <v>45</v>
          </cell>
          <cell r="H111">
            <v>45.77</v>
          </cell>
        </row>
        <row r="112">
          <cell r="B112" t="str">
            <v>DLL</v>
          </cell>
          <cell r="C112">
            <v>829</v>
          </cell>
          <cell r="D112" t="str">
            <v>Dawood Law</v>
          </cell>
          <cell r="E112">
            <v>177</v>
          </cell>
          <cell r="F112">
            <v>188</v>
          </cell>
          <cell r="G112">
            <v>177</v>
          </cell>
          <cell r="H112">
            <v>188</v>
          </cell>
        </row>
        <row r="113">
          <cell r="B113" t="str">
            <v>REWM</v>
          </cell>
          <cell r="C113">
            <v>829</v>
          </cell>
          <cell r="D113" t="str">
            <v>Reliance Weaving</v>
          </cell>
          <cell r="E113">
            <v>29.25</v>
          </cell>
          <cell r="F113">
            <v>31.92</v>
          </cell>
          <cell r="G113">
            <v>29.1</v>
          </cell>
          <cell r="H113">
            <v>31.92</v>
          </cell>
        </row>
        <row r="114">
          <cell r="B114" t="str">
            <v>GATM</v>
          </cell>
          <cell r="C114">
            <v>829</v>
          </cell>
          <cell r="D114" t="str">
            <v>Gul Ahmed</v>
          </cell>
          <cell r="E114">
            <v>37.799999999999997</v>
          </cell>
          <cell r="F114">
            <v>38.299999999999997</v>
          </cell>
          <cell r="G114">
            <v>37</v>
          </cell>
          <cell r="H114">
            <v>37.08</v>
          </cell>
        </row>
        <row r="115">
          <cell r="B115" t="str">
            <v>HAEL</v>
          </cell>
          <cell r="C115">
            <v>829</v>
          </cell>
          <cell r="D115" t="str">
            <v>Hala Enterprise</v>
          </cell>
          <cell r="E115">
            <v>7.97</v>
          </cell>
          <cell r="F115">
            <v>7.97</v>
          </cell>
          <cell r="G115">
            <v>7.97</v>
          </cell>
          <cell r="H115">
            <v>7.97</v>
          </cell>
        </row>
        <row r="116">
          <cell r="B116" t="str">
            <v>JUBS</v>
          </cell>
          <cell r="C116">
            <v>829</v>
          </cell>
          <cell r="D116" t="str">
            <v>Jubilee Spinning</v>
          </cell>
          <cell r="E116">
            <v>4.6500000000000004</v>
          </cell>
          <cell r="F116">
            <v>4.6500000000000004</v>
          </cell>
          <cell r="G116">
            <v>4.6500000000000004</v>
          </cell>
          <cell r="H116">
            <v>4.6500000000000004</v>
          </cell>
        </row>
        <row r="117">
          <cell r="B117" t="str">
            <v>KML</v>
          </cell>
          <cell r="C117">
            <v>829</v>
          </cell>
          <cell r="D117" t="str">
            <v>Kohinoor Mills</v>
          </cell>
          <cell r="E117">
            <v>33.5</v>
          </cell>
          <cell r="F117">
            <v>33.99</v>
          </cell>
          <cell r="G117">
            <v>33.5</v>
          </cell>
          <cell r="H117">
            <v>33.99</v>
          </cell>
        </row>
        <row r="118">
          <cell r="B118" t="str">
            <v>KOIL</v>
          </cell>
          <cell r="C118">
            <v>829</v>
          </cell>
          <cell r="D118" t="str">
            <v>Kohinoor Ind.</v>
          </cell>
          <cell r="E118">
            <v>3.86</v>
          </cell>
          <cell r="F118">
            <v>3.95</v>
          </cell>
          <cell r="G118">
            <v>3.5</v>
          </cell>
          <cell r="H118">
            <v>3.8</v>
          </cell>
        </row>
        <row r="119">
          <cell r="B119" t="str">
            <v>BTL</v>
          </cell>
          <cell r="C119">
            <v>829</v>
          </cell>
          <cell r="D119" t="str">
            <v>Blessed Tex.</v>
          </cell>
          <cell r="E119">
            <v>0</v>
          </cell>
          <cell r="F119">
            <v>266.97140000000002</v>
          </cell>
          <cell r="G119">
            <v>0</v>
          </cell>
          <cell r="H119">
            <v>266.97140000000002</v>
          </cell>
        </row>
        <row r="120">
          <cell r="B120" t="str">
            <v>KTML</v>
          </cell>
          <cell r="C120">
            <v>829</v>
          </cell>
          <cell r="D120" t="str">
            <v>Kohinoor Textile</v>
          </cell>
          <cell r="E120">
            <v>64</v>
          </cell>
          <cell r="F120">
            <v>67.44</v>
          </cell>
          <cell r="G120">
            <v>64</v>
          </cell>
          <cell r="H120">
            <v>66.25</v>
          </cell>
        </row>
        <row r="121">
          <cell r="B121" t="str">
            <v>ANL</v>
          </cell>
          <cell r="C121">
            <v>829</v>
          </cell>
          <cell r="D121" t="str">
            <v>Azgard Nine</v>
          </cell>
          <cell r="E121">
            <v>14.6</v>
          </cell>
          <cell r="F121">
            <v>14.8</v>
          </cell>
          <cell r="G121">
            <v>14.1</v>
          </cell>
          <cell r="H121">
            <v>14.66</v>
          </cell>
        </row>
        <row r="122">
          <cell r="B122" t="str">
            <v>MTIL</v>
          </cell>
          <cell r="C122">
            <v>829</v>
          </cell>
          <cell r="D122" t="str">
            <v>Mian Textile</v>
          </cell>
          <cell r="E122">
            <v>3</v>
          </cell>
          <cell r="F122">
            <v>3</v>
          </cell>
          <cell r="G122">
            <v>3</v>
          </cell>
          <cell r="H122">
            <v>3</v>
          </cell>
        </row>
        <row r="123">
          <cell r="B123" t="str">
            <v>MUBT</v>
          </cell>
          <cell r="C123">
            <v>829</v>
          </cell>
          <cell r="D123" t="str">
            <v>Mubarak Textile</v>
          </cell>
          <cell r="E123">
            <v>2.88</v>
          </cell>
          <cell r="F123">
            <v>2.88</v>
          </cell>
          <cell r="G123">
            <v>2.88</v>
          </cell>
          <cell r="H123">
            <v>2.88</v>
          </cell>
        </row>
        <row r="124">
          <cell r="B124" t="str">
            <v>NML</v>
          </cell>
          <cell r="C124">
            <v>829</v>
          </cell>
          <cell r="D124" t="str">
            <v>Nishat Mills Ltd</v>
          </cell>
          <cell r="E124">
            <v>153</v>
          </cell>
          <cell r="F124">
            <v>153</v>
          </cell>
          <cell r="G124">
            <v>148.19999999999999</v>
          </cell>
          <cell r="H124">
            <v>149.5</v>
          </cell>
        </row>
        <row r="125">
          <cell r="B125" t="str">
            <v>REDCO</v>
          </cell>
          <cell r="C125">
            <v>829</v>
          </cell>
          <cell r="D125" t="str">
            <v>Redco Textile</v>
          </cell>
          <cell r="E125">
            <v>3.91</v>
          </cell>
          <cell r="F125">
            <v>4.43</v>
          </cell>
          <cell r="G125">
            <v>3.81</v>
          </cell>
          <cell r="H125">
            <v>4.13</v>
          </cell>
        </row>
        <row r="126">
          <cell r="B126" t="str">
            <v>SFL</v>
          </cell>
          <cell r="C126">
            <v>829</v>
          </cell>
          <cell r="D126" t="str">
            <v>Sapphire Fiber</v>
          </cell>
          <cell r="E126">
            <v>0</v>
          </cell>
          <cell r="F126">
            <v>812.5</v>
          </cell>
          <cell r="G126">
            <v>812.5</v>
          </cell>
          <cell r="H126">
            <v>812.5</v>
          </cell>
        </row>
        <row r="127">
          <cell r="B127" t="str">
            <v>SURC</v>
          </cell>
          <cell r="C127">
            <v>829</v>
          </cell>
          <cell r="D127" t="str">
            <v>Suraj Cotton</v>
          </cell>
          <cell r="E127">
            <v>114.05</v>
          </cell>
          <cell r="F127">
            <v>114.05</v>
          </cell>
          <cell r="G127">
            <v>114.05</v>
          </cell>
          <cell r="H127">
            <v>114.05</v>
          </cell>
        </row>
        <row r="128">
          <cell r="B128" t="str">
            <v>TOWL</v>
          </cell>
          <cell r="C128">
            <v>829</v>
          </cell>
          <cell r="D128" t="str">
            <v>Towellers Limited</v>
          </cell>
          <cell r="E128">
            <v>120</v>
          </cell>
          <cell r="F128">
            <v>124.95</v>
          </cell>
          <cell r="G128">
            <v>120</v>
          </cell>
          <cell r="H128">
            <v>124.95</v>
          </cell>
        </row>
        <row r="129">
          <cell r="B129" t="str">
            <v>ZAHID</v>
          </cell>
          <cell r="C129">
            <v>829</v>
          </cell>
          <cell r="D129" t="str">
            <v>ZahidJee Tex.</v>
          </cell>
          <cell r="E129">
            <v>12.93</v>
          </cell>
          <cell r="F129">
            <v>13.29</v>
          </cell>
          <cell r="G129">
            <v>12.93</v>
          </cell>
          <cell r="H129">
            <v>13.29</v>
          </cell>
        </row>
        <row r="130">
          <cell r="B130" t="str">
            <v>FASM</v>
          </cell>
          <cell r="C130">
            <v>829</v>
          </cell>
          <cell r="D130" t="str">
            <v>Faisal Spinning</v>
          </cell>
          <cell r="E130">
            <v>239.93</v>
          </cell>
          <cell r="F130">
            <v>239.93</v>
          </cell>
          <cell r="G130">
            <v>238.9</v>
          </cell>
          <cell r="H130">
            <v>239.93</v>
          </cell>
        </row>
        <row r="131">
          <cell r="B131" t="str">
            <v>BNWM</v>
          </cell>
          <cell r="C131">
            <v>835</v>
          </cell>
          <cell r="D131" t="str">
            <v>Bannu Woollen</v>
          </cell>
          <cell r="E131">
            <v>55</v>
          </cell>
          <cell r="F131">
            <v>55</v>
          </cell>
          <cell r="G131">
            <v>55</v>
          </cell>
          <cell r="H131">
            <v>55</v>
          </cell>
        </row>
        <row r="132">
          <cell r="B132" t="str">
            <v>AGL</v>
          </cell>
          <cell r="C132">
            <v>805</v>
          </cell>
          <cell r="D132" t="str">
            <v>Agritech Limited</v>
          </cell>
          <cell r="E132">
            <v>4.83</v>
          </cell>
          <cell r="F132">
            <v>4.9000000000000004</v>
          </cell>
          <cell r="G132">
            <v>4.7</v>
          </cell>
          <cell r="H132">
            <v>4.87</v>
          </cell>
        </row>
        <row r="133">
          <cell r="B133" t="str">
            <v>AASM</v>
          </cell>
          <cell r="C133">
            <v>827</v>
          </cell>
          <cell r="D133" t="str">
            <v>AL-Abid Silk Mills</v>
          </cell>
          <cell r="E133">
            <v>4.9000000000000004</v>
          </cell>
          <cell r="F133">
            <v>5.0999999999999996</v>
          </cell>
          <cell r="G133">
            <v>4.87</v>
          </cell>
          <cell r="H133">
            <v>5.03</v>
          </cell>
        </row>
        <row r="134">
          <cell r="B134" t="str">
            <v>DSFL</v>
          </cell>
          <cell r="C134">
            <v>827</v>
          </cell>
          <cell r="D134" t="str">
            <v>Dewan Salman</v>
          </cell>
          <cell r="E134">
            <v>1.27</v>
          </cell>
          <cell r="F134">
            <v>1.75</v>
          </cell>
          <cell r="G134">
            <v>1.26</v>
          </cell>
          <cell r="H134">
            <v>1.44</v>
          </cell>
        </row>
        <row r="135">
          <cell r="B135" t="str">
            <v>IBFL</v>
          </cell>
          <cell r="C135">
            <v>827</v>
          </cell>
          <cell r="D135" t="str">
            <v>Ibrahim Fibres</v>
          </cell>
          <cell r="E135">
            <v>59.12</v>
          </cell>
          <cell r="F135">
            <v>59.12</v>
          </cell>
          <cell r="G135">
            <v>59.12</v>
          </cell>
          <cell r="H135">
            <v>59.12</v>
          </cell>
        </row>
        <row r="136">
          <cell r="B136" t="str">
            <v>RUPL</v>
          </cell>
          <cell r="C136">
            <v>827</v>
          </cell>
          <cell r="D136" t="str">
            <v>Rupali Polyester</v>
          </cell>
          <cell r="E136">
            <v>24.4</v>
          </cell>
          <cell r="F136">
            <v>24.5</v>
          </cell>
          <cell r="G136">
            <v>22.66</v>
          </cell>
          <cell r="H136">
            <v>23.69</v>
          </cell>
        </row>
        <row r="137">
          <cell r="B137" t="str">
            <v>TRPOL</v>
          </cell>
          <cell r="C137">
            <v>827</v>
          </cell>
          <cell r="D137" t="str">
            <v>Tri-Star PolyXB</v>
          </cell>
          <cell r="E137">
            <v>13.6</v>
          </cell>
          <cell r="F137">
            <v>14.1</v>
          </cell>
          <cell r="G137">
            <v>13</v>
          </cell>
          <cell r="H137">
            <v>13.45</v>
          </cell>
        </row>
        <row r="138">
          <cell r="B138" t="str">
            <v>THALL</v>
          </cell>
          <cell r="C138">
            <v>802</v>
          </cell>
          <cell r="D138" t="str">
            <v>Thal Limited</v>
          </cell>
          <cell r="E138">
            <v>514.9</v>
          </cell>
          <cell r="F138">
            <v>519</v>
          </cell>
          <cell r="G138">
            <v>503</v>
          </cell>
          <cell r="H138">
            <v>510.9</v>
          </cell>
        </row>
        <row r="139">
          <cell r="B139" t="str">
            <v>ADAMS</v>
          </cell>
          <cell r="C139">
            <v>826</v>
          </cell>
          <cell r="D139" t="str">
            <v>Adam Sugar</v>
          </cell>
          <cell r="E139">
            <v>35.49</v>
          </cell>
          <cell r="F139">
            <v>35.49</v>
          </cell>
          <cell r="G139">
            <v>32.74</v>
          </cell>
          <cell r="H139">
            <v>32.74</v>
          </cell>
        </row>
        <row r="140">
          <cell r="B140" t="str">
            <v>AABS</v>
          </cell>
          <cell r="C140">
            <v>826</v>
          </cell>
          <cell r="D140" t="str">
            <v>AL-Abbas Sugar</v>
          </cell>
          <cell r="E140">
            <v>120.71</v>
          </cell>
          <cell r="F140">
            <v>120.71</v>
          </cell>
          <cell r="G140">
            <v>120.71</v>
          </cell>
          <cell r="H140">
            <v>126.84</v>
          </cell>
        </row>
        <row r="141">
          <cell r="B141" t="str">
            <v>ALNRS</v>
          </cell>
          <cell r="C141">
            <v>826</v>
          </cell>
          <cell r="D141" t="str">
            <v>AL-Noor Sugar</v>
          </cell>
          <cell r="E141">
            <v>35.659999999999997</v>
          </cell>
          <cell r="F141">
            <v>35.659999999999997</v>
          </cell>
          <cell r="G141">
            <v>35.659999999999997</v>
          </cell>
          <cell r="H141">
            <v>35.659999999999997</v>
          </cell>
        </row>
        <row r="142">
          <cell r="B142" t="str">
            <v>ANSM</v>
          </cell>
          <cell r="C142">
            <v>826</v>
          </cell>
          <cell r="D142" t="str">
            <v>Ansari Sugar</v>
          </cell>
          <cell r="E142">
            <v>11.2</v>
          </cell>
          <cell r="F142">
            <v>11.49</v>
          </cell>
          <cell r="G142">
            <v>10.61</v>
          </cell>
          <cell r="H142">
            <v>11.45</v>
          </cell>
        </row>
        <row r="143">
          <cell r="B143" t="str">
            <v>IMSL</v>
          </cell>
          <cell r="C143">
            <v>826</v>
          </cell>
          <cell r="D143" t="str">
            <v>Imperial Sugar Ltd.</v>
          </cell>
          <cell r="E143">
            <v>19.5</v>
          </cell>
          <cell r="F143">
            <v>19.5</v>
          </cell>
          <cell r="G143">
            <v>19.5</v>
          </cell>
          <cell r="H143">
            <v>19.5</v>
          </cell>
        </row>
        <row r="144">
          <cell r="B144" t="str">
            <v>DWSM</v>
          </cell>
          <cell r="C144">
            <v>826</v>
          </cell>
          <cell r="D144" t="str">
            <v>Dewan Sugar</v>
          </cell>
          <cell r="E144">
            <v>5.99</v>
          </cell>
          <cell r="F144">
            <v>6.65</v>
          </cell>
          <cell r="G144">
            <v>5.99</v>
          </cell>
          <cell r="H144">
            <v>6.5</v>
          </cell>
        </row>
        <row r="145">
          <cell r="B145" t="str">
            <v>EFOODS</v>
          </cell>
          <cell r="C145">
            <v>810</v>
          </cell>
          <cell r="D145" t="str">
            <v>Engro Foods Ltd.</v>
          </cell>
          <cell r="E145">
            <v>77.510000000000005</v>
          </cell>
          <cell r="F145">
            <v>82</v>
          </cell>
          <cell r="G145">
            <v>77.209999999999994</v>
          </cell>
          <cell r="H145">
            <v>80.31</v>
          </cell>
        </row>
        <row r="146">
          <cell r="B146" t="str">
            <v>FRSM</v>
          </cell>
          <cell r="C146">
            <v>826</v>
          </cell>
          <cell r="D146" t="str">
            <v>Faran Sugar</v>
          </cell>
          <cell r="E146">
            <v>65</v>
          </cell>
          <cell r="F146">
            <v>65</v>
          </cell>
          <cell r="G146">
            <v>65</v>
          </cell>
          <cell r="H146">
            <v>65</v>
          </cell>
        </row>
        <row r="147">
          <cell r="B147" t="str">
            <v>HABSM</v>
          </cell>
          <cell r="C147">
            <v>826</v>
          </cell>
          <cell r="D147" t="str">
            <v>Habib Sugar</v>
          </cell>
          <cell r="E147">
            <v>36.799999999999997</v>
          </cell>
          <cell r="F147">
            <v>36.799999999999997</v>
          </cell>
          <cell r="G147">
            <v>35.5</v>
          </cell>
          <cell r="H147">
            <v>35.57</v>
          </cell>
        </row>
        <row r="148">
          <cell r="B148" t="str">
            <v>HWQS</v>
          </cell>
          <cell r="C148">
            <v>826</v>
          </cell>
          <cell r="D148" t="str">
            <v>Haseeb Waqas Sugar</v>
          </cell>
          <cell r="E148">
            <v>5.37</v>
          </cell>
          <cell r="F148">
            <v>5.65</v>
          </cell>
          <cell r="G148">
            <v>5.35</v>
          </cell>
          <cell r="H148">
            <v>5.59</v>
          </cell>
        </row>
        <row r="149">
          <cell r="B149" t="str">
            <v>HSM</v>
          </cell>
          <cell r="C149">
            <v>826</v>
          </cell>
          <cell r="D149" t="str">
            <v>Husein Sugar Mills</v>
          </cell>
          <cell r="E149">
            <v>29.3</v>
          </cell>
          <cell r="F149">
            <v>30.19</v>
          </cell>
          <cell r="G149">
            <v>29.26</v>
          </cell>
          <cell r="H149">
            <v>29.5</v>
          </cell>
        </row>
        <row r="150">
          <cell r="B150" t="str">
            <v>MRNS</v>
          </cell>
          <cell r="C150">
            <v>826</v>
          </cell>
          <cell r="D150" t="str">
            <v>Mehran SugarXD</v>
          </cell>
          <cell r="E150">
            <v>97</v>
          </cell>
          <cell r="F150">
            <v>99.5</v>
          </cell>
          <cell r="G150">
            <v>95.55</v>
          </cell>
          <cell r="H150">
            <v>95.6</v>
          </cell>
        </row>
        <row r="151">
          <cell r="B151" t="str">
            <v>MIRKS</v>
          </cell>
          <cell r="C151">
            <v>826</v>
          </cell>
          <cell r="D151" t="str">
            <v>Mirpurkhas Sugar</v>
          </cell>
          <cell r="E151">
            <v>130</v>
          </cell>
          <cell r="F151">
            <v>130</v>
          </cell>
          <cell r="G151">
            <v>129.19999999999999</v>
          </cell>
          <cell r="H151">
            <v>129.19999999999999</v>
          </cell>
        </row>
        <row r="152">
          <cell r="B152" t="str">
            <v>MZSM</v>
          </cell>
          <cell r="C152">
            <v>826</v>
          </cell>
          <cell r="D152" t="str">
            <v>Mirza Sugar</v>
          </cell>
          <cell r="E152">
            <v>5.25</v>
          </cell>
          <cell r="F152">
            <v>5.25</v>
          </cell>
          <cell r="G152">
            <v>5.0199999999999996</v>
          </cell>
          <cell r="H152">
            <v>5.17</v>
          </cell>
        </row>
        <row r="153">
          <cell r="B153" t="str">
            <v>NONS</v>
          </cell>
          <cell r="C153">
            <v>826</v>
          </cell>
          <cell r="D153" t="str">
            <v>Noon Sugar</v>
          </cell>
          <cell r="E153">
            <v>57.98</v>
          </cell>
          <cell r="F153">
            <v>58.77</v>
          </cell>
          <cell r="G153">
            <v>56.5</v>
          </cell>
          <cell r="H153">
            <v>58.77</v>
          </cell>
        </row>
        <row r="154">
          <cell r="B154" t="str">
            <v>SKRS</v>
          </cell>
          <cell r="C154">
            <v>826</v>
          </cell>
          <cell r="D154" t="str">
            <v>Sakrand Sugar</v>
          </cell>
          <cell r="E154">
            <v>14.5</v>
          </cell>
          <cell r="F154">
            <v>15.2</v>
          </cell>
          <cell r="G154">
            <v>14.3</v>
          </cell>
          <cell r="H154">
            <v>14.48</v>
          </cell>
        </row>
        <row r="155">
          <cell r="B155" t="str">
            <v>SANSM</v>
          </cell>
          <cell r="C155">
            <v>826</v>
          </cell>
          <cell r="D155" t="str">
            <v>Sanghar Sugar</v>
          </cell>
          <cell r="E155">
            <v>31</v>
          </cell>
          <cell r="F155">
            <v>31</v>
          </cell>
          <cell r="G155">
            <v>30</v>
          </cell>
          <cell r="H155">
            <v>30</v>
          </cell>
        </row>
        <row r="156">
          <cell r="B156" t="str">
            <v>SHJS</v>
          </cell>
          <cell r="C156">
            <v>826</v>
          </cell>
          <cell r="D156" t="str">
            <v>Shahtaj Sugar</v>
          </cell>
          <cell r="E156">
            <v>146.12</v>
          </cell>
          <cell r="F156">
            <v>146.12</v>
          </cell>
          <cell r="G156">
            <v>146.12</v>
          </cell>
          <cell r="H156">
            <v>146.12</v>
          </cell>
        </row>
        <row r="157">
          <cell r="B157" t="str">
            <v>SHSML</v>
          </cell>
          <cell r="C157">
            <v>826</v>
          </cell>
          <cell r="D157" t="str">
            <v>Shahmurad Sugar</v>
          </cell>
          <cell r="E157">
            <v>30</v>
          </cell>
          <cell r="F157">
            <v>30.05</v>
          </cell>
          <cell r="G157">
            <v>29.9</v>
          </cell>
          <cell r="H157">
            <v>30.05</v>
          </cell>
        </row>
        <row r="158">
          <cell r="B158" t="str">
            <v>SML</v>
          </cell>
          <cell r="C158">
            <v>826</v>
          </cell>
          <cell r="D158" t="str">
            <v>Shakarganj Limited</v>
          </cell>
          <cell r="E158">
            <v>70.400000000000006</v>
          </cell>
          <cell r="F158">
            <v>75.489999999999995</v>
          </cell>
          <cell r="G158">
            <v>70.400000000000006</v>
          </cell>
          <cell r="H158">
            <v>74.8</v>
          </cell>
        </row>
        <row r="159">
          <cell r="B159" t="str">
            <v>ACPL</v>
          </cell>
          <cell r="C159">
            <v>804</v>
          </cell>
          <cell r="D159" t="str">
            <v>Attock Cement</v>
          </cell>
          <cell r="E159">
            <v>186</v>
          </cell>
          <cell r="F159">
            <v>186.9</v>
          </cell>
          <cell r="G159">
            <v>175.74</v>
          </cell>
          <cell r="H159">
            <v>181.01</v>
          </cell>
        </row>
        <row r="160">
          <cell r="B160" t="str">
            <v>BWCL</v>
          </cell>
          <cell r="C160">
            <v>804</v>
          </cell>
          <cell r="D160" t="str">
            <v>Bestway Cement</v>
          </cell>
          <cell r="E160">
            <v>137.19999999999999</v>
          </cell>
          <cell r="F160">
            <v>140.4</v>
          </cell>
          <cell r="G160">
            <v>137</v>
          </cell>
          <cell r="H160">
            <v>138.66</v>
          </cell>
        </row>
        <row r="161">
          <cell r="B161" t="str">
            <v>CHCC</v>
          </cell>
          <cell r="C161">
            <v>804</v>
          </cell>
          <cell r="D161" t="str">
            <v>Cherat CementXD</v>
          </cell>
          <cell r="E161">
            <v>112.5</v>
          </cell>
          <cell r="F161">
            <v>115.89</v>
          </cell>
          <cell r="G161">
            <v>106</v>
          </cell>
          <cell r="H161">
            <v>110.91</v>
          </cell>
        </row>
        <row r="162">
          <cell r="B162" t="str">
            <v>DNCC</v>
          </cell>
          <cell r="C162">
            <v>804</v>
          </cell>
          <cell r="D162" t="str">
            <v>Dandot Cement</v>
          </cell>
          <cell r="E162">
            <v>9.6300000000000008</v>
          </cell>
          <cell r="F162">
            <v>9.6300000000000008</v>
          </cell>
          <cell r="G162">
            <v>9.6300000000000008</v>
          </cell>
          <cell r="H162">
            <v>9.6300000000000008</v>
          </cell>
        </row>
        <row r="163">
          <cell r="B163" t="str">
            <v>DGKC</v>
          </cell>
          <cell r="C163">
            <v>804</v>
          </cell>
          <cell r="D163" t="str">
            <v>D.G.K.Cement</v>
          </cell>
          <cell r="E163">
            <v>132.01</v>
          </cell>
          <cell r="F163">
            <v>135.5</v>
          </cell>
          <cell r="G163">
            <v>132</v>
          </cell>
          <cell r="H163">
            <v>133.72</v>
          </cell>
        </row>
        <row r="164">
          <cell r="B164" t="str">
            <v>AKZO</v>
          </cell>
          <cell r="C164">
            <v>805</v>
          </cell>
          <cell r="D164" t="str">
            <v>Akzo Nobel Pak.</v>
          </cell>
          <cell r="E164">
            <v>212.9</v>
          </cell>
          <cell r="F164">
            <v>214</v>
          </cell>
          <cell r="G164">
            <v>212</v>
          </cell>
          <cell r="H164">
            <v>213</v>
          </cell>
        </row>
        <row r="165">
          <cell r="B165" t="str">
            <v>POWER</v>
          </cell>
          <cell r="C165">
            <v>804</v>
          </cell>
          <cell r="D165" t="str">
            <v>Power Cement</v>
          </cell>
          <cell r="E165">
            <v>9.0299999999999994</v>
          </cell>
          <cell r="F165">
            <v>9.09</v>
          </cell>
          <cell r="G165">
            <v>8.65</v>
          </cell>
          <cell r="H165">
            <v>8.74</v>
          </cell>
        </row>
        <row r="166">
          <cell r="B166" t="str">
            <v>FCCL</v>
          </cell>
          <cell r="C166">
            <v>804</v>
          </cell>
          <cell r="D166" t="str">
            <v>Fauji Cement</v>
          </cell>
          <cell r="E166">
            <v>25.9</v>
          </cell>
          <cell r="F166">
            <v>25.98</v>
          </cell>
          <cell r="G166">
            <v>24.7</v>
          </cell>
          <cell r="H166">
            <v>25.01</v>
          </cell>
        </row>
        <row r="167">
          <cell r="B167" t="str">
            <v>FECTC</v>
          </cell>
          <cell r="C167">
            <v>804</v>
          </cell>
          <cell r="D167" t="str">
            <v>Fecto Cement</v>
          </cell>
          <cell r="E167">
            <v>51.1</v>
          </cell>
          <cell r="F167">
            <v>51.1</v>
          </cell>
          <cell r="G167">
            <v>49.48</v>
          </cell>
          <cell r="H167">
            <v>49.95</v>
          </cell>
        </row>
        <row r="168">
          <cell r="B168" t="str">
            <v>FLYNG</v>
          </cell>
          <cell r="C168">
            <v>804</v>
          </cell>
          <cell r="D168" t="str">
            <v>Flying Cement</v>
          </cell>
          <cell r="E168">
            <v>14</v>
          </cell>
          <cell r="F168">
            <v>14.4</v>
          </cell>
          <cell r="G168">
            <v>13.95</v>
          </cell>
          <cell r="H168">
            <v>13.96</v>
          </cell>
        </row>
        <row r="169">
          <cell r="B169" t="str">
            <v>GWLC</v>
          </cell>
          <cell r="C169">
            <v>804</v>
          </cell>
          <cell r="D169" t="str">
            <v>Gharibwal Cement</v>
          </cell>
          <cell r="E169">
            <v>25.67</v>
          </cell>
          <cell r="F169">
            <v>25.67</v>
          </cell>
          <cell r="G169">
            <v>23.78</v>
          </cell>
          <cell r="H169">
            <v>24.11</v>
          </cell>
        </row>
        <row r="170">
          <cell r="B170" t="str">
            <v>JVDC</v>
          </cell>
          <cell r="C170">
            <v>804</v>
          </cell>
          <cell r="D170" t="str">
            <v>Javedan Corp.</v>
          </cell>
          <cell r="E170">
            <v>36</v>
          </cell>
          <cell r="F170">
            <v>36.28</v>
          </cell>
          <cell r="G170">
            <v>35.75</v>
          </cell>
          <cell r="H170">
            <v>35.75</v>
          </cell>
        </row>
        <row r="171">
          <cell r="B171" t="str">
            <v>JVDCR1</v>
          </cell>
          <cell r="C171">
            <v>804</v>
          </cell>
          <cell r="D171" t="str">
            <v>Javedan Cem(R)</v>
          </cell>
          <cell r="E171">
            <v>0.2</v>
          </cell>
          <cell r="F171">
            <v>0.35</v>
          </cell>
          <cell r="G171">
            <v>0.03</v>
          </cell>
          <cell r="H171">
            <v>0.04</v>
          </cell>
        </row>
        <row r="172">
          <cell r="B172" t="str">
            <v>KOHC</v>
          </cell>
          <cell r="C172">
            <v>804</v>
          </cell>
          <cell r="D172" t="str">
            <v>Kohat Cement</v>
          </cell>
          <cell r="E172">
            <v>143</v>
          </cell>
          <cell r="F172">
            <v>146.35</v>
          </cell>
          <cell r="G172">
            <v>140.75</v>
          </cell>
          <cell r="H172">
            <v>141.96</v>
          </cell>
        </row>
        <row r="173">
          <cell r="B173" t="str">
            <v>LUCK</v>
          </cell>
          <cell r="C173">
            <v>804</v>
          </cell>
          <cell r="D173" t="str">
            <v>Lucky Cement</v>
          </cell>
          <cell r="E173">
            <v>518</v>
          </cell>
          <cell r="F173">
            <v>525.47</v>
          </cell>
          <cell r="G173">
            <v>509.99</v>
          </cell>
          <cell r="H173">
            <v>517.41</v>
          </cell>
        </row>
        <row r="174">
          <cell r="B174" t="str">
            <v>MLCF</v>
          </cell>
          <cell r="C174">
            <v>804</v>
          </cell>
          <cell r="D174" t="str">
            <v>Maple Leaf</v>
          </cell>
          <cell r="E174">
            <v>71</v>
          </cell>
          <cell r="F174">
            <v>71.34</v>
          </cell>
          <cell r="G174">
            <v>67.3</v>
          </cell>
          <cell r="H174">
            <v>68.44</v>
          </cell>
        </row>
        <row r="175">
          <cell r="B175" t="str">
            <v>DCL</v>
          </cell>
          <cell r="C175">
            <v>804</v>
          </cell>
          <cell r="D175" t="str">
            <v>Dewan Cement</v>
          </cell>
          <cell r="E175">
            <v>17.79</v>
          </cell>
          <cell r="F175">
            <v>17.79</v>
          </cell>
          <cell r="G175">
            <v>16.8</v>
          </cell>
          <cell r="H175">
            <v>17.29</v>
          </cell>
        </row>
        <row r="176">
          <cell r="B176" t="str">
            <v>PIOC</v>
          </cell>
          <cell r="C176">
            <v>804</v>
          </cell>
          <cell r="D176" t="str">
            <v>Pioneer Cement</v>
          </cell>
          <cell r="E176">
            <v>64.790000000000006</v>
          </cell>
          <cell r="F176">
            <v>66.44</v>
          </cell>
          <cell r="G176">
            <v>60.41</v>
          </cell>
          <cell r="H176">
            <v>63.12</v>
          </cell>
        </row>
        <row r="177">
          <cell r="B177" t="str">
            <v>SMCPL</v>
          </cell>
          <cell r="C177">
            <v>804</v>
          </cell>
          <cell r="D177" t="str">
            <v>Safe Mix Con.Ltd</v>
          </cell>
          <cell r="E177">
            <v>7.97</v>
          </cell>
          <cell r="F177">
            <v>8.1</v>
          </cell>
          <cell r="G177">
            <v>7.75</v>
          </cell>
          <cell r="H177">
            <v>7.91</v>
          </cell>
        </row>
        <row r="178">
          <cell r="B178" t="str">
            <v>THCCL</v>
          </cell>
          <cell r="C178">
            <v>804</v>
          </cell>
          <cell r="D178" t="str">
            <v>Thatta Cement</v>
          </cell>
          <cell r="E178">
            <v>21.6</v>
          </cell>
          <cell r="F178">
            <v>22.54</v>
          </cell>
          <cell r="G178">
            <v>21.6</v>
          </cell>
          <cell r="H178">
            <v>22</v>
          </cell>
        </row>
        <row r="179">
          <cell r="B179" t="str">
            <v>KHTC</v>
          </cell>
          <cell r="C179">
            <v>832</v>
          </cell>
          <cell r="D179" t="str">
            <v>Khyber Tobacco</v>
          </cell>
          <cell r="E179">
            <v>1660.71</v>
          </cell>
          <cell r="F179">
            <v>1660.71</v>
          </cell>
          <cell r="G179">
            <v>1660.71</v>
          </cell>
          <cell r="H179">
            <v>1660.71</v>
          </cell>
        </row>
        <row r="180">
          <cell r="B180" t="str">
            <v>PAKT</v>
          </cell>
          <cell r="C180">
            <v>832</v>
          </cell>
          <cell r="D180" t="str">
            <v>Pak TobaccoXD</v>
          </cell>
          <cell r="E180">
            <v>2075</v>
          </cell>
          <cell r="F180">
            <v>2147.92</v>
          </cell>
          <cell r="G180">
            <v>2075</v>
          </cell>
          <cell r="H180">
            <v>2147.92</v>
          </cell>
        </row>
        <row r="181">
          <cell r="B181" t="str">
            <v>ATRL</v>
          </cell>
          <cell r="C181">
            <v>825</v>
          </cell>
          <cell r="D181" t="str">
            <v>Attock Refinery</v>
          </cell>
          <cell r="E181">
            <v>242.5</v>
          </cell>
          <cell r="F181">
            <v>245</v>
          </cell>
          <cell r="G181">
            <v>233</v>
          </cell>
          <cell r="H181">
            <v>234.12</v>
          </cell>
        </row>
        <row r="182">
          <cell r="B182" t="str">
            <v>BYCO</v>
          </cell>
          <cell r="C182">
            <v>825</v>
          </cell>
          <cell r="D182" t="str">
            <v>Byco Petroleum</v>
          </cell>
          <cell r="E182">
            <v>13</v>
          </cell>
          <cell r="F182">
            <v>13.16</v>
          </cell>
          <cell r="G182">
            <v>12.73</v>
          </cell>
          <cell r="H182">
            <v>12.8</v>
          </cell>
        </row>
        <row r="183">
          <cell r="B183" t="str">
            <v>NRL</v>
          </cell>
          <cell r="C183">
            <v>825</v>
          </cell>
          <cell r="D183" t="str">
            <v>National Refinery</v>
          </cell>
          <cell r="E183">
            <v>451.01</v>
          </cell>
          <cell r="F183">
            <v>454</v>
          </cell>
          <cell r="G183">
            <v>429.1</v>
          </cell>
          <cell r="H183">
            <v>430.87</v>
          </cell>
        </row>
        <row r="184">
          <cell r="B184" t="str">
            <v>PRL</v>
          </cell>
          <cell r="C184">
            <v>825</v>
          </cell>
          <cell r="D184" t="str">
            <v>Pak Refinery</v>
          </cell>
          <cell r="E184">
            <v>36.44</v>
          </cell>
          <cell r="F184">
            <v>36.450000000000003</v>
          </cell>
          <cell r="G184">
            <v>34.9</v>
          </cell>
          <cell r="H184">
            <v>35.18</v>
          </cell>
        </row>
        <row r="185">
          <cell r="B185" t="str">
            <v>ALTN</v>
          </cell>
          <cell r="C185">
            <v>824</v>
          </cell>
          <cell r="D185" t="str">
            <v>Altern Energy</v>
          </cell>
          <cell r="E185">
            <v>43.02</v>
          </cell>
          <cell r="F185">
            <v>43.02</v>
          </cell>
          <cell r="G185">
            <v>43.02</v>
          </cell>
          <cell r="H185">
            <v>43.02</v>
          </cell>
        </row>
        <row r="186">
          <cell r="B186" t="str">
            <v>EPQL</v>
          </cell>
          <cell r="C186">
            <v>824</v>
          </cell>
          <cell r="D186" t="str">
            <v>Engro PowergenXD</v>
          </cell>
          <cell r="E186">
            <v>33.5</v>
          </cell>
          <cell r="F186">
            <v>33.5</v>
          </cell>
          <cell r="G186">
            <v>32.799999999999997</v>
          </cell>
          <cell r="H186">
            <v>33.020000000000003</v>
          </cell>
        </row>
        <row r="187">
          <cell r="B187" t="str">
            <v>HUBC</v>
          </cell>
          <cell r="C187">
            <v>824</v>
          </cell>
          <cell r="D187" t="str">
            <v>Hub Power Co.</v>
          </cell>
          <cell r="E187">
            <v>92.01</v>
          </cell>
          <cell r="F187">
            <v>92.3</v>
          </cell>
          <cell r="G187">
            <v>90.51</v>
          </cell>
          <cell r="H187">
            <v>91</v>
          </cell>
        </row>
        <row r="188">
          <cell r="B188" t="str">
            <v>KEL</v>
          </cell>
          <cell r="C188">
            <v>824</v>
          </cell>
          <cell r="D188" t="str">
            <v>K-Electric Ltd.</v>
          </cell>
          <cell r="E188">
            <v>6.25</v>
          </cell>
          <cell r="F188">
            <v>6.39</v>
          </cell>
          <cell r="G188">
            <v>6.18</v>
          </cell>
          <cell r="H188">
            <v>6.31</v>
          </cell>
        </row>
        <row r="189">
          <cell r="B189" t="str">
            <v>KOHE</v>
          </cell>
          <cell r="C189">
            <v>824</v>
          </cell>
          <cell r="D189" t="str">
            <v>Kohinoor Energy</v>
          </cell>
          <cell r="E189">
            <v>40.5</v>
          </cell>
          <cell r="F189">
            <v>40.5</v>
          </cell>
          <cell r="G189">
            <v>40.5</v>
          </cell>
          <cell r="H189">
            <v>40.5</v>
          </cell>
        </row>
        <row r="190">
          <cell r="B190" t="str">
            <v>KOHP</v>
          </cell>
          <cell r="C190">
            <v>824</v>
          </cell>
          <cell r="D190" t="str">
            <v>Kohinoor Power</v>
          </cell>
          <cell r="E190">
            <v>3.09</v>
          </cell>
          <cell r="F190">
            <v>3.22</v>
          </cell>
          <cell r="G190">
            <v>2.4500000000000002</v>
          </cell>
          <cell r="H190">
            <v>3.04</v>
          </cell>
        </row>
        <row r="191">
          <cell r="B191" t="str">
            <v>LPL</v>
          </cell>
          <cell r="C191">
            <v>824</v>
          </cell>
          <cell r="D191" t="str">
            <v>Lalpir Power</v>
          </cell>
          <cell r="E191">
            <v>21.85</v>
          </cell>
          <cell r="F191">
            <v>22.7</v>
          </cell>
          <cell r="G191">
            <v>21.11</v>
          </cell>
          <cell r="H191">
            <v>22.53</v>
          </cell>
        </row>
        <row r="192">
          <cell r="B192" t="str">
            <v>KAPCO</v>
          </cell>
          <cell r="C192">
            <v>824</v>
          </cell>
          <cell r="D192" t="str">
            <v>Kot Addu Power</v>
          </cell>
          <cell r="E192">
            <v>55.02</v>
          </cell>
          <cell r="F192">
            <v>55.02</v>
          </cell>
          <cell r="G192">
            <v>53.7</v>
          </cell>
          <cell r="H192">
            <v>53.9</v>
          </cell>
        </row>
        <row r="193">
          <cell r="B193" t="str">
            <v>NCPL</v>
          </cell>
          <cell r="C193">
            <v>824</v>
          </cell>
          <cell r="D193" t="str">
            <v>Nishat ChunPow</v>
          </cell>
          <cell r="E193">
            <v>31.5</v>
          </cell>
          <cell r="F193">
            <v>33</v>
          </cell>
          <cell r="G193">
            <v>31.5</v>
          </cell>
          <cell r="H193">
            <v>32.909999999999997</v>
          </cell>
        </row>
        <row r="194">
          <cell r="B194" t="str">
            <v>NPL</v>
          </cell>
          <cell r="C194">
            <v>824</v>
          </cell>
          <cell r="D194" t="str">
            <v>Nishat Power</v>
          </cell>
          <cell r="E194">
            <v>33.9</v>
          </cell>
          <cell r="F194">
            <v>35.31</v>
          </cell>
          <cell r="G194">
            <v>33.9</v>
          </cell>
          <cell r="H194">
            <v>34</v>
          </cell>
        </row>
        <row r="195">
          <cell r="B195" t="str">
            <v>PKGP</v>
          </cell>
          <cell r="C195">
            <v>824</v>
          </cell>
          <cell r="D195" t="str">
            <v>Pakgen Power</v>
          </cell>
          <cell r="E195">
            <v>21.5</v>
          </cell>
          <cell r="F195">
            <v>22.39</v>
          </cell>
          <cell r="G195">
            <v>21.3</v>
          </cell>
          <cell r="H195">
            <v>22.13</v>
          </cell>
        </row>
        <row r="196">
          <cell r="B196" t="str">
            <v>SPWL</v>
          </cell>
          <cell r="C196">
            <v>824</v>
          </cell>
          <cell r="D196" t="str">
            <v>Saif Power Ltd.</v>
          </cell>
          <cell r="E196">
            <v>28.9</v>
          </cell>
          <cell r="F196">
            <v>29.25</v>
          </cell>
          <cell r="G196">
            <v>28.85</v>
          </cell>
          <cell r="H196">
            <v>28.93</v>
          </cell>
        </row>
        <row r="197">
          <cell r="B197" t="str">
            <v>TSPL</v>
          </cell>
          <cell r="C197">
            <v>824</v>
          </cell>
          <cell r="D197" t="str">
            <v>Tri-Star Power XD</v>
          </cell>
          <cell r="E197">
            <v>5.9</v>
          </cell>
          <cell r="F197">
            <v>5.9</v>
          </cell>
          <cell r="G197">
            <v>5.23</v>
          </cell>
          <cell r="H197">
            <v>5.39</v>
          </cell>
        </row>
        <row r="198">
          <cell r="B198" t="str">
            <v>APL</v>
          </cell>
          <cell r="C198">
            <v>821</v>
          </cell>
          <cell r="D198" t="str">
            <v>Attock Petroleum</v>
          </cell>
          <cell r="E198">
            <v>524.99</v>
          </cell>
          <cell r="F198">
            <v>525</v>
          </cell>
          <cell r="G198">
            <v>521</v>
          </cell>
          <cell r="H198">
            <v>523.08000000000004</v>
          </cell>
        </row>
        <row r="199">
          <cell r="B199" t="str">
            <v>PSO</v>
          </cell>
          <cell r="C199">
            <v>821</v>
          </cell>
          <cell r="D199" t="str">
            <v>P.S.O.XD</v>
          </cell>
          <cell r="E199">
            <v>300.95</v>
          </cell>
          <cell r="F199">
            <v>300.95</v>
          </cell>
          <cell r="G199">
            <v>292</v>
          </cell>
          <cell r="H199">
            <v>293.11</v>
          </cell>
        </row>
        <row r="200">
          <cell r="B200" t="str">
            <v>BPL</v>
          </cell>
          <cell r="C200">
            <v>821</v>
          </cell>
          <cell r="D200" t="str">
            <v>Burshane LPG</v>
          </cell>
          <cell r="E200">
            <v>39.700000000000003</v>
          </cell>
          <cell r="F200">
            <v>39.700000000000003</v>
          </cell>
          <cell r="G200">
            <v>38.99</v>
          </cell>
          <cell r="H200">
            <v>39</v>
          </cell>
        </row>
        <row r="201">
          <cell r="B201" t="str">
            <v>SHEL</v>
          </cell>
          <cell r="C201">
            <v>821</v>
          </cell>
          <cell r="D201" t="str">
            <v>Shell Pakistan</v>
          </cell>
          <cell r="E201">
            <v>309.99</v>
          </cell>
          <cell r="F201">
            <v>310</v>
          </cell>
          <cell r="G201">
            <v>303.5</v>
          </cell>
          <cell r="H201">
            <v>307.18</v>
          </cell>
        </row>
        <row r="202">
          <cell r="B202" t="str">
            <v>SSGC</v>
          </cell>
          <cell r="C202">
            <v>821</v>
          </cell>
          <cell r="D202" t="str">
            <v>Sui South Gas</v>
          </cell>
          <cell r="E202">
            <v>31.85</v>
          </cell>
          <cell r="F202">
            <v>31.9</v>
          </cell>
          <cell r="G202">
            <v>29.97</v>
          </cell>
          <cell r="H202">
            <v>30.49</v>
          </cell>
        </row>
        <row r="203">
          <cell r="B203" t="str">
            <v>SNGP</v>
          </cell>
          <cell r="C203">
            <v>821</v>
          </cell>
          <cell r="D203" t="str">
            <v>Sui North Gas</v>
          </cell>
          <cell r="E203">
            <v>94.49</v>
          </cell>
          <cell r="F203">
            <v>95.8</v>
          </cell>
          <cell r="G203">
            <v>92.65</v>
          </cell>
          <cell r="H203">
            <v>94.61</v>
          </cell>
        </row>
        <row r="204">
          <cell r="B204" t="str">
            <v>HASCOL</v>
          </cell>
          <cell r="C204">
            <v>821</v>
          </cell>
          <cell r="D204" t="str">
            <v>Hascol Petrol</v>
          </cell>
          <cell r="E204">
            <v>242.27</v>
          </cell>
          <cell r="F204">
            <v>253</v>
          </cell>
          <cell r="G204">
            <v>242.27</v>
          </cell>
          <cell r="H204">
            <v>247.04</v>
          </cell>
        </row>
        <row r="205">
          <cell r="B205" t="str">
            <v>HTL</v>
          </cell>
          <cell r="C205">
            <v>821</v>
          </cell>
          <cell r="D205" t="str">
            <v>HI-Tech Lub.XD</v>
          </cell>
          <cell r="E205">
            <v>70.900000000000006</v>
          </cell>
          <cell r="F205">
            <v>71.5</v>
          </cell>
          <cell r="G205">
            <v>70.16</v>
          </cell>
          <cell r="H205">
            <v>71</v>
          </cell>
        </row>
        <row r="206">
          <cell r="B206" t="str">
            <v>MARI</v>
          </cell>
          <cell r="C206">
            <v>820</v>
          </cell>
          <cell r="D206" t="str">
            <v>Mari Petroleum</v>
          </cell>
          <cell r="E206">
            <v>1430.01</v>
          </cell>
          <cell r="F206">
            <v>1460</v>
          </cell>
          <cell r="G206">
            <v>1430.01</v>
          </cell>
          <cell r="H206">
            <v>1450.87</v>
          </cell>
        </row>
        <row r="207">
          <cell r="B207" t="str">
            <v>OGDC</v>
          </cell>
          <cell r="C207">
            <v>820</v>
          </cell>
          <cell r="D207" t="str">
            <v>Oil &amp; Gas Dev.XD</v>
          </cell>
          <cell r="E207">
            <v>163.61000000000001</v>
          </cell>
          <cell r="F207">
            <v>164.39</v>
          </cell>
          <cell r="G207">
            <v>161.75</v>
          </cell>
          <cell r="H207">
            <v>162.79</v>
          </cell>
        </row>
        <row r="208">
          <cell r="B208" t="str">
            <v>POL</v>
          </cell>
          <cell r="C208">
            <v>820</v>
          </cell>
          <cell r="D208" t="str">
            <v>Pak Oilfields</v>
          </cell>
          <cell r="E208">
            <v>593.5</v>
          </cell>
          <cell r="F208">
            <v>599.99</v>
          </cell>
          <cell r="G208">
            <v>592</v>
          </cell>
          <cell r="H208">
            <v>594.26</v>
          </cell>
        </row>
        <row r="209">
          <cell r="B209" t="str">
            <v>PPL</v>
          </cell>
          <cell r="C209">
            <v>820</v>
          </cell>
          <cell r="D209" t="str">
            <v>Pak Petroleum</v>
          </cell>
          <cell r="E209">
            <v>201.5</v>
          </cell>
          <cell r="F209">
            <v>207.5</v>
          </cell>
          <cell r="G209">
            <v>201</v>
          </cell>
          <cell r="H209">
            <v>205.91</v>
          </cell>
        </row>
        <row r="210">
          <cell r="B210" t="str">
            <v>ADOS</v>
          </cell>
          <cell r="C210">
            <v>808</v>
          </cell>
          <cell r="D210" t="str">
            <v>Ados Pakistan</v>
          </cell>
          <cell r="E210">
            <v>55</v>
          </cell>
          <cell r="F210">
            <v>55</v>
          </cell>
          <cell r="G210">
            <v>55</v>
          </cell>
          <cell r="H210">
            <v>55</v>
          </cell>
        </row>
        <row r="211">
          <cell r="B211" t="str">
            <v>ASL</v>
          </cell>
          <cell r="C211">
            <v>808</v>
          </cell>
          <cell r="D211" t="str">
            <v>Aisha Steel Mill</v>
          </cell>
          <cell r="E211">
            <v>18</v>
          </cell>
          <cell r="F211">
            <v>18.3</v>
          </cell>
          <cell r="G211">
            <v>17.5</v>
          </cell>
          <cell r="H211">
            <v>17.739999999999998</v>
          </cell>
        </row>
        <row r="212">
          <cell r="B212" t="str">
            <v>ASTL</v>
          </cell>
          <cell r="C212">
            <v>808</v>
          </cell>
          <cell r="D212" t="str">
            <v>Amreli Steels</v>
          </cell>
          <cell r="E212">
            <v>95</v>
          </cell>
          <cell r="F212">
            <v>96.99</v>
          </cell>
          <cell r="G212">
            <v>91.1</v>
          </cell>
          <cell r="H212">
            <v>92.66</v>
          </cell>
        </row>
        <row r="213">
          <cell r="B213" t="str">
            <v>BCL</v>
          </cell>
          <cell r="C213">
            <v>808</v>
          </cell>
          <cell r="D213" t="str">
            <v>Bolan Casting</v>
          </cell>
          <cell r="E213">
            <v>108</v>
          </cell>
          <cell r="F213">
            <v>108</v>
          </cell>
          <cell r="G213">
            <v>107</v>
          </cell>
          <cell r="H213">
            <v>107.01</v>
          </cell>
        </row>
        <row r="214">
          <cell r="B214" t="str">
            <v>DSL</v>
          </cell>
          <cell r="C214">
            <v>808</v>
          </cell>
          <cell r="D214" t="str">
            <v>Dost Steels Ltd.</v>
          </cell>
          <cell r="E214">
            <v>10.3</v>
          </cell>
          <cell r="F214">
            <v>10.5</v>
          </cell>
          <cell r="G214">
            <v>9.9600000000000009</v>
          </cell>
          <cell r="H214">
            <v>10.06</v>
          </cell>
        </row>
        <row r="215">
          <cell r="B215" t="str">
            <v>CSAP</v>
          </cell>
          <cell r="C215">
            <v>808</v>
          </cell>
          <cell r="D215" t="str">
            <v>Crescent SteelXD</v>
          </cell>
          <cell r="E215">
            <v>126</v>
          </cell>
          <cell r="F215">
            <v>129.94999999999999</v>
          </cell>
          <cell r="G215">
            <v>125</v>
          </cell>
          <cell r="H215">
            <v>127.31</v>
          </cell>
        </row>
        <row r="216">
          <cell r="B216" t="str">
            <v>DKL</v>
          </cell>
          <cell r="C216">
            <v>808</v>
          </cell>
          <cell r="D216" t="str">
            <v>Drekkar Kings</v>
          </cell>
          <cell r="E216">
            <v>5.2</v>
          </cell>
          <cell r="F216">
            <v>5.2</v>
          </cell>
          <cell r="G216">
            <v>5.0999999999999996</v>
          </cell>
          <cell r="H216">
            <v>5.0999999999999996</v>
          </cell>
        </row>
        <row r="217">
          <cell r="B217" t="str">
            <v>HSPI</v>
          </cell>
          <cell r="C217">
            <v>808</v>
          </cell>
          <cell r="D217" t="str">
            <v>Huffaz Seamless</v>
          </cell>
          <cell r="E217">
            <v>29.4</v>
          </cell>
          <cell r="F217">
            <v>29.4</v>
          </cell>
          <cell r="G217">
            <v>28.6</v>
          </cell>
          <cell r="H217">
            <v>28.61</v>
          </cell>
        </row>
        <row r="218">
          <cell r="B218" t="str">
            <v>INIL</v>
          </cell>
          <cell r="C218">
            <v>808</v>
          </cell>
          <cell r="D218" t="str">
            <v>Int. Ind.Ltd.</v>
          </cell>
          <cell r="E218">
            <v>244</v>
          </cell>
          <cell r="F218">
            <v>245</v>
          </cell>
          <cell r="G218">
            <v>238.75</v>
          </cell>
          <cell r="H218">
            <v>240.11</v>
          </cell>
        </row>
        <row r="219">
          <cell r="B219" t="str">
            <v>ISL</v>
          </cell>
          <cell r="C219">
            <v>808</v>
          </cell>
          <cell r="D219" t="str">
            <v>Inter.Steel Ltd</v>
          </cell>
          <cell r="E219">
            <v>106.51</v>
          </cell>
          <cell r="F219">
            <v>107.8</v>
          </cell>
          <cell r="G219">
            <v>104.48</v>
          </cell>
          <cell r="H219">
            <v>106.37</v>
          </cell>
        </row>
        <row r="220">
          <cell r="B220" t="str">
            <v>ITTEFAQ</v>
          </cell>
          <cell r="C220">
            <v>808</v>
          </cell>
          <cell r="D220" t="str">
            <v>Ittefaq Iron Ind Ltd</v>
          </cell>
          <cell r="E220">
            <v>17</v>
          </cell>
          <cell r="F220">
            <v>17.3</v>
          </cell>
          <cell r="G220">
            <v>16.93</v>
          </cell>
          <cell r="H220">
            <v>16.940000000000001</v>
          </cell>
        </row>
        <row r="221">
          <cell r="B221" t="str">
            <v>KSBP</v>
          </cell>
          <cell r="C221">
            <v>808</v>
          </cell>
          <cell r="D221" t="str">
            <v>K.S.B.Pumps</v>
          </cell>
          <cell r="E221">
            <v>294</v>
          </cell>
          <cell r="F221">
            <v>306</v>
          </cell>
          <cell r="G221">
            <v>294</v>
          </cell>
          <cell r="H221">
            <v>306</v>
          </cell>
        </row>
        <row r="222">
          <cell r="B222" t="str">
            <v>MUGHAL</v>
          </cell>
          <cell r="C222">
            <v>808</v>
          </cell>
          <cell r="D222" t="str">
            <v>Mughal Iron</v>
          </cell>
          <cell r="E222">
            <v>60.5</v>
          </cell>
          <cell r="F222">
            <v>60.5</v>
          </cell>
          <cell r="G222">
            <v>57.8</v>
          </cell>
          <cell r="H222">
            <v>58.1</v>
          </cell>
        </row>
        <row r="223">
          <cell r="B223" t="str">
            <v>PECO</v>
          </cell>
          <cell r="C223">
            <v>808</v>
          </cell>
          <cell r="D223" t="str">
            <v>Pak Engineering</v>
          </cell>
          <cell r="E223">
            <v>221.25</v>
          </cell>
          <cell r="F223">
            <v>221.25</v>
          </cell>
          <cell r="G223">
            <v>217.25</v>
          </cell>
          <cell r="H223">
            <v>219.75</v>
          </cell>
        </row>
        <row r="224">
          <cell r="B224" t="str">
            <v>AGTL</v>
          </cell>
          <cell r="C224">
            <v>801</v>
          </cell>
          <cell r="D224" t="str">
            <v>AL-Ghazi Tractors</v>
          </cell>
          <cell r="E224">
            <v>626.89</v>
          </cell>
          <cell r="F224">
            <v>626.89</v>
          </cell>
          <cell r="G224">
            <v>613</v>
          </cell>
          <cell r="H224">
            <v>614.54999999999995</v>
          </cell>
        </row>
        <row r="225">
          <cell r="B225" t="str">
            <v>ATLH</v>
          </cell>
          <cell r="C225">
            <v>801</v>
          </cell>
          <cell r="D225" t="str">
            <v>Atlas Honda Ltd</v>
          </cell>
          <cell r="E225">
            <v>530</v>
          </cell>
          <cell r="F225">
            <v>576.71</v>
          </cell>
          <cell r="G225">
            <v>530</v>
          </cell>
          <cell r="H225">
            <v>566.16999999999996</v>
          </cell>
        </row>
        <row r="226">
          <cell r="B226" t="str">
            <v>DFML</v>
          </cell>
          <cell r="C226">
            <v>801</v>
          </cell>
          <cell r="D226" t="str">
            <v>Dewan Motors</v>
          </cell>
          <cell r="E226">
            <v>30.03</v>
          </cell>
          <cell r="F226">
            <v>30.03</v>
          </cell>
          <cell r="G226">
            <v>28</v>
          </cell>
          <cell r="H226">
            <v>28.37</v>
          </cell>
        </row>
        <row r="227">
          <cell r="B227" t="str">
            <v>GAIL</v>
          </cell>
          <cell r="C227">
            <v>801</v>
          </cell>
          <cell r="D227" t="str">
            <v>Ghani Automobile</v>
          </cell>
          <cell r="E227">
            <v>6.79</v>
          </cell>
          <cell r="F227">
            <v>6.98</v>
          </cell>
          <cell r="G227">
            <v>6.75</v>
          </cell>
          <cell r="H227">
            <v>6.76</v>
          </cell>
        </row>
        <row r="228">
          <cell r="B228" t="str">
            <v>GHNI</v>
          </cell>
          <cell r="C228">
            <v>801</v>
          </cell>
          <cell r="D228" t="str">
            <v>Ghandhara Ind.</v>
          </cell>
          <cell r="E228">
            <v>560</v>
          </cell>
          <cell r="F228">
            <v>574</v>
          </cell>
          <cell r="G228">
            <v>550</v>
          </cell>
          <cell r="H228">
            <v>552.08000000000004</v>
          </cell>
        </row>
        <row r="229">
          <cell r="B229" t="str">
            <v>GHNL</v>
          </cell>
          <cell r="C229">
            <v>801</v>
          </cell>
          <cell r="D229" t="str">
            <v>Ghand Nissan</v>
          </cell>
          <cell r="E229">
            <v>155.37</v>
          </cell>
          <cell r="F229">
            <v>155.47</v>
          </cell>
          <cell r="G229">
            <v>150.05000000000001</v>
          </cell>
          <cell r="H229">
            <v>154.63</v>
          </cell>
        </row>
        <row r="230">
          <cell r="B230" t="str">
            <v>HINO</v>
          </cell>
          <cell r="C230">
            <v>801</v>
          </cell>
          <cell r="D230" t="str">
            <v>Hinopak Motor</v>
          </cell>
          <cell r="E230">
            <v>1025</v>
          </cell>
          <cell r="F230">
            <v>1045</v>
          </cell>
          <cell r="G230">
            <v>1025</v>
          </cell>
          <cell r="H230">
            <v>1025</v>
          </cell>
        </row>
        <row r="231">
          <cell r="B231" t="str">
            <v>HCAR</v>
          </cell>
          <cell r="C231">
            <v>801</v>
          </cell>
          <cell r="D231" t="str">
            <v>Honda Atlas Cars</v>
          </cell>
          <cell r="E231">
            <v>510.5</v>
          </cell>
          <cell r="F231">
            <v>519</v>
          </cell>
          <cell r="G231">
            <v>509</v>
          </cell>
          <cell r="H231">
            <v>512.41</v>
          </cell>
        </row>
        <row r="232">
          <cell r="B232" t="str">
            <v>INDU</v>
          </cell>
          <cell r="C232">
            <v>801</v>
          </cell>
          <cell r="D232" t="str">
            <v>Indus Motor Co</v>
          </cell>
          <cell r="E232">
            <v>1680</v>
          </cell>
          <cell r="F232">
            <v>1690</v>
          </cell>
          <cell r="G232">
            <v>1677</v>
          </cell>
          <cell r="H232">
            <v>1680.17</v>
          </cell>
        </row>
        <row r="233">
          <cell r="B233" t="str">
            <v>MTL</v>
          </cell>
          <cell r="C233">
            <v>801</v>
          </cell>
          <cell r="D233" t="str">
            <v>Millat Tractors</v>
          </cell>
          <cell r="E233">
            <v>1164.8499999999999</v>
          </cell>
          <cell r="F233">
            <v>1180</v>
          </cell>
          <cell r="G233">
            <v>1159.99</v>
          </cell>
          <cell r="H233">
            <v>1171.6300000000001</v>
          </cell>
        </row>
        <row r="234">
          <cell r="B234" t="str">
            <v>PSMC</v>
          </cell>
          <cell r="C234">
            <v>801</v>
          </cell>
          <cell r="D234" t="str">
            <v>Pak Suzuki</v>
          </cell>
          <cell r="E234">
            <v>502.2</v>
          </cell>
          <cell r="F234">
            <v>503.2</v>
          </cell>
          <cell r="G234">
            <v>491</v>
          </cell>
          <cell r="H234">
            <v>497.77</v>
          </cell>
        </row>
        <row r="235">
          <cell r="B235" t="str">
            <v>SAZEW</v>
          </cell>
          <cell r="C235">
            <v>801</v>
          </cell>
          <cell r="D235" t="str">
            <v>Sazgar Eng</v>
          </cell>
          <cell r="E235">
            <v>184</v>
          </cell>
          <cell r="F235">
            <v>188.05</v>
          </cell>
          <cell r="G235">
            <v>182.6</v>
          </cell>
          <cell r="H235">
            <v>184.56</v>
          </cell>
        </row>
        <row r="236">
          <cell r="B236" t="str">
            <v>AGIL</v>
          </cell>
          <cell r="C236">
            <v>802</v>
          </cell>
          <cell r="D236" t="str">
            <v>Agriautos Ind.XD</v>
          </cell>
          <cell r="E236">
            <v>329.99</v>
          </cell>
          <cell r="F236">
            <v>330</v>
          </cell>
          <cell r="G236">
            <v>318.01</v>
          </cell>
          <cell r="H236">
            <v>318.02</v>
          </cell>
        </row>
        <row r="237">
          <cell r="B237" t="str">
            <v>ATBA</v>
          </cell>
          <cell r="C237">
            <v>802</v>
          </cell>
          <cell r="D237" t="str">
            <v>Atlas Battery</v>
          </cell>
          <cell r="E237">
            <v>486.5</v>
          </cell>
          <cell r="F237">
            <v>487.9</v>
          </cell>
          <cell r="G237">
            <v>480</v>
          </cell>
          <cell r="H237">
            <v>484.17</v>
          </cell>
        </row>
        <row r="238">
          <cell r="B238" t="str">
            <v>EXIDE</v>
          </cell>
          <cell r="C238">
            <v>802</v>
          </cell>
          <cell r="D238" t="str">
            <v>Exide (PAK)</v>
          </cell>
          <cell r="E238">
            <v>406</v>
          </cell>
          <cell r="F238">
            <v>410</v>
          </cell>
          <cell r="G238">
            <v>397</v>
          </cell>
          <cell r="H238">
            <v>400</v>
          </cell>
        </row>
        <row r="239">
          <cell r="B239" t="str">
            <v>GTYR</v>
          </cell>
          <cell r="C239">
            <v>802</v>
          </cell>
          <cell r="D239" t="str">
            <v>General Tyre</v>
          </cell>
          <cell r="E239">
            <v>192</v>
          </cell>
          <cell r="F239">
            <v>192</v>
          </cell>
          <cell r="G239">
            <v>187.15</v>
          </cell>
          <cell r="H239">
            <v>188.3</v>
          </cell>
        </row>
        <row r="240">
          <cell r="B240" t="str">
            <v>LOADS</v>
          </cell>
          <cell r="C240">
            <v>802</v>
          </cell>
          <cell r="D240" t="str">
            <v>Loads Limited</v>
          </cell>
          <cell r="E240">
            <v>40.01</v>
          </cell>
          <cell r="F240">
            <v>40.700000000000003</v>
          </cell>
          <cell r="G240">
            <v>39.71</v>
          </cell>
          <cell r="H240">
            <v>40.31</v>
          </cell>
        </row>
        <row r="241">
          <cell r="B241" t="str">
            <v>JOPP</v>
          </cell>
          <cell r="C241">
            <v>803</v>
          </cell>
          <cell r="D241" t="str">
            <v>Johnson &amp; Philips</v>
          </cell>
          <cell r="E241">
            <v>22.4</v>
          </cell>
          <cell r="F241">
            <v>22.4</v>
          </cell>
          <cell r="G241">
            <v>20.6</v>
          </cell>
          <cell r="H241">
            <v>21.43</v>
          </cell>
        </row>
        <row r="242">
          <cell r="B242" t="str">
            <v>PCAL</v>
          </cell>
          <cell r="C242">
            <v>803</v>
          </cell>
          <cell r="D242" t="str">
            <v>Pakistan Cables</v>
          </cell>
          <cell r="E242">
            <v>216.9</v>
          </cell>
          <cell r="F242">
            <v>216.9</v>
          </cell>
          <cell r="G242">
            <v>216.9</v>
          </cell>
          <cell r="H242">
            <v>213.49</v>
          </cell>
        </row>
        <row r="243">
          <cell r="B243" t="str">
            <v>PAEL</v>
          </cell>
          <cell r="C243">
            <v>803</v>
          </cell>
          <cell r="D243" t="str">
            <v>Pak Elektron</v>
          </cell>
          <cell r="E243">
            <v>49.8</v>
          </cell>
          <cell r="F243">
            <v>50.25</v>
          </cell>
          <cell r="G243">
            <v>47.47</v>
          </cell>
          <cell r="H243">
            <v>47.49</v>
          </cell>
        </row>
        <row r="244">
          <cell r="B244" t="str">
            <v>TPL</v>
          </cell>
          <cell r="C244">
            <v>803</v>
          </cell>
          <cell r="D244" t="str">
            <v>TPL Trakker Ltd</v>
          </cell>
          <cell r="E244">
            <v>7.45</v>
          </cell>
          <cell r="F244">
            <v>7.55</v>
          </cell>
          <cell r="G244">
            <v>7.1</v>
          </cell>
          <cell r="H244">
            <v>7.15</v>
          </cell>
        </row>
        <row r="245">
          <cell r="B245" t="str">
            <v>AVN</v>
          </cell>
          <cell r="C245">
            <v>828</v>
          </cell>
          <cell r="D245" t="str">
            <v>Avanceon Ltd</v>
          </cell>
          <cell r="E245">
            <v>34.4</v>
          </cell>
          <cell r="F245">
            <v>35.4</v>
          </cell>
          <cell r="G245">
            <v>34.4</v>
          </cell>
          <cell r="H245">
            <v>34.6</v>
          </cell>
        </row>
        <row r="246">
          <cell r="B246" t="str">
            <v>SING</v>
          </cell>
          <cell r="C246">
            <v>803</v>
          </cell>
          <cell r="D246" t="str">
            <v>Singer Pak.</v>
          </cell>
          <cell r="E246">
            <v>35.200000000000003</v>
          </cell>
          <cell r="F246">
            <v>37.090000000000003</v>
          </cell>
          <cell r="G246">
            <v>35</v>
          </cell>
          <cell r="H246">
            <v>36.42</v>
          </cell>
        </row>
        <row r="247">
          <cell r="B247" t="str">
            <v>SIEM</v>
          </cell>
          <cell r="C247">
            <v>803</v>
          </cell>
          <cell r="D247" t="str">
            <v>Siemens Pak.</v>
          </cell>
          <cell r="E247">
            <v>919</v>
          </cell>
          <cell r="F247">
            <v>950.5</v>
          </cell>
          <cell r="G247">
            <v>911</v>
          </cell>
          <cell r="H247">
            <v>938.63</v>
          </cell>
        </row>
        <row r="248">
          <cell r="B248" t="str">
            <v>SPEL</v>
          </cell>
          <cell r="C248">
            <v>818</v>
          </cell>
          <cell r="D248" t="str">
            <v>Synthetic Prod</v>
          </cell>
          <cell r="E248">
            <v>60.99</v>
          </cell>
          <cell r="F248">
            <v>61</v>
          </cell>
          <cell r="G248">
            <v>57</v>
          </cell>
          <cell r="H248">
            <v>60.44</v>
          </cell>
        </row>
        <row r="249">
          <cell r="B249" t="str">
            <v>PNSC</v>
          </cell>
          <cell r="C249">
            <v>833</v>
          </cell>
          <cell r="D249" t="str">
            <v>P.N.S.C</v>
          </cell>
          <cell r="E249">
            <v>106.2</v>
          </cell>
          <cell r="F249">
            <v>106.2</v>
          </cell>
          <cell r="G249">
            <v>103.5</v>
          </cell>
          <cell r="H249">
            <v>103.76</v>
          </cell>
        </row>
        <row r="250">
          <cell r="B250" t="str">
            <v>PIBTL</v>
          </cell>
          <cell r="C250">
            <v>833</v>
          </cell>
          <cell r="D250" t="str">
            <v>Pak Int.Bulk</v>
          </cell>
          <cell r="E250">
            <v>15.1</v>
          </cell>
          <cell r="F250">
            <v>15.36</v>
          </cell>
          <cell r="G250">
            <v>14.9</v>
          </cell>
          <cell r="H250">
            <v>14.95</v>
          </cell>
        </row>
        <row r="251">
          <cell r="B251" t="str">
            <v>PICT</v>
          </cell>
          <cell r="C251">
            <v>833</v>
          </cell>
          <cell r="D251" t="str">
            <v>Pak.Int.Cont.XD</v>
          </cell>
          <cell r="E251">
            <v>334</v>
          </cell>
          <cell r="F251">
            <v>345.5</v>
          </cell>
          <cell r="G251">
            <v>334</v>
          </cell>
          <cell r="H251">
            <v>345.5</v>
          </cell>
        </row>
        <row r="252">
          <cell r="B252" t="str">
            <v>PIAA</v>
          </cell>
          <cell r="C252">
            <v>833</v>
          </cell>
          <cell r="D252" t="str">
            <v>P.I.A.C.(A)</v>
          </cell>
          <cell r="E252">
            <v>4.1500000000000004</v>
          </cell>
          <cell r="F252">
            <v>4.1900000000000004</v>
          </cell>
          <cell r="G252">
            <v>4</v>
          </cell>
          <cell r="H252">
            <v>4.0199999999999996</v>
          </cell>
        </row>
        <row r="253">
          <cell r="B253" t="str">
            <v>HUMNL</v>
          </cell>
          <cell r="C253">
            <v>828</v>
          </cell>
          <cell r="D253" t="str">
            <v>Hum Network</v>
          </cell>
          <cell r="E253">
            <v>8.5500000000000007</v>
          </cell>
          <cell r="F253">
            <v>8.5500000000000007</v>
          </cell>
          <cell r="G253">
            <v>8.15</v>
          </cell>
          <cell r="H253">
            <v>8.17</v>
          </cell>
        </row>
        <row r="254">
          <cell r="B254" t="str">
            <v>NETSOL</v>
          </cell>
          <cell r="C254">
            <v>828</v>
          </cell>
          <cell r="D254" t="str">
            <v>Netsol Tech.</v>
          </cell>
          <cell r="E254">
            <v>63.8</v>
          </cell>
          <cell r="F254">
            <v>64.95</v>
          </cell>
          <cell r="G254">
            <v>63</v>
          </cell>
          <cell r="H254">
            <v>63.35</v>
          </cell>
        </row>
        <row r="255">
          <cell r="B255" t="str">
            <v>MDTL</v>
          </cell>
          <cell r="C255">
            <v>828</v>
          </cell>
          <cell r="D255" t="str">
            <v>Media Times Ltd</v>
          </cell>
          <cell r="E255">
            <v>1.67</v>
          </cell>
          <cell r="F255">
            <v>1.8</v>
          </cell>
          <cell r="G255">
            <v>1.66</v>
          </cell>
          <cell r="H255">
            <v>1.7</v>
          </cell>
        </row>
        <row r="256">
          <cell r="B256" t="str">
            <v>SYS</v>
          </cell>
          <cell r="C256">
            <v>828</v>
          </cell>
          <cell r="D256" t="str">
            <v>Systems Limited</v>
          </cell>
          <cell r="E256">
            <v>75</v>
          </cell>
          <cell r="F256">
            <v>75</v>
          </cell>
          <cell r="G256">
            <v>72.61</v>
          </cell>
          <cell r="H256">
            <v>73.92</v>
          </cell>
        </row>
        <row r="257">
          <cell r="B257" t="str">
            <v>PTC</v>
          </cell>
          <cell r="C257">
            <v>828</v>
          </cell>
          <cell r="D257" t="str">
            <v>P.T.C.L.</v>
          </cell>
          <cell r="E257">
            <v>12.3</v>
          </cell>
          <cell r="F257">
            <v>13.3</v>
          </cell>
          <cell r="G257">
            <v>12.15</v>
          </cell>
          <cell r="H257">
            <v>13.05</v>
          </cell>
        </row>
        <row r="258">
          <cell r="B258" t="str">
            <v>TRG</v>
          </cell>
          <cell r="C258">
            <v>828</v>
          </cell>
          <cell r="D258" t="str">
            <v>TRG Pak Ltd</v>
          </cell>
          <cell r="E258">
            <v>31.2</v>
          </cell>
          <cell r="F258">
            <v>31.2</v>
          </cell>
          <cell r="G258">
            <v>29.59</v>
          </cell>
          <cell r="H258">
            <v>29.6</v>
          </cell>
        </row>
        <row r="259">
          <cell r="B259" t="str">
            <v>TELE</v>
          </cell>
          <cell r="C259">
            <v>828</v>
          </cell>
          <cell r="D259" t="str">
            <v>Telecard Limited</v>
          </cell>
          <cell r="E259">
            <v>1.97</v>
          </cell>
          <cell r="F259">
            <v>2.09</v>
          </cell>
          <cell r="G259">
            <v>1.93</v>
          </cell>
          <cell r="H259">
            <v>1.96</v>
          </cell>
        </row>
        <row r="260">
          <cell r="B260" t="str">
            <v>WTL</v>
          </cell>
          <cell r="C260">
            <v>828</v>
          </cell>
          <cell r="D260" t="str">
            <v>WorldCall Telecom</v>
          </cell>
          <cell r="E260">
            <v>2.98</v>
          </cell>
          <cell r="F260">
            <v>3</v>
          </cell>
          <cell r="G260">
            <v>2.8</v>
          </cell>
          <cell r="H260">
            <v>2.82</v>
          </cell>
        </row>
        <row r="261">
          <cell r="B261" t="str">
            <v>DAWH</v>
          </cell>
          <cell r="C261">
            <v>809</v>
          </cell>
          <cell r="D261" t="str">
            <v>Dawood Hercules</v>
          </cell>
          <cell r="E261">
            <v>112.5</v>
          </cell>
          <cell r="F261">
            <v>112.5</v>
          </cell>
          <cell r="G261">
            <v>110.55</v>
          </cell>
          <cell r="H261">
            <v>111.88</v>
          </cell>
        </row>
        <row r="262">
          <cell r="B262" t="str">
            <v>ENGRO</v>
          </cell>
          <cell r="C262">
            <v>809</v>
          </cell>
          <cell r="D262" t="str">
            <v>Engro Corp</v>
          </cell>
          <cell r="E262">
            <v>277.14999999999998</v>
          </cell>
          <cell r="F262">
            <v>278.98</v>
          </cell>
          <cell r="G262">
            <v>271.05</v>
          </cell>
          <cell r="H262">
            <v>274.75</v>
          </cell>
        </row>
        <row r="263">
          <cell r="B263" t="str">
            <v>EFERT</v>
          </cell>
          <cell r="C263">
            <v>809</v>
          </cell>
          <cell r="D263" t="str">
            <v>Engro Fert.</v>
          </cell>
          <cell r="E263">
            <v>67</v>
          </cell>
          <cell r="F263">
            <v>67.89</v>
          </cell>
          <cell r="G263">
            <v>66.599999999999994</v>
          </cell>
          <cell r="H263">
            <v>67.72</v>
          </cell>
        </row>
        <row r="264">
          <cell r="B264" t="str">
            <v>FFBL</v>
          </cell>
          <cell r="C264">
            <v>809</v>
          </cell>
          <cell r="D264" t="str">
            <v>Fauji Fert Bin</v>
          </cell>
          <cell r="E264">
            <v>34.5</v>
          </cell>
          <cell r="F264">
            <v>36.24</v>
          </cell>
          <cell r="G264">
            <v>34.5</v>
          </cell>
          <cell r="H264">
            <v>35.54</v>
          </cell>
        </row>
        <row r="265">
          <cell r="B265" t="str">
            <v>FFC</v>
          </cell>
          <cell r="C265">
            <v>809</v>
          </cell>
          <cell r="D265" t="str">
            <v>Fauji Fert.</v>
          </cell>
          <cell r="E265">
            <v>77.349999999999994</v>
          </cell>
          <cell r="F265">
            <v>80.099999999999994</v>
          </cell>
          <cell r="G265">
            <v>77.28</v>
          </cell>
          <cell r="H265">
            <v>79.11</v>
          </cell>
        </row>
        <row r="266">
          <cell r="B266" t="str">
            <v>ABOT</v>
          </cell>
          <cell r="C266">
            <v>823</v>
          </cell>
          <cell r="D266" t="str">
            <v>Abbott Lab.</v>
          </cell>
          <cell r="E266">
            <v>675.08</v>
          </cell>
          <cell r="F266">
            <v>710</v>
          </cell>
          <cell r="G266">
            <v>673.01</v>
          </cell>
          <cell r="H266">
            <v>697.61</v>
          </cell>
        </row>
        <row r="267">
          <cell r="B267" t="str">
            <v>FEROZ</v>
          </cell>
          <cell r="C267">
            <v>823</v>
          </cell>
          <cell r="D267" t="str">
            <v>Ferozsons (Lab)</v>
          </cell>
          <cell r="E267">
            <v>206.55</v>
          </cell>
          <cell r="F267">
            <v>206.86</v>
          </cell>
          <cell r="G267">
            <v>203.11</v>
          </cell>
          <cell r="H267">
            <v>203.81</v>
          </cell>
        </row>
        <row r="268">
          <cell r="B268" t="str">
            <v>GLAXO</v>
          </cell>
          <cell r="C268">
            <v>823</v>
          </cell>
          <cell r="D268" t="str">
            <v>GlaxoSmithKlineXD</v>
          </cell>
          <cell r="E268">
            <v>167.5</v>
          </cell>
          <cell r="F268">
            <v>172.9</v>
          </cell>
          <cell r="G268">
            <v>165.01</v>
          </cell>
          <cell r="H268">
            <v>167.88</v>
          </cell>
        </row>
        <row r="269">
          <cell r="B269" t="str">
            <v>GSKCH</v>
          </cell>
          <cell r="C269">
            <v>823</v>
          </cell>
          <cell r="D269" t="str">
            <v>Glaxo Healthcare Pak</v>
          </cell>
          <cell r="E269">
            <v>331</v>
          </cell>
          <cell r="F269">
            <v>333</v>
          </cell>
          <cell r="G269">
            <v>319</v>
          </cell>
          <cell r="H269">
            <v>324.29000000000002</v>
          </cell>
        </row>
        <row r="270">
          <cell r="B270" t="str">
            <v>HINOON</v>
          </cell>
          <cell r="C270">
            <v>823</v>
          </cell>
          <cell r="D270" t="str">
            <v>Highnoon (Lab)</v>
          </cell>
          <cell r="E270">
            <v>415</v>
          </cell>
          <cell r="F270">
            <v>430</v>
          </cell>
          <cell r="G270">
            <v>415</v>
          </cell>
          <cell r="H270">
            <v>426.78</v>
          </cell>
        </row>
        <row r="271">
          <cell r="B271" t="str">
            <v>SAPL</v>
          </cell>
          <cell r="C271">
            <v>823</v>
          </cell>
          <cell r="D271" t="str">
            <v>Sanofi-Aventis</v>
          </cell>
          <cell r="E271">
            <v>1241.0999999999999</v>
          </cell>
          <cell r="F271">
            <v>1251</v>
          </cell>
          <cell r="G271">
            <v>1241.0999999999999</v>
          </cell>
          <cell r="H271">
            <v>1243.5</v>
          </cell>
        </row>
        <row r="272">
          <cell r="B272" t="str">
            <v>OTSU</v>
          </cell>
          <cell r="C272">
            <v>823</v>
          </cell>
          <cell r="D272" t="str">
            <v>Otsuka Pak</v>
          </cell>
          <cell r="E272">
            <v>281.2</v>
          </cell>
          <cell r="F272">
            <v>299</v>
          </cell>
          <cell r="G272">
            <v>281.2</v>
          </cell>
          <cell r="H272">
            <v>298.95</v>
          </cell>
        </row>
        <row r="273">
          <cell r="B273" t="str">
            <v>SEARL</v>
          </cell>
          <cell r="C273">
            <v>823</v>
          </cell>
          <cell r="D273" t="str">
            <v>The Searle Co.</v>
          </cell>
          <cell r="E273">
            <v>319</v>
          </cell>
          <cell r="F273">
            <v>322.89</v>
          </cell>
          <cell r="G273">
            <v>314</v>
          </cell>
          <cell r="H273">
            <v>314.86</v>
          </cell>
        </row>
        <row r="274">
          <cell r="B274" t="str">
            <v>WYETH</v>
          </cell>
          <cell r="C274">
            <v>823</v>
          </cell>
          <cell r="D274" t="str">
            <v>Wyeth Pak Ltd</v>
          </cell>
          <cell r="E274">
            <v>1265</v>
          </cell>
          <cell r="F274">
            <v>1265</v>
          </cell>
          <cell r="G274">
            <v>1240</v>
          </cell>
          <cell r="H274">
            <v>1241.78</v>
          </cell>
        </row>
        <row r="275">
          <cell r="B275" t="str">
            <v>BAPL</v>
          </cell>
          <cell r="C275">
            <v>805</v>
          </cell>
          <cell r="D275" t="str">
            <v>Bawany Air Products</v>
          </cell>
          <cell r="E275">
            <v>7.61</v>
          </cell>
          <cell r="F275">
            <v>8.8000000000000007</v>
          </cell>
          <cell r="G275">
            <v>7.61</v>
          </cell>
          <cell r="H275">
            <v>8.0299999999999994</v>
          </cell>
        </row>
        <row r="276">
          <cell r="B276" t="str">
            <v>BIFO</v>
          </cell>
          <cell r="C276">
            <v>805</v>
          </cell>
          <cell r="D276" t="str">
            <v>Biafo Ind.</v>
          </cell>
          <cell r="E276">
            <v>218.99</v>
          </cell>
          <cell r="F276">
            <v>218.99</v>
          </cell>
          <cell r="G276">
            <v>215</v>
          </cell>
          <cell r="H276">
            <v>216.5</v>
          </cell>
        </row>
        <row r="277">
          <cell r="B277" t="str">
            <v>BERG</v>
          </cell>
          <cell r="C277">
            <v>805</v>
          </cell>
          <cell r="D277" t="str">
            <v>Berger Paints</v>
          </cell>
          <cell r="E277">
            <v>157.9</v>
          </cell>
          <cell r="F277">
            <v>161</v>
          </cell>
          <cell r="G277">
            <v>157</v>
          </cell>
          <cell r="H277">
            <v>160.78</v>
          </cell>
        </row>
        <row r="278">
          <cell r="B278" t="str">
            <v>BUXL</v>
          </cell>
          <cell r="C278">
            <v>805</v>
          </cell>
          <cell r="D278" t="str">
            <v>Buxly Paints</v>
          </cell>
          <cell r="E278">
            <v>94</v>
          </cell>
          <cell r="F278">
            <v>98.7</v>
          </cell>
          <cell r="G278">
            <v>94</v>
          </cell>
          <cell r="H278">
            <v>98.7</v>
          </cell>
        </row>
        <row r="279">
          <cell r="B279" t="str">
            <v>ARPL</v>
          </cell>
          <cell r="C279">
            <v>805</v>
          </cell>
          <cell r="D279" t="str">
            <v>Archroma PakXD</v>
          </cell>
          <cell r="E279">
            <v>526</v>
          </cell>
          <cell r="F279">
            <v>535</v>
          </cell>
          <cell r="G279">
            <v>526</v>
          </cell>
          <cell r="H279">
            <v>529</v>
          </cell>
        </row>
        <row r="280">
          <cell r="B280" t="str">
            <v>COLG</v>
          </cell>
          <cell r="C280">
            <v>805</v>
          </cell>
          <cell r="D280" t="str">
            <v>Colgate Palmolive</v>
          </cell>
          <cell r="E280">
            <v>2800</v>
          </cell>
          <cell r="F280">
            <v>2800</v>
          </cell>
          <cell r="G280">
            <v>2800</v>
          </cell>
          <cell r="H280">
            <v>2800</v>
          </cell>
        </row>
        <row r="281">
          <cell r="B281" t="str">
            <v>CTM</v>
          </cell>
          <cell r="C281">
            <v>830</v>
          </cell>
          <cell r="D281" t="str">
            <v>Colony Tex.Mills Ltd</v>
          </cell>
          <cell r="E281">
            <v>4.5999999999999996</v>
          </cell>
          <cell r="F281">
            <v>4.5999999999999996</v>
          </cell>
          <cell r="G281">
            <v>4.07</v>
          </cell>
          <cell r="H281">
            <v>4.0999999999999996</v>
          </cell>
        </row>
        <row r="282">
          <cell r="B282" t="str">
            <v>DOL</v>
          </cell>
          <cell r="C282">
            <v>805</v>
          </cell>
          <cell r="D282" t="str">
            <v>Descon Oxychem</v>
          </cell>
          <cell r="E282">
            <v>12.97</v>
          </cell>
          <cell r="F282">
            <v>13.1</v>
          </cell>
          <cell r="G282">
            <v>12.72</v>
          </cell>
          <cell r="H282">
            <v>12.87</v>
          </cell>
        </row>
        <row r="283">
          <cell r="B283" t="str">
            <v>DAAG</v>
          </cell>
          <cell r="C283">
            <v>805</v>
          </cell>
          <cell r="D283" t="str">
            <v xml:space="preserve">Data Agro      </v>
          </cell>
          <cell r="E283">
            <v>11.35</v>
          </cell>
          <cell r="F283">
            <v>13.28</v>
          </cell>
          <cell r="G283">
            <v>11.35</v>
          </cell>
          <cell r="H283">
            <v>12.29</v>
          </cell>
        </row>
        <row r="284">
          <cell r="B284" t="str">
            <v>DYNO</v>
          </cell>
          <cell r="C284">
            <v>805</v>
          </cell>
          <cell r="D284" t="str">
            <v>Dynea PakistanXD</v>
          </cell>
          <cell r="E284">
            <v>92</v>
          </cell>
          <cell r="F284">
            <v>94.4</v>
          </cell>
          <cell r="G284">
            <v>87.79</v>
          </cell>
          <cell r="H284">
            <v>87.88</v>
          </cell>
        </row>
        <row r="285">
          <cell r="B285" t="str">
            <v>EPCL</v>
          </cell>
          <cell r="C285">
            <v>805</v>
          </cell>
          <cell r="D285" t="str">
            <v>Engro Polymer</v>
          </cell>
          <cell r="E285">
            <v>28.56</v>
          </cell>
          <cell r="F285">
            <v>28.56</v>
          </cell>
          <cell r="G285">
            <v>28.56</v>
          </cell>
          <cell r="H285">
            <v>28.56</v>
          </cell>
        </row>
        <row r="286">
          <cell r="B286" t="str">
            <v>FATIMA</v>
          </cell>
          <cell r="C286">
            <v>809</v>
          </cell>
          <cell r="D286" t="str">
            <v>Fatima Fert.</v>
          </cell>
          <cell r="E286">
            <v>30.48</v>
          </cell>
          <cell r="F286">
            <v>31</v>
          </cell>
          <cell r="G286">
            <v>30.15</v>
          </cell>
          <cell r="H286">
            <v>30.88</v>
          </cell>
        </row>
        <row r="287">
          <cell r="B287" t="str">
            <v>GGL</v>
          </cell>
          <cell r="C287">
            <v>805</v>
          </cell>
          <cell r="D287" t="str">
            <v>Ghani Gases</v>
          </cell>
          <cell r="E287">
            <v>15.3</v>
          </cell>
          <cell r="F287">
            <v>15.55</v>
          </cell>
          <cell r="G287">
            <v>15.25</v>
          </cell>
          <cell r="H287">
            <v>15.3</v>
          </cell>
        </row>
        <row r="288">
          <cell r="B288" t="str">
            <v>ICI</v>
          </cell>
          <cell r="C288">
            <v>805</v>
          </cell>
          <cell r="D288" t="str">
            <v>ICI Pakistan</v>
          </cell>
          <cell r="E288">
            <v>770</v>
          </cell>
          <cell r="F288">
            <v>770.01</v>
          </cell>
          <cell r="G288">
            <v>760</v>
          </cell>
          <cell r="H288">
            <v>767.95</v>
          </cell>
        </row>
        <row r="289">
          <cell r="B289" t="str">
            <v>ICL</v>
          </cell>
          <cell r="C289">
            <v>805</v>
          </cell>
          <cell r="D289" t="str">
            <v>Ittehad Chem.</v>
          </cell>
          <cell r="E289">
            <v>26.01</v>
          </cell>
          <cell r="F289">
            <v>26.2</v>
          </cell>
          <cell r="G289">
            <v>26</v>
          </cell>
          <cell r="H289">
            <v>26.08</v>
          </cell>
        </row>
        <row r="290">
          <cell r="B290" t="str">
            <v>LOTCHEM</v>
          </cell>
          <cell r="C290">
            <v>805</v>
          </cell>
          <cell r="D290" t="str">
            <v>Lotte Chemical</v>
          </cell>
          <cell r="E290">
            <v>7.35</v>
          </cell>
          <cell r="F290">
            <v>7.35</v>
          </cell>
          <cell r="G290">
            <v>7.11</v>
          </cell>
          <cell r="H290">
            <v>7.17</v>
          </cell>
        </row>
        <row r="291">
          <cell r="B291" t="str">
            <v>NICL</v>
          </cell>
          <cell r="C291">
            <v>805</v>
          </cell>
          <cell r="D291" t="str">
            <v>Nimir Ind.Chem.</v>
          </cell>
          <cell r="E291">
            <v>50</v>
          </cell>
          <cell r="F291">
            <v>50</v>
          </cell>
          <cell r="G291">
            <v>46.1</v>
          </cell>
          <cell r="H291">
            <v>48.39</v>
          </cell>
        </row>
        <row r="292">
          <cell r="B292" t="str">
            <v>LINDE</v>
          </cell>
          <cell r="C292">
            <v>805</v>
          </cell>
          <cell r="D292" t="str">
            <v>Linde Pakistan</v>
          </cell>
          <cell r="E292">
            <v>224.99</v>
          </cell>
          <cell r="F292">
            <v>226</v>
          </cell>
          <cell r="G292">
            <v>220</v>
          </cell>
          <cell r="H292">
            <v>220.85</v>
          </cell>
        </row>
        <row r="293">
          <cell r="B293" t="str">
            <v>NRSL</v>
          </cell>
          <cell r="C293">
            <v>805</v>
          </cell>
          <cell r="D293" t="str">
            <v>Nimir ResinsXB</v>
          </cell>
          <cell r="E293">
            <v>5.97</v>
          </cell>
          <cell r="F293">
            <v>6</v>
          </cell>
          <cell r="G293">
            <v>5.7</v>
          </cell>
          <cell r="H293">
            <v>5.91</v>
          </cell>
        </row>
        <row r="294">
          <cell r="B294" t="str">
            <v>SITC</v>
          </cell>
          <cell r="C294">
            <v>805</v>
          </cell>
          <cell r="D294" t="str">
            <v>Sitara Chemical</v>
          </cell>
          <cell r="E294">
            <v>301</v>
          </cell>
          <cell r="F294">
            <v>305.87</v>
          </cell>
          <cell r="G294">
            <v>300</v>
          </cell>
          <cell r="H294">
            <v>300.98</v>
          </cell>
        </row>
        <row r="295">
          <cell r="B295" t="str">
            <v>SPL</v>
          </cell>
          <cell r="C295">
            <v>805</v>
          </cell>
          <cell r="D295" t="str">
            <v>Sitara Peroxide</v>
          </cell>
          <cell r="E295">
            <v>15.28</v>
          </cell>
          <cell r="F295">
            <v>15.3</v>
          </cell>
          <cell r="G295">
            <v>14.5</v>
          </cell>
          <cell r="H295">
            <v>14.87</v>
          </cell>
        </row>
        <row r="296">
          <cell r="B296" t="str">
            <v>WAHN</v>
          </cell>
          <cell r="C296">
            <v>805</v>
          </cell>
          <cell r="D296" t="str">
            <v>Wah-Noble</v>
          </cell>
          <cell r="E296">
            <v>179</v>
          </cell>
          <cell r="F296">
            <v>189</v>
          </cell>
          <cell r="G296">
            <v>179</v>
          </cell>
          <cell r="H296">
            <v>188.3</v>
          </cell>
        </row>
        <row r="297">
          <cell r="B297" t="str">
            <v>BPBL</v>
          </cell>
          <cell r="C297">
            <v>822</v>
          </cell>
          <cell r="D297" t="str">
            <v>B.P.Board</v>
          </cell>
          <cell r="E297">
            <v>0</v>
          </cell>
          <cell r="F297">
            <v>4</v>
          </cell>
          <cell r="G297">
            <v>4</v>
          </cell>
          <cell r="H297">
            <v>4</v>
          </cell>
        </row>
        <row r="298">
          <cell r="B298" t="str">
            <v>CEPB</v>
          </cell>
          <cell r="C298">
            <v>822</v>
          </cell>
          <cell r="D298" t="str">
            <v>Century Paper</v>
          </cell>
          <cell r="E298">
            <v>60</v>
          </cell>
          <cell r="F298">
            <v>62.5</v>
          </cell>
          <cell r="G298">
            <v>60</v>
          </cell>
          <cell r="H298">
            <v>62.13</v>
          </cell>
        </row>
        <row r="299">
          <cell r="B299" t="str">
            <v>CPPL</v>
          </cell>
          <cell r="C299">
            <v>822</v>
          </cell>
          <cell r="D299" t="str">
            <v>Cherat Pack</v>
          </cell>
          <cell r="E299">
            <v>199</v>
          </cell>
          <cell r="F299">
            <v>199</v>
          </cell>
          <cell r="G299">
            <v>199</v>
          </cell>
          <cell r="H299">
            <v>199</v>
          </cell>
        </row>
        <row r="300">
          <cell r="B300" t="str">
            <v>MERIT</v>
          </cell>
          <cell r="C300">
            <v>822</v>
          </cell>
          <cell r="D300" t="str">
            <v>Merit Packaging</v>
          </cell>
          <cell r="E300">
            <v>11.7</v>
          </cell>
          <cell r="F300">
            <v>11.85</v>
          </cell>
          <cell r="G300">
            <v>11.31</v>
          </cell>
          <cell r="H300">
            <v>11.35</v>
          </cell>
        </row>
        <row r="301">
          <cell r="B301" t="str">
            <v>PKGS</v>
          </cell>
          <cell r="C301">
            <v>822</v>
          </cell>
          <cell r="D301" t="str">
            <v>Packages Ltd.</v>
          </cell>
          <cell r="E301">
            <v>504.01</v>
          </cell>
          <cell r="F301">
            <v>512</v>
          </cell>
          <cell r="G301">
            <v>504.01</v>
          </cell>
          <cell r="H301">
            <v>509.83</v>
          </cell>
        </row>
        <row r="302">
          <cell r="B302" t="str">
            <v>PPP</v>
          </cell>
          <cell r="C302">
            <v>822</v>
          </cell>
          <cell r="D302" t="str">
            <v>Pak Paper ProdXD</v>
          </cell>
          <cell r="E302">
            <v>95.73</v>
          </cell>
          <cell r="F302">
            <v>97</v>
          </cell>
          <cell r="G302">
            <v>95.73</v>
          </cell>
          <cell r="H302">
            <v>96.14</v>
          </cell>
        </row>
        <row r="303">
          <cell r="B303" t="str">
            <v>RPL</v>
          </cell>
          <cell r="C303">
            <v>822</v>
          </cell>
          <cell r="D303" t="str">
            <v>Roshan Packages</v>
          </cell>
          <cell r="E303">
            <v>36.75</v>
          </cell>
          <cell r="F303">
            <v>37</v>
          </cell>
          <cell r="G303">
            <v>36</v>
          </cell>
          <cell r="H303">
            <v>36.08</v>
          </cell>
        </row>
        <row r="304">
          <cell r="B304" t="str">
            <v>SEPL</v>
          </cell>
          <cell r="C304">
            <v>822</v>
          </cell>
          <cell r="D304" t="str">
            <v>Security Paper</v>
          </cell>
          <cell r="E304">
            <v>121.11</v>
          </cell>
          <cell r="F304">
            <v>122.5</v>
          </cell>
          <cell r="G304">
            <v>121.11</v>
          </cell>
          <cell r="H304">
            <v>122.08</v>
          </cell>
        </row>
        <row r="305">
          <cell r="B305" t="str">
            <v>POML</v>
          </cell>
          <cell r="C305">
            <v>834</v>
          </cell>
          <cell r="D305" t="str">
            <v>Punjab Oil</v>
          </cell>
          <cell r="E305">
            <v>205</v>
          </cell>
          <cell r="F305">
            <v>205</v>
          </cell>
          <cell r="G305">
            <v>205</v>
          </cell>
          <cell r="H305">
            <v>205</v>
          </cell>
        </row>
        <row r="306">
          <cell r="B306" t="str">
            <v>SSOM</v>
          </cell>
          <cell r="C306">
            <v>834</v>
          </cell>
          <cell r="D306" t="str">
            <v>S.S.Oil</v>
          </cell>
          <cell r="E306">
            <v>32.450000000000003</v>
          </cell>
          <cell r="F306">
            <v>32.450000000000003</v>
          </cell>
          <cell r="G306">
            <v>31</v>
          </cell>
          <cell r="H306">
            <v>32.299999999999997</v>
          </cell>
        </row>
        <row r="307">
          <cell r="B307" t="str">
            <v>BATA</v>
          </cell>
          <cell r="C307">
            <v>816</v>
          </cell>
          <cell r="D307" t="str">
            <v>Bata (Pak)</v>
          </cell>
          <cell r="E307">
            <v>2389</v>
          </cell>
          <cell r="F307">
            <v>2452.84</v>
          </cell>
          <cell r="G307">
            <v>2330.1</v>
          </cell>
          <cell r="H307">
            <v>2452.27</v>
          </cell>
        </row>
        <row r="308">
          <cell r="B308" t="str">
            <v>LEUL</v>
          </cell>
          <cell r="C308">
            <v>816</v>
          </cell>
          <cell r="D308" t="str">
            <v>Leather Up Ltd.</v>
          </cell>
          <cell r="E308">
            <v>15.06</v>
          </cell>
          <cell r="F308">
            <v>15.06</v>
          </cell>
          <cell r="G308">
            <v>15.05</v>
          </cell>
          <cell r="H308">
            <v>15.06</v>
          </cell>
        </row>
        <row r="309">
          <cell r="B309" t="str">
            <v>SRVI</v>
          </cell>
          <cell r="C309">
            <v>816</v>
          </cell>
          <cell r="D309" t="str">
            <v>Service Ind.Ltd</v>
          </cell>
          <cell r="E309">
            <v>735</v>
          </cell>
          <cell r="F309">
            <v>750</v>
          </cell>
          <cell r="G309">
            <v>735</v>
          </cell>
          <cell r="H309">
            <v>750</v>
          </cell>
        </row>
        <row r="310">
          <cell r="B310" t="str">
            <v>ASC</v>
          </cell>
          <cell r="C310">
            <v>810</v>
          </cell>
          <cell r="D310" t="str">
            <v>Al-Shaheer Corp</v>
          </cell>
          <cell r="E310">
            <v>22.5</v>
          </cell>
          <cell r="F310">
            <v>22.9</v>
          </cell>
          <cell r="G310">
            <v>22</v>
          </cell>
          <cell r="H310">
            <v>22.22</v>
          </cell>
        </row>
        <row r="311">
          <cell r="B311" t="str">
            <v>CLOV</v>
          </cell>
          <cell r="C311">
            <v>810</v>
          </cell>
          <cell r="D311" t="str">
            <v>Clover Pakistan</v>
          </cell>
          <cell r="E311">
            <v>46</v>
          </cell>
          <cell r="F311">
            <v>46</v>
          </cell>
          <cell r="G311">
            <v>44.7</v>
          </cell>
          <cell r="H311">
            <v>45.79</v>
          </cell>
        </row>
        <row r="312">
          <cell r="B312" t="str">
            <v>IBLHL</v>
          </cell>
          <cell r="C312">
            <v>823</v>
          </cell>
          <cell r="D312" t="str">
            <v>IBL HealthCare</v>
          </cell>
          <cell r="E312">
            <v>88</v>
          </cell>
          <cell r="F312">
            <v>89.82</v>
          </cell>
          <cell r="G312">
            <v>86</v>
          </cell>
          <cell r="H312">
            <v>86</v>
          </cell>
        </row>
        <row r="313">
          <cell r="B313" t="str">
            <v>ISIL</v>
          </cell>
          <cell r="C313">
            <v>810</v>
          </cell>
          <cell r="D313" t="str">
            <v>Ismail Ind</v>
          </cell>
          <cell r="E313">
            <v>384</v>
          </cell>
          <cell r="F313">
            <v>384</v>
          </cell>
          <cell r="G313">
            <v>384</v>
          </cell>
          <cell r="H313">
            <v>384</v>
          </cell>
        </row>
        <row r="314">
          <cell r="B314" t="str">
            <v>MFFL</v>
          </cell>
          <cell r="C314">
            <v>810</v>
          </cell>
          <cell r="D314" t="str">
            <v>MithchellsFruit</v>
          </cell>
          <cell r="E314">
            <v>275</v>
          </cell>
          <cell r="F314">
            <v>275</v>
          </cell>
          <cell r="G314">
            <v>275</v>
          </cell>
          <cell r="H314">
            <v>275</v>
          </cell>
        </row>
        <row r="315">
          <cell r="B315" t="str">
            <v>MUREB</v>
          </cell>
          <cell r="C315">
            <v>810</v>
          </cell>
          <cell r="D315" t="str">
            <v>Murree Brewery</v>
          </cell>
          <cell r="E315">
            <v>770</v>
          </cell>
          <cell r="F315">
            <v>776.34</v>
          </cell>
          <cell r="G315">
            <v>755</v>
          </cell>
          <cell r="H315">
            <v>776.34</v>
          </cell>
        </row>
        <row r="316">
          <cell r="B316" t="str">
            <v>NATF</v>
          </cell>
          <cell r="C316">
            <v>810</v>
          </cell>
          <cell r="D316" t="str">
            <v>National Foods</v>
          </cell>
          <cell r="E316">
            <v>315</v>
          </cell>
          <cell r="F316">
            <v>324.16000000000003</v>
          </cell>
          <cell r="G316">
            <v>315</v>
          </cell>
          <cell r="H316">
            <v>324.16000000000003</v>
          </cell>
        </row>
        <row r="317">
          <cell r="B317" t="str">
            <v>FFL</v>
          </cell>
          <cell r="C317">
            <v>810</v>
          </cell>
          <cell r="D317" t="str">
            <v>Fauji Foods Ltd</v>
          </cell>
          <cell r="E317">
            <v>17.100000000000001</v>
          </cell>
          <cell r="F317">
            <v>17.239999999999998</v>
          </cell>
          <cell r="G317">
            <v>16.350000000000001</v>
          </cell>
          <cell r="H317">
            <v>16.46</v>
          </cell>
        </row>
        <row r="318">
          <cell r="B318" t="str">
            <v>FFLNV</v>
          </cell>
          <cell r="C318">
            <v>810</v>
          </cell>
          <cell r="D318" t="str">
            <v>Fauji FoodsNonV</v>
          </cell>
          <cell r="E318">
            <v>14</v>
          </cell>
          <cell r="F318">
            <v>14</v>
          </cell>
          <cell r="G318">
            <v>13.4</v>
          </cell>
          <cell r="H318">
            <v>13.53</v>
          </cell>
        </row>
        <row r="319">
          <cell r="B319" t="str">
            <v>QUICE</v>
          </cell>
          <cell r="C319">
            <v>810</v>
          </cell>
          <cell r="D319" t="str">
            <v>Quice Food</v>
          </cell>
          <cell r="E319">
            <v>4.75</v>
          </cell>
          <cell r="F319">
            <v>4.75</v>
          </cell>
          <cell r="G319">
            <v>4.5999999999999996</v>
          </cell>
          <cell r="H319">
            <v>4.62</v>
          </cell>
        </row>
        <row r="320">
          <cell r="B320" t="str">
            <v>UPFL</v>
          </cell>
          <cell r="C320">
            <v>810</v>
          </cell>
          <cell r="D320" t="str">
            <v>Unilever FoodsXD</v>
          </cell>
          <cell r="E320">
            <v>7100</v>
          </cell>
          <cell r="F320">
            <v>7315.35</v>
          </cell>
          <cell r="G320">
            <v>7100</v>
          </cell>
          <cell r="H320">
            <v>7315.03</v>
          </cell>
        </row>
        <row r="321">
          <cell r="B321" t="str">
            <v>SHEZ</v>
          </cell>
          <cell r="C321">
            <v>810</v>
          </cell>
          <cell r="D321" t="str">
            <v>Shezan Inter.XD</v>
          </cell>
          <cell r="E321">
            <v>493.5</v>
          </cell>
          <cell r="F321">
            <v>493.5</v>
          </cell>
          <cell r="G321">
            <v>493</v>
          </cell>
          <cell r="H321">
            <v>493.5</v>
          </cell>
        </row>
        <row r="322">
          <cell r="B322" t="str">
            <v>TREET</v>
          </cell>
          <cell r="C322">
            <v>810</v>
          </cell>
          <cell r="D322" t="str">
            <v>Treet Corp</v>
          </cell>
          <cell r="E322">
            <v>36.700000000000003</v>
          </cell>
          <cell r="F322">
            <v>38.380000000000003</v>
          </cell>
          <cell r="G322">
            <v>36.5</v>
          </cell>
          <cell r="H322">
            <v>37.049999999999997</v>
          </cell>
        </row>
        <row r="323">
          <cell r="B323" t="str">
            <v>TCLTC</v>
          </cell>
          <cell r="C323">
            <v>810</v>
          </cell>
          <cell r="D323" t="str">
            <v>Treet Corp(PTCs)XD</v>
          </cell>
          <cell r="E323">
            <v>17.149999999999999</v>
          </cell>
          <cell r="F323">
            <v>17.48</v>
          </cell>
          <cell r="G323">
            <v>17.149999999999999</v>
          </cell>
          <cell r="H323">
            <v>17.48</v>
          </cell>
        </row>
        <row r="324">
          <cell r="B324" t="str">
            <v>ZIL</v>
          </cell>
          <cell r="C324">
            <v>810</v>
          </cell>
          <cell r="D324" t="str">
            <v>ZIL Limited</v>
          </cell>
          <cell r="E324">
            <v>85.15</v>
          </cell>
          <cell r="F324">
            <v>90</v>
          </cell>
          <cell r="G324">
            <v>85.15</v>
          </cell>
          <cell r="H324">
            <v>90</v>
          </cell>
        </row>
        <row r="325">
          <cell r="B325" t="str">
            <v>BGL</v>
          </cell>
          <cell r="C325">
            <v>811</v>
          </cell>
          <cell r="D325" t="str">
            <v>Bal.Glass</v>
          </cell>
          <cell r="E325">
            <v>9.4499999999999993</v>
          </cell>
          <cell r="F325">
            <v>9.74</v>
          </cell>
          <cell r="G325">
            <v>8.81</v>
          </cell>
          <cell r="H325">
            <v>8.86</v>
          </cell>
        </row>
        <row r="326">
          <cell r="B326" t="str">
            <v>FRCL</v>
          </cell>
          <cell r="C326">
            <v>811</v>
          </cell>
          <cell r="D326" t="str">
            <v>Frontier Ceram</v>
          </cell>
          <cell r="E326">
            <v>7</v>
          </cell>
          <cell r="F326">
            <v>7.77</v>
          </cell>
          <cell r="G326">
            <v>5.77</v>
          </cell>
          <cell r="H326">
            <v>7.77</v>
          </cell>
        </row>
        <row r="327">
          <cell r="B327" t="str">
            <v>GHGL</v>
          </cell>
          <cell r="C327">
            <v>811</v>
          </cell>
          <cell r="D327" t="str">
            <v>Ghani Glass Ltd</v>
          </cell>
          <cell r="E327">
            <v>64.010000000000005</v>
          </cell>
          <cell r="F327">
            <v>64.25</v>
          </cell>
          <cell r="G327">
            <v>64</v>
          </cell>
          <cell r="H327">
            <v>64.099999999999994</v>
          </cell>
        </row>
        <row r="328">
          <cell r="B328" t="str">
            <v>GGGL</v>
          </cell>
          <cell r="C328">
            <v>811</v>
          </cell>
          <cell r="D328" t="str">
            <v>GhaniGlobalGlass</v>
          </cell>
          <cell r="E328">
            <v>14.52</v>
          </cell>
          <cell r="F328">
            <v>14.6</v>
          </cell>
          <cell r="G328">
            <v>14.45</v>
          </cell>
          <cell r="H328">
            <v>14.46</v>
          </cell>
        </row>
        <row r="329">
          <cell r="B329" t="str">
            <v>TGL</v>
          </cell>
          <cell r="C329">
            <v>811</v>
          </cell>
          <cell r="D329" t="str">
            <v>Tariq Glass Ind.</v>
          </cell>
          <cell r="E329">
            <v>92</v>
          </cell>
          <cell r="F329">
            <v>96.73</v>
          </cell>
          <cell r="G329">
            <v>91</v>
          </cell>
          <cell r="H329">
            <v>94.99</v>
          </cell>
        </row>
        <row r="330">
          <cell r="B330" t="str">
            <v>STCL</v>
          </cell>
          <cell r="C330">
            <v>811</v>
          </cell>
          <cell r="D330" t="str">
            <v>Shabbir Tiles</v>
          </cell>
          <cell r="E330">
            <v>14.83</v>
          </cell>
          <cell r="F330">
            <v>15</v>
          </cell>
          <cell r="G330">
            <v>14.53</v>
          </cell>
          <cell r="H330">
            <v>14.73</v>
          </cell>
        </row>
        <row r="331">
          <cell r="B331" t="str">
            <v>AKGL</v>
          </cell>
          <cell r="C331">
            <v>818</v>
          </cell>
          <cell r="D331" t="str">
            <v>AL-Khair Gadoon</v>
          </cell>
          <cell r="E331">
            <v>13</v>
          </cell>
          <cell r="F331">
            <v>14</v>
          </cell>
          <cell r="G331">
            <v>13</v>
          </cell>
          <cell r="H331">
            <v>14</v>
          </cell>
        </row>
        <row r="332">
          <cell r="B332" t="str">
            <v>MACFL</v>
          </cell>
          <cell r="C332">
            <v>818</v>
          </cell>
          <cell r="D332" t="str">
            <v>MACPAC FilmsXD</v>
          </cell>
          <cell r="E332">
            <v>17.45</v>
          </cell>
          <cell r="F332">
            <v>17.45</v>
          </cell>
          <cell r="G332">
            <v>16.760000000000002</v>
          </cell>
          <cell r="H332">
            <v>16.760000000000002</v>
          </cell>
        </row>
        <row r="333">
          <cell r="B333" t="str">
            <v>ECOP</v>
          </cell>
          <cell r="C333">
            <v>818</v>
          </cell>
          <cell r="D333" t="str">
            <v>ECOPACK LtdXDXB</v>
          </cell>
          <cell r="E333">
            <v>20.74</v>
          </cell>
          <cell r="F333">
            <v>20.74</v>
          </cell>
          <cell r="G333">
            <v>20.010000000000002</v>
          </cell>
          <cell r="H333">
            <v>20.010000000000002</v>
          </cell>
        </row>
        <row r="334">
          <cell r="B334" t="str">
            <v>PACE</v>
          </cell>
          <cell r="C334">
            <v>818</v>
          </cell>
          <cell r="D334" t="str">
            <v>Pace (Pak) Ltd.</v>
          </cell>
          <cell r="E334">
            <v>4.1399999999999997</v>
          </cell>
          <cell r="F334">
            <v>4.22</v>
          </cell>
          <cell r="G334">
            <v>4</v>
          </cell>
          <cell r="H334">
            <v>4.1399999999999997</v>
          </cell>
        </row>
        <row r="335">
          <cell r="B335" t="str">
            <v>PHDL</v>
          </cell>
          <cell r="C335">
            <v>818</v>
          </cell>
          <cell r="D335" t="str">
            <v>Pak Hotels</v>
          </cell>
          <cell r="E335">
            <v>93.24</v>
          </cell>
          <cell r="F335">
            <v>93.45</v>
          </cell>
          <cell r="G335">
            <v>85.6</v>
          </cell>
          <cell r="H335">
            <v>86.5</v>
          </cell>
        </row>
        <row r="336">
          <cell r="B336" t="str">
            <v>SHFA</v>
          </cell>
          <cell r="C336">
            <v>818</v>
          </cell>
          <cell r="D336" t="str">
            <v>Shifa Int.Hosp</v>
          </cell>
          <cell r="E336">
            <v>295</v>
          </cell>
          <cell r="F336">
            <v>300</v>
          </cell>
          <cell r="G336">
            <v>295</v>
          </cell>
          <cell r="H336">
            <v>300</v>
          </cell>
        </row>
        <row r="337">
          <cell r="B337" t="str">
            <v>STPL</v>
          </cell>
          <cell r="C337">
            <v>818</v>
          </cell>
          <cell r="D337" t="str">
            <v>Siddiqsons Tin</v>
          </cell>
          <cell r="E337">
            <v>31.77</v>
          </cell>
          <cell r="F337">
            <v>31.77</v>
          </cell>
          <cell r="G337">
            <v>30.5</v>
          </cell>
          <cell r="H337">
            <v>30.91</v>
          </cell>
        </row>
        <row r="338">
          <cell r="B338" t="str">
            <v>TPLPL</v>
          </cell>
          <cell r="C338">
            <v>818</v>
          </cell>
          <cell r="D338" t="str">
            <v>TPL Properties</v>
          </cell>
          <cell r="E338">
            <v>12.4</v>
          </cell>
          <cell r="F338">
            <v>12.45</v>
          </cell>
          <cell r="G338">
            <v>10.95</v>
          </cell>
          <cell r="H338">
            <v>11.88</v>
          </cell>
        </row>
        <row r="339">
          <cell r="B339" t="str">
            <v>TRIPF</v>
          </cell>
          <cell r="C339">
            <v>818</v>
          </cell>
          <cell r="D339" t="str">
            <v>Tri-Pack Films</v>
          </cell>
          <cell r="E339">
            <v>143.25</v>
          </cell>
          <cell r="F339">
            <v>148.9</v>
          </cell>
          <cell r="G339">
            <v>139</v>
          </cell>
          <cell r="H339">
            <v>139.97</v>
          </cell>
        </row>
        <row r="340">
          <cell r="B340" t="str">
            <v>UBDL</v>
          </cell>
          <cell r="C340">
            <v>818</v>
          </cell>
          <cell r="D340" t="str">
            <v>United Brands</v>
          </cell>
          <cell r="E340">
            <v>405</v>
          </cell>
          <cell r="F340">
            <v>415.5</v>
          </cell>
          <cell r="G340">
            <v>395</v>
          </cell>
          <cell r="H340">
            <v>411.31</v>
          </cell>
        </row>
        <row r="341">
          <cell r="B341" t="str">
            <v>UDPL</v>
          </cell>
          <cell r="C341">
            <v>818</v>
          </cell>
          <cell r="D341" t="str">
            <v>United Dist.</v>
          </cell>
          <cell r="E341">
            <v>48.01</v>
          </cell>
          <cell r="F341">
            <v>49.5</v>
          </cell>
          <cell r="G341">
            <v>48</v>
          </cell>
          <cell r="H341">
            <v>49.5</v>
          </cell>
        </row>
        <row r="342">
          <cell r="B342" t="str">
            <v>HBLTFC</v>
          </cell>
          <cell r="C342">
            <v>36</v>
          </cell>
          <cell r="D342" t="str">
            <v>HBLTFC Priv. Placed</v>
          </cell>
          <cell r="E342">
            <v>0</v>
          </cell>
          <cell r="F342">
            <v>99.082499999999996</v>
          </cell>
          <cell r="G342">
            <v>0</v>
          </cell>
          <cell r="H342">
            <v>99.082499999999996</v>
          </cell>
        </row>
        <row r="343">
          <cell r="B343" t="str">
            <v>BAFLTFC5</v>
          </cell>
          <cell r="C343">
            <v>36</v>
          </cell>
          <cell r="D343" t="str">
            <v>Bank Alfalah(TFC)</v>
          </cell>
          <cell r="E343">
            <v>0</v>
          </cell>
          <cell r="F343">
            <v>101.7791</v>
          </cell>
          <cell r="G343">
            <v>0</v>
          </cell>
          <cell r="H343">
            <v>101.7791</v>
          </cell>
        </row>
        <row r="344">
          <cell r="B344" t="str">
            <v>MCBTFC2</v>
          </cell>
          <cell r="C344">
            <v>36</v>
          </cell>
          <cell r="D344" t="str">
            <v>MCB Bank</v>
          </cell>
          <cell r="E344">
            <v>0</v>
          </cell>
          <cell r="F344">
            <v>101.59820000000001</v>
          </cell>
          <cell r="G344">
            <v>0</v>
          </cell>
          <cell r="H344">
            <v>101.59820000000001</v>
          </cell>
        </row>
        <row r="345">
          <cell r="B345" t="str">
            <v>SNBLTFC2</v>
          </cell>
          <cell r="C345">
            <v>36</v>
          </cell>
          <cell r="D345" t="str">
            <v>Soneri Bank TFC</v>
          </cell>
          <cell r="E345">
            <v>0</v>
          </cell>
          <cell r="F345">
            <v>100.1</v>
          </cell>
          <cell r="G345">
            <v>0</v>
          </cell>
          <cell r="H345">
            <v>100.1</v>
          </cell>
        </row>
        <row r="346">
          <cell r="B346" t="str">
            <v>HBL-CFEB</v>
          </cell>
          <cell r="C346">
            <v>40</v>
          </cell>
          <cell r="D346" t="str">
            <v>HBL-CFEB</v>
          </cell>
          <cell r="E346">
            <v>0</v>
          </cell>
          <cell r="F346">
            <v>169.69</v>
          </cell>
          <cell r="G346">
            <v>0</v>
          </cell>
          <cell r="H346">
            <v>169.69</v>
          </cell>
        </row>
        <row r="347">
          <cell r="B347" t="str">
            <v>AKBL-CFEB</v>
          </cell>
          <cell r="C347">
            <v>40</v>
          </cell>
          <cell r="D347" t="str">
            <v>AKBL-CFEB</v>
          </cell>
          <cell r="E347">
            <v>0</v>
          </cell>
          <cell r="F347">
            <v>19.61</v>
          </cell>
          <cell r="G347">
            <v>0</v>
          </cell>
          <cell r="H347">
            <v>19.61</v>
          </cell>
        </row>
        <row r="348">
          <cell r="B348" t="str">
            <v>ATRL-CFEB</v>
          </cell>
          <cell r="C348">
            <v>40</v>
          </cell>
          <cell r="D348" t="str">
            <v>ATRL-CFEB</v>
          </cell>
          <cell r="E348">
            <v>0</v>
          </cell>
          <cell r="F348">
            <v>237.76</v>
          </cell>
          <cell r="G348">
            <v>0</v>
          </cell>
          <cell r="H348">
            <v>237.76</v>
          </cell>
        </row>
        <row r="349">
          <cell r="B349" t="str">
            <v>BAFL-CFEB</v>
          </cell>
          <cell r="C349">
            <v>40</v>
          </cell>
          <cell r="D349" t="str">
            <v>BAFL-CFEB</v>
          </cell>
          <cell r="E349">
            <v>0</v>
          </cell>
          <cell r="F349">
            <v>43.16</v>
          </cell>
          <cell r="G349">
            <v>0</v>
          </cell>
          <cell r="H349">
            <v>43.16</v>
          </cell>
        </row>
        <row r="350">
          <cell r="B350" t="str">
            <v>ENGRO-CFEB</v>
          </cell>
          <cell r="C350">
            <v>40</v>
          </cell>
          <cell r="D350" t="str">
            <v>ENGRO-CFEB</v>
          </cell>
          <cell r="E350">
            <v>0</v>
          </cell>
          <cell r="F350">
            <v>279.02</v>
          </cell>
          <cell r="G350">
            <v>0</v>
          </cell>
          <cell r="H350">
            <v>279.02</v>
          </cell>
        </row>
        <row r="351">
          <cell r="B351" t="str">
            <v>FCCL-CFEB</v>
          </cell>
          <cell r="C351">
            <v>40</v>
          </cell>
          <cell r="D351" t="str">
            <v>FCCL-CFEB</v>
          </cell>
          <cell r="E351">
            <v>0</v>
          </cell>
          <cell r="F351">
            <v>25.4</v>
          </cell>
          <cell r="G351">
            <v>0</v>
          </cell>
          <cell r="H351">
            <v>25.4</v>
          </cell>
        </row>
        <row r="352">
          <cell r="B352" t="str">
            <v>FFBL-CFEB</v>
          </cell>
          <cell r="C352">
            <v>40</v>
          </cell>
          <cell r="D352" t="str">
            <v>FFBL-CFEB</v>
          </cell>
          <cell r="E352">
            <v>0</v>
          </cell>
          <cell r="F352">
            <v>36.090000000000003</v>
          </cell>
          <cell r="G352">
            <v>0</v>
          </cell>
          <cell r="H352">
            <v>36.090000000000003</v>
          </cell>
        </row>
        <row r="353">
          <cell r="B353" t="str">
            <v>FFC-CFEB</v>
          </cell>
          <cell r="C353">
            <v>40</v>
          </cell>
          <cell r="D353" t="str">
            <v>FFC-CFEB</v>
          </cell>
          <cell r="E353">
            <v>0</v>
          </cell>
          <cell r="F353">
            <v>80.34</v>
          </cell>
          <cell r="G353">
            <v>0</v>
          </cell>
          <cell r="H353">
            <v>80.34</v>
          </cell>
        </row>
        <row r="354">
          <cell r="B354" t="str">
            <v>HUBC-CFEB</v>
          </cell>
          <cell r="C354">
            <v>40</v>
          </cell>
          <cell r="D354" t="str">
            <v>HUBC-CFEB</v>
          </cell>
          <cell r="E354">
            <v>0</v>
          </cell>
          <cell r="F354">
            <v>92.42</v>
          </cell>
          <cell r="G354">
            <v>0</v>
          </cell>
          <cell r="H354">
            <v>92.42</v>
          </cell>
        </row>
        <row r="355">
          <cell r="B355" t="str">
            <v>MCB-CFEB</v>
          </cell>
          <cell r="C355">
            <v>40</v>
          </cell>
          <cell r="D355" t="str">
            <v>MCB-CFEB</v>
          </cell>
          <cell r="E355">
            <v>0</v>
          </cell>
          <cell r="F355">
            <v>215.62</v>
          </cell>
          <cell r="G355">
            <v>0</v>
          </cell>
          <cell r="H355">
            <v>215.62</v>
          </cell>
        </row>
        <row r="356">
          <cell r="B356" t="str">
            <v>NML-CFEB</v>
          </cell>
          <cell r="C356">
            <v>40</v>
          </cell>
          <cell r="D356" t="str">
            <v>NML-CFEB</v>
          </cell>
          <cell r="E356">
            <v>0</v>
          </cell>
          <cell r="F356">
            <v>151.82</v>
          </cell>
          <cell r="G356">
            <v>0</v>
          </cell>
          <cell r="H356">
            <v>151.82</v>
          </cell>
        </row>
        <row r="357">
          <cell r="B357" t="str">
            <v>PPL-CFEB</v>
          </cell>
          <cell r="C357">
            <v>40</v>
          </cell>
          <cell r="D357" t="str">
            <v>PPL-CFEB</v>
          </cell>
          <cell r="E357">
            <v>0</v>
          </cell>
          <cell r="F357">
            <v>209.11</v>
          </cell>
          <cell r="G357">
            <v>0</v>
          </cell>
          <cell r="H357">
            <v>209.11</v>
          </cell>
        </row>
        <row r="358">
          <cell r="B358" t="str">
            <v>PSO-CFEB</v>
          </cell>
          <cell r="C358">
            <v>40</v>
          </cell>
          <cell r="D358" t="str">
            <v>PSO-CFEB</v>
          </cell>
          <cell r="E358">
            <v>0</v>
          </cell>
          <cell r="F358">
            <v>297.67</v>
          </cell>
          <cell r="G358">
            <v>0</v>
          </cell>
          <cell r="H358">
            <v>297.67</v>
          </cell>
        </row>
        <row r="359">
          <cell r="B359" t="str">
            <v>UBL-CFEB</v>
          </cell>
          <cell r="C359">
            <v>40</v>
          </cell>
          <cell r="D359" t="str">
            <v>UBL-CFEB</v>
          </cell>
          <cell r="E359">
            <v>0</v>
          </cell>
          <cell r="F359">
            <v>190.89</v>
          </cell>
          <cell r="G359">
            <v>0</v>
          </cell>
          <cell r="H359">
            <v>190.89</v>
          </cell>
        </row>
        <row r="360">
          <cell r="B360" t="str">
            <v>AICL-CDEC</v>
          </cell>
          <cell r="C360">
            <v>40</v>
          </cell>
          <cell r="D360" t="str">
            <v>AICL-CDEC</v>
          </cell>
          <cell r="E360">
            <v>0</v>
          </cell>
          <cell r="F360">
            <v>51.97</v>
          </cell>
          <cell r="G360">
            <v>0</v>
          </cell>
          <cell r="H360">
            <v>51.97</v>
          </cell>
        </row>
        <row r="361">
          <cell r="B361" t="str">
            <v>ATRL-CDEC</v>
          </cell>
          <cell r="C361">
            <v>40</v>
          </cell>
          <cell r="D361" t="str">
            <v>ATRL-CDEC</v>
          </cell>
          <cell r="E361">
            <v>0</v>
          </cell>
          <cell r="F361">
            <v>234.12</v>
          </cell>
          <cell r="G361">
            <v>0</v>
          </cell>
          <cell r="H361">
            <v>234.12</v>
          </cell>
        </row>
        <row r="362">
          <cell r="B362" t="str">
            <v>DGKC-CDEC</v>
          </cell>
          <cell r="C362">
            <v>40</v>
          </cell>
          <cell r="D362" t="str">
            <v>DGKC-CDEC</v>
          </cell>
          <cell r="E362">
            <v>0</v>
          </cell>
          <cell r="F362">
            <v>133.72</v>
          </cell>
          <cell r="G362">
            <v>0</v>
          </cell>
          <cell r="H362">
            <v>133.72</v>
          </cell>
        </row>
        <row r="363">
          <cell r="B363" t="str">
            <v>FFC-CDEC</v>
          </cell>
          <cell r="C363">
            <v>40</v>
          </cell>
          <cell r="D363" t="str">
            <v>FFC-CDEC</v>
          </cell>
          <cell r="E363">
            <v>0</v>
          </cell>
          <cell r="F363">
            <v>79.11</v>
          </cell>
          <cell r="G363">
            <v>0</v>
          </cell>
          <cell r="H363">
            <v>79.11</v>
          </cell>
        </row>
        <row r="364">
          <cell r="B364" t="str">
            <v>HBL-CDEC</v>
          </cell>
          <cell r="C364">
            <v>40</v>
          </cell>
          <cell r="D364" t="str">
            <v>HBL-CDEC</v>
          </cell>
          <cell r="E364">
            <v>0</v>
          </cell>
          <cell r="F364">
            <v>167.09</v>
          </cell>
          <cell r="G364">
            <v>0</v>
          </cell>
          <cell r="H364">
            <v>167.09</v>
          </cell>
        </row>
        <row r="365">
          <cell r="B365" t="str">
            <v>NML-CDEC</v>
          </cell>
          <cell r="C365">
            <v>40</v>
          </cell>
          <cell r="D365" t="str">
            <v>NML-CDEC</v>
          </cell>
          <cell r="E365">
            <v>0</v>
          </cell>
          <cell r="F365">
            <v>149.5</v>
          </cell>
          <cell r="G365">
            <v>0</v>
          </cell>
          <cell r="H365">
            <v>149.5</v>
          </cell>
        </row>
        <row r="366">
          <cell r="B366" t="str">
            <v>UBL-CDEC</v>
          </cell>
          <cell r="C366">
            <v>40</v>
          </cell>
          <cell r="D366" t="str">
            <v>UBL-CDEC</v>
          </cell>
          <cell r="E366">
            <v>0</v>
          </cell>
          <cell r="F366">
            <v>187.97</v>
          </cell>
          <cell r="G366">
            <v>0</v>
          </cell>
          <cell r="H366">
            <v>187.97</v>
          </cell>
        </row>
        <row r="367">
          <cell r="B367" t="str">
            <v>ATRL-CJAN</v>
          </cell>
          <cell r="C367">
            <v>40</v>
          </cell>
          <cell r="D367" t="str">
            <v>ATRL-CJAN</v>
          </cell>
          <cell r="E367">
            <v>0</v>
          </cell>
          <cell r="F367">
            <v>235.91</v>
          </cell>
          <cell r="G367">
            <v>0</v>
          </cell>
          <cell r="H367">
            <v>235.91</v>
          </cell>
        </row>
        <row r="368">
          <cell r="B368" t="str">
            <v>DGKC-CJAN</v>
          </cell>
          <cell r="C368">
            <v>40</v>
          </cell>
          <cell r="D368" t="str">
            <v>DGKC-CJAN</v>
          </cell>
          <cell r="E368">
            <v>0</v>
          </cell>
          <cell r="F368">
            <v>134.74</v>
          </cell>
          <cell r="G368">
            <v>0</v>
          </cell>
          <cell r="H368">
            <v>134.74</v>
          </cell>
        </row>
        <row r="369">
          <cell r="B369" t="str">
            <v>FFC-CJAN</v>
          </cell>
          <cell r="C369">
            <v>40</v>
          </cell>
          <cell r="D369" t="str">
            <v>FFC-CJAN</v>
          </cell>
          <cell r="E369">
            <v>0</v>
          </cell>
          <cell r="F369">
            <v>79.709999999999994</v>
          </cell>
          <cell r="G369">
            <v>0</v>
          </cell>
          <cell r="H369">
            <v>79.709999999999994</v>
          </cell>
        </row>
        <row r="370">
          <cell r="B370" t="str">
            <v>HBL-CJAN</v>
          </cell>
          <cell r="C370">
            <v>40</v>
          </cell>
          <cell r="D370" t="str">
            <v>HBL-CJAN</v>
          </cell>
          <cell r="E370">
            <v>0</v>
          </cell>
          <cell r="F370">
            <v>168.37</v>
          </cell>
          <cell r="G370">
            <v>0</v>
          </cell>
          <cell r="H370">
            <v>168.37</v>
          </cell>
        </row>
        <row r="371">
          <cell r="B371" t="str">
            <v>NML-CJAN</v>
          </cell>
          <cell r="C371">
            <v>40</v>
          </cell>
          <cell r="D371" t="str">
            <v>NML-CJAN</v>
          </cell>
          <cell r="E371">
            <v>0</v>
          </cell>
          <cell r="F371">
            <v>150.63999999999999</v>
          </cell>
          <cell r="G371">
            <v>0</v>
          </cell>
          <cell r="H371">
            <v>150.63999999999999</v>
          </cell>
        </row>
        <row r="372">
          <cell r="B372" t="str">
            <v>UBL-CJAN</v>
          </cell>
          <cell r="C372">
            <v>40</v>
          </cell>
          <cell r="D372" t="str">
            <v>UBL-CJAN</v>
          </cell>
          <cell r="E372">
            <v>0</v>
          </cell>
          <cell r="F372">
            <v>189.4</v>
          </cell>
          <cell r="G372">
            <v>0</v>
          </cell>
          <cell r="H372">
            <v>189.4</v>
          </cell>
        </row>
        <row r="373">
          <cell r="B373" t="str">
            <v>BOP-CFEB</v>
          </cell>
          <cell r="C373">
            <v>40</v>
          </cell>
          <cell r="D373" t="str">
            <v>BOP-CFEB</v>
          </cell>
          <cell r="E373">
            <v>0</v>
          </cell>
          <cell r="F373">
            <v>8.3699999999999992</v>
          </cell>
          <cell r="G373">
            <v>0</v>
          </cell>
          <cell r="H373">
            <v>8.3699999999999992</v>
          </cell>
        </row>
        <row r="374">
          <cell r="B374" t="str">
            <v>DGKC-CFEB</v>
          </cell>
          <cell r="C374">
            <v>40</v>
          </cell>
          <cell r="D374" t="str">
            <v>DGKC-CFEB</v>
          </cell>
          <cell r="E374">
            <v>0</v>
          </cell>
          <cell r="F374">
            <v>135.80000000000001</v>
          </cell>
          <cell r="G374">
            <v>0</v>
          </cell>
          <cell r="H374">
            <v>135.80000000000001</v>
          </cell>
        </row>
        <row r="375">
          <cell r="B375" t="str">
            <v>AKBL-CDEC</v>
          </cell>
          <cell r="C375">
            <v>40</v>
          </cell>
          <cell r="D375" t="str">
            <v>AKBL-CDEC</v>
          </cell>
          <cell r="E375">
            <v>0</v>
          </cell>
          <cell r="F375">
            <v>19.309999999999999</v>
          </cell>
          <cell r="G375">
            <v>0</v>
          </cell>
          <cell r="H375">
            <v>19.309999999999999</v>
          </cell>
        </row>
        <row r="376">
          <cell r="B376" t="str">
            <v>AKBL-CJAN</v>
          </cell>
          <cell r="C376">
            <v>40</v>
          </cell>
          <cell r="D376" t="str">
            <v>AKBL-CJAN</v>
          </cell>
          <cell r="E376">
            <v>0</v>
          </cell>
          <cell r="F376">
            <v>19.46</v>
          </cell>
          <cell r="G376">
            <v>0</v>
          </cell>
          <cell r="H376">
            <v>19.46</v>
          </cell>
        </row>
        <row r="377">
          <cell r="B377" t="str">
            <v>NCL-DEC</v>
          </cell>
          <cell r="C377">
            <v>40</v>
          </cell>
          <cell r="D377" t="str">
            <v>NCL-DEC</v>
          </cell>
          <cell r="E377">
            <v>47.24</v>
          </cell>
          <cell r="F377">
            <v>47.24</v>
          </cell>
          <cell r="G377">
            <v>45</v>
          </cell>
          <cell r="H377">
            <v>45.71</v>
          </cell>
        </row>
        <row r="378">
          <cell r="B378" t="str">
            <v>NCL-JAN</v>
          </cell>
          <cell r="C378">
            <v>40</v>
          </cell>
          <cell r="D378" t="str">
            <v>NCL-JAN</v>
          </cell>
          <cell r="E378">
            <v>47</v>
          </cell>
          <cell r="F378">
            <v>47.2</v>
          </cell>
          <cell r="G378">
            <v>45.15</v>
          </cell>
          <cell r="H378">
            <v>46.45</v>
          </cell>
        </row>
        <row r="379">
          <cell r="B379" t="str">
            <v>HUBC-DEC</v>
          </cell>
          <cell r="C379">
            <v>40</v>
          </cell>
          <cell r="D379" t="str">
            <v>HUBC-DEC</v>
          </cell>
          <cell r="E379">
            <v>91.31</v>
          </cell>
          <cell r="F379">
            <v>91.45</v>
          </cell>
          <cell r="G379">
            <v>90.01</v>
          </cell>
          <cell r="H379">
            <v>91.45</v>
          </cell>
        </row>
        <row r="380">
          <cell r="B380" t="str">
            <v>PSO-DEC</v>
          </cell>
          <cell r="C380">
            <v>40</v>
          </cell>
          <cell r="D380" t="str">
            <v>PSO-DEC</v>
          </cell>
          <cell r="E380">
            <v>300</v>
          </cell>
          <cell r="F380">
            <v>300.5</v>
          </cell>
          <cell r="G380">
            <v>291</v>
          </cell>
          <cell r="H380">
            <v>293.20999999999998</v>
          </cell>
        </row>
        <row r="381">
          <cell r="B381" t="str">
            <v>MCB-DEC</v>
          </cell>
          <cell r="C381">
            <v>40</v>
          </cell>
          <cell r="D381" t="str">
            <v>MCB-DEC</v>
          </cell>
          <cell r="E381">
            <v>209.4</v>
          </cell>
          <cell r="F381">
            <v>213.6</v>
          </cell>
          <cell r="G381">
            <v>208.5</v>
          </cell>
          <cell r="H381">
            <v>212.75</v>
          </cell>
        </row>
        <row r="382">
          <cell r="B382" t="str">
            <v>NML-DEC</v>
          </cell>
          <cell r="C382">
            <v>40</v>
          </cell>
          <cell r="D382" t="str">
            <v>NML-DEC</v>
          </cell>
          <cell r="E382">
            <v>151.30000000000001</v>
          </cell>
          <cell r="F382">
            <v>152.9</v>
          </cell>
          <cell r="G382">
            <v>148.1</v>
          </cell>
          <cell r="H382">
            <v>149.07</v>
          </cell>
        </row>
        <row r="383">
          <cell r="B383" t="str">
            <v>PTC-DEC</v>
          </cell>
          <cell r="C383">
            <v>40</v>
          </cell>
          <cell r="D383" t="str">
            <v>PTC-DEC</v>
          </cell>
          <cell r="E383">
            <v>12.54</v>
          </cell>
          <cell r="F383">
            <v>13</v>
          </cell>
          <cell r="G383">
            <v>12.54</v>
          </cell>
          <cell r="H383">
            <v>12.87</v>
          </cell>
        </row>
        <row r="384">
          <cell r="B384" t="str">
            <v>ENGRO-DEC</v>
          </cell>
          <cell r="C384">
            <v>40</v>
          </cell>
          <cell r="D384" t="str">
            <v>ENGRO-DEC</v>
          </cell>
          <cell r="E384">
            <v>275.98</v>
          </cell>
          <cell r="F384">
            <v>277.95</v>
          </cell>
          <cell r="G384">
            <v>271</v>
          </cell>
          <cell r="H384">
            <v>274.06</v>
          </cell>
        </row>
        <row r="385">
          <cell r="B385" t="str">
            <v>FFC-DEC</v>
          </cell>
          <cell r="C385">
            <v>40</v>
          </cell>
          <cell r="D385" t="str">
            <v>FFC-DEC</v>
          </cell>
          <cell r="E385">
            <v>77.44</v>
          </cell>
          <cell r="F385">
            <v>80</v>
          </cell>
          <cell r="G385">
            <v>77.44</v>
          </cell>
          <cell r="H385">
            <v>79.260000000000005</v>
          </cell>
        </row>
        <row r="386">
          <cell r="B386" t="str">
            <v>FFBL-DEC</v>
          </cell>
          <cell r="C386">
            <v>40</v>
          </cell>
          <cell r="D386" t="str">
            <v>FFBL-DEC</v>
          </cell>
          <cell r="E386">
            <v>34.4</v>
          </cell>
          <cell r="F386">
            <v>35.840000000000003</v>
          </cell>
          <cell r="G386">
            <v>34.4</v>
          </cell>
          <cell r="H386">
            <v>35.06</v>
          </cell>
        </row>
        <row r="387">
          <cell r="B387" t="str">
            <v>HUBC-JAN</v>
          </cell>
          <cell r="C387">
            <v>40</v>
          </cell>
          <cell r="D387" t="str">
            <v>HUBC-JAN</v>
          </cell>
          <cell r="E387">
            <v>91.5</v>
          </cell>
          <cell r="F387">
            <v>91.5</v>
          </cell>
          <cell r="G387">
            <v>91</v>
          </cell>
          <cell r="H387">
            <v>91.31</v>
          </cell>
        </row>
        <row r="388">
          <cell r="B388" t="str">
            <v>PSO-JAN</v>
          </cell>
          <cell r="C388">
            <v>40</v>
          </cell>
          <cell r="D388" t="str">
            <v>PSO-JAN</v>
          </cell>
          <cell r="E388">
            <v>301.02</v>
          </cell>
          <cell r="F388">
            <v>302</v>
          </cell>
          <cell r="G388">
            <v>292</v>
          </cell>
          <cell r="H388">
            <v>294.69</v>
          </cell>
        </row>
        <row r="389">
          <cell r="B389" t="str">
            <v>MCB-JAN</v>
          </cell>
          <cell r="C389">
            <v>40</v>
          </cell>
          <cell r="D389" t="str">
            <v>MCB-JAN</v>
          </cell>
          <cell r="E389">
            <v>210.25</v>
          </cell>
          <cell r="F389">
            <v>213</v>
          </cell>
          <cell r="G389">
            <v>210</v>
          </cell>
          <cell r="H389">
            <v>213</v>
          </cell>
        </row>
        <row r="390">
          <cell r="B390" t="str">
            <v>NML-JAN</v>
          </cell>
          <cell r="C390">
            <v>40</v>
          </cell>
          <cell r="D390" t="str">
            <v>NML-JAN</v>
          </cell>
          <cell r="E390">
            <v>150.5</v>
          </cell>
          <cell r="F390">
            <v>152.88999999999999</v>
          </cell>
          <cell r="G390">
            <v>149</v>
          </cell>
          <cell r="H390">
            <v>149.61000000000001</v>
          </cell>
        </row>
        <row r="391">
          <cell r="B391" t="str">
            <v>ENGRO-JAN</v>
          </cell>
          <cell r="C391">
            <v>40</v>
          </cell>
          <cell r="D391" t="str">
            <v>ENGRO-JAN</v>
          </cell>
          <cell r="E391">
            <v>277</v>
          </cell>
          <cell r="F391">
            <v>279.39999999999998</v>
          </cell>
          <cell r="G391">
            <v>271.57</v>
          </cell>
          <cell r="H391">
            <v>274.70999999999998</v>
          </cell>
        </row>
        <row r="392">
          <cell r="B392" t="str">
            <v>FFC-JAN</v>
          </cell>
          <cell r="C392">
            <v>40</v>
          </cell>
          <cell r="D392" t="str">
            <v>FFC-JAN</v>
          </cell>
          <cell r="E392">
            <v>78</v>
          </cell>
          <cell r="F392">
            <v>80.5</v>
          </cell>
          <cell r="G392">
            <v>77.760000000000005</v>
          </cell>
          <cell r="H392">
            <v>79.489999999999995</v>
          </cell>
        </row>
        <row r="393">
          <cell r="B393" t="str">
            <v>FFBL-JAN</v>
          </cell>
          <cell r="C393">
            <v>40</v>
          </cell>
          <cell r="D393" t="str">
            <v>FFBL-JAN</v>
          </cell>
          <cell r="E393">
            <v>34.950000000000003</v>
          </cell>
          <cell r="F393">
            <v>35.79</v>
          </cell>
          <cell r="G393">
            <v>34.700000000000003</v>
          </cell>
          <cell r="H393">
            <v>35.020000000000003</v>
          </cell>
        </row>
        <row r="394">
          <cell r="B394" t="str">
            <v>PPL-DEC</v>
          </cell>
          <cell r="C394">
            <v>40</v>
          </cell>
          <cell r="D394" t="str">
            <v>PPL-DEC</v>
          </cell>
          <cell r="E394">
            <v>201</v>
          </cell>
          <cell r="F394">
            <v>207</v>
          </cell>
          <cell r="G394">
            <v>201</v>
          </cell>
          <cell r="H394">
            <v>206.71</v>
          </cell>
        </row>
        <row r="395">
          <cell r="B395" t="str">
            <v>OGDC-DEC</v>
          </cell>
          <cell r="C395">
            <v>40</v>
          </cell>
          <cell r="D395" t="str">
            <v>OGDC-DEC</v>
          </cell>
          <cell r="E395">
            <v>162.75</v>
          </cell>
          <cell r="F395">
            <v>164</v>
          </cell>
          <cell r="G395">
            <v>162.01</v>
          </cell>
          <cell r="H395">
            <v>162.61000000000001</v>
          </cell>
        </row>
        <row r="396">
          <cell r="B396" t="str">
            <v>DGKC-DEC</v>
          </cell>
          <cell r="C396">
            <v>40</v>
          </cell>
          <cell r="D396" t="str">
            <v>DGKC-DEC</v>
          </cell>
          <cell r="E396">
            <v>133</v>
          </cell>
          <cell r="F396">
            <v>135.4</v>
          </cell>
          <cell r="G396">
            <v>131.72999999999999</v>
          </cell>
          <cell r="H396">
            <v>133.72999999999999</v>
          </cell>
        </row>
        <row r="397">
          <cell r="B397" t="str">
            <v>MLCF-DEC</v>
          </cell>
          <cell r="C397">
            <v>40</v>
          </cell>
          <cell r="D397" t="str">
            <v>MLCF-DEC</v>
          </cell>
          <cell r="E397">
            <v>71.25</v>
          </cell>
          <cell r="F397">
            <v>71.25</v>
          </cell>
          <cell r="G397">
            <v>68</v>
          </cell>
          <cell r="H397">
            <v>68.48</v>
          </cell>
        </row>
        <row r="398">
          <cell r="B398" t="str">
            <v>BOP-DEC</v>
          </cell>
          <cell r="C398">
            <v>40</v>
          </cell>
          <cell r="D398" t="str">
            <v>BOP-DEC</v>
          </cell>
          <cell r="E398">
            <v>8.48</v>
          </cell>
          <cell r="F398">
            <v>8.5500000000000007</v>
          </cell>
          <cell r="G398">
            <v>8.1999999999999993</v>
          </cell>
          <cell r="H398">
            <v>8.24</v>
          </cell>
        </row>
        <row r="399">
          <cell r="B399" t="str">
            <v>NBP-DEC</v>
          </cell>
          <cell r="C399">
            <v>40</v>
          </cell>
          <cell r="D399" t="str">
            <v>NBP-DEC</v>
          </cell>
          <cell r="E399">
            <v>47.4</v>
          </cell>
          <cell r="F399">
            <v>49</v>
          </cell>
          <cell r="G399">
            <v>47.35</v>
          </cell>
          <cell r="H399">
            <v>48.12</v>
          </cell>
        </row>
        <row r="400">
          <cell r="B400" t="str">
            <v>AKBL-DEC</v>
          </cell>
          <cell r="C400">
            <v>40</v>
          </cell>
          <cell r="D400" t="str">
            <v>AKBL-DEC</v>
          </cell>
          <cell r="E400">
            <v>19.25</v>
          </cell>
          <cell r="F400">
            <v>19.25</v>
          </cell>
          <cell r="G400">
            <v>19.100000000000001</v>
          </cell>
          <cell r="H400">
            <v>19.23</v>
          </cell>
        </row>
        <row r="401">
          <cell r="B401" t="str">
            <v>DGKC-JAN</v>
          </cell>
          <cell r="C401">
            <v>40</v>
          </cell>
          <cell r="D401" t="str">
            <v>DGKC-JAN</v>
          </cell>
          <cell r="E401">
            <v>133</v>
          </cell>
          <cell r="F401">
            <v>135.80000000000001</v>
          </cell>
          <cell r="G401">
            <v>132</v>
          </cell>
          <cell r="H401">
            <v>134.08000000000001</v>
          </cell>
        </row>
        <row r="402">
          <cell r="B402" t="str">
            <v>NBP-JAN</v>
          </cell>
          <cell r="C402">
            <v>40</v>
          </cell>
          <cell r="D402" t="str">
            <v>NBP-JAN</v>
          </cell>
          <cell r="E402">
            <v>47.7</v>
          </cell>
          <cell r="F402">
            <v>49.75</v>
          </cell>
          <cell r="G402">
            <v>47.51</v>
          </cell>
          <cell r="H402">
            <v>48.35</v>
          </cell>
        </row>
        <row r="403">
          <cell r="B403" t="str">
            <v>MLCF-JAN</v>
          </cell>
          <cell r="C403">
            <v>40</v>
          </cell>
          <cell r="D403" t="str">
            <v>MLCF-JAN</v>
          </cell>
          <cell r="E403">
            <v>71.39</v>
          </cell>
          <cell r="F403">
            <v>71.81</v>
          </cell>
          <cell r="G403">
            <v>68</v>
          </cell>
          <cell r="H403">
            <v>68.709999999999994</v>
          </cell>
        </row>
        <row r="404">
          <cell r="B404" t="str">
            <v>BOP-JAN</v>
          </cell>
          <cell r="C404">
            <v>40</v>
          </cell>
          <cell r="D404" t="str">
            <v>BOP-JAN</v>
          </cell>
          <cell r="E404">
            <v>8.52</v>
          </cell>
          <cell r="F404">
            <v>8.6</v>
          </cell>
          <cell r="G404">
            <v>8.1999999999999993</v>
          </cell>
          <cell r="H404">
            <v>8.2799999999999994</v>
          </cell>
        </row>
        <row r="405">
          <cell r="B405" t="str">
            <v>AKBL-JAN</v>
          </cell>
          <cell r="C405">
            <v>40</v>
          </cell>
          <cell r="D405" t="str">
            <v>AKBL-JAN</v>
          </cell>
          <cell r="E405">
            <v>19.190000000000001</v>
          </cell>
          <cell r="F405">
            <v>19.350000000000001</v>
          </cell>
          <cell r="G405">
            <v>19.190000000000001</v>
          </cell>
          <cell r="H405">
            <v>19.350000000000001</v>
          </cell>
        </row>
        <row r="406">
          <cell r="B406" t="str">
            <v>PPL-JAN</v>
          </cell>
          <cell r="C406">
            <v>40</v>
          </cell>
          <cell r="D406" t="str">
            <v>PPL-JAN</v>
          </cell>
          <cell r="E406">
            <v>203.48</v>
          </cell>
          <cell r="F406">
            <v>207.75</v>
          </cell>
          <cell r="G406">
            <v>202</v>
          </cell>
          <cell r="H406">
            <v>205.69</v>
          </cell>
        </row>
        <row r="407">
          <cell r="B407" t="str">
            <v>OGDC-JAN</v>
          </cell>
          <cell r="C407">
            <v>40</v>
          </cell>
          <cell r="D407" t="str">
            <v>OGDC-JAN</v>
          </cell>
          <cell r="E407">
            <v>164.4</v>
          </cell>
          <cell r="F407">
            <v>165.9</v>
          </cell>
          <cell r="G407">
            <v>162.80000000000001</v>
          </cell>
          <cell r="H407">
            <v>163.37</v>
          </cell>
        </row>
        <row r="408">
          <cell r="B408" t="str">
            <v>BAFL-DEC</v>
          </cell>
          <cell r="C408">
            <v>40</v>
          </cell>
          <cell r="D408" t="str">
            <v>BAFL-DEC</v>
          </cell>
          <cell r="E408">
            <v>42.5</v>
          </cell>
          <cell r="F408">
            <v>43.38</v>
          </cell>
          <cell r="G408">
            <v>42.5</v>
          </cell>
          <cell r="H408">
            <v>42.55</v>
          </cell>
        </row>
        <row r="409">
          <cell r="B409" t="str">
            <v>KEL-JAN</v>
          </cell>
          <cell r="C409">
            <v>40</v>
          </cell>
          <cell r="D409" t="str">
            <v>KEL-JAN</v>
          </cell>
          <cell r="E409">
            <v>6.39</v>
          </cell>
          <cell r="F409">
            <v>6.39</v>
          </cell>
          <cell r="G409">
            <v>6.22</v>
          </cell>
          <cell r="H409">
            <v>6.31</v>
          </cell>
        </row>
        <row r="410">
          <cell r="B410" t="str">
            <v>BAFL-JAN</v>
          </cell>
          <cell r="C410">
            <v>40</v>
          </cell>
          <cell r="D410" t="str">
            <v>BAFL-JAN</v>
          </cell>
          <cell r="E410">
            <v>43.25</v>
          </cell>
          <cell r="F410">
            <v>43.25</v>
          </cell>
          <cell r="G410">
            <v>42.8</v>
          </cell>
          <cell r="H410">
            <v>42.8</v>
          </cell>
        </row>
        <row r="411">
          <cell r="B411" t="str">
            <v>OGDC-CDEC</v>
          </cell>
          <cell r="C411">
            <v>40</v>
          </cell>
          <cell r="D411" t="str">
            <v>OGDC-CDEC</v>
          </cell>
          <cell r="E411">
            <v>0</v>
          </cell>
          <cell r="F411">
            <v>162.79</v>
          </cell>
          <cell r="G411">
            <v>0</v>
          </cell>
          <cell r="H411">
            <v>162.79</v>
          </cell>
        </row>
        <row r="412">
          <cell r="B412" t="str">
            <v>PTC-CDEC</v>
          </cell>
          <cell r="C412">
            <v>40</v>
          </cell>
          <cell r="D412" t="str">
            <v>PTC-CDEC</v>
          </cell>
          <cell r="E412">
            <v>0</v>
          </cell>
          <cell r="F412">
            <v>13.05</v>
          </cell>
          <cell r="G412">
            <v>0</v>
          </cell>
          <cell r="H412">
            <v>13.05</v>
          </cell>
        </row>
        <row r="413">
          <cell r="B413" t="str">
            <v>NBP-CDEC</v>
          </cell>
          <cell r="C413">
            <v>40</v>
          </cell>
          <cell r="D413" t="str">
            <v>NBP-CDEC</v>
          </cell>
          <cell r="E413">
            <v>0</v>
          </cell>
          <cell r="F413">
            <v>48.56</v>
          </cell>
          <cell r="G413">
            <v>0</v>
          </cell>
          <cell r="H413">
            <v>48.56</v>
          </cell>
        </row>
        <row r="414">
          <cell r="B414" t="str">
            <v>OGDC-CJAN</v>
          </cell>
          <cell r="C414">
            <v>40</v>
          </cell>
          <cell r="D414" t="str">
            <v>OGDC-CJAN</v>
          </cell>
          <cell r="E414">
            <v>0</v>
          </cell>
          <cell r="F414">
            <v>164.03</v>
          </cell>
          <cell r="G414">
            <v>0</v>
          </cell>
          <cell r="H414">
            <v>164.03</v>
          </cell>
        </row>
        <row r="415">
          <cell r="B415" t="str">
            <v>PTC-CJAN</v>
          </cell>
          <cell r="C415">
            <v>40</v>
          </cell>
          <cell r="D415" t="str">
            <v>PTC-CJAN</v>
          </cell>
          <cell r="E415">
            <v>0</v>
          </cell>
          <cell r="F415">
            <v>13.15</v>
          </cell>
          <cell r="G415">
            <v>0</v>
          </cell>
          <cell r="H415">
            <v>13.15</v>
          </cell>
        </row>
        <row r="416">
          <cell r="B416" t="str">
            <v>NBP-CJAN</v>
          </cell>
          <cell r="C416">
            <v>40</v>
          </cell>
          <cell r="D416" t="str">
            <v>NBP-CJAN</v>
          </cell>
          <cell r="E416">
            <v>0</v>
          </cell>
          <cell r="F416">
            <v>48.93</v>
          </cell>
          <cell r="G416">
            <v>0</v>
          </cell>
          <cell r="H416">
            <v>48.93</v>
          </cell>
        </row>
        <row r="417">
          <cell r="B417" t="str">
            <v>OGDC-CFEB</v>
          </cell>
          <cell r="C417">
            <v>40</v>
          </cell>
          <cell r="D417" t="str">
            <v>OGDC-CFEB</v>
          </cell>
          <cell r="E417">
            <v>0</v>
          </cell>
          <cell r="F417">
            <v>165.32</v>
          </cell>
          <cell r="G417">
            <v>0</v>
          </cell>
          <cell r="H417">
            <v>165.32</v>
          </cell>
        </row>
        <row r="418">
          <cell r="B418" t="str">
            <v>PTC-CFEB</v>
          </cell>
          <cell r="C418">
            <v>40</v>
          </cell>
          <cell r="D418" t="str">
            <v>PTC-CFEB</v>
          </cell>
          <cell r="E418">
            <v>0</v>
          </cell>
          <cell r="F418">
            <v>13.25</v>
          </cell>
          <cell r="G418">
            <v>0</v>
          </cell>
          <cell r="H418">
            <v>13.25</v>
          </cell>
        </row>
        <row r="419">
          <cell r="B419" t="str">
            <v>NBP-CFEB</v>
          </cell>
          <cell r="C419">
            <v>40</v>
          </cell>
          <cell r="D419" t="str">
            <v>NBP-CFEB</v>
          </cell>
          <cell r="E419">
            <v>0</v>
          </cell>
          <cell r="F419">
            <v>49.32</v>
          </cell>
          <cell r="G419">
            <v>0</v>
          </cell>
          <cell r="H419">
            <v>49.32</v>
          </cell>
        </row>
        <row r="420">
          <cell r="B420" t="str">
            <v>PPL-CDEC</v>
          </cell>
          <cell r="C420">
            <v>40</v>
          </cell>
          <cell r="D420" t="str">
            <v>PPL-CDEC</v>
          </cell>
          <cell r="E420">
            <v>0</v>
          </cell>
          <cell r="F420">
            <v>205.91</v>
          </cell>
          <cell r="G420">
            <v>0</v>
          </cell>
          <cell r="H420">
            <v>205.91</v>
          </cell>
        </row>
        <row r="421">
          <cell r="B421" t="str">
            <v>PSO-CDEC</v>
          </cell>
          <cell r="C421">
            <v>40</v>
          </cell>
          <cell r="D421" t="str">
            <v>PSO-CDEC</v>
          </cell>
          <cell r="E421">
            <v>0</v>
          </cell>
          <cell r="F421">
            <v>293.11</v>
          </cell>
          <cell r="G421">
            <v>0</v>
          </cell>
          <cell r="H421">
            <v>293.11</v>
          </cell>
        </row>
        <row r="422">
          <cell r="B422" t="str">
            <v>ENGRO-CDEC</v>
          </cell>
          <cell r="C422">
            <v>40</v>
          </cell>
          <cell r="D422" t="str">
            <v>ENGRO-CDEC</v>
          </cell>
          <cell r="E422">
            <v>0</v>
          </cell>
          <cell r="F422">
            <v>274.75</v>
          </cell>
          <cell r="G422">
            <v>0</v>
          </cell>
          <cell r="H422">
            <v>274.75</v>
          </cell>
        </row>
        <row r="423">
          <cell r="B423" t="str">
            <v>BOP-CDEC</v>
          </cell>
          <cell r="C423">
            <v>40</v>
          </cell>
          <cell r="D423" t="str">
            <v>BOP-CDEC</v>
          </cell>
          <cell r="E423">
            <v>0</v>
          </cell>
          <cell r="F423">
            <v>8.24</v>
          </cell>
          <cell r="G423">
            <v>0</v>
          </cell>
          <cell r="H423">
            <v>8.24</v>
          </cell>
        </row>
        <row r="424">
          <cell r="B424" t="str">
            <v>FFBL-CDEC</v>
          </cell>
          <cell r="C424">
            <v>40</v>
          </cell>
          <cell r="D424" t="str">
            <v>FFBL-CDEC</v>
          </cell>
          <cell r="E424">
            <v>0</v>
          </cell>
          <cell r="F424">
            <v>35.54</v>
          </cell>
          <cell r="G424">
            <v>0</v>
          </cell>
          <cell r="H424">
            <v>35.54</v>
          </cell>
        </row>
        <row r="425">
          <cell r="B425" t="str">
            <v>MCB-CDEC</v>
          </cell>
          <cell r="C425">
            <v>40</v>
          </cell>
          <cell r="D425" t="str">
            <v>MCB-CDEC</v>
          </cell>
          <cell r="E425">
            <v>0</v>
          </cell>
          <cell r="F425">
            <v>212.32</v>
          </cell>
          <cell r="G425">
            <v>0</v>
          </cell>
          <cell r="H425">
            <v>212.32</v>
          </cell>
        </row>
        <row r="426">
          <cell r="B426" t="str">
            <v>HUBC-CDEC</v>
          </cell>
          <cell r="C426">
            <v>40</v>
          </cell>
          <cell r="D426" t="str">
            <v>HUBC-CDEC</v>
          </cell>
          <cell r="E426">
            <v>0</v>
          </cell>
          <cell r="F426">
            <v>91</v>
          </cell>
          <cell r="G426">
            <v>0</v>
          </cell>
          <cell r="H426">
            <v>91</v>
          </cell>
        </row>
        <row r="427">
          <cell r="B427" t="str">
            <v>BAFL-CDEC</v>
          </cell>
          <cell r="C427">
            <v>40</v>
          </cell>
          <cell r="D427" t="str">
            <v>BAFL-CDEC</v>
          </cell>
          <cell r="E427">
            <v>0</v>
          </cell>
          <cell r="F427">
            <v>42.5</v>
          </cell>
          <cell r="G427">
            <v>0</v>
          </cell>
          <cell r="H427">
            <v>42.5</v>
          </cell>
        </row>
        <row r="428">
          <cell r="B428" t="str">
            <v>PPL-CJAN</v>
          </cell>
          <cell r="C428">
            <v>40</v>
          </cell>
          <cell r="D428" t="str">
            <v>PPL-CJAN</v>
          </cell>
          <cell r="E428">
            <v>0</v>
          </cell>
          <cell r="F428">
            <v>207.48</v>
          </cell>
          <cell r="G428">
            <v>0</v>
          </cell>
          <cell r="H428">
            <v>207.48</v>
          </cell>
        </row>
        <row r="429">
          <cell r="B429" t="str">
            <v>PSO-CJAN</v>
          </cell>
          <cell r="C429">
            <v>40</v>
          </cell>
          <cell r="D429" t="str">
            <v>PSO-CJAN</v>
          </cell>
          <cell r="E429">
            <v>0</v>
          </cell>
          <cell r="F429">
            <v>295.35000000000002</v>
          </cell>
          <cell r="G429">
            <v>0</v>
          </cell>
          <cell r="H429">
            <v>295.35000000000002</v>
          </cell>
        </row>
        <row r="430">
          <cell r="B430" t="str">
            <v>ENGRO-CJAN</v>
          </cell>
          <cell r="C430">
            <v>40</v>
          </cell>
          <cell r="D430" t="str">
            <v>ENGRO-CJAN</v>
          </cell>
          <cell r="E430">
            <v>0</v>
          </cell>
          <cell r="F430">
            <v>276.85000000000002</v>
          </cell>
          <cell r="G430">
            <v>0</v>
          </cell>
          <cell r="H430">
            <v>276.85000000000002</v>
          </cell>
        </row>
        <row r="431">
          <cell r="B431" t="str">
            <v>BOP-CJAN</v>
          </cell>
          <cell r="C431">
            <v>40</v>
          </cell>
          <cell r="D431" t="str">
            <v>BOP-CJAN</v>
          </cell>
          <cell r="E431">
            <v>0</v>
          </cell>
          <cell r="F431">
            <v>8.3000000000000007</v>
          </cell>
          <cell r="G431">
            <v>0</v>
          </cell>
          <cell r="H431">
            <v>8.3000000000000007</v>
          </cell>
        </row>
        <row r="432">
          <cell r="B432" t="str">
            <v>FFBL-CJAN</v>
          </cell>
          <cell r="C432">
            <v>40</v>
          </cell>
          <cell r="D432" t="str">
            <v>FFBL-CJAN</v>
          </cell>
          <cell r="E432">
            <v>0</v>
          </cell>
          <cell r="F432">
            <v>35.81</v>
          </cell>
          <cell r="G432">
            <v>0</v>
          </cell>
          <cell r="H432">
            <v>35.81</v>
          </cell>
        </row>
        <row r="433">
          <cell r="B433" t="str">
            <v>MCB-CJAN</v>
          </cell>
          <cell r="C433">
            <v>40</v>
          </cell>
          <cell r="D433" t="str">
            <v>MCB-CJAN</v>
          </cell>
          <cell r="E433">
            <v>0</v>
          </cell>
          <cell r="F433">
            <v>213.94</v>
          </cell>
          <cell r="G433">
            <v>0</v>
          </cell>
          <cell r="H433">
            <v>213.94</v>
          </cell>
        </row>
        <row r="434">
          <cell r="B434" t="str">
            <v>HUBC-CJAN</v>
          </cell>
          <cell r="C434">
            <v>40</v>
          </cell>
          <cell r="D434" t="str">
            <v>HUBC-CJAN</v>
          </cell>
          <cell r="E434">
            <v>0</v>
          </cell>
          <cell r="F434">
            <v>91.69</v>
          </cell>
          <cell r="G434">
            <v>0</v>
          </cell>
          <cell r="H434">
            <v>91.69</v>
          </cell>
        </row>
        <row r="435">
          <cell r="B435" t="str">
            <v>BAFL-CJAN</v>
          </cell>
          <cell r="C435">
            <v>40</v>
          </cell>
          <cell r="D435" t="str">
            <v>BAFL-CJAN</v>
          </cell>
          <cell r="E435">
            <v>0</v>
          </cell>
          <cell r="F435">
            <v>42.82</v>
          </cell>
          <cell r="G435">
            <v>0</v>
          </cell>
          <cell r="H435">
            <v>42.82</v>
          </cell>
        </row>
        <row r="436">
          <cell r="B436" t="str">
            <v>ATRL-DEC</v>
          </cell>
          <cell r="C436">
            <v>40</v>
          </cell>
          <cell r="D436" t="str">
            <v>ATRL-DEC</v>
          </cell>
          <cell r="E436">
            <v>242.6</v>
          </cell>
          <cell r="F436">
            <v>244.7</v>
          </cell>
          <cell r="G436">
            <v>232.5</v>
          </cell>
          <cell r="H436">
            <v>234.47</v>
          </cell>
        </row>
        <row r="437">
          <cell r="B437" t="str">
            <v>FCCL-DEC</v>
          </cell>
          <cell r="C437">
            <v>40</v>
          </cell>
          <cell r="D437" t="str">
            <v>FCCL-DEC</v>
          </cell>
          <cell r="E437">
            <v>25.9</v>
          </cell>
          <cell r="F437">
            <v>25.95</v>
          </cell>
          <cell r="G437">
            <v>24.8</v>
          </cell>
          <cell r="H437">
            <v>24.9</v>
          </cell>
        </row>
        <row r="438">
          <cell r="B438" t="str">
            <v>UBL-DEC</v>
          </cell>
          <cell r="C438">
            <v>40</v>
          </cell>
          <cell r="D438" t="str">
            <v>UBL-DEC</v>
          </cell>
          <cell r="E438">
            <v>184.2</v>
          </cell>
          <cell r="F438">
            <v>189.8</v>
          </cell>
          <cell r="G438">
            <v>184.2</v>
          </cell>
          <cell r="H438">
            <v>188.92</v>
          </cell>
        </row>
        <row r="439">
          <cell r="B439" t="str">
            <v>HBL-DEC</v>
          </cell>
          <cell r="C439">
            <v>40</v>
          </cell>
          <cell r="D439" t="str">
            <v>HBL-DEC</v>
          </cell>
          <cell r="E439">
            <v>169</v>
          </cell>
          <cell r="F439">
            <v>170.25</v>
          </cell>
          <cell r="G439">
            <v>167</v>
          </cell>
          <cell r="H439">
            <v>167.53</v>
          </cell>
        </row>
        <row r="440">
          <cell r="B440" t="str">
            <v>ATRL-JAN</v>
          </cell>
          <cell r="C440">
            <v>40</v>
          </cell>
          <cell r="D440" t="str">
            <v>ATRL-JAN</v>
          </cell>
          <cell r="E440">
            <v>243.51</v>
          </cell>
          <cell r="F440">
            <v>245.5</v>
          </cell>
          <cell r="G440">
            <v>233.99</v>
          </cell>
          <cell r="H440">
            <v>235.45</v>
          </cell>
        </row>
        <row r="441">
          <cell r="B441" t="str">
            <v>FCCL-JAN</v>
          </cell>
          <cell r="C441">
            <v>40</v>
          </cell>
          <cell r="D441" t="str">
            <v>FCCL-JAN</v>
          </cell>
          <cell r="E441">
            <v>25.9</v>
          </cell>
          <cell r="F441">
            <v>26</v>
          </cell>
          <cell r="G441">
            <v>24.74</v>
          </cell>
          <cell r="H441">
            <v>24.94</v>
          </cell>
        </row>
        <row r="442">
          <cell r="B442" t="str">
            <v>UBL-JAN</v>
          </cell>
          <cell r="C442">
            <v>40</v>
          </cell>
          <cell r="D442" t="str">
            <v>UBL-JAN</v>
          </cell>
          <cell r="E442">
            <v>178.35</v>
          </cell>
          <cell r="F442">
            <v>189</v>
          </cell>
          <cell r="G442">
            <v>178.35</v>
          </cell>
          <cell r="H442">
            <v>187.83</v>
          </cell>
        </row>
        <row r="443">
          <cell r="B443" t="str">
            <v>HBL-JAN</v>
          </cell>
          <cell r="C443">
            <v>40</v>
          </cell>
          <cell r="D443" t="str">
            <v>HBL-JAN</v>
          </cell>
          <cell r="E443">
            <v>171.49</v>
          </cell>
          <cell r="F443">
            <v>171.49</v>
          </cell>
          <cell r="G443">
            <v>168</v>
          </cell>
          <cell r="H443">
            <v>168.07</v>
          </cell>
        </row>
        <row r="444">
          <cell r="B444" t="str">
            <v>NCL-CDEC</v>
          </cell>
          <cell r="C444">
            <v>40</v>
          </cell>
          <cell r="D444" t="str">
            <v>NCL-CDEC</v>
          </cell>
          <cell r="E444">
            <v>0</v>
          </cell>
          <cell r="F444">
            <v>45.77</v>
          </cell>
          <cell r="G444">
            <v>0</v>
          </cell>
          <cell r="H444">
            <v>45.77</v>
          </cell>
        </row>
        <row r="445">
          <cell r="B445" t="str">
            <v>NCL-CJAN</v>
          </cell>
          <cell r="C445">
            <v>40</v>
          </cell>
          <cell r="D445" t="str">
            <v>NCL-CJAN</v>
          </cell>
          <cell r="E445">
            <v>0</v>
          </cell>
          <cell r="F445">
            <v>46.12</v>
          </cell>
          <cell r="G445">
            <v>0</v>
          </cell>
          <cell r="H445">
            <v>46.12</v>
          </cell>
        </row>
        <row r="446">
          <cell r="B446" t="str">
            <v>NCL-CFEB</v>
          </cell>
          <cell r="C446">
            <v>40</v>
          </cell>
          <cell r="D446" t="str">
            <v>NCL-CFEB</v>
          </cell>
          <cell r="E446">
            <v>0</v>
          </cell>
          <cell r="F446">
            <v>46.48</v>
          </cell>
          <cell r="G446">
            <v>0</v>
          </cell>
          <cell r="H446">
            <v>46.48</v>
          </cell>
        </row>
        <row r="447">
          <cell r="B447" t="str">
            <v>EFOODS-CDEC</v>
          </cell>
          <cell r="C447">
            <v>40</v>
          </cell>
          <cell r="D447" t="str">
            <v>EFOODS-CDEC</v>
          </cell>
          <cell r="E447">
            <v>0</v>
          </cell>
          <cell r="F447">
            <v>80.31</v>
          </cell>
          <cell r="G447">
            <v>0</v>
          </cell>
          <cell r="H447">
            <v>80.31</v>
          </cell>
        </row>
        <row r="448">
          <cell r="B448" t="str">
            <v>EFOODS-CJAN</v>
          </cell>
          <cell r="C448">
            <v>40</v>
          </cell>
          <cell r="D448" t="str">
            <v>EFOODS-CJAN</v>
          </cell>
          <cell r="E448">
            <v>0</v>
          </cell>
          <cell r="F448">
            <v>80.92</v>
          </cell>
          <cell r="G448">
            <v>0</v>
          </cell>
          <cell r="H448">
            <v>80.92</v>
          </cell>
        </row>
        <row r="449">
          <cell r="B449" t="str">
            <v>EFOODS-DEC</v>
          </cell>
          <cell r="C449">
            <v>40</v>
          </cell>
          <cell r="D449" t="str">
            <v>EFOODS-DEC</v>
          </cell>
          <cell r="E449">
            <v>78</v>
          </cell>
          <cell r="F449">
            <v>81.900000000000006</v>
          </cell>
          <cell r="G449">
            <v>77.5</v>
          </cell>
          <cell r="H449">
            <v>79.459999999999994</v>
          </cell>
        </row>
        <row r="450">
          <cell r="B450" t="str">
            <v>EFOODS-CFEB</v>
          </cell>
          <cell r="C450">
            <v>40</v>
          </cell>
          <cell r="D450" t="str">
            <v>EFOODS-CFEB</v>
          </cell>
          <cell r="E450">
            <v>0</v>
          </cell>
          <cell r="F450">
            <v>81.56</v>
          </cell>
          <cell r="G450">
            <v>0</v>
          </cell>
          <cell r="H450">
            <v>81.56</v>
          </cell>
        </row>
        <row r="451">
          <cell r="B451" t="str">
            <v>EFOODS-JAN</v>
          </cell>
          <cell r="C451">
            <v>40</v>
          </cell>
          <cell r="D451" t="str">
            <v>EFOODS-JAN</v>
          </cell>
          <cell r="E451">
            <v>77.5</v>
          </cell>
          <cell r="F451">
            <v>79.75</v>
          </cell>
          <cell r="G451">
            <v>76.5</v>
          </cell>
          <cell r="H451">
            <v>78.06</v>
          </cell>
        </row>
        <row r="452">
          <cell r="B452" t="str">
            <v>FCCL-CDEC</v>
          </cell>
          <cell r="C452">
            <v>40</v>
          </cell>
          <cell r="D452" t="str">
            <v>FCCL-CDEC</v>
          </cell>
          <cell r="E452">
            <v>0</v>
          </cell>
          <cell r="F452">
            <v>25.01</v>
          </cell>
          <cell r="G452">
            <v>0</v>
          </cell>
          <cell r="H452">
            <v>25.01</v>
          </cell>
        </row>
        <row r="453">
          <cell r="B453" t="str">
            <v>FCCL-CJAN</v>
          </cell>
          <cell r="C453">
            <v>40</v>
          </cell>
          <cell r="D453" t="str">
            <v>FCCL-CJAN</v>
          </cell>
          <cell r="E453">
            <v>0</v>
          </cell>
          <cell r="F453">
            <v>25.2</v>
          </cell>
          <cell r="G453">
            <v>0</v>
          </cell>
          <cell r="H453">
            <v>25.2</v>
          </cell>
        </row>
        <row r="454">
          <cell r="B454" t="str">
            <v>MLCF-CDEC</v>
          </cell>
          <cell r="C454">
            <v>40</v>
          </cell>
          <cell r="D454" t="str">
            <v>MLCF-CDEC</v>
          </cell>
          <cell r="E454">
            <v>0</v>
          </cell>
          <cell r="F454">
            <v>68.44</v>
          </cell>
          <cell r="G454">
            <v>0</v>
          </cell>
          <cell r="H454">
            <v>68.44</v>
          </cell>
        </row>
        <row r="455">
          <cell r="B455" t="str">
            <v>KEL-CDEC</v>
          </cell>
          <cell r="C455">
            <v>40</v>
          </cell>
          <cell r="D455" t="str">
            <v>KEL-CDEC</v>
          </cell>
          <cell r="E455">
            <v>0</v>
          </cell>
          <cell r="F455">
            <v>6.31</v>
          </cell>
          <cell r="G455">
            <v>0</v>
          </cell>
          <cell r="H455">
            <v>6.31</v>
          </cell>
        </row>
        <row r="456">
          <cell r="B456" t="str">
            <v>PAEL-CDEC</v>
          </cell>
          <cell r="C456">
            <v>40</v>
          </cell>
          <cell r="D456" t="str">
            <v>PAEL-CDEC</v>
          </cell>
          <cell r="E456">
            <v>0</v>
          </cell>
          <cell r="F456">
            <v>47.49</v>
          </cell>
          <cell r="G456">
            <v>0</v>
          </cell>
          <cell r="H456">
            <v>47.49</v>
          </cell>
        </row>
        <row r="457">
          <cell r="B457" t="str">
            <v>GATM-CDEC</v>
          </cell>
          <cell r="C457">
            <v>40</v>
          </cell>
          <cell r="D457" t="str">
            <v>GATM-CDEC</v>
          </cell>
          <cell r="E457">
            <v>0</v>
          </cell>
          <cell r="F457">
            <v>37.08</v>
          </cell>
          <cell r="G457">
            <v>0</v>
          </cell>
          <cell r="H457">
            <v>37.08</v>
          </cell>
        </row>
        <row r="458">
          <cell r="B458" t="str">
            <v>KEL-CJAN</v>
          </cell>
          <cell r="C458">
            <v>40</v>
          </cell>
          <cell r="D458" t="str">
            <v>KEL-CJAN</v>
          </cell>
          <cell r="E458">
            <v>0</v>
          </cell>
          <cell r="F458">
            <v>6.36</v>
          </cell>
          <cell r="G458">
            <v>0</v>
          </cell>
          <cell r="H458">
            <v>6.36</v>
          </cell>
        </row>
        <row r="459">
          <cell r="B459" t="str">
            <v>MLCF-CJAN</v>
          </cell>
          <cell r="C459">
            <v>40</v>
          </cell>
          <cell r="D459" t="str">
            <v>MLCF-CJAN</v>
          </cell>
          <cell r="E459">
            <v>0</v>
          </cell>
          <cell r="F459">
            <v>68.959999999999994</v>
          </cell>
          <cell r="G459">
            <v>0</v>
          </cell>
          <cell r="H459">
            <v>68.959999999999994</v>
          </cell>
        </row>
        <row r="460">
          <cell r="B460" t="str">
            <v>PAEL-CJAN</v>
          </cell>
          <cell r="C460">
            <v>40</v>
          </cell>
          <cell r="D460" t="str">
            <v>PAEL-CJAN</v>
          </cell>
          <cell r="E460">
            <v>0</v>
          </cell>
          <cell r="F460">
            <v>47.85</v>
          </cell>
          <cell r="G460">
            <v>0</v>
          </cell>
          <cell r="H460">
            <v>47.85</v>
          </cell>
        </row>
        <row r="461">
          <cell r="B461" t="str">
            <v>KEL-DEC</v>
          </cell>
          <cell r="C461">
            <v>40</v>
          </cell>
          <cell r="D461" t="str">
            <v>KEL-DEC</v>
          </cell>
          <cell r="E461">
            <v>6.24</v>
          </cell>
          <cell r="F461">
            <v>6.34</v>
          </cell>
          <cell r="G461">
            <v>6.19</v>
          </cell>
          <cell r="H461">
            <v>6.29</v>
          </cell>
        </row>
        <row r="462">
          <cell r="B462" t="str">
            <v>PAEL-DEC</v>
          </cell>
          <cell r="C462">
            <v>40</v>
          </cell>
          <cell r="D462" t="str">
            <v>PAEL-DEC</v>
          </cell>
          <cell r="E462">
            <v>49.02</v>
          </cell>
          <cell r="F462">
            <v>50.25</v>
          </cell>
          <cell r="G462">
            <v>47.41</v>
          </cell>
          <cell r="H462">
            <v>47.48</v>
          </cell>
        </row>
        <row r="463">
          <cell r="B463" t="str">
            <v>MLCF-CFEB</v>
          </cell>
          <cell r="C463">
            <v>40</v>
          </cell>
          <cell r="D463" t="str">
            <v>MLCF-CFEB</v>
          </cell>
          <cell r="E463">
            <v>0</v>
          </cell>
          <cell r="F463">
            <v>69.5</v>
          </cell>
          <cell r="G463">
            <v>0</v>
          </cell>
          <cell r="H463">
            <v>69.5</v>
          </cell>
        </row>
        <row r="464">
          <cell r="B464" t="str">
            <v>PAEL-CFEB</v>
          </cell>
          <cell r="C464">
            <v>40</v>
          </cell>
          <cell r="D464" t="str">
            <v>PAEL-CFEB</v>
          </cell>
          <cell r="E464">
            <v>0</v>
          </cell>
          <cell r="F464">
            <v>48.23</v>
          </cell>
          <cell r="G464">
            <v>0</v>
          </cell>
          <cell r="H464">
            <v>48.23</v>
          </cell>
        </row>
        <row r="465">
          <cell r="B465" t="str">
            <v>KEL-CFEB</v>
          </cell>
          <cell r="C465">
            <v>40</v>
          </cell>
          <cell r="D465" t="str">
            <v>KEL-CFEB</v>
          </cell>
          <cell r="E465">
            <v>0</v>
          </cell>
          <cell r="F465">
            <v>6.41</v>
          </cell>
          <cell r="G465">
            <v>0</v>
          </cell>
          <cell r="H465">
            <v>6.41</v>
          </cell>
        </row>
        <row r="466">
          <cell r="B466" t="str">
            <v>PAEL-JAN</v>
          </cell>
          <cell r="C466">
            <v>40</v>
          </cell>
          <cell r="D466" t="str">
            <v>PAEL-JAN</v>
          </cell>
          <cell r="E466">
            <v>49.25</v>
          </cell>
          <cell r="F466">
            <v>50.49</v>
          </cell>
          <cell r="G466">
            <v>47.69</v>
          </cell>
          <cell r="H466">
            <v>47.73</v>
          </cell>
        </row>
        <row r="467">
          <cell r="B467" t="str">
            <v>EFERT-CDEC</v>
          </cell>
          <cell r="C467">
            <v>40</v>
          </cell>
          <cell r="D467" t="str">
            <v>EFERT-CDEC</v>
          </cell>
          <cell r="E467">
            <v>0</v>
          </cell>
          <cell r="F467">
            <v>67.72</v>
          </cell>
          <cell r="G467">
            <v>0</v>
          </cell>
          <cell r="H467">
            <v>67.72</v>
          </cell>
        </row>
        <row r="468">
          <cell r="B468" t="str">
            <v>EFERT-CJAN</v>
          </cell>
          <cell r="C468">
            <v>40</v>
          </cell>
          <cell r="D468" t="str">
            <v>EFERT-CJAN</v>
          </cell>
          <cell r="E468">
            <v>0</v>
          </cell>
          <cell r="F468">
            <v>68.239999999999995</v>
          </cell>
          <cell r="G468">
            <v>0</v>
          </cell>
          <cell r="H468">
            <v>68.239999999999995</v>
          </cell>
        </row>
        <row r="469">
          <cell r="B469" t="str">
            <v>EFERT-DEC</v>
          </cell>
          <cell r="C469">
            <v>40</v>
          </cell>
          <cell r="D469" t="str">
            <v>EFERT-DEC</v>
          </cell>
          <cell r="E469">
            <v>67.099999999999994</v>
          </cell>
          <cell r="F469">
            <v>67.75</v>
          </cell>
          <cell r="G469">
            <v>66.5</v>
          </cell>
          <cell r="H469">
            <v>67.599999999999994</v>
          </cell>
        </row>
        <row r="470">
          <cell r="B470" t="str">
            <v>EFERT-CFEB</v>
          </cell>
          <cell r="C470">
            <v>40</v>
          </cell>
          <cell r="D470" t="str">
            <v>EFERT-CFEB</v>
          </cell>
          <cell r="E470">
            <v>0</v>
          </cell>
          <cell r="F470">
            <v>68.77</v>
          </cell>
          <cell r="G470">
            <v>0</v>
          </cell>
          <cell r="H470">
            <v>68.77</v>
          </cell>
        </row>
        <row r="471">
          <cell r="B471" t="str">
            <v>EFERT-JAN</v>
          </cell>
          <cell r="C471">
            <v>40</v>
          </cell>
          <cell r="D471" t="str">
            <v>EFERT-JAN</v>
          </cell>
          <cell r="E471">
            <v>67.3</v>
          </cell>
          <cell r="F471">
            <v>68</v>
          </cell>
          <cell r="G471">
            <v>66.989999999999995</v>
          </cell>
          <cell r="H471">
            <v>67.84</v>
          </cell>
        </row>
        <row r="472">
          <cell r="B472" t="str">
            <v>ASTL-CDEC</v>
          </cell>
          <cell r="C472">
            <v>40</v>
          </cell>
          <cell r="D472" t="str">
            <v>ASTL-CDEC</v>
          </cell>
          <cell r="E472">
            <v>0</v>
          </cell>
          <cell r="F472">
            <v>92.66</v>
          </cell>
          <cell r="G472">
            <v>0</v>
          </cell>
          <cell r="H472">
            <v>92.66</v>
          </cell>
        </row>
        <row r="473">
          <cell r="B473" t="str">
            <v>TPL-CDEC</v>
          </cell>
          <cell r="C473">
            <v>40</v>
          </cell>
          <cell r="D473" t="str">
            <v>TPL-CDEC</v>
          </cell>
          <cell r="E473">
            <v>0</v>
          </cell>
          <cell r="F473">
            <v>7.15</v>
          </cell>
          <cell r="G473">
            <v>0</v>
          </cell>
          <cell r="H473">
            <v>7.15</v>
          </cell>
        </row>
        <row r="474">
          <cell r="B474" t="str">
            <v>TRG-CDEC</v>
          </cell>
          <cell r="C474">
            <v>40</v>
          </cell>
          <cell r="D474" t="str">
            <v>TRG-CDEC</v>
          </cell>
          <cell r="E474">
            <v>0</v>
          </cell>
          <cell r="F474">
            <v>29.6</v>
          </cell>
          <cell r="G474">
            <v>0</v>
          </cell>
          <cell r="H474">
            <v>29.6</v>
          </cell>
        </row>
        <row r="475">
          <cell r="B475" t="str">
            <v>ISL-CDEC</v>
          </cell>
          <cell r="C475">
            <v>40</v>
          </cell>
          <cell r="D475" t="str">
            <v>ISL-CDEC</v>
          </cell>
          <cell r="E475">
            <v>0</v>
          </cell>
          <cell r="F475">
            <v>106.37</v>
          </cell>
          <cell r="G475">
            <v>0</v>
          </cell>
          <cell r="H475">
            <v>106.37</v>
          </cell>
        </row>
        <row r="476">
          <cell r="B476" t="str">
            <v>POWER-CDEC</v>
          </cell>
          <cell r="C476">
            <v>40</v>
          </cell>
          <cell r="D476" t="str">
            <v>POWER-CDEC</v>
          </cell>
          <cell r="E476">
            <v>0</v>
          </cell>
          <cell r="F476">
            <v>8.74</v>
          </cell>
          <cell r="G476">
            <v>0</v>
          </cell>
          <cell r="H476">
            <v>8.74</v>
          </cell>
        </row>
        <row r="477">
          <cell r="B477" t="str">
            <v>ASTL-CJAN</v>
          </cell>
          <cell r="C477">
            <v>40</v>
          </cell>
          <cell r="D477" t="str">
            <v>ASTL-CJAN</v>
          </cell>
          <cell r="E477">
            <v>0</v>
          </cell>
          <cell r="F477">
            <v>93.37</v>
          </cell>
          <cell r="G477">
            <v>0</v>
          </cell>
          <cell r="H477">
            <v>93.37</v>
          </cell>
        </row>
        <row r="478">
          <cell r="B478" t="str">
            <v>TRG-CJAN</v>
          </cell>
          <cell r="C478">
            <v>40</v>
          </cell>
          <cell r="D478" t="str">
            <v>TRG-CJAN</v>
          </cell>
          <cell r="E478">
            <v>0</v>
          </cell>
          <cell r="F478">
            <v>29.83</v>
          </cell>
          <cell r="G478">
            <v>0</v>
          </cell>
          <cell r="H478">
            <v>29.83</v>
          </cell>
        </row>
        <row r="479">
          <cell r="B479" t="str">
            <v>ISL-CJAN</v>
          </cell>
          <cell r="C479">
            <v>40</v>
          </cell>
          <cell r="D479" t="str">
            <v>ISL-CJAN</v>
          </cell>
          <cell r="E479">
            <v>0</v>
          </cell>
          <cell r="F479">
            <v>107.18</v>
          </cell>
          <cell r="G479">
            <v>0</v>
          </cell>
          <cell r="H479">
            <v>107.18</v>
          </cell>
        </row>
        <row r="480">
          <cell r="B480" t="str">
            <v>TRG-DEC</v>
          </cell>
          <cell r="C480">
            <v>40</v>
          </cell>
          <cell r="D480" t="str">
            <v>TRG-DEC</v>
          </cell>
          <cell r="E480">
            <v>30.9</v>
          </cell>
          <cell r="F480">
            <v>31</v>
          </cell>
          <cell r="G480">
            <v>29.61</v>
          </cell>
          <cell r="H480">
            <v>29.61</v>
          </cell>
        </row>
        <row r="481">
          <cell r="B481" t="str">
            <v>ISL-DEC</v>
          </cell>
          <cell r="C481">
            <v>40</v>
          </cell>
          <cell r="D481" t="str">
            <v>ISL-DEC</v>
          </cell>
          <cell r="E481">
            <v>106</v>
          </cell>
          <cell r="F481">
            <v>107.5</v>
          </cell>
          <cell r="G481">
            <v>104.48</v>
          </cell>
          <cell r="H481">
            <v>106.31</v>
          </cell>
        </row>
        <row r="482">
          <cell r="B482" t="str">
            <v>ASTL-DEC</v>
          </cell>
          <cell r="C482">
            <v>40</v>
          </cell>
          <cell r="D482" t="str">
            <v>ASTL-DEC</v>
          </cell>
          <cell r="E482">
            <v>94.65</v>
          </cell>
          <cell r="F482">
            <v>98</v>
          </cell>
          <cell r="G482">
            <v>91</v>
          </cell>
          <cell r="H482">
            <v>91.51</v>
          </cell>
        </row>
        <row r="483">
          <cell r="B483" t="str">
            <v>ASTL-CFEB</v>
          </cell>
          <cell r="C483">
            <v>40</v>
          </cell>
          <cell r="D483" t="str">
            <v>ASTL-CFEB</v>
          </cell>
          <cell r="E483">
            <v>0</v>
          </cell>
          <cell r="F483">
            <v>94.1</v>
          </cell>
          <cell r="G483">
            <v>0</v>
          </cell>
          <cell r="H483">
            <v>94.1</v>
          </cell>
        </row>
        <row r="484">
          <cell r="B484" t="str">
            <v>TRG-CFEB</v>
          </cell>
          <cell r="C484">
            <v>40</v>
          </cell>
          <cell r="D484" t="str">
            <v>TRG-CFEB</v>
          </cell>
          <cell r="E484">
            <v>0</v>
          </cell>
          <cell r="F484">
            <v>30.06</v>
          </cell>
          <cell r="G484">
            <v>0</v>
          </cell>
          <cell r="H484">
            <v>30.06</v>
          </cell>
        </row>
      </sheetData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chedule  "/>
      <sheetName val="Working  Schedule "/>
      <sheetName val="Managed Fund"/>
      <sheetName val="Capital Growth Fund"/>
      <sheetName val="Meesaq Fund"/>
      <sheetName val="Yaqeen Growth Fund"/>
      <sheetName val="Buffer"/>
      <sheetName val="SHF"/>
      <sheetName val="Managed Growth Takaful Fund"/>
      <sheetName val="Capital Growth Takaful Fund"/>
      <sheetName val="Consolidated Portfolio"/>
      <sheetName val="Consolidated Portfolio IL"/>
      <sheetName val="Consolidated Portfolio Takaful"/>
      <sheetName val="Gain on Sale of Equities "/>
      <sheetName val="Trade Summary - Purchases"/>
      <sheetName val="Group Life "/>
      <sheetName val="Group Health 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 t="str">
            <v>GASF</v>
          </cell>
          <cell r="C1">
            <v>806</v>
          </cell>
          <cell r="D1" t="str">
            <v>Golden Arrow</v>
          </cell>
          <cell r="E1">
            <v>9.16</v>
          </cell>
          <cell r="F1">
            <v>9.16</v>
          </cell>
          <cell r="G1">
            <v>9.0500000000000007</v>
          </cell>
          <cell r="H1">
            <v>9.08</v>
          </cell>
        </row>
        <row r="2">
          <cell r="B2" t="str">
            <v>PGF</v>
          </cell>
          <cell r="C2">
            <v>806</v>
          </cell>
          <cell r="D2" t="str">
            <v>PICIC Growth</v>
          </cell>
          <cell r="E2">
            <v>28.5</v>
          </cell>
          <cell r="F2">
            <v>28.7</v>
          </cell>
          <cell r="G2">
            <v>28.25</v>
          </cell>
          <cell r="H2">
            <v>28.7</v>
          </cell>
        </row>
        <row r="3">
          <cell r="B3" t="str">
            <v>PIF</v>
          </cell>
          <cell r="C3">
            <v>806</v>
          </cell>
          <cell r="D3" t="str">
            <v>PICIC Inv.Fund</v>
          </cell>
          <cell r="E3">
            <v>13.2</v>
          </cell>
          <cell r="F3">
            <v>13.3</v>
          </cell>
          <cell r="G3">
            <v>13.2</v>
          </cell>
          <cell r="H3">
            <v>13.3</v>
          </cell>
        </row>
        <row r="4">
          <cell r="B4" t="str">
            <v>TSMF</v>
          </cell>
          <cell r="C4">
            <v>806</v>
          </cell>
          <cell r="D4" t="str">
            <v>Tri-Star Mutual</v>
          </cell>
          <cell r="E4">
            <v>4.1100000000000003</v>
          </cell>
          <cell r="F4">
            <v>4.13</v>
          </cell>
          <cell r="G4">
            <v>4.1100000000000003</v>
          </cell>
          <cell r="H4">
            <v>4.13</v>
          </cell>
        </row>
        <row r="5">
          <cell r="B5" t="str">
            <v>FANM</v>
          </cell>
          <cell r="C5">
            <v>819</v>
          </cell>
          <cell r="D5" t="str">
            <v>AL-Noor Mod</v>
          </cell>
          <cell r="E5">
            <v>3.1</v>
          </cell>
          <cell r="F5">
            <v>3.45</v>
          </cell>
          <cell r="G5">
            <v>3.05</v>
          </cell>
          <cell r="H5">
            <v>3.41</v>
          </cell>
        </row>
        <row r="6">
          <cell r="B6" t="str">
            <v>ARM</v>
          </cell>
          <cell r="C6">
            <v>819</v>
          </cell>
          <cell r="D6" t="str">
            <v>Allied Rent.</v>
          </cell>
          <cell r="E6">
            <v>19</v>
          </cell>
          <cell r="F6">
            <v>19</v>
          </cell>
          <cell r="G6">
            <v>19</v>
          </cell>
          <cell r="H6">
            <v>19</v>
          </cell>
        </row>
        <row r="7">
          <cell r="B7" t="str">
            <v>BRR</v>
          </cell>
          <cell r="C7">
            <v>819</v>
          </cell>
          <cell r="D7" t="str">
            <v>B.R.R.Guardian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</row>
        <row r="8">
          <cell r="B8" t="str">
            <v>FECM</v>
          </cell>
          <cell r="C8">
            <v>819</v>
          </cell>
          <cell r="D8" t="str">
            <v>Elite Cap.Mod</v>
          </cell>
          <cell r="E8">
            <v>3</v>
          </cell>
          <cell r="F8">
            <v>3</v>
          </cell>
          <cell r="G8">
            <v>2.75</v>
          </cell>
          <cell r="H8">
            <v>2.96</v>
          </cell>
        </row>
        <row r="9">
          <cell r="B9" t="str">
            <v>FEM</v>
          </cell>
          <cell r="C9">
            <v>819</v>
          </cell>
          <cell r="D9" t="str">
            <v>Equity ModarabaXD</v>
          </cell>
          <cell r="E9">
            <v>4.0199999999999996</v>
          </cell>
          <cell r="F9">
            <v>4.0199999999999996</v>
          </cell>
          <cell r="G9">
            <v>4</v>
          </cell>
          <cell r="H9">
            <v>4</v>
          </cell>
        </row>
        <row r="10">
          <cell r="B10" t="str">
            <v>FFLM</v>
          </cell>
          <cell r="C10">
            <v>819</v>
          </cell>
          <cell r="D10" t="str">
            <v>1st.Fid.Leasing</v>
          </cell>
          <cell r="E10">
            <v>5.4</v>
          </cell>
          <cell r="F10">
            <v>5.45</v>
          </cell>
          <cell r="G10">
            <v>5.3</v>
          </cell>
          <cell r="H10">
            <v>5.4</v>
          </cell>
        </row>
        <row r="11">
          <cell r="B11" t="str">
            <v>ORIXM</v>
          </cell>
          <cell r="C11">
            <v>819</v>
          </cell>
          <cell r="D11" t="str">
            <v>Orix Modaraba</v>
          </cell>
          <cell r="E11">
            <v>19.55</v>
          </cell>
          <cell r="F11">
            <v>19.89</v>
          </cell>
          <cell r="G11">
            <v>19.55</v>
          </cell>
          <cell r="H11">
            <v>19.89</v>
          </cell>
        </row>
        <row r="12">
          <cell r="B12" t="str">
            <v>FHAM</v>
          </cell>
          <cell r="C12">
            <v>819</v>
          </cell>
          <cell r="D12" t="str">
            <v>Habib Modaraba</v>
          </cell>
          <cell r="E12">
            <v>10.46</v>
          </cell>
          <cell r="F12">
            <v>10.46</v>
          </cell>
          <cell r="G12">
            <v>10.45</v>
          </cell>
          <cell r="H12">
            <v>10.45</v>
          </cell>
        </row>
        <row r="13">
          <cell r="B13" t="str">
            <v>HMM</v>
          </cell>
          <cell r="C13">
            <v>819</v>
          </cell>
          <cell r="D13" t="str">
            <v>Habib Metro Mod</v>
          </cell>
          <cell r="E13">
            <v>10.06</v>
          </cell>
          <cell r="F13">
            <v>10.06</v>
          </cell>
          <cell r="G13">
            <v>10.050000000000001</v>
          </cell>
          <cell r="H13">
            <v>10.050000000000001</v>
          </cell>
        </row>
        <row r="14">
          <cell r="B14" t="str">
            <v>FTMM</v>
          </cell>
          <cell r="C14">
            <v>819</v>
          </cell>
          <cell r="D14" t="str">
            <v>F.Treet Manuf</v>
          </cell>
          <cell r="E14">
            <v>0</v>
          </cell>
          <cell r="F14">
            <v>44.9651</v>
          </cell>
          <cell r="G14">
            <v>0</v>
          </cell>
          <cell r="H14">
            <v>44.9651</v>
          </cell>
        </row>
        <row r="15">
          <cell r="B15" t="str">
            <v>ORM</v>
          </cell>
          <cell r="C15">
            <v>819</v>
          </cell>
          <cell r="D15" t="str">
            <v>Orient Rental M</v>
          </cell>
          <cell r="E15">
            <v>11.11</v>
          </cell>
          <cell r="F15">
            <v>11.11</v>
          </cell>
          <cell r="G15">
            <v>11.11</v>
          </cell>
          <cell r="H15">
            <v>11.11</v>
          </cell>
        </row>
        <row r="16">
          <cell r="B16" t="str">
            <v>PMI</v>
          </cell>
          <cell r="C16">
            <v>819</v>
          </cell>
          <cell r="D16" t="str">
            <v>Prud Mod.1st</v>
          </cell>
          <cell r="E16">
            <v>2.14</v>
          </cell>
          <cell r="F16">
            <v>2.14</v>
          </cell>
          <cell r="G16">
            <v>2.06</v>
          </cell>
          <cell r="H16">
            <v>2.0699999999999998</v>
          </cell>
        </row>
        <row r="17">
          <cell r="B17" t="str">
            <v>FPJM</v>
          </cell>
          <cell r="C17">
            <v>819</v>
          </cell>
          <cell r="D17" t="str">
            <v>Punjab ModXD</v>
          </cell>
          <cell r="E17">
            <v>4.5</v>
          </cell>
          <cell r="F17">
            <v>4.5</v>
          </cell>
          <cell r="G17">
            <v>4.5</v>
          </cell>
          <cell r="H17">
            <v>4.5</v>
          </cell>
        </row>
        <row r="18">
          <cell r="B18" t="str">
            <v>FTSM</v>
          </cell>
          <cell r="C18">
            <v>819</v>
          </cell>
          <cell r="D18" t="str">
            <v>Tri-Star 1st. M</v>
          </cell>
          <cell r="E18">
            <v>0</v>
          </cell>
          <cell r="F18">
            <v>12.5389</v>
          </cell>
          <cell r="G18">
            <v>0</v>
          </cell>
          <cell r="H18">
            <v>12.5389</v>
          </cell>
        </row>
        <row r="19">
          <cell r="B19" t="str">
            <v>TRSM</v>
          </cell>
          <cell r="C19">
            <v>819</v>
          </cell>
          <cell r="D19" t="str">
            <v>Trust Modaraba</v>
          </cell>
          <cell r="E19">
            <v>4.03</v>
          </cell>
          <cell r="F19">
            <v>4.03</v>
          </cell>
          <cell r="G19">
            <v>4.03</v>
          </cell>
          <cell r="H19">
            <v>4.03</v>
          </cell>
        </row>
        <row r="20">
          <cell r="B20" t="str">
            <v>FUDLM</v>
          </cell>
          <cell r="C20">
            <v>819</v>
          </cell>
          <cell r="D20" t="str">
            <v>U.D.L.Modaraba</v>
          </cell>
          <cell r="E20">
            <v>24.7</v>
          </cell>
          <cell r="F20">
            <v>24.7</v>
          </cell>
          <cell r="G20">
            <v>22.45</v>
          </cell>
          <cell r="H20">
            <v>23.87</v>
          </cell>
        </row>
        <row r="21">
          <cell r="B21" t="str">
            <v>UCAPM</v>
          </cell>
          <cell r="C21">
            <v>819</v>
          </cell>
          <cell r="D21" t="str">
            <v>Unicap Modaraba</v>
          </cell>
          <cell r="E21">
            <v>0.9</v>
          </cell>
          <cell r="F21">
            <v>1.1399999999999999</v>
          </cell>
          <cell r="G21">
            <v>0.9</v>
          </cell>
          <cell r="H21">
            <v>1.1399999999999999</v>
          </cell>
        </row>
        <row r="22">
          <cell r="B22" t="str">
            <v>CPAL</v>
          </cell>
          <cell r="C22">
            <v>815</v>
          </cell>
          <cell r="D22" t="str">
            <v>Cap.Assets Leas</v>
          </cell>
          <cell r="E22">
            <v>8.25</v>
          </cell>
          <cell r="F22">
            <v>8.41</v>
          </cell>
          <cell r="G22">
            <v>8.25</v>
          </cell>
          <cell r="H22">
            <v>8.41</v>
          </cell>
        </row>
        <row r="23">
          <cell r="B23" t="str">
            <v>OLPL</v>
          </cell>
          <cell r="C23">
            <v>815</v>
          </cell>
          <cell r="D23" t="str">
            <v>Orix Leasing</v>
          </cell>
          <cell r="E23">
            <v>41</v>
          </cell>
          <cell r="F23">
            <v>41</v>
          </cell>
          <cell r="G23">
            <v>40.56</v>
          </cell>
          <cell r="H23">
            <v>40.56</v>
          </cell>
        </row>
        <row r="24">
          <cell r="B24" t="str">
            <v>SLCL</v>
          </cell>
          <cell r="C24">
            <v>815</v>
          </cell>
          <cell r="D24" t="str">
            <v>Security Leasin</v>
          </cell>
          <cell r="E24">
            <v>11.1</v>
          </cell>
          <cell r="F24">
            <v>12.25</v>
          </cell>
          <cell r="G24">
            <v>11.1</v>
          </cell>
          <cell r="H24">
            <v>12.04</v>
          </cell>
        </row>
        <row r="25">
          <cell r="B25" t="str">
            <v>MCBAH</v>
          </cell>
          <cell r="C25">
            <v>813</v>
          </cell>
          <cell r="D25" t="str">
            <v>MCB-ARIF Habib</v>
          </cell>
          <cell r="E25">
            <v>26.24</v>
          </cell>
          <cell r="F25">
            <v>26.24</v>
          </cell>
          <cell r="G25">
            <v>26.24</v>
          </cell>
          <cell r="H25">
            <v>26.24</v>
          </cell>
        </row>
        <row r="26">
          <cell r="B26" t="str">
            <v>AHL</v>
          </cell>
          <cell r="C26">
            <v>813</v>
          </cell>
          <cell r="D26" t="str">
            <v>Arif Habib Ltd.</v>
          </cell>
          <cell r="E26">
            <v>48.53</v>
          </cell>
          <cell r="F26">
            <v>48.53</v>
          </cell>
          <cell r="G26">
            <v>48.5</v>
          </cell>
          <cell r="H26">
            <v>48.5</v>
          </cell>
        </row>
        <row r="27">
          <cell r="B27" t="str">
            <v>AHCL</v>
          </cell>
          <cell r="C27">
            <v>809</v>
          </cell>
          <cell r="D27" t="str">
            <v>Arif Habib Corp</v>
          </cell>
          <cell r="E27">
            <v>35</v>
          </cell>
          <cell r="F27">
            <v>35</v>
          </cell>
          <cell r="G27">
            <v>34</v>
          </cell>
          <cell r="H27">
            <v>34.18</v>
          </cell>
        </row>
        <row r="28">
          <cell r="B28" t="str">
            <v>ICIBL</v>
          </cell>
          <cell r="C28">
            <v>813</v>
          </cell>
          <cell r="D28" t="str">
            <v>Invest Bank</v>
          </cell>
          <cell r="E28">
            <v>1.53</v>
          </cell>
          <cell r="F28">
            <v>1.58</v>
          </cell>
          <cell r="G28">
            <v>1.51</v>
          </cell>
          <cell r="H28">
            <v>1.57</v>
          </cell>
        </row>
        <row r="29">
          <cell r="B29" t="str">
            <v>FDIBL</v>
          </cell>
          <cell r="C29">
            <v>813</v>
          </cell>
          <cell r="D29" t="str">
            <v>Ist.Dawood Bank</v>
          </cell>
          <cell r="E29">
            <v>1.79</v>
          </cell>
          <cell r="F29">
            <v>1.79</v>
          </cell>
          <cell r="G29">
            <v>1.7</v>
          </cell>
          <cell r="H29">
            <v>1.73</v>
          </cell>
        </row>
        <row r="30">
          <cell r="B30" t="str">
            <v>JSCL</v>
          </cell>
          <cell r="C30">
            <v>813</v>
          </cell>
          <cell r="D30" t="str">
            <v>Jah.Sidd. Co.</v>
          </cell>
          <cell r="E30">
            <v>19.899999999999999</v>
          </cell>
          <cell r="F30">
            <v>20.239999999999998</v>
          </cell>
          <cell r="G30">
            <v>19.670000000000002</v>
          </cell>
          <cell r="H30">
            <v>19.690000000000001</v>
          </cell>
        </row>
        <row r="31">
          <cell r="B31" t="str">
            <v>BIPLS</v>
          </cell>
          <cell r="C31">
            <v>813</v>
          </cell>
          <cell r="D31" t="str">
            <v>BIPL Securities</v>
          </cell>
          <cell r="E31">
            <v>6.06</v>
          </cell>
          <cell r="F31">
            <v>6.06</v>
          </cell>
          <cell r="G31">
            <v>6.06</v>
          </cell>
          <cell r="H31">
            <v>6.06</v>
          </cell>
        </row>
        <row r="32">
          <cell r="B32" t="str">
            <v>NEXT</v>
          </cell>
          <cell r="C32">
            <v>813</v>
          </cell>
          <cell r="D32" t="str">
            <v>Next Capital</v>
          </cell>
          <cell r="E32">
            <v>9</v>
          </cell>
          <cell r="F32">
            <v>9</v>
          </cell>
          <cell r="G32">
            <v>8.5299999999999994</v>
          </cell>
          <cell r="H32">
            <v>8.98</v>
          </cell>
        </row>
        <row r="33">
          <cell r="B33" t="str">
            <v>ESBL</v>
          </cell>
          <cell r="C33">
            <v>813</v>
          </cell>
          <cell r="D33" t="str">
            <v>Escorts Bank</v>
          </cell>
          <cell r="E33">
            <v>45.06</v>
          </cell>
          <cell r="F33">
            <v>45.6</v>
          </cell>
          <cell r="G33">
            <v>45.06</v>
          </cell>
          <cell r="H33">
            <v>45.06</v>
          </cell>
        </row>
        <row r="34">
          <cell r="B34" t="str">
            <v>PSX</v>
          </cell>
          <cell r="C34">
            <v>813</v>
          </cell>
          <cell r="D34" t="str">
            <v>Pak Stock Exchange</v>
          </cell>
          <cell r="E34">
            <v>25.5</v>
          </cell>
          <cell r="F34">
            <v>26.8</v>
          </cell>
          <cell r="G34">
            <v>25.5</v>
          </cell>
          <cell r="H34">
            <v>26.43</v>
          </cell>
        </row>
        <row r="35">
          <cell r="B35" t="str">
            <v>FCSC</v>
          </cell>
          <cell r="C35">
            <v>813</v>
          </cell>
          <cell r="D35" t="str">
            <v>Ist.Capital Sec</v>
          </cell>
          <cell r="E35">
            <v>2.16</v>
          </cell>
          <cell r="F35">
            <v>2.16</v>
          </cell>
          <cell r="G35">
            <v>2.06</v>
          </cell>
          <cell r="H35">
            <v>2.12</v>
          </cell>
        </row>
        <row r="36">
          <cell r="B36" t="str">
            <v>FCIBL</v>
          </cell>
          <cell r="C36">
            <v>813</v>
          </cell>
          <cell r="D36" t="str">
            <v>F.Credit &amp; Inv</v>
          </cell>
          <cell r="E36">
            <v>4.22</v>
          </cell>
          <cell r="F36">
            <v>4.22</v>
          </cell>
          <cell r="G36">
            <v>4.2</v>
          </cell>
          <cell r="H36">
            <v>4.2</v>
          </cell>
        </row>
        <row r="37">
          <cell r="B37" t="str">
            <v>EFGH</v>
          </cell>
          <cell r="C37">
            <v>813</v>
          </cell>
          <cell r="D37" t="str">
            <v>EFG Hermes Pak</v>
          </cell>
          <cell r="E37">
            <v>66.5</v>
          </cell>
          <cell r="F37">
            <v>66.5</v>
          </cell>
          <cell r="G37">
            <v>66.5</v>
          </cell>
          <cell r="H37">
            <v>66.5</v>
          </cell>
        </row>
        <row r="38">
          <cell r="B38" t="str">
            <v>FNEL</v>
          </cell>
          <cell r="C38">
            <v>813</v>
          </cell>
          <cell r="D38" t="str">
            <v>F. Nat.Equities</v>
          </cell>
          <cell r="E38">
            <v>5.2</v>
          </cell>
          <cell r="F38">
            <v>5.2</v>
          </cell>
          <cell r="G38">
            <v>5</v>
          </cell>
          <cell r="H38">
            <v>5.15</v>
          </cell>
        </row>
        <row r="39">
          <cell r="B39" t="str">
            <v>JSGCL</v>
          </cell>
          <cell r="C39">
            <v>813</v>
          </cell>
          <cell r="D39" t="str">
            <v>JS Global Cap.</v>
          </cell>
          <cell r="E39">
            <v>40</v>
          </cell>
          <cell r="F39">
            <v>40</v>
          </cell>
          <cell r="G39">
            <v>40</v>
          </cell>
          <cell r="H39">
            <v>40</v>
          </cell>
        </row>
        <row r="40">
          <cell r="B40" t="str">
            <v>DEL</v>
          </cell>
          <cell r="C40">
            <v>813</v>
          </cell>
          <cell r="D40" t="str">
            <v>Dawood Equities</v>
          </cell>
          <cell r="E40">
            <v>4.0999999999999996</v>
          </cell>
          <cell r="F40">
            <v>4.0999999999999996</v>
          </cell>
          <cell r="G40">
            <v>4</v>
          </cell>
          <cell r="H40">
            <v>4</v>
          </cell>
        </row>
        <row r="41">
          <cell r="B41" t="str">
            <v>PASL</v>
          </cell>
          <cell r="C41">
            <v>813</v>
          </cell>
          <cell r="D41" t="str">
            <v>Pervez Ahmed</v>
          </cell>
          <cell r="E41">
            <v>0.89</v>
          </cell>
          <cell r="F41">
            <v>0.9</v>
          </cell>
          <cell r="G41">
            <v>0.85</v>
          </cell>
          <cell r="H41">
            <v>0.9</v>
          </cell>
        </row>
        <row r="42">
          <cell r="B42" t="str">
            <v>SIBL</v>
          </cell>
          <cell r="C42">
            <v>813</v>
          </cell>
          <cell r="D42" t="str">
            <v>Sec. Inv. Bank</v>
          </cell>
          <cell r="E42">
            <v>6.87</v>
          </cell>
          <cell r="F42">
            <v>6.87</v>
          </cell>
          <cell r="G42">
            <v>6.87</v>
          </cell>
          <cell r="H42">
            <v>6.87</v>
          </cell>
        </row>
        <row r="43">
          <cell r="B43" t="str">
            <v>TRIBL</v>
          </cell>
          <cell r="C43">
            <v>813</v>
          </cell>
          <cell r="D43" t="str">
            <v>Trust Inv.Bank</v>
          </cell>
          <cell r="E43">
            <v>1.4</v>
          </cell>
          <cell r="F43">
            <v>1.6</v>
          </cell>
          <cell r="G43">
            <v>1.31</v>
          </cell>
          <cell r="H43">
            <v>1.37</v>
          </cell>
        </row>
        <row r="44">
          <cell r="B44" t="str">
            <v>TSBL</v>
          </cell>
          <cell r="C44">
            <v>813</v>
          </cell>
          <cell r="D44" t="str">
            <v>Trust Brokerage</v>
          </cell>
          <cell r="E44">
            <v>12.1</v>
          </cell>
          <cell r="F44">
            <v>12.98</v>
          </cell>
          <cell r="G44">
            <v>12.02</v>
          </cell>
          <cell r="H44">
            <v>12.02</v>
          </cell>
        </row>
        <row r="45">
          <cell r="B45" t="str">
            <v>TSBLR</v>
          </cell>
          <cell r="C45">
            <v>813</v>
          </cell>
          <cell r="D45" t="str">
            <v>Trust Brok.(R)</v>
          </cell>
          <cell r="E45">
            <v>0.84</v>
          </cell>
          <cell r="F45">
            <v>1.95</v>
          </cell>
          <cell r="G45">
            <v>0.71</v>
          </cell>
          <cell r="H45">
            <v>1.39</v>
          </cell>
        </row>
        <row r="46">
          <cell r="B46" t="str">
            <v>ABL</v>
          </cell>
          <cell r="C46">
            <v>807</v>
          </cell>
          <cell r="D46" t="str">
            <v>Allied Bank Ltd</v>
          </cell>
          <cell r="E46">
            <v>93</v>
          </cell>
          <cell r="F46">
            <v>94</v>
          </cell>
          <cell r="G46">
            <v>92</v>
          </cell>
          <cell r="H46">
            <v>92.01</v>
          </cell>
        </row>
        <row r="47">
          <cell r="B47" t="str">
            <v>SMBL</v>
          </cell>
          <cell r="C47">
            <v>807</v>
          </cell>
          <cell r="D47" t="str">
            <v>Summit Bank</v>
          </cell>
          <cell r="E47">
            <v>2.7</v>
          </cell>
          <cell r="F47">
            <v>2.76</v>
          </cell>
          <cell r="G47">
            <v>2.7</v>
          </cell>
          <cell r="H47">
            <v>2.7</v>
          </cell>
        </row>
        <row r="48">
          <cell r="B48" t="str">
            <v>AKBL</v>
          </cell>
          <cell r="C48">
            <v>807</v>
          </cell>
          <cell r="D48" t="str">
            <v>Askari Bank</v>
          </cell>
          <cell r="E48">
            <v>20.45</v>
          </cell>
          <cell r="F48">
            <v>20.5</v>
          </cell>
          <cell r="G48">
            <v>20.11</v>
          </cell>
          <cell r="H48">
            <v>20.23</v>
          </cell>
        </row>
        <row r="49">
          <cell r="B49" t="str">
            <v>BAFL</v>
          </cell>
          <cell r="C49">
            <v>807</v>
          </cell>
          <cell r="D49" t="str">
            <v>Bank Al-Falah</v>
          </cell>
          <cell r="E49">
            <v>47.51</v>
          </cell>
          <cell r="F49">
            <v>47.8</v>
          </cell>
          <cell r="G49">
            <v>47.1</v>
          </cell>
          <cell r="H49">
            <v>47.33</v>
          </cell>
        </row>
        <row r="50">
          <cell r="B50" t="str">
            <v>BIPL</v>
          </cell>
          <cell r="C50">
            <v>807</v>
          </cell>
          <cell r="D50" t="str">
            <v>Bankislami Pak.</v>
          </cell>
          <cell r="E50">
            <v>10.15</v>
          </cell>
          <cell r="F50">
            <v>10.7</v>
          </cell>
          <cell r="G50">
            <v>10.15</v>
          </cell>
          <cell r="H50">
            <v>10.7</v>
          </cell>
        </row>
        <row r="51">
          <cell r="B51" t="str">
            <v>BOK</v>
          </cell>
          <cell r="C51">
            <v>807</v>
          </cell>
          <cell r="D51" t="str">
            <v>Bank Of Khyber</v>
          </cell>
          <cell r="E51">
            <v>13.02</v>
          </cell>
          <cell r="F51">
            <v>13.25</v>
          </cell>
          <cell r="G51">
            <v>13.02</v>
          </cell>
          <cell r="H51">
            <v>13.25</v>
          </cell>
        </row>
        <row r="52">
          <cell r="B52" t="str">
            <v>BAHL</v>
          </cell>
          <cell r="C52">
            <v>807</v>
          </cell>
          <cell r="D52" t="str">
            <v>Bank AL-Habib</v>
          </cell>
          <cell r="E52">
            <v>68.5</v>
          </cell>
          <cell r="F52">
            <v>68.5</v>
          </cell>
          <cell r="G52">
            <v>68</v>
          </cell>
          <cell r="H52">
            <v>68</v>
          </cell>
        </row>
        <row r="53">
          <cell r="B53" t="str">
            <v>BOP</v>
          </cell>
          <cell r="C53">
            <v>807</v>
          </cell>
          <cell r="D53" t="str">
            <v>B.O.Punjab</v>
          </cell>
          <cell r="E53">
            <v>9.3000000000000007</v>
          </cell>
          <cell r="F53">
            <v>9.35</v>
          </cell>
          <cell r="G53">
            <v>9.25</v>
          </cell>
          <cell r="H53">
            <v>9.2899999999999991</v>
          </cell>
        </row>
        <row r="54">
          <cell r="B54" t="str">
            <v>FABL</v>
          </cell>
          <cell r="C54">
            <v>807</v>
          </cell>
          <cell r="D54" t="str">
            <v>Faysal Bank</v>
          </cell>
          <cell r="E54">
            <v>25.25</v>
          </cell>
          <cell r="F54">
            <v>25.99</v>
          </cell>
          <cell r="G54">
            <v>25</v>
          </cell>
          <cell r="H54">
            <v>25.77</v>
          </cell>
        </row>
        <row r="55">
          <cell r="B55" t="str">
            <v>HBL</v>
          </cell>
          <cell r="C55">
            <v>807</v>
          </cell>
          <cell r="D55" t="str">
            <v>Habib Bank</v>
          </cell>
          <cell r="E55">
            <v>208.9</v>
          </cell>
          <cell r="F55">
            <v>215</v>
          </cell>
          <cell r="G55">
            <v>206.03</v>
          </cell>
          <cell r="H55">
            <v>208.35</v>
          </cell>
        </row>
        <row r="56">
          <cell r="B56" t="str">
            <v>MEBL</v>
          </cell>
          <cell r="C56">
            <v>807</v>
          </cell>
          <cell r="D56" t="str">
            <v>Meezan Bank</v>
          </cell>
          <cell r="E56">
            <v>76.75</v>
          </cell>
          <cell r="F56">
            <v>77.75</v>
          </cell>
          <cell r="G56">
            <v>75</v>
          </cell>
          <cell r="H56">
            <v>75</v>
          </cell>
        </row>
        <row r="57">
          <cell r="B57" t="str">
            <v>NBP</v>
          </cell>
          <cell r="C57">
            <v>807</v>
          </cell>
          <cell r="D57" t="str">
            <v>National Bank</v>
          </cell>
          <cell r="E57">
            <v>47.3</v>
          </cell>
          <cell r="F57">
            <v>47.41</v>
          </cell>
          <cell r="G57">
            <v>46.66</v>
          </cell>
          <cell r="H57">
            <v>46.82</v>
          </cell>
        </row>
        <row r="58">
          <cell r="B58" t="str">
            <v>HMB</v>
          </cell>
          <cell r="C58">
            <v>807</v>
          </cell>
          <cell r="D58" t="str">
            <v>Habib Metropol.</v>
          </cell>
          <cell r="E58">
            <v>40.99</v>
          </cell>
          <cell r="F58">
            <v>41.9</v>
          </cell>
          <cell r="G58">
            <v>40.99</v>
          </cell>
          <cell r="H58">
            <v>41.37</v>
          </cell>
        </row>
        <row r="59">
          <cell r="B59" t="str">
            <v>MCB</v>
          </cell>
          <cell r="C59">
            <v>807</v>
          </cell>
          <cell r="D59" t="str">
            <v>MCB Bank Ltd</v>
          </cell>
          <cell r="E59">
            <v>221</v>
          </cell>
          <cell r="F59">
            <v>222.1</v>
          </cell>
          <cell r="G59">
            <v>217</v>
          </cell>
          <cell r="H59">
            <v>218.39</v>
          </cell>
        </row>
        <row r="60">
          <cell r="B60" t="str">
            <v>JSBL</v>
          </cell>
          <cell r="C60">
            <v>807</v>
          </cell>
          <cell r="D60" t="str">
            <v>JS Bank Ltd</v>
          </cell>
          <cell r="E60">
            <v>8.2100000000000009</v>
          </cell>
          <cell r="F60">
            <v>8.5</v>
          </cell>
          <cell r="G60">
            <v>8.2100000000000009</v>
          </cell>
          <cell r="H60">
            <v>8.3000000000000007</v>
          </cell>
        </row>
        <row r="61">
          <cell r="B61" t="str">
            <v>SILK</v>
          </cell>
          <cell r="C61">
            <v>807</v>
          </cell>
          <cell r="D61" t="str">
            <v>Silk Bank Ltd</v>
          </cell>
          <cell r="E61">
            <v>1.37</v>
          </cell>
          <cell r="F61">
            <v>1.43</v>
          </cell>
          <cell r="G61">
            <v>1.37</v>
          </cell>
          <cell r="H61">
            <v>1.4</v>
          </cell>
        </row>
        <row r="62">
          <cell r="B62" t="str">
            <v>SNBL</v>
          </cell>
          <cell r="C62">
            <v>807</v>
          </cell>
          <cell r="D62" t="str">
            <v>Soneri Bank Ltd</v>
          </cell>
          <cell r="E62">
            <v>12.4</v>
          </cell>
          <cell r="F62">
            <v>12.4</v>
          </cell>
          <cell r="G62">
            <v>12.35</v>
          </cell>
          <cell r="H62">
            <v>12.4</v>
          </cell>
        </row>
        <row r="63">
          <cell r="B63" t="str">
            <v>SCBPL</v>
          </cell>
          <cell r="C63">
            <v>807</v>
          </cell>
          <cell r="D63" t="str">
            <v>St.Chart.Bank</v>
          </cell>
          <cell r="E63">
            <v>23.26</v>
          </cell>
          <cell r="F63">
            <v>24</v>
          </cell>
          <cell r="G63">
            <v>23.25</v>
          </cell>
          <cell r="H63">
            <v>24</v>
          </cell>
        </row>
        <row r="64">
          <cell r="B64" t="str">
            <v>UBL</v>
          </cell>
          <cell r="C64">
            <v>807</v>
          </cell>
          <cell r="D64" t="str">
            <v>United Bank</v>
          </cell>
          <cell r="E64">
            <v>191</v>
          </cell>
          <cell r="F64">
            <v>194.89</v>
          </cell>
          <cell r="G64">
            <v>188.02</v>
          </cell>
          <cell r="H64">
            <v>188.66</v>
          </cell>
        </row>
        <row r="65">
          <cell r="B65" t="str">
            <v>AICL</v>
          </cell>
          <cell r="C65">
            <v>812</v>
          </cell>
          <cell r="D65" t="str">
            <v>Adamjee Ins.</v>
          </cell>
          <cell r="E65">
            <v>56.3</v>
          </cell>
          <cell r="F65">
            <v>57.75</v>
          </cell>
          <cell r="G65">
            <v>56.06</v>
          </cell>
          <cell r="H65">
            <v>57.01</v>
          </cell>
        </row>
        <row r="66">
          <cell r="B66" t="str">
            <v>AGIC</v>
          </cell>
          <cell r="C66">
            <v>812</v>
          </cell>
          <cell r="D66" t="str">
            <v>Ask.Gen.Insur.</v>
          </cell>
          <cell r="E66">
            <v>28</v>
          </cell>
          <cell r="F66">
            <v>28.28</v>
          </cell>
          <cell r="G66">
            <v>27.11</v>
          </cell>
          <cell r="H66">
            <v>27.11</v>
          </cell>
        </row>
        <row r="67">
          <cell r="B67" t="str">
            <v>CYAN</v>
          </cell>
          <cell r="C67">
            <v>812</v>
          </cell>
          <cell r="D67" t="str">
            <v>Cyan Limited</v>
          </cell>
          <cell r="E67">
            <v>38.35</v>
          </cell>
          <cell r="F67">
            <v>38.35</v>
          </cell>
          <cell r="G67">
            <v>37.18</v>
          </cell>
          <cell r="H67">
            <v>37.25</v>
          </cell>
        </row>
        <row r="68">
          <cell r="B68" t="str">
            <v>CENI</v>
          </cell>
          <cell r="C68">
            <v>812</v>
          </cell>
          <cell r="D68" t="str">
            <v>Century Ins.</v>
          </cell>
          <cell r="E68">
            <v>25.5</v>
          </cell>
          <cell r="F68">
            <v>25.5</v>
          </cell>
          <cell r="G68">
            <v>24.8</v>
          </cell>
          <cell r="H68">
            <v>25.5</v>
          </cell>
        </row>
        <row r="69">
          <cell r="B69" t="str">
            <v>CSIL</v>
          </cell>
          <cell r="C69">
            <v>812</v>
          </cell>
          <cell r="D69" t="str">
            <v>Cres.Star Ins.</v>
          </cell>
          <cell r="E69">
            <v>4.7300000000000004</v>
          </cell>
          <cell r="F69">
            <v>4.75</v>
          </cell>
          <cell r="G69">
            <v>4.5999999999999996</v>
          </cell>
          <cell r="H69">
            <v>4.5999999999999996</v>
          </cell>
        </row>
        <row r="70">
          <cell r="B70" t="str">
            <v>EFUG</v>
          </cell>
          <cell r="C70">
            <v>812</v>
          </cell>
          <cell r="D70" t="str">
            <v>EFU General</v>
          </cell>
          <cell r="E70">
            <v>146</v>
          </cell>
          <cell r="F70">
            <v>146</v>
          </cell>
          <cell r="G70">
            <v>145.99</v>
          </cell>
          <cell r="H70">
            <v>146</v>
          </cell>
        </row>
        <row r="71">
          <cell r="B71" t="str">
            <v>EFUL</v>
          </cell>
          <cell r="C71">
            <v>812</v>
          </cell>
          <cell r="D71" t="str">
            <v>EFU Life Assr</v>
          </cell>
          <cell r="E71">
            <v>255</v>
          </cell>
          <cell r="F71">
            <v>255</v>
          </cell>
          <cell r="G71">
            <v>251.01</v>
          </cell>
          <cell r="H71">
            <v>251.5</v>
          </cell>
        </row>
        <row r="72">
          <cell r="B72" t="str">
            <v>HICL</v>
          </cell>
          <cell r="C72">
            <v>812</v>
          </cell>
          <cell r="D72" t="str">
            <v>Habib Ins.</v>
          </cell>
          <cell r="E72">
            <v>14.4</v>
          </cell>
          <cell r="F72">
            <v>14.4</v>
          </cell>
          <cell r="G72">
            <v>14.4</v>
          </cell>
          <cell r="H72">
            <v>14.4</v>
          </cell>
        </row>
        <row r="73">
          <cell r="B73" t="str">
            <v>IGIIL</v>
          </cell>
          <cell r="C73">
            <v>812</v>
          </cell>
          <cell r="D73" t="str">
            <v>IGI InsuranceXD</v>
          </cell>
          <cell r="E73">
            <v>305</v>
          </cell>
          <cell r="F73">
            <v>308.39999999999998</v>
          </cell>
          <cell r="G73">
            <v>298</v>
          </cell>
          <cell r="H73">
            <v>305.67</v>
          </cell>
        </row>
        <row r="74">
          <cell r="B74" t="str">
            <v>EWLA</v>
          </cell>
          <cell r="C74">
            <v>812</v>
          </cell>
          <cell r="D74" t="str">
            <v>East West Life</v>
          </cell>
          <cell r="E74">
            <v>21</v>
          </cell>
          <cell r="F74">
            <v>21</v>
          </cell>
          <cell r="G74">
            <v>21</v>
          </cell>
          <cell r="H74">
            <v>21</v>
          </cell>
        </row>
        <row r="75">
          <cell r="B75" t="str">
            <v>JGICL</v>
          </cell>
          <cell r="C75">
            <v>812</v>
          </cell>
          <cell r="D75" t="str">
            <v>Jubilee Gen.Ins</v>
          </cell>
          <cell r="E75">
            <v>80</v>
          </cell>
          <cell r="F75">
            <v>80</v>
          </cell>
          <cell r="G75">
            <v>79</v>
          </cell>
          <cell r="H75">
            <v>79</v>
          </cell>
        </row>
        <row r="76">
          <cell r="B76" t="str">
            <v>PIL</v>
          </cell>
          <cell r="C76">
            <v>812</v>
          </cell>
          <cell r="D76" t="str">
            <v>PICIC Ins.Ltd.XR</v>
          </cell>
          <cell r="E76">
            <v>3.01</v>
          </cell>
          <cell r="F76">
            <v>3.04</v>
          </cell>
          <cell r="G76">
            <v>2.97</v>
          </cell>
          <cell r="H76">
            <v>3</v>
          </cell>
        </row>
        <row r="77">
          <cell r="B77" t="str">
            <v>PKGI</v>
          </cell>
          <cell r="C77">
            <v>812</v>
          </cell>
          <cell r="D77" t="str">
            <v>Pak Gen.Ins.</v>
          </cell>
          <cell r="E77">
            <v>8.18</v>
          </cell>
          <cell r="F77">
            <v>8.25</v>
          </cell>
          <cell r="G77">
            <v>7.95</v>
          </cell>
          <cell r="H77">
            <v>7.95</v>
          </cell>
        </row>
        <row r="78">
          <cell r="B78" t="str">
            <v>PAKRI</v>
          </cell>
          <cell r="C78">
            <v>812</v>
          </cell>
          <cell r="D78" t="str">
            <v>Pak Reinsurance</v>
          </cell>
          <cell r="E78">
            <v>41.99</v>
          </cell>
          <cell r="F78">
            <v>41.99</v>
          </cell>
          <cell r="G78">
            <v>41.25</v>
          </cell>
          <cell r="H78">
            <v>41.89</v>
          </cell>
        </row>
        <row r="79">
          <cell r="B79" t="str">
            <v>SHNI</v>
          </cell>
          <cell r="C79">
            <v>812</v>
          </cell>
          <cell r="D79" t="str">
            <v>Shaheen Ins.</v>
          </cell>
          <cell r="E79">
            <v>4.72</v>
          </cell>
          <cell r="F79">
            <v>4.79</v>
          </cell>
          <cell r="G79">
            <v>4.6500000000000004</v>
          </cell>
          <cell r="H79">
            <v>4.79</v>
          </cell>
        </row>
        <row r="80">
          <cell r="B80" t="str">
            <v>TPLI</v>
          </cell>
          <cell r="C80">
            <v>812</v>
          </cell>
          <cell r="D80" t="str">
            <v>TPL Insurance</v>
          </cell>
          <cell r="E80">
            <v>0</v>
          </cell>
          <cell r="F80">
            <v>21.24</v>
          </cell>
          <cell r="G80">
            <v>0</v>
          </cell>
          <cell r="H80">
            <v>21.24</v>
          </cell>
        </row>
        <row r="81">
          <cell r="B81" t="str">
            <v>UNIC</v>
          </cell>
          <cell r="C81">
            <v>812</v>
          </cell>
          <cell r="D81" t="str">
            <v>United Insuranc</v>
          </cell>
          <cell r="E81">
            <v>16.55</v>
          </cell>
          <cell r="F81">
            <v>16.93</v>
          </cell>
          <cell r="G81">
            <v>16.55</v>
          </cell>
          <cell r="H81">
            <v>16.71</v>
          </cell>
        </row>
        <row r="82">
          <cell r="B82" t="str">
            <v>AMTEX</v>
          </cell>
          <cell r="C82">
            <v>830</v>
          </cell>
          <cell r="D82" t="str">
            <v>Amtex Limited</v>
          </cell>
          <cell r="E82">
            <v>1.42</v>
          </cell>
          <cell r="F82">
            <v>1.55</v>
          </cell>
          <cell r="G82">
            <v>1.42</v>
          </cell>
          <cell r="H82">
            <v>1.5</v>
          </cell>
        </row>
        <row r="83">
          <cell r="B83" t="str">
            <v>ASTM</v>
          </cell>
          <cell r="C83">
            <v>830</v>
          </cell>
          <cell r="D83" t="str">
            <v>Asim Textile</v>
          </cell>
          <cell r="E83">
            <v>11.97</v>
          </cell>
          <cell r="F83">
            <v>11.97</v>
          </cell>
          <cell r="G83">
            <v>11.31</v>
          </cell>
          <cell r="H83">
            <v>11.31</v>
          </cell>
        </row>
        <row r="84">
          <cell r="B84" t="str">
            <v>BILF</v>
          </cell>
          <cell r="C84">
            <v>830</v>
          </cell>
          <cell r="D84" t="str">
            <v>Bilal Fibres</v>
          </cell>
          <cell r="E84">
            <v>3.15</v>
          </cell>
          <cell r="F84">
            <v>3.32</v>
          </cell>
          <cell r="G84">
            <v>2.81</v>
          </cell>
          <cell r="H84">
            <v>2.91</v>
          </cell>
        </row>
        <row r="85">
          <cell r="B85" t="str">
            <v>CWSM</v>
          </cell>
          <cell r="C85">
            <v>830</v>
          </cell>
          <cell r="D85" t="str">
            <v>Chakwal Spinning</v>
          </cell>
          <cell r="E85">
            <v>3.67</v>
          </cell>
          <cell r="F85">
            <v>3.68</v>
          </cell>
          <cell r="G85">
            <v>3.52</v>
          </cell>
          <cell r="H85">
            <v>3.55</v>
          </cell>
        </row>
        <row r="86">
          <cell r="B86" t="str">
            <v>HIRAT</v>
          </cell>
          <cell r="C86">
            <v>830</v>
          </cell>
          <cell r="D86" t="str">
            <v>Hira Textile</v>
          </cell>
          <cell r="E86">
            <v>8.52</v>
          </cell>
          <cell r="F86">
            <v>8.75</v>
          </cell>
          <cell r="G86">
            <v>8.52</v>
          </cell>
          <cell r="H86">
            <v>8.6999999999999993</v>
          </cell>
        </row>
        <row r="87">
          <cell r="B87" t="str">
            <v>DFSM</v>
          </cell>
          <cell r="C87">
            <v>830</v>
          </cell>
          <cell r="D87" t="str">
            <v>Dewan Farooque Sp.</v>
          </cell>
          <cell r="E87">
            <v>3.07</v>
          </cell>
          <cell r="F87">
            <v>3.34</v>
          </cell>
          <cell r="G87">
            <v>3.05</v>
          </cell>
          <cell r="H87">
            <v>3.16</v>
          </cell>
        </row>
        <row r="88">
          <cell r="B88" t="str">
            <v>DWTM</v>
          </cell>
          <cell r="C88">
            <v>830</v>
          </cell>
          <cell r="D88" t="str">
            <v>Dewan Textile</v>
          </cell>
          <cell r="E88">
            <v>6</v>
          </cell>
          <cell r="F88">
            <v>6</v>
          </cell>
          <cell r="G88">
            <v>6</v>
          </cell>
          <cell r="H88">
            <v>6</v>
          </cell>
        </row>
        <row r="89">
          <cell r="B89" t="str">
            <v>DSIL</v>
          </cell>
          <cell r="C89">
            <v>830</v>
          </cell>
          <cell r="D89" t="str">
            <v>D.S. Ind. Ltd.</v>
          </cell>
          <cell r="E89">
            <v>2.48</v>
          </cell>
          <cell r="F89">
            <v>2.48</v>
          </cell>
          <cell r="G89">
            <v>2.35</v>
          </cell>
          <cell r="H89">
            <v>2.38</v>
          </cell>
        </row>
        <row r="90">
          <cell r="B90" t="str">
            <v>FZCM</v>
          </cell>
          <cell r="C90">
            <v>830</v>
          </cell>
          <cell r="D90" t="str">
            <v>Fazal Cloth</v>
          </cell>
          <cell r="E90">
            <v>142.5</v>
          </cell>
          <cell r="F90">
            <v>142.5</v>
          </cell>
          <cell r="G90">
            <v>142.5</v>
          </cell>
          <cell r="H90">
            <v>142.5</v>
          </cell>
        </row>
        <row r="91">
          <cell r="B91" t="str">
            <v>GADT</v>
          </cell>
          <cell r="C91">
            <v>830</v>
          </cell>
          <cell r="D91" t="str">
            <v>Gadoon Textile</v>
          </cell>
          <cell r="E91">
            <v>230</v>
          </cell>
          <cell r="F91">
            <v>230</v>
          </cell>
          <cell r="G91">
            <v>226</v>
          </cell>
          <cell r="H91">
            <v>226.08</v>
          </cell>
        </row>
        <row r="92">
          <cell r="B92" t="str">
            <v>GLAT</v>
          </cell>
          <cell r="C92">
            <v>830</v>
          </cell>
          <cell r="D92" t="str">
            <v>Glamour Textile</v>
          </cell>
          <cell r="E92">
            <v>65</v>
          </cell>
          <cell r="F92">
            <v>65</v>
          </cell>
          <cell r="G92">
            <v>65</v>
          </cell>
          <cell r="H92">
            <v>65</v>
          </cell>
        </row>
        <row r="93">
          <cell r="B93" t="str">
            <v>IDSM</v>
          </cell>
          <cell r="C93">
            <v>830</v>
          </cell>
          <cell r="D93" t="str">
            <v>Ideal Spinning</v>
          </cell>
          <cell r="E93">
            <v>8</v>
          </cell>
          <cell r="F93">
            <v>8</v>
          </cell>
          <cell r="G93">
            <v>8</v>
          </cell>
          <cell r="H93">
            <v>8</v>
          </cell>
        </row>
        <row r="94">
          <cell r="B94" t="str">
            <v>IDRT</v>
          </cell>
          <cell r="C94">
            <v>830</v>
          </cell>
          <cell r="D94" t="str">
            <v>Idrees Textile</v>
          </cell>
          <cell r="E94">
            <v>16.010000000000002</v>
          </cell>
          <cell r="F94">
            <v>16.010000000000002</v>
          </cell>
          <cell r="G94">
            <v>16.010000000000002</v>
          </cell>
          <cell r="H94">
            <v>16.010000000000002</v>
          </cell>
        </row>
        <row r="95">
          <cell r="B95" t="str">
            <v>JATM</v>
          </cell>
          <cell r="C95">
            <v>830</v>
          </cell>
          <cell r="D95" t="str">
            <v>J.A.Textile</v>
          </cell>
          <cell r="E95">
            <v>5</v>
          </cell>
          <cell r="F95">
            <v>5</v>
          </cell>
          <cell r="G95">
            <v>4.76</v>
          </cell>
          <cell r="H95">
            <v>4.95</v>
          </cell>
        </row>
        <row r="96">
          <cell r="B96" t="str">
            <v>KOSM</v>
          </cell>
          <cell r="C96">
            <v>830</v>
          </cell>
          <cell r="D96" t="str">
            <v>Kohinoor Spining</v>
          </cell>
          <cell r="E96">
            <v>3.35</v>
          </cell>
          <cell r="F96">
            <v>3.43</v>
          </cell>
          <cell r="G96">
            <v>3.31</v>
          </cell>
          <cell r="H96">
            <v>3.31</v>
          </cell>
        </row>
        <row r="97">
          <cell r="B97" t="str">
            <v>NCML</v>
          </cell>
          <cell r="C97">
            <v>830</v>
          </cell>
          <cell r="D97" t="str">
            <v>Nazir Cotton Mills</v>
          </cell>
          <cell r="E97">
            <v>3.3</v>
          </cell>
          <cell r="F97">
            <v>3.3</v>
          </cell>
          <cell r="G97">
            <v>3.1</v>
          </cell>
          <cell r="H97">
            <v>3.25</v>
          </cell>
        </row>
        <row r="98">
          <cell r="B98" t="str">
            <v>OML</v>
          </cell>
          <cell r="C98">
            <v>830</v>
          </cell>
          <cell r="D98" t="str">
            <v>Olympia Mills</v>
          </cell>
          <cell r="E98">
            <v>12</v>
          </cell>
          <cell r="F98">
            <v>12</v>
          </cell>
          <cell r="G98">
            <v>12</v>
          </cell>
          <cell r="H98">
            <v>12</v>
          </cell>
        </row>
        <row r="99">
          <cell r="B99" t="str">
            <v>RAVT</v>
          </cell>
          <cell r="C99">
            <v>830</v>
          </cell>
          <cell r="D99" t="str">
            <v>Ravi Textile</v>
          </cell>
          <cell r="E99">
            <v>4.99</v>
          </cell>
          <cell r="F99">
            <v>5.21</v>
          </cell>
          <cell r="G99">
            <v>4.83</v>
          </cell>
          <cell r="H99">
            <v>5.17</v>
          </cell>
        </row>
        <row r="100">
          <cell r="B100" t="str">
            <v>RCML</v>
          </cell>
          <cell r="C100">
            <v>830</v>
          </cell>
          <cell r="D100" t="str">
            <v>Reliance Cotton</v>
          </cell>
          <cell r="E100">
            <v>136.99</v>
          </cell>
          <cell r="F100">
            <v>136.99</v>
          </cell>
          <cell r="G100">
            <v>136.99</v>
          </cell>
          <cell r="H100">
            <v>136.99</v>
          </cell>
        </row>
        <row r="101">
          <cell r="B101" t="str">
            <v>RUBY</v>
          </cell>
          <cell r="C101">
            <v>830</v>
          </cell>
          <cell r="D101" t="str">
            <v>Ruby Textile</v>
          </cell>
          <cell r="E101">
            <v>4.5</v>
          </cell>
          <cell r="F101">
            <v>4.5</v>
          </cell>
          <cell r="G101">
            <v>4.5</v>
          </cell>
          <cell r="H101">
            <v>4.5</v>
          </cell>
        </row>
        <row r="102">
          <cell r="B102" t="str">
            <v>SAIF</v>
          </cell>
          <cell r="C102">
            <v>830</v>
          </cell>
          <cell r="D102" t="str">
            <v>Saif Textile</v>
          </cell>
          <cell r="E102">
            <v>18.95</v>
          </cell>
          <cell r="F102">
            <v>18.95</v>
          </cell>
          <cell r="G102">
            <v>18.149999999999999</v>
          </cell>
          <cell r="H102">
            <v>18.68</v>
          </cell>
        </row>
        <row r="103">
          <cell r="B103" t="str">
            <v>SJTM</v>
          </cell>
          <cell r="C103">
            <v>830</v>
          </cell>
          <cell r="D103" t="str">
            <v>Sajjad Tex.</v>
          </cell>
          <cell r="E103">
            <v>3.49</v>
          </cell>
          <cell r="F103">
            <v>3.49</v>
          </cell>
          <cell r="G103">
            <v>3.25</v>
          </cell>
          <cell r="H103">
            <v>3.37</v>
          </cell>
        </row>
        <row r="104">
          <cell r="B104" t="str">
            <v>SANE</v>
          </cell>
          <cell r="C104">
            <v>830</v>
          </cell>
          <cell r="D104" t="str">
            <v>Salman Noman</v>
          </cell>
          <cell r="E104">
            <v>3.51</v>
          </cell>
          <cell r="F104">
            <v>3.75</v>
          </cell>
          <cell r="G104">
            <v>3.3</v>
          </cell>
          <cell r="H104">
            <v>3.55</v>
          </cell>
        </row>
        <row r="105">
          <cell r="B105" t="str">
            <v>SNAI</v>
          </cell>
          <cell r="C105">
            <v>830</v>
          </cell>
          <cell r="D105" t="str">
            <v>Sana Industries</v>
          </cell>
          <cell r="E105">
            <v>38.81</v>
          </cell>
          <cell r="F105">
            <v>38.81</v>
          </cell>
          <cell r="G105">
            <v>38.81</v>
          </cell>
          <cell r="H105">
            <v>38.81</v>
          </cell>
        </row>
        <row r="106">
          <cell r="B106" t="str">
            <v>SERT</v>
          </cell>
          <cell r="C106">
            <v>830</v>
          </cell>
          <cell r="D106" t="str">
            <v>Service Textile</v>
          </cell>
          <cell r="E106">
            <v>13.99</v>
          </cell>
          <cell r="F106">
            <v>14</v>
          </cell>
          <cell r="G106">
            <v>13.99</v>
          </cell>
          <cell r="H106">
            <v>14</v>
          </cell>
        </row>
        <row r="107">
          <cell r="B107" t="str">
            <v>SZTM</v>
          </cell>
          <cell r="C107">
            <v>830</v>
          </cell>
          <cell r="D107" t="str">
            <v>Shahzad Tex.</v>
          </cell>
          <cell r="E107">
            <v>43</v>
          </cell>
          <cell r="F107">
            <v>43</v>
          </cell>
          <cell r="G107">
            <v>43</v>
          </cell>
          <cell r="H107">
            <v>43</v>
          </cell>
        </row>
        <row r="108">
          <cell r="B108" t="str">
            <v>UNITY</v>
          </cell>
          <cell r="C108">
            <v>834</v>
          </cell>
          <cell r="D108" t="str">
            <v>Unity Foods Ltd</v>
          </cell>
          <cell r="E108">
            <v>24.2</v>
          </cell>
          <cell r="F108">
            <v>24.72</v>
          </cell>
          <cell r="G108">
            <v>23.8</v>
          </cell>
          <cell r="H108">
            <v>23.93</v>
          </cell>
        </row>
        <row r="109">
          <cell r="B109" t="str">
            <v>FML</v>
          </cell>
          <cell r="C109">
            <v>831</v>
          </cell>
          <cell r="D109" t="str">
            <v>Feroze 1888</v>
          </cell>
          <cell r="E109">
            <v>58</v>
          </cell>
          <cell r="F109">
            <v>59</v>
          </cell>
          <cell r="G109">
            <v>58</v>
          </cell>
          <cell r="H109">
            <v>59</v>
          </cell>
        </row>
        <row r="110">
          <cell r="B110" t="str">
            <v>SMTM</v>
          </cell>
          <cell r="C110">
            <v>831</v>
          </cell>
          <cell r="D110" t="str">
            <v>Samin Textile</v>
          </cell>
          <cell r="E110">
            <v>4.8</v>
          </cell>
          <cell r="F110">
            <v>4.8</v>
          </cell>
          <cell r="G110">
            <v>4.8</v>
          </cell>
          <cell r="H110">
            <v>4.8</v>
          </cell>
        </row>
        <row r="111">
          <cell r="B111" t="str">
            <v>SERF</v>
          </cell>
          <cell r="C111">
            <v>831</v>
          </cell>
          <cell r="D111" t="str">
            <v>Service Fabrics</v>
          </cell>
          <cell r="E111">
            <v>3.4</v>
          </cell>
          <cell r="F111">
            <v>3.66</v>
          </cell>
          <cell r="G111">
            <v>3.37</v>
          </cell>
          <cell r="H111">
            <v>3.6</v>
          </cell>
        </row>
        <row r="112">
          <cell r="B112" t="str">
            <v>YOUW</v>
          </cell>
          <cell r="C112">
            <v>831</v>
          </cell>
          <cell r="D112" t="str">
            <v>Yousuf Weaving</v>
          </cell>
          <cell r="E112">
            <v>4.03</v>
          </cell>
          <cell r="F112">
            <v>4.0999999999999996</v>
          </cell>
          <cell r="G112">
            <v>4</v>
          </cell>
          <cell r="H112">
            <v>4.09</v>
          </cell>
        </row>
        <row r="113">
          <cell r="B113" t="str">
            <v>AHTM</v>
          </cell>
          <cell r="C113">
            <v>829</v>
          </cell>
          <cell r="D113" t="str">
            <v>Ahmed Hassan</v>
          </cell>
          <cell r="E113">
            <v>0</v>
          </cell>
          <cell r="F113">
            <v>30</v>
          </cell>
          <cell r="G113">
            <v>30</v>
          </cell>
          <cell r="H113">
            <v>30</v>
          </cell>
        </row>
        <row r="114">
          <cell r="B114" t="str">
            <v>ADMM</v>
          </cell>
          <cell r="C114">
            <v>829</v>
          </cell>
          <cell r="D114" t="str">
            <v>Artistic Denim</v>
          </cell>
          <cell r="E114">
            <v>73.510000000000005</v>
          </cell>
          <cell r="F114">
            <v>74</v>
          </cell>
          <cell r="G114">
            <v>73.5</v>
          </cell>
          <cell r="H114">
            <v>73.5</v>
          </cell>
        </row>
        <row r="115">
          <cell r="B115" t="str">
            <v>BHAT</v>
          </cell>
          <cell r="C115">
            <v>829</v>
          </cell>
          <cell r="D115" t="str">
            <v>Bhanero Tex.</v>
          </cell>
          <cell r="E115">
            <v>852.6</v>
          </cell>
          <cell r="F115">
            <v>852.6</v>
          </cell>
          <cell r="G115">
            <v>852.6</v>
          </cell>
          <cell r="H115">
            <v>852.6</v>
          </cell>
        </row>
        <row r="116">
          <cell r="B116" t="str">
            <v>CRTM</v>
          </cell>
          <cell r="C116">
            <v>829</v>
          </cell>
          <cell r="D116" t="str">
            <v>Crescent Tex.</v>
          </cell>
          <cell r="E116">
            <v>30.32</v>
          </cell>
          <cell r="F116">
            <v>31</v>
          </cell>
          <cell r="G116">
            <v>30.26</v>
          </cell>
          <cell r="H116">
            <v>30.94</v>
          </cell>
        </row>
        <row r="117">
          <cell r="B117" t="str">
            <v>NCL</v>
          </cell>
          <cell r="C117">
            <v>829</v>
          </cell>
          <cell r="D117" t="str">
            <v>Nishat (Chun.)</v>
          </cell>
          <cell r="E117">
            <v>50.37</v>
          </cell>
          <cell r="F117">
            <v>50.37</v>
          </cell>
          <cell r="G117">
            <v>49</v>
          </cell>
          <cell r="H117">
            <v>49.57</v>
          </cell>
        </row>
        <row r="118">
          <cell r="B118" t="str">
            <v>GFIL</v>
          </cell>
          <cell r="C118">
            <v>829</v>
          </cell>
          <cell r="D118" t="str">
            <v>Ghazi Fabrics</v>
          </cell>
          <cell r="E118">
            <v>3.5</v>
          </cell>
          <cell r="F118">
            <v>3.93</v>
          </cell>
          <cell r="G118">
            <v>3.35</v>
          </cell>
          <cell r="H118">
            <v>3.71</v>
          </cell>
        </row>
        <row r="119">
          <cell r="B119" t="str">
            <v>GATM</v>
          </cell>
          <cell r="C119">
            <v>829</v>
          </cell>
          <cell r="D119" t="str">
            <v>Gul Ahmed</v>
          </cell>
          <cell r="E119">
            <v>38.86</v>
          </cell>
          <cell r="F119">
            <v>39.25</v>
          </cell>
          <cell r="G119">
            <v>38.5</v>
          </cell>
          <cell r="H119">
            <v>39.049999999999997</v>
          </cell>
        </row>
        <row r="120">
          <cell r="B120" t="str">
            <v>HAEL</v>
          </cell>
          <cell r="C120">
            <v>829</v>
          </cell>
          <cell r="D120" t="str">
            <v>Hala Enterprise</v>
          </cell>
          <cell r="E120">
            <v>7.2</v>
          </cell>
          <cell r="F120">
            <v>7.5</v>
          </cell>
          <cell r="G120">
            <v>7.2</v>
          </cell>
          <cell r="H120">
            <v>7.5</v>
          </cell>
        </row>
        <row r="121">
          <cell r="B121" t="str">
            <v>INKL</v>
          </cell>
          <cell r="C121">
            <v>829</v>
          </cell>
          <cell r="D121" t="str">
            <v>Int.Knitwear</v>
          </cell>
          <cell r="E121">
            <v>11.1</v>
          </cell>
          <cell r="F121">
            <v>11.4</v>
          </cell>
          <cell r="G121">
            <v>11</v>
          </cell>
          <cell r="H121">
            <v>11.09</v>
          </cell>
        </row>
        <row r="122">
          <cell r="B122" t="str">
            <v>JUBS</v>
          </cell>
          <cell r="C122">
            <v>829</v>
          </cell>
          <cell r="D122" t="str">
            <v>Jubilee Spinning</v>
          </cell>
          <cell r="E122">
            <v>5.45</v>
          </cell>
          <cell r="F122">
            <v>5.45</v>
          </cell>
          <cell r="G122">
            <v>5.45</v>
          </cell>
          <cell r="H122">
            <v>5.45</v>
          </cell>
        </row>
        <row r="123">
          <cell r="B123" t="str">
            <v>KHYT</v>
          </cell>
          <cell r="C123">
            <v>829</v>
          </cell>
          <cell r="D123" t="str">
            <v>Khyber Textile</v>
          </cell>
          <cell r="E123">
            <v>82.93</v>
          </cell>
          <cell r="F123">
            <v>82.93</v>
          </cell>
          <cell r="G123">
            <v>82.93</v>
          </cell>
          <cell r="H123">
            <v>82.93</v>
          </cell>
        </row>
        <row r="124">
          <cell r="B124" t="str">
            <v>KOIL</v>
          </cell>
          <cell r="C124">
            <v>829</v>
          </cell>
          <cell r="D124" t="str">
            <v>Kohinoor Ind.</v>
          </cell>
          <cell r="E124">
            <v>4</v>
          </cell>
          <cell r="F124">
            <v>4</v>
          </cell>
          <cell r="G124">
            <v>4</v>
          </cell>
          <cell r="H124">
            <v>4</v>
          </cell>
        </row>
        <row r="125">
          <cell r="B125" t="str">
            <v>KTML</v>
          </cell>
          <cell r="C125">
            <v>829</v>
          </cell>
          <cell r="D125" t="str">
            <v>Kohinoor Textile</v>
          </cell>
          <cell r="E125">
            <v>73</v>
          </cell>
          <cell r="F125">
            <v>73</v>
          </cell>
          <cell r="G125">
            <v>73</v>
          </cell>
          <cell r="H125">
            <v>73</v>
          </cell>
        </row>
        <row r="126">
          <cell r="B126" t="str">
            <v>ANL</v>
          </cell>
          <cell r="C126">
            <v>829</v>
          </cell>
          <cell r="D126" t="str">
            <v>Azgard Nine</v>
          </cell>
          <cell r="E126">
            <v>16.55</v>
          </cell>
          <cell r="F126">
            <v>17.61</v>
          </cell>
          <cell r="G126">
            <v>16.55</v>
          </cell>
          <cell r="H126">
            <v>17.55</v>
          </cell>
        </row>
        <row r="127">
          <cell r="B127" t="str">
            <v>MTIL</v>
          </cell>
          <cell r="C127">
            <v>829</v>
          </cell>
          <cell r="D127" t="str">
            <v>Mian Textile</v>
          </cell>
          <cell r="E127">
            <v>3.01</v>
          </cell>
          <cell r="F127">
            <v>3.01</v>
          </cell>
          <cell r="G127">
            <v>3.01</v>
          </cell>
          <cell r="H127">
            <v>3.01</v>
          </cell>
        </row>
        <row r="128">
          <cell r="B128" t="str">
            <v>MUBT</v>
          </cell>
          <cell r="C128">
            <v>829</v>
          </cell>
          <cell r="D128" t="str">
            <v>Mubarak Textile</v>
          </cell>
          <cell r="E128">
            <v>0</v>
          </cell>
          <cell r="F128">
            <v>3.1</v>
          </cell>
          <cell r="G128">
            <v>3.1</v>
          </cell>
          <cell r="H128">
            <v>3.1</v>
          </cell>
        </row>
        <row r="129">
          <cell r="B129" t="str">
            <v>NML</v>
          </cell>
          <cell r="C129">
            <v>829</v>
          </cell>
          <cell r="D129" t="str">
            <v>Nishat Mills Ltd</v>
          </cell>
          <cell r="E129">
            <v>157.25</v>
          </cell>
          <cell r="F129">
            <v>160.46</v>
          </cell>
          <cell r="G129">
            <v>156.11000000000001</v>
          </cell>
          <cell r="H129">
            <v>159.55000000000001</v>
          </cell>
        </row>
        <row r="130">
          <cell r="B130" t="str">
            <v>REDCO</v>
          </cell>
          <cell r="C130">
            <v>829</v>
          </cell>
          <cell r="D130" t="str">
            <v>Redco Textile</v>
          </cell>
          <cell r="E130">
            <v>3.06</v>
          </cell>
          <cell r="F130">
            <v>3.37</v>
          </cell>
          <cell r="G130">
            <v>3.05</v>
          </cell>
          <cell r="H130">
            <v>3.2</v>
          </cell>
        </row>
        <row r="131">
          <cell r="B131" t="str">
            <v>STML</v>
          </cell>
          <cell r="C131">
            <v>829</v>
          </cell>
          <cell r="D131" t="str">
            <v>Shams Textile</v>
          </cell>
          <cell r="E131">
            <v>38.19</v>
          </cell>
          <cell r="F131">
            <v>38.19</v>
          </cell>
          <cell r="G131">
            <v>37.5</v>
          </cell>
          <cell r="H131">
            <v>38.19</v>
          </cell>
        </row>
        <row r="132">
          <cell r="B132" t="str">
            <v>SURC</v>
          </cell>
          <cell r="C132">
            <v>829</v>
          </cell>
          <cell r="D132" t="str">
            <v>Suraj Cotton</v>
          </cell>
          <cell r="E132">
            <v>157</v>
          </cell>
          <cell r="F132">
            <v>160</v>
          </cell>
          <cell r="G132">
            <v>157</v>
          </cell>
          <cell r="H132">
            <v>159.5</v>
          </cell>
        </row>
        <row r="133">
          <cell r="B133" t="str">
            <v>TOWL</v>
          </cell>
          <cell r="C133">
            <v>829</v>
          </cell>
          <cell r="D133" t="str">
            <v>Towellers Limited</v>
          </cell>
          <cell r="E133">
            <v>84</v>
          </cell>
          <cell r="F133">
            <v>84.5</v>
          </cell>
          <cell r="G133">
            <v>84</v>
          </cell>
          <cell r="H133">
            <v>84</v>
          </cell>
        </row>
        <row r="134">
          <cell r="B134" t="str">
            <v>ZAHID</v>
          </cell>
          <cell r="C134">
            <v>829</v>
          </cell>
          <cell r="D134" t="str">
            <v>ZahidJee Tex.</v>
          </cell>
          <cell r="E134">
            <v>13.3</v>
          </cell>
          <cell r="F134">
            <v>14.49</v>
          </cell>
          <cell r="G134">
            <v>13.3</v>
          </cell>
          <cell r="H134">
            <v>14</v>
          </cell>
        </row>
        <row r="135">
          <cell r="B135" t="str">
            <v>FASM</v>
          </cell>
          <cell r="C135">
            <v>829</v>
          </cell>
          <cell r="D135" t="str">
            <v>Faisal Spinning</v>
          </cell>
          <cell r="E135">
            <v>297</v>
          </cell>
          <cell r="F135">
            <v>315</v>
          </cell>
          <cell r="G135">
            <v>297</v>
          </cell>
          <cell r="H135">
            <v>314</v>
          </cell>
        </row>
        <row r="136">
          <cell r="B136" t="str">
            <v>MSOT</v>
          </cell>
          <cell r="C136">
            <v>829</v>
          </cell>
          <cell r="D136" t="str">
            <v>Masood Textile</v>
          </cell>
          <cell r="E136">
            <v>0</v>
          </cell>
          <cell r="F136">
            <v>85.828599999999994</v>
          </cell>
          <cell r="G136">
            <v>0</v>
          </cell>
          <cell r="H136">
            <v>85.828599999999994</v>
          </cell>
        </row>
        <row r="137">
          <cell r="B137" t="str">
            <v>QUET</v>
          </cell>
          <cell r="C137">
            <v>829</v>
          </cell>
          <cell r="D137" t="str">
            <v>Quetta Textile</v>
          </cell>
          <cell r="E137">
            <v>12.74</v>
          </cell>
          <cell r="F137">
            <v>12.78</v>
          </cell>
          <cell r="G137">
            <v>10.8</v>
          </cell>
          <cell r="H137">
            <v>11.25</v>
          </cell>
        </row>
        <row r="138">
          <cell r="B138" t="str">
            <v>BNWM</v>
          </cell>
          <cell r="C138">
            <v>835</v>
          </cell>
          <cell r="D138" t="str">
            <v>Bannu Woollen</v>
          </cell>
          <cell r="E138">
            <v>55</v>
          </cell>
          <cell r="F138">
            <v>55.5</v>
          </cell>
          <cell r="G138">
            <v>55</v>
          </cell>
          <cell r="H138">
            <v>55</v>
          </cell>
        </row>
        <row r="139">
          <cell r="B139" t="str">
            <v>AGL</v>
          </cell>
          <cell r="C139">
            <v>805</v>
          </cell>
          <cell r="D139" t="str">
            <v>Agritech Limited</v>
          </cell>
          <cell r="E139">
            <v>8.3000000000000007</v>
          </cell>
          <cell r="F139">
            <v>8.85</v>
          </cell>
          <cell r="G139">
            <v>7.12</v>
          </cell>
          <cell r="H139">
            <v>7.68</v>
          </cell>
        </row>
        <row r="140">
          <cell r="B140" t="str">
            <v>GATI</v>
          </cell>
          <cell r="C140">
            <v>827</v>
          </cell>
          <cell r="D140" t="str">
            <v>Gatron Ind.</v>
          </cell>
          <cell r="E140">
            <v>163.93</v>
          </cell>
          <cell r="F140">
            <v>176.99</v>
          </cell>
          <cell r="G140">
            <v>163.93</v>
          </cell>
          <cell r="H140">
            <v>168.5</v>
          </cell>
        </row>
        <row r="141">
          <cell r="B141" t="str">
            <v>PSYL</v>
          </cell>
          <cell r="C141">
            <v>827</v>
          </cell>
          <cell r="D141" t="str">
            <v>Pak Synthetics</v>
          </cell>
          <cell r="E141">
            <v>20.420000000000002</v>
          </cell>
          <cell r="F141">
            <v>21.65</v>
          </cell>
          <cell r="G141">
            <v>20.420000000000002</v>
          </cell>
          <cell r="H141">
            <v>21.65</v>
          </cell>
        </row>
        <row r="142">
          <cell r="B142" t="str">
            <v>RUPL</v>
          </cell>
          <cell r="C142">
            <v>827</v>
          </cell>
          <cell r="D142" t="str">
            <v>Rupali Polyester</v>
          </cell>
          <cell r="E142">
            <v>30.71</v>
          </cell>
          <cell r="F142">
            <v>33.869999999999997</v>
          </cell>
          <cell r="G142">
            <v>30.65</v>
          </cell>
          <cell r="H142">
            <v>33.869999999999997</v>
          </cell>
        </row>
        <row r="143">
          <cell r="B143" t="str">
            <v>TRPOL</v>
          </cell>
          <cell r="C143">
            <v>827</v>
          </cell>
          <cell r="D143" t="str">
            <v>Tri-Star Poly</v>
          </cell>
          <cell r="E143">
            <v>19.45</v>
          </cell>
          <cell r="F143">
            <v>20.010000000000002</v>
          </cell>
          <cell r="G143">
            <v>19.2</v>
          </cell>
          <cell r="H143">
            <v>20.010000000000002</v>
          </cell>
        </row>
        <row r="144">
          <cell r="B144" t="str">
            <v>THALL</v>
          </cell>
          <cell r="C144">
            <v>802</v>
          </cell>
          <cell r="D144" t="str">
            <v>Thal Limited</v>
          </cell>
          <cell r="E144">
            <v>494.99</v>
          </cell>
          <cell r="F144">
            <v>495</v>
          </cell>
          <cell r="G144">
            <v>475</v>
          </cell>
          <cell r="H144">
            <v>484.98</v>
          </cell>
        </row>
        <row r="145">
          <cell r="B145" t="str">
            <v>ADAMS</v>
          </cell>
          <cell r="C145">
            <v>826</v>
          </cell>
          <cell r="D145" t="str">
            <v>Adam Sugar</v>
          </cell>
          <cell r="E145">
            <v>34.35</v>
          </cell>
          <cell r="F145">
            <v>34.35</v>
          </cell>
          <cell r="G145">
            <v>33.51</v>
          </cell>
          <cell r="H145">
            <v>34.06</v>
          </cell>
        </row>
        <row r="146">
          <cell r="B146" t="str">
            <v>AABS</v>
          </cell>
          <cell r="C146">
            <v>826</v>
          </cell>
          <cell r="D146" t="str">
            <v>AL-Abbas SugarXD</v>
          </cell>
          <cell r="E146">
            <v>187.45</v>
          </cell>
          <cell r="F146">
            <v>187.45</v>
          </cell>
          <cell r="G146">
            <v>170.57</v>
          </cell>
          <cell r="H146">
            <v>179.98</v>
          </cell>
        </row>
        <row r="147">
          <cell r="B147" t="str">
            <v>ANSM</v>
          </cell>
          <cell r="C147">
            <v>826</v>
          </cell>
          <cell r="D147" t="str">
            <v>Ansari Sugar</v>
          </cell>
          <cell r="E147">
            <v>23.62</v>
          </cell>
          <cell r="F147">
            <v>24.45</v>
          </cell>
          <cell r="G147">
            <v>23.4</v>
          </cell>
          <cell r="H147">
            <v>24.45</v>
          </cell>
        </row>
        <row r="148">
          <cell r="B148" t="str">
            <v>CHAS</v>
          </cell>
          <cell r="C148">
            <v>826</v>
          </cell>
          <cell r="D148" t="str">
            <v>Chashma SugarXD</v>
          </cell>
          <cell r="E148">
            <v>39.4</v>
          </cell>
          <cell r="F148">
            <v>39.4</v>
          </cell>
          <cell r="G148">
            <v>39.4</v>
          </cell>
          <cell r="H148">
            <v>39.4</v>
          </cell>
        </row>
        <row r="149">
          <cell r="B149" t="str">
            <v>IMSL</v>
          </cell>
          <cell r="C149">
            <v>826</v>
          </cell>
          <cell r="D149" t="str">
            <v>Imperial Sugar Ltd.</v>
          </cell>
          <cell r="E149">
            <v>24.01</v>
          </cell>
          <cell r="F149">
            <v>25</v>
          </cell>
          <cell r="G149">
            <v>24</v>
          </cell>
          <cell r="H149">
            <v>24.01</v>
          </cell>
        </row>
        <row r="150">
          <cell r="B150" t="str">
            <v>DWSM</v>
          </cell>
          <cell r="C150">
            <v>826</v>
          </cell>
          <cell r="D150" t="str">
            <v>Dewan Sugar</v>
          </cell>
          <cell r="E150">
            <v>6.7</v>
          </cell>
          <cell r="F150">
            <v>6.8</v>
          </cell>
          <cell r="G150">
            <v>6.6</v>
          </cell>
          <cell r="H150">
            <v>6.63</v>
          </cell>
        </row>
        <row r="151">
          <cell r="B151" t="str">
            <v>EFOODS</v>
          </cell>
          <cell r="C151">
            <v>810</v>
          </cell>
          <cell r="D151" t="str">
            <v>Engro Foods Ltd.</v>
          </cell>
          <cell r="E151">
            <v>87</v>
          </cell>
          <cell r="F151">
            <v>89.95</v>
          </cell>
          <cell r="G151">
            <v>87</v>
          </cell>
          <cell r="H151">
            <v>87.74</v>
          </cell>
        </row>
        <row r="152">
          <cell r="B152" t="str">
            <v>FRSM</v>
          </cell>
          <cell r="C152">
            <v>826</v>
          </cell>
          <cell r="D152" t="str">
            <v>Faran Sugar</v>
          </cell>
          <cell r="E152">
            <v>81</v>
          </cell>
          <cell r="F152">
            <v>84.9</v>
          </cell>
          <cell r="G152">
            <v>81</v>
          </cell>
          <cell r="H152">
            <v>82.98</v>
          </cell>
        </row>
        <row r="153">
          <cell r="B153" t="str">
            <v>HABSM</v>
          </cell>
          <cell r="C153">
            <v>826</v>
          </cell>
          <cell r="D153" t="str">
            <v>Habib Sugar</v>
          </cell>
          <cell r="E153">
            <v>34</v>
          </cell>
          <cell r="F153">
            <v>34</v>
          </cell>
          <cell r="G153">
            <v>33.35</v>
          </cell>
          <cell r="H153">
            <v>33.5</v>
          </cell>
        </row>
        <row r="154">
          <cell r="B154" t="str">
            <v>HAL</v>
          </cell>
          <cell r="C154">
            <v>826</v>
          </cell>
          <cell r="D154" t="str">
            <v>Habib-ADM LtdXD</v>
          </cell>
          <cell r="E154">
            <v>20.8</v>
          </cell>
          <cell r="F154">
            <v>21.5</v>
          </cell>
          <cell r="G154">
            <v>20.76</v>
          </cell>
          <cell r="H154">
            <v>21.2</v>
          </cell>
        </row>
        <row r="155">
          <cell r="B155" t="str">
            <v>HWQS</v>
          </cell>
          <cell r="C155">
            <v>826</v>
          </cell>
          <cell r="D155" t="str">
            <v>Haseeb Waqas Sugar</v>
          </cell>
          <cell r="E155">
            <v>8.07</v>
          </cell>
          <cell r="F155">
            <v>8.6199999999999992</v>
          </cell>
          <cell r="G155">
            <v>7.9</v>
          </cell>
          <cell r="H155">
            <v>8.4600000000000009</v>
          </cell>
        </row>
        <row r="156">
          <cell r="B156" t="str">
            <v>HSM</v>
          </cell>
          <cell r="C156">
            <v>826</v>
          </cell>
          <cell r="D156" t="str">
            <v>Husein Sugar Mills</v>
          </cell>
          <cell r="E156">
            <v>27.99</v>
          </cell>
          <cell r="F156">
            <v>28</v>
          </cell>
          <cell r="G156">
            <v>27.61</v>
          </cell>
          <cell r="H156">
            <v>27.61</v>
          </cell>
        </row>
        <row r="157">
          <cell r="B157" t="str">
            <v>JDWS</v>
          </cell>
          <cell r="C157">
            <v>826</v>
          </cell>
          <cell r="D157" t="str">
            <v>J.D.W.Sugar</v>
          </cell>
          <cell r="E157">
            <v>335</v>
          </cell>
          <cell r="F157">
            <v>335</v>
          </cell>
          <cell r="G157">
            <v>335</v>
          </cell>
          <cell r="H157">
            <v>335</v>
          </cell>
        </row>
        <row r="158">
          <cell r="B158" t="str">
            <v>JSML</v>
          </cell>
          <cell r="C158">
            <v>826</v>
          </cell>
          <cell r="D158" t="str">
            <v>Jauharabad Sug</v>
          </cell>
          <cell r="E158">
            <v>45.01</v>
          </cell>
          <cell r="F158">
            <v>45.01</v>
          </cell>
          <cell r="G158">
            <v>45.01</v>
          </cell>
          <cell r="H158">
            <v>45.01</v>
          </cell>
        </row>
        <row r="159">
          <cell r="B159" t="str">
            <v>MRNS</v>
          </cell>
          <cell r="C159">
            <v>826</v>
          </cell>
          <cell r="D159" t="str">
            <v>Mehran SugarXD</v>
          </cell>
          <cell r="E159">
            <v>115</v>
          </cell>
          <cell r="F159">
            <v>125</v>
          </cell>
          <cell r="G159">
            <v>115</v>
          </cell>
          <cell r="H159">
            <v>116.67</v>
          </cell>
        </row>
        <row r="160">
          <cell r="B160" t="str">
            <v>MIRKS</v>
          </cell>
          <cell r="C160">
            <v>826</v>
          </cell>
          <cell r="D160" t="str">
            <v>Mirpurkhas Sugar</v>
          </cell>
          <cell r="E160">
            <v>134</v>
          </cell>
          <cell r="F160">
            <v>141</v>
          </cell>
          <cell r="G160">
            <v>134</v>
          </cell>
          <cell r="H160">
            <v>136</v>
          </cell>
        </row>
        <row r="161">
          <cell r="B161" t="str">
            <v>MZSM</v>
          </cell>
          <cell r="C161">
            <v>826</v>
          </cell>
          <cell r="D161" t="str">
            <v>Mirza Sugar</v>
          </cell>
          <cell r="E161">
            <v>6.64</v>
          </cell>
          <cell r="F161">
            <v>6.64</v>
          </cell>
          <cell r="G161">
            <v>6.01</v>
          </cell>
          <cell r="H161">
            <v>6.15</v>
          </cell>
        </row>
        <row r="162">
          <cell r="B162" t="str">
            <v>NONS</v>
          </cell>
          <cell r="C162">
            <v>826</v>
          </cell>
          <cell r="D162" t="str">
            <v>Noon Sugar</v>
          </cell>
          <cell r="E162">
            <v>54.88</v>
          </cell>
          <cell r="F162">
            <v>54.9</v>
          </cell>
          <cell r="G162">
            <v>54.88</v>
          </cell>
          <cell r="H162">
            <v>54.88</v>
          </cell>
        </row>
        <row r="163">
          <cell r="B163" t="str">
            <v>SKRS</v>
          </cell>
          <cell r="C163">
            <v>826</v>
          </cell>
          <cell r="D163" t="str">
            <v>Sakrand Sugar</v>
          </cell>
          <cell r="E163">
            <v>24.5</v>
          </cell>
          <cell r="F163">
            <v>25</v>
          </cell>
          <cell r="G163">
            <v>23.66</v>
          </cell>
          <cell r="H163">
            <v>23.9</v>
          </cell>
        </row>
        <row r="164">
          <cell r="B164" t="str">
            <v>SHJS</v>
          </cell>
          <cell r="C164">
            <v>826</v>
          </cell>
          <cell r="D164" t="str">
            <v>Shahtaj SugarXD</v>
          </cell>
          <cell r="E164">
            <v>132.49</v>
          </cell>
          <cell r="F164">
            <v>132.49</v>
          </cell>
          <cell r="G164">
            <v>132.49</v>
          </cell>
          <cell r="H164">
            <v>132.49</v>
          </cell>
        </row>
        <row r="165">
          <cell r="B165" t="str">
            <v>SHSML</v>
          </cell>
          <cell r="C165">
            <v>826</v>
          </cell>
          <cell r="D165" t="str">
            <v>Shahmurad SugarXD</v>
          </cell>
          <cell r="E165">
            <v>57</v>
          </cell>
          <cell r="F165">
            <v>57.49</v>
          </cell>
          <cell r="G165">
            <v>57</v>
          </cell>
          <cell r="H165">
            <v>57.38</v>
          </cell>
        </row>
        <row r="166">
          <cell r="B166" t="str">
            <v>SML</v>
          </cell>
          <cell r="C166">
            <v>826</v>
          </cell>
          <cell r="D166" t="str">
            <v>Shakarganj Limited</v>
          </cell>
          <cell r="E166">
            <v>71</v>
          </cell>
          <cell r="F166">
            <v>71</v>
          </cell>
          <cell r="G166">
            <v>71</v>
          </cell>
          <cell r="H166">
            <v>71</v>
          </cell>
        </row>
        <row r="167">
          <cell r="B167" t="str">
            <v>ACPL</v>
          </cell>
          <cell r="C167">
            <v>804</v>
          </cell>
          <cell r="D167" t="str">
            <v>Attock Cement</v>
          </cell>
          <cell r="E167">
            <v>185.25</v>
          </cell>
          <cell r="F167">
            <v>190</v>
          </cell>
          <cell r="G167">
            <v>185.1</v>
          </cell>
          <cell r="H167">
            <v>190</v>
          </cell>
        </row>
        <row r="168">
          <cell r="B168" t="str">
            <v>BWCL</v>
          </cell>
          <cell r="C168">
            <v>804</v>
          </cell>
          <cell r="D168" t="str">
            <v>Bestway Cement</v>
          </cell>
          <cell r="E168">
            <v>152.4</v>
          </cell>
          <cell r="F168">
            <v>154</v>
          </cell>
          <cell r="G168">
            <v>147.94999999999999</v>
          </cell>
          <cell r="H168">
            <v>148.86000000000001</v>
          </cell>
        </row>
        <row r="169">
          <cell r="B169" t="str">
            <v>CHCC</v>
          </cell>
          <cell r="C169">
            <v>804</v>
          </cell>
          <cell r="D169" t="str">
            <v>Cherat Cement</v>
          </cell>
          <cell r="E169">
            <v>126</v>
          </cell>
          <cell r="F169">
            <v>126.98</v>
          </cell>
          <cell r="G169">
            <v>125.3</v>
          </cell>
          <cell r="H169">
            <v>126.23</v>
          </cell>
        </row>
        <row r="170">
          <cell r="B170" t="str">
            <v>DNCC</v>
          </cell>
          <cell r="C170">
            <v>804</v>
          </cell>
          <cell r="D170" t="str">
            <v>Dandot Cement</v>
          </cell>
          <cell r="E170">
            <v>9.9499999999999993</v>
          </cell>
          <cell r="F170">
            <v>10.3</v>
          </cell>
          <cell r="G170">
            <v>9.4</v>
          </cell>
          <cell r="H170">
            <v>10.16</v>
          </cell>
        </row>
        <row r="171">
          <cell r="B171" t="str">
            <v>DGKC</v>
          </cell>
          <cell r="C171">
            <v>804</v>
          </cell>
          <cell r="D171" t="str">
            <v>D.G.K.Cement</v>
          </cell>
          <cell r="E171">
            <v>141.5</v>
          </cell>
          <cell r="F171">
            <v>144.25</v>
          </cell>
          <cell r="G171">
            <v>140.15</v>
          </cell>
          <cell r="H171">
            <v>143.71</v>
          </cell>
        </row>
        <row r="172">
          <cell r="B172" t="str">
            <v>AKZO</v>
          </cell>
          <cell r="C172">
            <v>805</v>
          </cell>
          <cell r="D172" t="str">
            <v>Akzo Nobel Pak.</v>
          </cell>
          <cell r="E172">
            <v>209.48</v>
          </cell>
          <cell r="F172">
            <v>215.42</v>
          </cell>
          <cell r="G172">
            <v>209.48</v>
          </cell>
          <cell r="H172">
            <v>215.42</v>
          </cell>
        </row>
        <row r="173">
          <cell r="B173" t="str">
            <v>POWER</v>
          </cell>
          <cell r="C173">
            <v>804</v>
          </cell>
          <cell r="D173" t="str">
            <v>Power Cement</v>
          </cell>
          <cell r="E173">
            <v>9</v>
          </cell>
          <cell r="F173">
            <v>9.15</v>
          </cell>
          <cell r="G173">
            <v>9</v>
          </cell>
          <cell r="H173">
            <v>9.07</v>
          </cell>
        </row>
        <row r="174">
          <cell r="B174" t="str">
            <v>FCCL</v>
          </cell>
          <cell r="C174">
            <v>804</v>
          </cell>
          <cell r="D174" t="str">
            <v>Fauji Cement</v>
          </cell>
          <cell r="E174">
            <v>24.6</v>
          </cell>
          <cell r="F174">
            <v>25.05</v>
          </cell>
          <cell r="G174">
            <v>24.21</v>
          </cell>
          <cell r="H174">
            <v>24.96</v>
          </cell>
        </row>
        <row r="175">
          <cell r="B175" t="str">
            <v>FECTC</v>
          </cell>
          <cell r="C175">
            <v>804</v>
          </cell>
          <cell r="D175" t="str">
            <v>Fecto Cement</v>
          </cell>
          <cell r="E175">
            <v>48.03</v>
          </cell>
          <cell r="F175">
            <v>48.05</v>
          </cell>
          <cell r="G175">
            <v>48</v>
          </cell>
          <cell r="H175">
            <v>48.05</v>
          </cell>
        </row>
        <row r="176">
          <cell r="B176" t="str">
            <v>FLYNG</v>
          </cell>
          <cell r="C176">
            <v>804</v>
          </cell>
          <cell r="D176" t="str">
            <v>Flying Cement</v>
          </cell>
          <cell r="E176">
            <v>14.03</v>
          </cell>
          <cell r="F176">
            <v>14.56</v>
          </cell>
          <cell r="G176">
            <v>14.03</v>
          </cell>
          <cell r="H176">
            <v>14.31</v>
          </cell>
        </row>
        <row r="177">
          <cell r="B177" t="str">
            <v>GWLC</v>
          </cell>
          <cell r="C177">
            <v>804</v>
          </cell>
          <cell r="D177" t="str">
            <v>Gharibwal Cement</v>
          </cell>
          <cell r="E177">
            <v>26</v>
          </cell>
          <cell r="F177">
            <v>26</v>
          </cell>
          <cell r="G177">
            <v>25.31</v>
          </cell>
          <cell r="H177">
            <v>25.71</v>
          </cell>
        </row>
        <row r="178">
          <cell r="B178" t="str">
            <v>JVDC</v>
          </cell>
          <cell r="C178">
            <v>804</v>
          </cell>
          <cell r="D178" t="str">
            <v>Javedan Corp.</v>
          </cell>
          <cell r="E178">
            <v>43</v>
          </cell>
          <cell r="F178">
            <v>43</v>
          </cell>
          <cell r="G178">
            <v>43</v>
          </cell>
          <cell r="H178">
            <v>43</v>
          </cell>
        </row>
        <row r="179">
          <cell r="B179" t="str">
            <v>KOHC</v>
          </cell>
          <cell r="C179">
            <v>804</v>
          </cell>
          <cell r="D179" t="str">
            <v>Kohat Cement</v>
          </cell>
          <cell r="E179">
            <v>142.51</v>
          </cell>
          <cell r="F179">
            <v>145</v>
          </cell>
          <cell r="G179">
            <v>142.51</v>
          </cell>
          <cell r="H179">
            <v>144.33000000000001</v>
          </cell>
        </row>
        <row r="180">
          <cell r="B180" t="str">
            <v>LUCK</v>
          </cell>
          <cell r="C180">
            <v>804</v>
          </cell>
          <cell r="D180" t="str">
            <v>Lucky Cement</v>
          </cell>
          <cell r="E180">
            <v>591</v>
          </cell>
          <cell r="F180">
            <v>603</v>
          </cell>
          <cell r="G180">
            <v>589.99</v>
          </cell>
          <cell r="H180">
            <v>600.75</v>
          </cell>
        </row>
        <row r="181">
          <cell r="B181" t="str">
            <v>MLCF</v>
          </cell>
          <cell r="C181">
            <v>804</v>
          </cell>
          <cell r="D181" t="str">
            <v>Maple Leaf</v>
          </cell>
          <cell r="E181">
            <v>67</v>
          </cell>
          <cell r="F181">
            <v>67.900000000000006</v>
          </cell>
          <cell r="G181">
            <v>66.989999999999995</v>
          </cell>
          <cell r="H181">
            <v>67.5</v>
          </cell>
        </row>
        <row r="182">
          <cell r="B182" t="str">
            <v>DCL</v>
          </cell>
          <cell r="C182">
            <v>804</v>
          </cell>
          <cell r="D182" t="str">
            <v>Dewan Cement</v>
          </cell>
          <cell r="E182">
            <v>25.8</v>
          </cell>
          <cell r="F182">
            <v>26.25</v>
          </cell>
          <cell r="G182">
            <v>25.6</v>
          </cell>
          <cell r="H182">
            <v>25.65</v>
          </cell>
        </row>
        <row r="183">
          <cell r="B183" t="str">
            <v>PIOC</v>
          </cell>
          <cell r="C183">
            <v>804</v>
          </cell>
          <cell r="D183" t="str">
            <v>Pioneer Cement</v>
          </cell>
          <cell r="E183">
            <v>64.8</v>
          </cell>
          <cell r="F183">
            <v>65.5</v>
          </cell>
          <cell r="G183">
            <v>64.150000000000006</v>
          </cell>
          <cell r="H183">
            <v>65.3</v>
          </cell>
        </row>
        <row r="184">
          <cell r="B184" t="str">
            <v>SMCPL</v>
          </cell>
          <cell r="C184">
            <v>804</v>
          </cell>
          <cell r="D184" t="str">
            <v>Safe Mix Con.Ltd</v>
          </cell>
          <cell r="E184">
            <v>8.44</v>
          </cell>
          <cell r="F184">
            <v>9.14</v>
          </cell>
          <cell r="G184">
            <v>8.42</v>
          </cell>
          <cell r="H184">
            <v>9</v>
          </cell>
        </row>
        <row r="185">
          <cell r="B185" t="str">
            <v>THCCL</v>
          </cell>
          <cell r="C185">
            <v>804</v>
          </cell>
          <cell r="D185" t="str">
            <v>Thatta Cement</v>
          </cell>
          <cell r="E185">
            <v>23.4</v>
          </cell>
          <cell r="F185">
            <v>23.4</v>
          </cell>
          <cell r="G185">
            <v>23.08</v>
          </cell>
          <cell r="H185">
            <v>23.1</v>
          </cell>
        </row>
        <row r="186">
          <cell r="B186" t="str">
            <v>KHTC</v>
          </cell>
          <cell r="C186">
            <v>832</v>
          </cell>
          <cell r="D186" t="str">
            <v>Khyber TobaccoXB</v>
          </cell>
          <cell r="E186">
            <v>679.99</v>
          </cell>
          <cell r="F186">
            <v>679.99</v>
          </cell>
          <cell r="G186">
            <v>655</v>
          </cell>
          <cell r="H186">
            <v>664.54</v>
          </cell>
        </row>
        <row r="187">
          <cell r="B187" t="str">
            <v>PAKT</v>
          </cell>
          <cell r="C187">
            <v>832</v>
          </cell>
          <cell r="D187" t="str">
            <v>Pak Tobacco</v>
          </cell>
          <cell r="E187">
            <v>2195</v>
          </cell>
          <cell r="F187">
            <v>2213</v>
          </cell>
          <cell r="G187">
            <v>2195</v>
          </cell>
          <cell r="H187">
            <v>2210.38</v>
          </cell>
        </row>
        <row r="188">
          <cell r="B188" t="str">
            <v>ATRL</v>
          </cell>
          <cell r="C188">
            <v>825</v>
          </cell>
          <cell r="D188" t="str">
            <v>Attock Refinery</v>
          </cell>
          <cell r="E188">
            <v>247</v>
          </cell>
          <cell r="F188">
            <v>252</v>
          </cell>
          <cell r="G188">
            <v>245.5</v>
          </cell>
          <cell r="H188">
            <v>247.53</v>
          </cell>
        </row>
        <row r="189">
          <cell r="B189" t="str">
            <v>BYCO</v>
          </cell>
          <cell r="C189">
            <v>825</v>
          </cell>
          <cell r="D189" t="str">
            <v>Byco Petroleum</v>
          </cell>
          <cell r="E189">
            <v>15.11</v>
          </cell>
          <cell r="F189">
            <v>16.059999999999999</v>
          </cell>
          <cell r="G189">
            <v>15.11</v>
          </cell>
          <cell r="H189">
            <v>15.72</v>
          </cell>
        </row>
        <row r="190">
          <cell r="B190" t="str">
            <v>NRL</v>
          </cell>
          <cell r="C190">
            <v>825</v>
          </cell>
          <cell r="D190" t="str">
            <v>National Refinery</v>
          </cell>
          <cell r="E190">
            <v>426.75</v>
          </cell>
          <cell r="F190">
            <v>430.2</v>
          </cell>
          <cell r="G190">
            <v>424</v>
          </cell>
          <cell r="H190">
            <v>426.92</v>
          </cell>
        </row>
        <row r="191">
          <cell r="B191" t="str">
            <v>PRL</v>
          </cell>
          <cell r="C191">
            <v>825</v>
          </cell>
          <cell r="D191" t="str">
            <v>Pak Refinery</v>
          </cell>
          <cell r="E191">
            <v>37.369999999999997</v>
          </cell>
          <cell r="F191">
            <v>37.700000000000003</v>
          </cell>
          <cell r="G191">
            <v>37.25</v>
          </cell>
          <cell r="H191">
            <v>37.39</v>
          </cell>
        </row>
        <row r="192">
          <cell r="B192" t="str">
            <v>ALTN</v>
          </cell>
          <cell r="C192">
            <v>824</v>
          </cell>
          <cell r="D192" t="str">
            <v>Altern Energy</v>
          </cell>
          <cell r="E192">
            <v>41.01</v>
          </cell>
          <cell r="F192">
            <v>42</v>
          </cell>
          <cell r="G192">
            <v>41</v>
          </cell>
          <cell r="H192">
            <v>41.73</v>
          </cell>
        </row>
        <row r="193">
          <cell r="B193" t="str">
            <v>EPQL</v>
          </cell>
          <cell r="C193">
            <v>824</v>
          </cell>
          <cell r="D193" t="str">
            <v>Engro Powergen</v>
          </cell>
          <cell r="E193">
            <v>34.950000000000003</v>
          </cell>
          <cell r="F193">
            <v>34.950000000000003</v>
          </cell>
          <cell r="G193">
            <v>34.450000000000003</v>
          </cell>
          <cell r="H193">
            <v>34.659999999999997</v>
          </cell>
        </row>
        <row r="194">
          <cell r="B194" t="str">
            <v>HUBC</v>
          </cell>
          <cell r="C194">
            <v>824</v>
          </cell>
          <cell r="D194" t="str">
            <v>Hub Power Co.</v>
          </cell>
          <cell r="E194">
            <v>97.4</v>
          </cell>
          <cell r="F194">
            <v>99</v>
          </cell>
          <cell r="G194">
            <v>97.4</v>
          </cell>
          <cell r="H194">
            <v>98.05</v>
          </cell>
        </row>
        <row r="195">
          <cell r="B195" t="str">
            <v>KEL</v>
          </cell>
          <cell r="C195">
            <v>824</v>
          </cell>
          <cell r="D195" t="str">
            <v>K-Electric Ltd.</v>
          </cell>
          <cell r="E195">
            <v>6.16</v>
          </cell>
          <cell r="F195">
            <v>6.25</v>
          </cell>
          <cell r="G195">
            <v>6.16</v>
          </cell>
          <cell r="H195">
            <v>6.21</v>
          </cell>
        </row>
        <row r="196">
          <cell r="B196" t="str">
            <v>KOHE</v>
          </cell>
          <cell r="C196">
            <v>824</v>
          </cell>
          <cell r="D196" t="str">
            <v>Kohinoor Energy</v>
          </cell>
          <cell r="E196">
            <v>42.35</v>
          </cell>
          <cell r="F196">
            <v>42.5</v>
          </cell>
          <cell r="G196">
            <v>42.35</v>
          </cell>
          <cell r="H196">
            <v>42.5</v>
          </cell>
        </row>
        <row r="197">
          <cell r="B197" t="str">
            <v>KOHP</v>
          </cell>
          <cell r="C197">
            <v>824</v>
          </cell>
          <cell r="D197" t="str">
            <v>Kohinoor Power</v>
          </cell>
          <cell r="E197">
            <v>3.59</v>
          </cell>
          <cell r="F197">
            <v>3.7</v>
          </cell>
          <cell r="G197">
            <v>3.53</v>
          </cell>
          <cell r="H197">
            <v>3.7</v>
          </cell>
        </row>
        <row r="198">
          <cell r="B198" t="str">
            <v>LPL</v>
          </cell>
          <cell r="C198">
            <v>824</v>
          </cell>
          <cell r="D198" t="str">
            <v>Lalpir Power</v>
          </cell>
          <cell r="E198">
            <v>21.2</v>
          </cell>
          <cell r="F198">
            <v>21.4</v>
          </cell>
          <cell r="G198">
            <v>21.16</v>
          </cell>
          <cell r="H198">
            <v>21.24</v>
          </cell>
        </row>
        <row r="199">
          <cell r="B199" t="str">
            <v>KAPCO</v>
          </cell>
          <cell r="C199">
            <v>824</v>
          </cell>
          <cell r="D199" t="str">
            <v>Kot Addu Power</v>
          </cell>
          <cell r="E199">
            <v>59.98</v>
          </cell>
          <cell r="F199">
            <v>59.99</v>
          </cell>
          <cell r="G199">
            <v>59.51</v>
          </cell>
          <cell r="H199">
            <v>59.78</v>
          </cell>
        </row>
        <row r="200">
          <cell r="B200" t="str">
            <v>NCPL</v>
          </cell>
          <cell r="C200">
            <v>824</v>
          </cell>
          <cell r="D200" t="str">
            <v>Nishat ChunPow</v>
          </cell>
          <cell r="E200">
            <v>29.92</v>
          </cell>
          <cell r="F200">
            <v>30.45</v>
          </cell>
          <cell r="G200">
            <v>29.01</v>
          </cell>
          <cell r="H200">
            <v>29.14</v>
          </cell>
        </row>
        <row r="201">
          <cell r="B201" t="str">
            <v>NPL</v>
          </cell>
          <cell r="C201">
            <v>824</v>
          </cell>
          <cell r="D201" t="str">
            <v>Nishat Power</v>
          </cell>
          <cell r="E201">
            <v>31.4</v>
          </cell>
          <cell r="F201">
            <v>31.5</v>
          </cell>
          <cell r="G201">
            <v>31.13</v>
          </cell>
          <cell r="H201">
            <v>31.41</v>
          </cell>
        </row>
        <row r="202">
          <cell r="B202" t="str">
            <v>PKGP</v>
          </cell>
          <cell r="C202">
            <v>824</v>
          </cell>
          <cell r="D202" t="str">
            <v>Pakgen Power</v>
          </cell>
          <cell r="E202">
            <v>21.05</v>
          </cell>
          <cell r="F202">
            <v>21.2</v>
          </cell>
          <cell r="G202">
            <v>21.05</v>
          </cell>
          <cell r="H202">
            <v>21.13</v>
          </cell>
        </row>
        <row r="203">
          <cell r="B203" t="str">
            <v>SPWL</v>
          </cell>
          <cell r="C203">
            <v>824</v>
          </cell>
          <cell r="D203" t="str">
            <v>Saif Power Ltd.</v>
          </cell>
          <cell r="E203">
            <v>28.5</v>
          </cell>
          <cell r="F203">
            <v>28.97</v>
          </cell>
          <cell r="G203">
            <v>28.5</v>
          </cell>
          <cell r="H203">
            <v>28.9</v>
          </cell>
        </row>
        <row r="204">
          <cell r="B204" t="str">
            <v>TSPL</v>
          </cell>
          <cell r="C204">
            <v>824</v>
          </cell>
          <cell r="D204" t="str">
            <v>Tri-Star Power XD</v>
          </cell>
          <cell r="E204">
            <v>5.72</v>
          </cell>
          <cell r="F204">
            <v>5.95</v>
          </cell>
          <cell r="G204">
            <v>5.71</v>
          </cell>
          <cell r="H204">
            <v>5.85</v>
          </cell>
        </row>
        <row r="205">
          <cell r="B205" t="str">
            <v>APL</v>
          </cell>
          <cell r="C205">
            <v>821</v>
          </cell>
          <cell r="D205" t="str">
            <v>Attock PetroleumXD</v>
          </cell>
          <cell r="E205">
            <v>562.96</v>
          </cell>
          <cell r="F205">
            <v>568</v>
          </cell>
          <cell r="G205">
            <v>557</v>
          </cell>
          <cell r="H205">
            <v>564.54999999999995</v>
          </cell>
        </row>
        <row r="206">
          <cell r="B206" t="str">
            <v>PSO</v>
          </cell>
          <cell r="C206">
            <v>821</v>
          </cell>
          <cell r="D206" t="str">
            <v>P.S.O.</v>
          </cell>
          <cell r="E206">
            <v>292</v>
          </cell>
          <cell r="F206">
            <v>301</v>
          </cell>
          <cell r="G206">
            <v>290.3</v>
          </cell>
          <cell r="H206">
            <v>297.77999999999997</v>
          </cell>
        </row>
        <row r="207">
          <cell r="B207" t="str">
            <v>BPL</v>
          </cell>
          <cell r="C207">
            <v>821</v>
          </cell>
          <cell r="D207" t="str">
            <v>Burshane LPG</v>
          </cell>
          <cell r="E207">
            <v>50.01</v>
          </cell>
          <cell r="F207">
            <v>51.96</v>
          </cell>
          <cell r="G207">
            <v>50.01</v>
          </cell>
          <cell r="H207">
            <v>51.96</v>
          </cell>
        </row>
        <row r="208">
          <cell r="B208" t="str">
            <v>SHEL</v>
          </cell>
          <cell r="C208">
            <v>821</v>
          </cell>
          <cell r="D208" t="str">
            <v>Shell Pakistan</v>
          </cell>
          <cell r="E208">
            <v>316.74</v>
          </cell>
          <cell r="F208">
            <v>321.89999999999998</v>
          </cell>
          <cell r="G208">
            <v>312.51</v>
          </cell>
          <cell r="H208">
            <v>320.07</v>
          </cell>
        </row>
        <row r="209">
          <cell r="B209" t="str">
            <v>SSGC</v>
          </cell>
          <cell r="C209">
            <v>821</v>
          </cell>
          <cell r="D209" t="str">
            <v>Sui South Gas</v>
          </cell>
          <cell r="E209">
            <v>35.6</v>
          </cell>
          <cell r="F209">
            <v>35.950000000000003</v>
          </cell>
          <cell r="G209">
            <v>35.4</v>
          </cell>
          <cell r="H209">
            <v>35.700000000000003</v>
          </cell>
        </row>
        <row r="210">
          <cell r="B210" t="str">
            <v>SNGP</v>
          </cell>
          <cell r="C210">
            <v>821</v>
          </cell>
          <cell r="D210" t="str">
            <v>Sui North Gas</v>
          </cell>
          <cell r="E210">
            <v>112.39</v>
          </cell>
          <cell r="F210">
            <v>115.8</v>
          </cell>
          <cell r="G210">
            <v>111.5</v>
          </cell>
          <cell r="H210">
            <v>115.09</v>
          </cell>
        </row>
        <row r="211">
          <cell r="B211" t="str">
            <v>HASCOL</v>
          </cell>
          <cell r="C211">
            <v>821</v>
          </cell>
          <cell r="D211" t="str">
            <v>Hascol Petrol</v>
          </cell>
          <cell r="E211">
            <v>270.5</v>
          </cell>
          <cell r="F211">
            <v>272</v>
          </cell>
          <cell r="G211">
            <v>270.5</v>
          </cell>
          <cell r="H211">
            <v>271.24</v>
          </cell>
        </row>
        <row r="212">
          <cell r="B212" t="str">
            <v>HTL</v>
          </cell>
          <cell r="C212">
            <v>821</v>
          </cell>
          <cell r="D212" t="str">
            <v>HI-Tech Lub.</v>
          </cell>
          <cell r="E212">
            <v>106.89</v>
          </cell>
          <cell r="F212">
            <v>110.1</v>
          </cell>
          <cell r="G212">
            <v>106.8</v>
          </cell>
          <cell r="H212">
            <v>108.37</v>
          </cell>
        </row>
        <row r="213">
          <cell r="B213" t="str">
            <v>MARI</v>
          </cell>
          <cell r="C213">
            <v>820</v>
          </cell>
          <cell r="D213" t="str">
            <v>Mari Petroleum</v>
          </cell>
          <cell r="E213">
            <v>1536.5</v>
          </cell>
          <cell r="F213">
            <v>1540</v>
          </cell>
          <cell r="G213">
            <v>1458.12</v>
          </cell>
          <cell r="H213">
            <v>1471.89</v>
          </cell>
        </row>
        <row r="214">
          <cell r="B214" t="str">
            <v>OGDC</v>
          </cell>
          <cell r="C214">
            <v>820</v>
          </cell>
          <cell r="D214" t="str">
            <v>Oil &amp; Gas Dev.</v>
          </cell>
          <cell r="E214">
            <v>162.1</v>
          </cell>
          <cell r="F214">
            <v>163.97</v>
          </cell>
          <cell r="G214">
            <v>161.01</v>
          </cell>
          <cell r="H214">
            <v>163.22</v>
          </cell>
        </row>
        <row r="215">
          <cell r="B215" t="str">
            <v>POL</v>
          </cell>
          <cell r="C215">
            <v>820</v>
          </cell>
          <cell r="D215" t="str">
            <v>Pak Oilfields</v>
          </cell>
          <cell r="E215">
            <v>619.88</v>
          </cell>
          <cell r="F215">
            <v>628</v>
          </cell>
          <cell r="G215">
            <v>617.1</v>
          </cell>
          <cell r="H215">
            <v>624.51</v>
          </cell>
        </row>
        <row r="216">
          <cell r="B216" t="str">
            <v>PPL</v>
          </cell>
          <cell r="C216">
            <v>820</v>
          </cell>
          <cell r="D216" t="str">
            <v>Pak Petroleum</v>
          </cell>
          <cell r="E216">
            <v>199.99</v>
          </cell>
          <cell r="F216">
            <v>204.5</v>
          </cell>
          <cell r="G216">
            <v>199.99</v>
          </cell>
          <cell r="H216">
            <v>203.91</v>
          </cell>
        </row>
        <row r="217">
          <cell r="B217" t="str">
            <v>ADOS</v>
          </cell>
          <cell r="C217">
            <v>808</v>
          </cell>
          <cell r="D217" t="str">
            <v>Ados Pakistan</v>
          </cell>
          <cell r="E217">
            <v>48.9</v>
          </cell>
          <cell r="F217">
            <v>48.9</v>
          </cell>
          <cell r="G217">
            <v>48.9</v>
          </cell>
          <cell r="H217">
            <v>48.9</v>
          </cell>
        </row>
        <row r="218">
          <cell r="B218" t="str">
            <v>ASL</v>
          </cell>
          <cell r="C218">
            <v>808</v>
          </cell>
          <cell r="D218" t="str">
            <v>Aisha Steel Mill</v>
          </cell>
          <cell r="E218">
            <v>20.75</v>
          </cell>
          <cell r="F218">
            <v>21.1</v>
          </cell>
          <cell r="G218">
            <v>20.62</v>
          </cell>
          <cell r="H218">
            <v>20.8</v>
          </cell>
        </row>
        <row r="219">
          <cell r="B219" t="str">
            <v>ASTL</v>
          </cell>
          <cell r="C219">
            <v>808</v>
          </cell>
          <cell r="D219" t="str">
            <v>Amreli Steels</v>
          </cell>
          <cell r="E219">
            <v>92.49</v>
          </cell>
          <cell r="F219">
            <v>93.12</v>
          </cell>
          <cell r="G219">
            <v>90.51</v>
          </cell>
          <cell r="H219">
            <v>92.17</v>
          </cell>
        </row>
        <row r="220">
          <cell r="B220" t="str">
            <v>BCL</v>
          </cell>
          <cell r="C220">
            <v>808</v>
          </cell>
          <cell r="D220" t="str">
            <v>Bolan Casting</v>
          </cell>
          <cell r="E220">
            <v>118.88</v>
          </cell>
          <cell r="F220">
            <v>122.59</v>
          </cell>
          <cell r="G220">
            <v>118.88</v>
          </cell>
          <cell r="H220">
            <v>122.59</v>
          </cell>
        </row>
        <row r="221">
          <cell r="B221" t="str">
            <v>DSL</v>
          </cell>
          <cell r="C221">
            <v>808</v>
          </cell>
          <cell r="D221" t="str">
            <v>Dost Steels Ltd.</v>
          </cell>
          <cell r="E221">
            <v>13.49</v>
          </cell>
          <cell r="F221">
            <v>13.59</v>
          </cell>
          <cell r="G221">
            <v>12.91</v>
          </cell>
          <cell r="H221">
            <v>13</v>
          </cell>
        </row>
        <row r="222">
          <cell r="B222" t="str">
            <v>CSAP</v>
          </cell>
          <cell r="C222">
            <v>808</v>
          </cell>
          <cell r="D222" t="str">
            <v>Crescent Steel</v>
          </cell>
          <cell r="E222">
            <v>133.28</v>
          </cell>
          <cell r="F222">
            <v>135.01</v>
          </cell>
          <cell r="G222">
            <v>133.28</v>
          </cell>
          <cell r="H222">
            <v>134.93</v>
          </cell>
        </row>
        <row r="223">
          <cell r="B223" t="str">
            <v>DKL</v>
          </cell>
          <cell r="C223">
            <v>808</v>
          </cell>
          <cell r="D223" t="str">
            <v>Drekkar Kings</v>
          </cell>
          <cell r="E223">
            <v>5.7</v>
          </cell>
          <cell r="F223">
            <v>6</v>
          </cell>
          <cell r="G223">
            <v>5.4</v>
          </cell>
          <cell r="H223">
            <v>5.71</v>
          </cell>
        </row>
        <row r="224">
          <cell r="B224" t="str">
            <v>INIL</v>
          </cell>
          <cell r="C224">
            <v>808</v>
          </cell>
          <cell r="D224" t="str">
            <v>Int. Ind.Ltd.</v>
          </cell>
          <cell r="E224">
            <v>302.12</v>
          </cell>
          <cell r="F224">
            <v>312.89999999999998</v>
          </cell>
          <cell r="G224">
            <v>302.12</v>
          </cell>
          <cell r="H224">
            <v>307.42</v>
          </cell>
        </row>
        <row r="225">
          <cell r="B225" t="str">
            <v>ISL</v>
          </cell>
          <cell r="C225">
            <v>808</v>
          </cell>
          <cell r="D225" t="str">
            <v>Inter.Steel Ltd</v>
          </cell>
          <cell r="E225">
            <v>117.65</v>
          </cell>
          <cell r="F225">
            <v>121.48</v>
          </cell>
          <cell r="G225">
            <v>117.65</v>
          </cell>
          <cell r="H225">
            <v>120.31</v>
          </cell>
        </row>
        <row r="226">
          <cell r="B226" t="str">
            <v>ITTEFAQ</v>
          </cell>
          <cell r="C226">
            <v>808</v>
          </cell>
          <cell r="D226" t="str">
            <v>Ittefaq Iron Ind Ltd</v>
          </cell>
          <cell r="E226">
            <v>21.4</v>
          </cell>
          <cell r="F226">
            <v>23.01</v>
          </cell>
          <cell r="G226">
            <v>21.4</v>
          </cell>
          <cell r="H226">
            <v>23.01</v>
          </cell>
        </row>
        <row r="227">
          <cell r="B227" t="str">
            <v>KSBP</v>
          </cell>
          <cell r="C227">
            <v>808</v>
          </cell>
          <cell r="D227" t="str">
            <v>K.S.B.Pumps</v>
          </cell>
          <cell r="E227">
            <v>349.8</v>
          </cell>
          <cell r="F227">
            <v>350</v>
          </cell>
          <cell r="G227">
            <v>349.8</v>
          </cell>
          <cell r="H227">
            <v>350</v>
          </cell>
        </row>
        <row r="228">
          <cell r="B228" t="str">
            <v>MUGHAL</v>
          </cell>
          <cell r="C228">
            <v>808</v>
          </cell>
          <cell r="D228" t="str">
            <v>Mughal Iron</v>
          </cell>
          <cell r="E228">
            <v>74</v>
          </cell>
          <cell r="F228">
            <v>75</v>
          </cell>
          <cell r="G228">
            <v>73.75</v>
          </cell>
          <cell r="H228">
            <v>74.28</v>
          </cell>
        </row>
        <row r="229">
          <cell r="B229" t="str">
            <v>AGTL</v>
          </cell>
          <cell r="C229">
            <v>801</v>
          </cell>
          <cell r="D229" t="str">
            <v>AL-Ghazi Tractors</v>
          </cell>
          <cell r="E229">
            <v>678.01</v>
          </cell>
          <cell r="F229">
            <v>679.99</v>
          </cell>
          <cell r="G229">
            <v>672</v>
          </cell>
          <cell r="H229">
            <v>673.96</v>
          </cell>
        </row>
        <row r="230">
          <cell r="B230" t="str">
            <v>DFML</v>
          </cell>
          <cell r="C230">
            <v>801</v>
          </cell>
          <cell r="D230" t="str">
            <v>Dewan Motors</v>
          </cell>
          <cell r="E230">
            <v>44.1</v>
          </cell>
          <cell r="F230">
            <v>44.45</v>
          </cell>
          <cell r="G230">
            <v>43.5</v>
          </cell>
          <cell r="H230">
            <v>43.77</v>
          </cell>
        </row>
        <row r="231">
          <cell r="B231" t="str">
            <v>GAIL</v>
          </cell>
          <cell r="C231">
            <v>801</v>
          </cell>
          <cell r="D231" t="str">
            <v>Ghani Automobile</v>
          </cell>
          <cell r="E231">
            <v>7.56</v>
          </cell>
          <cell r="F231">
            <v>7.74</v>
          </cell>
          <cell r="G231">
            <v>7.55</v>
          </cell>
          <cell r="H231">
            <v>7.67</v>
          </cell>
        </row>
        <row r="232">
          <cell r="B232" t="str">
            <v>GHNI</v>
          </cell>
          <cell r="C232">
            <v>801</v>
          </cell>
          <cell r="D232" t="str">
            <v>Ghandhara Ind.</v>
          </cell>
          <cell r="E232">
            <v>799.99</v>
          </cell>
          <cell r="F232">
            <v>808</v>
          </cell>
          <cell r="G232">
            <v>785</v>
          </cell>
          <cell r="H232">
            <v>788.79</v>
          </cell>
        </row>
        <row r="233">
          <cell r="B233" t="str">
            <v>GHNL</v>
          </cell>
          <cell r="C233">
            <v>801</v>
          </cell>
          <cell r="D233" t="str">
            <v>Ghand Nissan</v>
          </cell>
          <cell r="E233">
            <v>195.8</v>
          </cell>
          <cell r="F233">
            <v>200</v>
          </cell>
          <cell r="G233">
            <v>194.25</v>
          </cell>
          <cell r="H233">
            <v>195.03</v>
          </cell>
        </row>
        <row r="234">
          <cell r="B234" t="str">
            <v>HCAR</v>
          </cell>
          <cell r="C234">
            <v>801</v>
          </cell>
          <cell r="D234" t="str">
            <v>Honda Atlas Cars</v>
          </cell>
          <cell r="E234">
            <v>478</v>
          </cell>
          <cell r="F234">
            <v>479.49</v>
          </cell>
          <cell r="G234">
            <v>473.5</v>
          </cell>
          <cell r="H234">
            <v>474.88</v>
          </cell>
        </row>
        <row r="235">
          <cell r="B235" t="str">
            <v>INDU</v>
          </cell>
          <cell r="C235">
            <v>801</v>
          </cell>
          <cell r="D235" t="str">
            <v>Indus Motor Co</v>
          </cell>
          <cell r="E235">
            <v>1739</v>
          </cell>
          <cell r="F235">
            <v>1740</v>
          </cell>
          <cell r="G235">
            <v>1716.07</v>
          </cell>
          <cell r="H235">
            <v>1719.64</v>
          </cell>
        </row>
        <row r="236">
          <cell r="B236" t="str">
            <v>MTL</v>
          </cell>
          <cell r="C236">
            <v>801</v>
          </cell>
          <cell r="D236" t="str">
            <v>Millat Tractors</v>
          </cell>
          <cell r="E236">
            <v>1353</v>
          </cell>
          <cell r="F236">
            <v>1379.95</v>
          </cell>
          <cell r="G236">
            <v>1353</v>
          </cell>
          <cell r="H236">
            <v>1375.2</v>
          </cell>
        </row>
        <row r="237">
          <cell r="B237" t="str">
            <v>PSMC</v>
          </cell>
          <cell r="C237">
            <v>801</v>
          </cell>
          <cell r="D237" t="str">
            <v>Pak Suzuki</v>
          </cell>
          <cell r="E237">
            <v>478</v>
          </cell>
          <cell r="F237">
            <v>480</v>
          </cell>
          <cell r="G237">
            <v>475</v>
          </cell>
          <cell r="H237">
            <v>475.08</v>
          </cell>
        </row>
        <row r="238">
          <cell r="B238" t="str">
            <v>SAZEW</v>
          </cell>
          <cell r="C238">
            <v>801</v>
          </cell>
          <cell r="D238" t="str">
            <v>Sazgar Eng</v>
          </cell>
          <cell r="E238">
            <v>185.99</v>
          </cell>
          <cell r="F238">
            <v>186.21</v>
          </cell>
          <cell r="G238">
            <v>184</v>
          </cell>
          <cell r="H238">
            <v>186.21</v>
          </cell>
        </row>
        <row r="239">
          <cell r="B239" t="str">
            <v>AGIL</v>
          </cell>
          <cell r="C239">
            <v>802</v>
          </cell>
          <cell r="D239" t="str">
            <v>Agriautos Ind.XD</v>
          </cell>
          <cell r="E239">
            <v>295</v>
          </cell>
          <cell r="F239">
            <v>309</v>
          </cell>
          <cell r="G239">
            <v>285</v>
          </cell>
          <cell r="H239">
            <v>300.08</v>
          </cell>
        </row>
        <row r="240">
          <cell r="B240" t="str">
            <v>ATBA</v>
          </cell>
          <cell r="C240">
            <v>802</v>
          </cell>
          <cell r="D240" t="str">
            <v>Atlas Battery</v>
          </cell>
          <cell r="E240">
            <v>381</v>
          </cell>
          <cell r="F240">
            <v>390</v>
          </cell>
          <cell r="G240">
            <v>373.37</v>
          </cell>
          <cell r="H240">
            <v>373.88</v>
          </cell>
        </row>
        <row r="241">
          <cell r="B241" t="str">
            <v>BWHL</v>
          </cell>
          <cell r="C241">
            <v>802</v>
          </cell>
          <cell r="D241" t="str">
            <v>Bal.Wheels</v>
          </cell>
          <cell r="E241">
            <v>122.93</v>
          </cell>
          <cell r="F241">
            <v>122.93</v>
          </cell>
          <cell r="G241">
            <v>122.93</v>
          </cell>
          <cell r="H241">
            <v>122.93</v>
          </cell>
        </row>
        <row r="242">
          <cell r="B242" t="str">
            <v>EXIDE</v>
          </cell>
          <cell r="C242">
            <v>802</v>
          </cell>
          <cell r="D242" t="str">
            <v>Exide (PAK)</v>
          </cell>
          <cell r="E242">
            <v>400</v>
          </cell>
          <cell r="F242">
            <v>400</v>
          </cell>
          <cell r="G242">
            <v>400</v>
          </cell>
          <cell r="H242">
            <v>400</v>
          </cell>
        </row>
        <row r="243">
          <cell r="B243" t="str">
            <v>GTYR</v>
          </cell>
          <cell r="C243">
            <v>802</v>
          </cell>
          <cell r="D243" t="str">
            <v>General Tyre</v>
          </cell>
          <cell r="E243">
            <v>189</v>
          </cell>
          <cell r="F243">
            <v>193.7</v>
          </cell>
          <cell r="G243">
            <v>188.11</v>
          </cell>
          <cell r="H243">
            <v>188.79</v>
          </cell>
        </row>
        <row r="244">
          <cell r="B244" t="str">
            <v>LOADS</v>
          </cell>
          <cell r="C244">
            <v>802</v>
          </cell>
          <cell r="D244" t="str">
            <v>Loads Limited</v>
          </cell>
          <cell r="E244">
            <v>41.95</v>
          </cell>
          <cell r="F244">
            <v>42.6</v>
          </cell>
          <cell r="G244">
            <v>40</v>
          </cell>
          <cell r="H244">
            <v>40.119999999999997</v>
          </cell>
        </row>
        <row r="245">
          <cell r="B245" t="str">
            <v>CECL</v>
          </cell>
          <cell r="C245">
            <v>803</v>
          </cell>
          <cell r="D245" t="str">
            <v>Climax Eng.</v>
          </cell>
          <cell r="E245">
            <v>61.37</v>
          </cell>
          <cell r="F245">
            <v>61.37</v>
          </cell>
          <cell r="G245">
            <v>61.37</v>
          </cell>
          <cell r="H245">
            <v>61.37</v>
          </cell>
        </row>
        <row r="246">
          <cell r="B246" t="str">
            <v>JOPP</v>
          </cell>
          <cell r="C246">
            <v>803</v>
          </cell>
          <cell r="D246" t="str">
            <v>Johnson &amp; Philips</v>
          </cell>
          <cell r="E246">
            <v>22.39</v>
          </cell>
          <cell r="F246">
            <v>22.39</v>
          </cell>
          <cell r="G246">
            <v>22.2</v>
          </cell>
          <cell r="H246">
            <v>22.39</v>
          </cell>
        </row>
        <row r="247">
          <cell r="B247" t="str">
            <v>PCAL</v>
          </cell>
          <cell r="C247">
            <v>803</v>
          </cell>
          <cell r="D247" t="str">
            <v>Pakistan CablesXD</v>
          </cell>
          <cell r="E247">
            <v>281</v>
          </cell>
          <cell r="F247">
            <v>281</v>
          </cell>
          <cell r="G247">
            <v>280.01</v>
          </cell>
          <cell r="H247">
            <v>280.02999999999997</v>
          </cell>
        </row>
        <row r="248">
          <cell r="B248" t="str">
            <v>PAEL</v>
          </cell>
          <cell r="C248">
            <v>803</v>
          </cell>
          <cell r="D248" t="str">
            <v>Pak Elektron</v>
          </cell>
          <cell r="E248">
            <v>49.4</v>
          </cell>
          <cell r="F248">
            <v>49.55</v>
          </cell>
          <cell r="G248">
            <v>48.61</v>
          </cell>
          <cell r="H248">
            <v>48.87</v>
          </cell>
        </row>
        <row r="249">
          <cell r="B249" t="str">
            <v>TPL</v>
          </cell>
          <cell r="C249">
            <v>803</v>
          </cell>
          <cell r="D249" t="str">
            <v>TPL Corp Ltd</v>
          </cell>
          <cell r="E249">
            <v>8.06</v>
          </cell>
          <cell r="F249">
            <v>8.15</v>
          </cell>
          <cell r="G249">
            <v>7.95</v>
          </cell>
          <cell r="H249">
            <v>8</v>
          </cell>
        </row>
        <row r="250">
          <cell r="B250" t="str">
            <v>AVN</v>
          </cell>
          <cell r="C250">
            <v>828</v>
          </cell>
          <cell r="D250" t="str">
            <v>Avanceon Ltd</v>
          </cell>
          <cell r="E250">
            <v>49.93</v>
          </cell>
          <cell r="F250">
            <v>52.25</v>
          </cell>
          <cell r="G250">
            <v>49.22</v>
          </cell>
          <cell r="H250">
            <v>51.27</v>
          </cell>
        </row>
        <row r="251">
          <cell r="B251" t="str">
            <v>SING</v>
          </cell>
          <cell r="C251">
            <v>803</v>
          </cell>
          <cell r="D251" t="str">
            <v>Singer Pak.</v>
          </cell>
          <cell r="E251">
            <v>46.98</v>
          </cell>
          <cell r="F251">
            <v>48.25</v>
          </cell>
          <cell r="G251">
            <v>46.5</v>
          </cell>
          <cell r="H251">
            <v>47.92</v>
          </cell>
        </row>
        <row r="252">
          <cell r="B252" t="str">
            <v>SIEM</v>
          </cell>
          <cell r="C252">
            <v>803</v>
          </cell>
          <cell r="D252" t="str">
            <v>Siemens Pak.</v>
          </cell>
          <cell r="E252">
            <v>940</v>
          </cell>
          <cell r="F252">
            <v>940</v>
          </cell>
          <cell r="G252">
            <v>940</v>
          </cell>
          <cell r="H252">
            <v>940</v>
          </cell>
        </row>
        <row r="253">
          <cell r="B253" t="str">
            <v>PNSC</v>
          </cell>
          <cell r="C253">
            <v>833</v>
          </cell>
          <cell r="D253" t="str">
            <v>P.N.S.C</v>
          </cell>
          <cell r="E253">
            <v>109</v>
          </cell>
          <cell r="F253">
            <v>110.79</v>
          </cell>
          <cell r="G253">
            <v>107.75</v>
          </cell>
          <cell r="H253">
            <v>108.88</v>
          </cell>
        </row>
        <row r="254">
          <cell r="B254" t="str">
            <v>PIBTL</v>
          </cell>
          <cell r="C254">
            <v>833</v>
          </cell>
          <cell r="D254" t="str">
            <v>Pak Int.Bulk</v>
          </cell>
          <cell r="E254">
            <v>16.59</v>
          </cell>
          <cell r="F254">
            <v>16.64</v>
          </cell>
          <cell r="G254">
            <v>16.36</v>
          </cell>
          <cell r="H254">
            <v>16.399999999999999</v>
          </cell>
        </row>
        <row r="255">
          <cell r="B255" t="str">
            <v>PICT</v>
          </cell>
          <cell r="C255">
            <v>833</v>
          </cell>
          <cell r="D255" t="str">
            <v>Pak.Int.Cont.</v>
          </cell>
          <cell r="E255">
            <v>339.99</v>
          </cell>
          <cell r="F255">
            <v>339.99</v>
          </cell>
          <cell r="G255">
            <v>334.99</v>
          </cell>
          <cell r="H255">
            <v>334.99</v>
          </cell>
        </row>
        <row r="256">
          <cell r="B256" t="str">
            <v>PIAA</v>
          </cell>
          <cell r="C256">
            <v>833</v>
          </cell>
          <cell r="D256" t="str">
            <v>P.I.A.C.(A)</v>
          </cell>
          <cell r="E256">
            <v>4.99</v>
          </cell>
          <cell r="F256">
            <v>4.99</v>
          </cell>
          <cell r="G256">
            <v>4.75</v>
          </cell>
          <cell r="H256">
            <v>4.79</v>
          </cell>
        </row>
        <row r="257">
          <cell r="B257" t="str">
            <v>HUMNL</v>
          </cell>
          <cell r="C257">
            <v>828</v>
          </cell>
          <cell r="D257" t="str">
            <v>Hum Network</v>
          </cell>
          <cell r="E257">
            <v>9.4</v>
          </cell>
          <cell r="F257">
            <v>9.5</v>
          </cell>
          <cell r="G257">
            <v>9.15</v>
          </cell>
          <cell r="H257">
            <v>9.3000000000000007</v>
          </cell>
        </row>
        <row r="258">
          <cell r="B258" t="str">
            <v>NETSOL</v>
          </cell>
          <cell r="C258">
            <v>828</v>
          </cell>
          <cell r="D258" t="str">
            <v>Netsol Tech.</v>
          </cell>
          <cell r="E258">
            <v>81</v>
          </cell>
          <cell r="F258">
            <v>83.7</v>
          </cell>
          <cell r="G258">
            <v>80.8</v>
          </cell>
          <cell r="H258">
            <v>82.34</v>
          </cell>
        </row>
        <row r="259">
          <cell r="B259" t="str">
            <v>MDTL</v>
          </cell>
          <cell r="C259">
            <v>828</v>
          </cell>
          <cell r="D259" t="str">
            <v>Media Times Ltd</v>
          </cell>
          <cell r="E259">
            <v>1.67</v>
          </cell>
          <cell r="F259">
            <v>1.75</v>
          </cell>
          <cell r="G259">
            <v>1.5</v>
          </cell>
          <cell r="H259">
            <v>1.53</v>
          </cell>
        </row>
        <row r="260">
          <cell r="B260" t="str">
            <v>SYS</v>
          </cell>
          <cell r="C260">
            <v>828</v>
          </cell>
          <cell r="D260" t="str">
            <v>Systems Limited</v>
          </cell>
          <cell r="E260">
            <v>89.88</v>
          </cell>
          <cell r="F260">
            <v>90</v>
          </cell>
          <cell r="G260">
            <v>87.5</v>
          </cell>
          <cell r="H260">
            <v>88.16</v>
          </cell>
        </row>
        <row r="261">
          <cell r="B261" t="str">
            <v>PTC</v>
          </cell>
          <cell r="C261">
            <v>828</v>
          </cell>
          <cell r="D261" t="str">
            <v>P.T.C.L.</v>
          </cell>
          <cell r="E261">
            <v>12.35</v>
          </cell>
          <cell r="F261">
            <v>12.44</v>
          </cell>
          <cell r="G261">
            <v>12.2</v>
          </cell>
          <cell r="H261">
            <v>12.29</v>
          </cell>
        </row>
        <row r="262">
          <cell r="B262" t="str">
            <v>TRG</v>
          </cell>
          <cell r="C262">
            <v>828</v>
          </cell>
          <cell r="D262" t="str">
            <v>TRG Pak Ltd</v>
          </cell>
          <cell r="E262">
            <v>37.14</v>
          </cell>
          <cell r="F262">
            <v>37.44</v>
          </cell>
          <cell r="G262">
            <v>36.5</v>
          </cell>
          <cell r="H262">
            <v>36.85</v>
          </cell>
        </row>
        <row r="263">
          <cell r="B263" t="str">
            <v>TELE</v>
          </cell>
          <cell r="C263">
            <v>828</v>
          </cell>
          <cell r="D263" t="str">
            <v>Telecard Limited</v>
          </cell>
          <cell r="E263">
            <v>1.97</v>
          </cell>
          <cell r="F263">
            <v>2.0299999999999998</v>
          </cell>
          <cell r="G263">
            <v>1.96</v>
          </cell>
          <cell r="H263">
            <v>1.98</v>
          </cell>
        </row>
        <row r="264">
          <cell r="B264" t="str">
            <v>WTL</v>
          </cell>
          <cell r="C264">
            <v>828</v>
          </cell>
          <cell r="D264" t="str">
            <v>WorldCall Telecom</v>
          </cell>
          <cell r="E264">
            <v>2.2200000000000002</v>
          </cell>
          <cell r="F264">
            <v>2.2599999999999998</v>
          </cell>
          <cell r="G264">
            <v>2.2000000000000002</v>
          </cell>
          <cell r="H264">
            <v>2.2000000000000002</v>
          </cell>
        </row>
        <row r="265">
          <cell r="B265" t="str">
            <v>DAWH</v>
          </cell>
          <cell r="C265">
            <v>809</v>
          </cell>
          <cell r="D265" t="str">
            <v>Dawood Hercules</v>
          </cell>
          <cell r="E265">
            <v>121</v>
          </cell>
          <cell r="F265">
            <v>121</v>
          </cell>
          <cell r="G265">
            <v>120</v>
          </cell>
          <cell r="H265">
            <v>121</v>
          </cell>
        </row>
        <row r="266">
          <cell r="B266" t="str">
            <v>ENGRO</v>
          </cell>
          <cell r="C266">
            <v>809</v>
          </cell>
          <cell r="D266" t="str">
            <v>Engro Corp</v>
          </cell>
          <cell r="E266">
            <v>295.89999999999998</v>
          </cell>
          <cell r="F266">
            <v>302.75</v>
          </cell>
          <cell r="G266">
            <v>293.05</v>
          </cell>
          <cell r="H266">
            <v>300.64999999999998</v>
          </cell>
        </row>
        <row r="267">
          <cell r="B267" t="str">
            <v>EFERT</v>
          </cell>
          <cell r="C267">
            <v>809</v>
          </cell>
          <cell r="D267" t="str">
            <v>Engro Fert.</v>
          </cell>
          <cell r="E267">
            <v>69</v>
          </cell>
          <cell r="F267">
            <v>69.790000000000006</v>
          </cell>
          <cell r="G267">
            <v>68.77</v>
          </cell>
          <cell r="H267">
            <v>69.180000000000007</v>
          </cell>
        </row>
        <row r="268">
          <cell r="B268" t="str">
            <v>FFBL</v>
          </cell>
          <cell r="C268">
            <v>809</v>
          </cell>
          <cell r="D268" t="str">
            <v>Fauji Fert Bin</v>
          </cell>
          <cell r="E268">
            <v>36.049999999999997</v>
          </cell>
          <cell r="F268">
            <v>36.5</v>
          </cell>
          <cell r="G268">
            <v>36</v>
          </cell>
          <cell r="H268">
            <v>36.35</v>
          </cell>
        </row>
        <row r="269">
          <cell r="B269" t="str">
            <v>FFC</v>
          </cell>
          <cell r="C269">
            <v>809</v>
          </cell>
          <cell r="D269" t="str">
            <v>Fauji Fert.</v>
          </cell>
          <cell r="E269">
            <v>87.49</v>
          </cell>
          <cell r="F269">
            <v>89</v>
          </cell>
          <cell r="G269">
            <v>87.35</v>
          </cell>
          <cell r="H269">
            <v>88.67</v>
          </cell>
        </row>
        <row r="270">
          <cell r="B270" t="str">
            <v>ABOT</v>
          </cell>
          <cell r="C270">
            <v>823</v>
          </cell>
          <cell r="D270" t="str">
            <v>Abbott Lab.</v>
          </cell>
          <cell r="E270">
            <v>653.99</v>
          </cell>
          <cell r="F270">
            <v>655.99</v>
          </cell>
          <cell r="G270">
            <v>650</v>
          </cell>
          <cell r="H270">
            <v>652.59</v>
          </cell>
        </row>
        <row r="271">
          <cell r="B271" t="str">
            <v>FEROZ</v>
          </cell>
          <cell r="C271">
            <v>823</v>
          </cell>
          <cell r="D271" t="str">
            <v>Ferozsons (Lab)</v>
          </cell>
          <cell r="E271">
            <v>236</v>
          </cell>
          <cell r="F271">
            <v>238</v>
          </cell>
          <cell r="G271">
            <v>227</v>
          </cell>
          <cell r="H271">
            <v>228.54</v>
          </cell>
        </row>
        <row r="272">
          <cell r="B272" t="str">
            <v>GLAXO</v>
          </cell>
          <cell r="C272">
            <v>823</v>
          </cell>
          <cell r="D272" t="str">
            <v>GlaxoSmithKline</v>
          </cell>
          <cell r="E272">
            <v>190</v>
          </cell>
          <cell r="F272">
            <v>192</v>
          </cell>
          <cell r="G272">
            <v>188.65</v>
          </cell>
          <cell r="H272">
            <v>189.03</v>
          </cell>
        </row>
        <row r="273">
          <cell r="B273" t="str">
            <v>GSKCH</v>
          </cell>
          <cell r="C273">
            <v>823</v>
          </cell>
          <cell r="D273" t="str">
            <v>Glaxo Healthcare Pak</v>
          </cell>
          <cell r="E273">
            <v>474.2</v>
          </cell>
          <cell r="F273">
            <v>479.88</v>
          </cell>
          <cell r="G273">
            <v>466.01</v>
          </cell>
          <cell r="H273">
            <v>468.35</v>
          </cell>
        </row>
        <row r="274">
          <cell r="B274" t="str">
            <v>HINOON</v>
          </cell>
          <cell r="C274">
            <v>823</v>
          </cell>
          <cell r="D274" t="str">
            <v>Highnoon (Lab)</v>
          </cell>
          <cell r="E274">
            <v>460</v>
          </cell>
          <cell r="F274">
            <v>465</v>
          </cell>
          <cell r="G274">
            <v>459</v>
          </cell>
          <cell r="H274">
            <v>459</v>
          </cell>
        </row>
        <row r="275">
          <cell r="B275" t="str">
            <v>SAPL</v>
          </cell>
          <cell r="C275">
            <v>823</v>
          </cell>
          <cell r="D275" t="str">
            <v>Sanofi-Aventis</v>
          </cell>
          <cell r="E275">
            <v>1485</v>
          </cell>
          <cell r="F275">
            <v>1520</v>
          </cell>
          <cell r="G275">
            <v>1485</v>
          </cell>
          <cell r="H275">
            <v>1503.36</v>
          </cell>
        </row>
        <row r="276">
          <cell r="B276" t="str">
            <v>OTSU</v>
          </cell>
          <cell r="C276">
            <v>823</v>
          </cell>
          <cell r="D276" t="str">
            <v>Otsuka Pak</v>
          </cell>
          <cell r="E276">
            <v>265</v>
          </cell>
          <cell r="F276">
            <v>276.13</v>
          </cell>
          <cell r="G276">
            <v>255</v>
          </cell>
          <cell r="H276">
            <v>276.13</v>
          </cell>
        </row>
        <row r="277">
          <cell r="B277" t="str">
            <v>SEARL</v>
          </cell>
          <cell r="C277">
            <v>823</v>
          </cell>
          <cell r="D277" t="str">
            <v>The Searle Co.</v>
          </cell>
          <cell r="E277">
            <v>359</v>
          </cell>
          <cell r="F277">
            <v>364.98</v>
          </cell>
          <cell r="G277">
            <v>359</v>
          </cell>
          <cell r="H277">
            <v>361.48</v>
          </cell>
        </row>
        <row r="278">
          <cell r="B278" t="str">
            <v>WYETH</v>
          </cell>
          <cell r="C278">
            <v>823</v>
          </cell>
          <cell r="D278" t="str">
            <v>Wyeth Pak Ltd</v>
          </cell>
          <cell r="E278">
            <v>1811</v>
          </cell>
          <cell r="F278">
            <v>1901.52</v>
          </cell>
          <cell r="G278">
            <v>1800</v>
          </cell>
          <cell r="H278">
            <v>1901.52</v>
          </cell>
        </row>
        <row r="279">
          <cell r="B279" t="str">
            <v>BIFO</v>
          </cell>
          <cell r="C279">
            <v>805</v>
          </cell>
          <cell r="D279" t="str">
            <v>Biafo Ind.</v>
          </cell>
          <cell r="E279">
            <v>302</v>
          </cell>
          <cell r="F279">
            <v>302</v>
          </cell>
          <cell r="G279">
            <v>293</v>
          </cell>
          <cell r="H279">
            <v>295.14</v>
          </cell>
        </row>
        <row r="280">
          <cell r="B280" t="str">
            <v>BERG</v>
          </cell>
          <cell r="C280">
            <v>805</v>
          </cell>
          <cell r="D280" t="str">
            <v>Berger Paints</v>
          </cell>
          <cell r="E280">
            <v>152</v>
          </cell>
          <cell r="F280">
            <v>159.94999999999999</v>
          </cell>
          <cell r="G280">
            <v>152</v>
          </cell>
          <cell r="H280">
            <v>156.94999999999999</v>
          </cell>
        </row>
        <row r="281">
          <cell r="B281" t="str">
            <v>BUXL</v>
          </cell>
          <cell r="C281">
            <v>805</v>
          </cell>
          <cell r="D281" t="str">
            <v>Buxly Paints</v>
          </cell>
          <cell r="E281">
            <v>96</v>
          </cell>
          <cell r="F281">
            <v>99.9</v>
          </cell>
          <cell r="G281">
            <v>96</v>
          </cell>
          <cell r="H281">
            <v>99.9</v>
          </cell>
        </row>
        <row r="282">
          <cell r="B282" t="str">
            <v>ARPL</v>
          </cell>
          <cell r="C282">
            <v>805</v>
          </cell>
          <cell r="D282" t="str">
            <v>Archroma Pak</v>
          </cell>
          <cell r="E282">
            <v>549</v>
          </cell>
          <cell r="F282">
            <v>549</v>
          </cell>
          <cell r="G282">
            <v>549</v>
          </cell>
          <cell r="H282">
            <v>549</v>
          </cell>
        </row>
        <row r="283">
          <cell r="B283" t="str">
            <v>CTM</v>
          </cell>
          <cell r="C283">
            <v>830</v>
          </cell>
          <cell r="D283" t="str">
            <v>Colony Tex.Mills Ltd</v>
          </cell>
          <cell r="E283">
            <v>4.1500000000000004</v>
          </cell>
          <cell r="F283">
            <v>4.2</v>
          </cell>
          <cell r="G283">
            <v>4</v>
          </cell>
          <cell r="H283">
            <v>4.05</v>
          </cell>
        </row>
        <row r="284">
          <cell r="B284" t="str">
            <v>DOL</v>
          </cell>
          <cell r="C284">
            <v>805</v>
          </cell>
          <cell r="D284" t="str">
            <v>Descon Oxychem</v>
          </cell>
          <cell r="E284">
            <v>17.45</v>
          </cell>
          <cell r="F284">
            <v>17.7</v>
          </cell>
          <cell r="G284">
            <v>16.87</v>
          </cell>
          <cell r="H284">
            <v>17.25</v>
          </cell>
        </row>
        <row r="285">
          <cell r="B285" t="str">
            <v>DYNO</v>
          </cell>
          <cell r="C285">
            <v>805</v>
          </cell>
          <cell r="D285" t="str">
            <v>Dynea Pakistan</v>
          </cell>
          <cell r="E285">
            <v>161</v>
          </cell>
          <cell r="F285">
            <v>161</v>
          </cell>
          <cell r="G285">
            <v>161</v>
          </cell>
          <cell r="H285">
            <v>161</v>
          </cell>
        </row>
        <row r="286">
          <cell r="B286" t="str">
            <v>EPCL</v>
          </cell>
          <cell r="C286">
            <v>805</v>
          </cell>
          <cell r="D286" t="str">
            <v>Engro Polymer</v>
          </cell>
          <cell r="E286">
            <v>29.1</v>
          </cell>
          <cell r="F286">
            <v>29.8</v>
          </cell>
          <cell r="G286">
            <v>28.9</v>
          </cell>
          <cell r="H286">
            <v>29.49</v>
          </cell>
        </row>
        <row r="287">
          <cell r="B287" t="str">
            <v>FATIMA</v>
          </cell>
          <cell r="C287">
            <v>809</v>
          </cell>
          <cell r="D287" t="str">
            <v>Fatima Fert.</v>
          </cell>
          <cell r="E287">
            <v>31.3</v>
          </cell>
          <cell r="F287">
            <v>31.3</v>
          </cell>
          <cell r="G287">
            <v>31</v>
          </cell>
          <cell r="H287">
            <v>31.02</v>
          </cell>
        </row>
        <row r="288">
          <cell r="B288" t="str">
            <v>GGL</v>
          </cell>
          <cell r="C288">
            <v>805</v>
          </cell>
          <cell r="D288" t="str">
            <v>Ghani Gases</v>
          </cell>
          <cell r="E288">
            <v>18.899999999999999</v>
          </cell>
          <cell r="F288">
            <v>19.45</v>
          </cell>
          <cell r="G288">
            <v>18.55</v>
          </cell>
          <cell r="H288">
            <v>18.79</v>
          </cell>
        </row>
        <row r="289">
          <cell r="B289" t="str">
            <v>ICI</v>
          </cell>
          <cell r="C289">
            <v>805</v>
          </cell>
          <cell r="D289" t="str">
            <v>ICI PakistanXD</v>
          </cell>
          <cell r="E289">
            <v>761</v>
          </cell>
          <cell r="F289">
            <v>767</v>
          </cell>
          <cell r="G289">
            <v>760</v>
          </cell>
          <cell r="H289">
            <v>761.75</v>
          </cell>
        </row>
        <row r="290">
          <cell r="B290" t="str">
            <v>ICL</v>
          </cell>
          <cell r="C290">
            <v>805</v>
          </cell>
          <cell r="D290" t="str">
            <v>Ittehad Chem.</v>
          </cell>
          <cell r="E290">
            <v>32.729999999999997</v>
          </cell>
          <cell r="F290">
            <v>32.729999999999997</v>
          </cell>
          <cell r="G290">
            <v>32.729999999999997</v>
          </cell>
          <cell r="H290">
            <v>32.729999999999997</v>
          </cell>
        </row>
        <row r="291">
          <cell r="B291" t="str">
            <v>PGCL</v>
          </cell>
          <cell r="C291">
            <v>805</v>
          </cell>
          <cell r="D291" t="str">
            <v>Pak Gum &amp; Chem.</v>
          </cell>
          <cell r="E291">
            <v>134</v>
          </cell>
          <cell r="F291">
            <v>135</v>
          </cell>
          <cell r="G291">
            <v>134</v>
          </cell>
          <cell r="H291">
            <v>135</v>
          </cell>
        </row>
        <row r="292">
          <cell r="B292" t="str">
            <v>LOTCHEM</v>
          </cell>
          <cell r="C292">
            <v>805</v>
          </cell>
          <cell r="D292" t="str">
            <v>Lotte Chemical</v>
          </cell>
          <cell r="E292">
            <v>8.8800000000000008</v>
          </cell>
          <cell r="F292">
            <v>8.99</v>
          </cell>
          <cell r="G292">
            <v>8.7899999999999991</v>
          </cell>
          <cell r="H292">
            <v>8.84</v>
          </cell>
        </row>
        <row r="293">
          <cell r="B293" t="str">
            <v>PPVC</v>
          </cell>
          <cell r="C293">
            <v>805</v>
          </cell>
          <cell r="D293" t="str">
            <v>Pak.P.V.C.</v>
          </cell>
          <cell r="E293">
            <v>6.02</v>
          </cell>
          <cell r="F293">
            <v>7.22</v>
          </cell>
          <cell r="G293">
            <v>6.02</v>
          </cell>
          <cell r="H293">
            <v>6.92</v>
          </cell>
        </row>
        <row r="294">
          <cell r="B294" t="str">
            <v>NICL</v>
          </cell>
          <cell r="C294">
            <v>805</v>
          </cell>
          <cell r="D294" t="str">
            <v>Nimir Ind.Chem.</v>
          </cell>
          <cell r="E294">
            <v>55.8</v>
          </cell>
          <cell r="F294">
            <v>57</v>
          </cell>
          <cell r="G294">
            <v>55.8</v>
          </cell>
          <cell r="H294">
            <v>56.52</v>
          </cell>
        </row>
        <row r="295">
          <cell r="B295" t="str">
            <v>LINDE</v>
          </cell>
          <cell r="C295">
            <v>805</v>
          </cell>
          <cell r="D295" t="str">
            <v>Linde Pakistan</v>
          </cell>
          <cell r="E295">
            <v>237</v>
          </cell>
          <cell r="F295">
            <v>240</v>
          </cell>
          <cell r="G295">
            <v>235</v>
          </cell>
          <cell r="H295">
            <v>238</v>
          </cell>
        </row>
        <row r="296">
          <cell r="B296" t="str">
            <v>NRSL</v>
          </cell>
          <cell r="C296">
            <v>805</v>
          </cell>
          <cell r="D296" t="str">
            <v>Nimir Resins</v>
          </cell>
          <cell r="E296">
            <v>6.23</v>
          </cell>
          <cell r="F296">
            <v>6.45</v>
          </cell>
          <cell r="G296">
            <v>6.23</v>
          </cell>
          <cell r="H296">
            <v>6.27</v>
          </cell>
        </row>
        <row r="297">
          <cell r="B297" t="str">
            <v>SARC</v>
          </cell>
          <cell r="C297">
            <v>805</v>
          </cell>
          <cell r="D297" t="str">
            <v>Sardar Chemical</v>
          </cell>
          <cell r="E297">
            <v>11</v>
          </cell>
          <cell r="F297">
            <v>11</v>
          </cell>
          <cell r="G297">
            <v>11</v>
          </cell>
          <cell r="H297">
            <v>11</v>
          </cell>
        </row>
        <row r="298">
          <cell r="B298" t="str">
            <v>SITC</v>
          </cell>
          <cell r="C298">
            <v>805</v>
          </cell>
          <cell r="D298" t="str">
            <v>Sitara Chemical</v>
          </cell>
          <cell r="E298">
            <v>331</v>
          </cell>
          <cell r="F298">
            <v>337</v>
          </cell>
          <cell r="G298">
            <v>331</v>
          </cell>
          <cell r="H298">
            <v>337</v>
          </cell>
        </row>
        <row r="299">
          <cell r="B299" t="str">
            <v>SPL</v>
          </cell>
          <cell r="C299">
            <v>805</v>
          </cell>
          <cell r="D299" t="str">
            <v>Sitara Peroxide</v>
          </cell>
          <cell r="E299">
            <v>16.25</v>
          </cell>
          <cell r="F299">
            <v>16.25</v>
          </cell>
          <cell r="G299">
            <v>15.99</v>
          </cell>
          <cell r="H299">
            <v>16.07</v>
          </cell>
        </row>
        <row r="300">
          <cell r="B300" t="str">
            <v>WAHN</v>
          </cell>
          <cell r="C300">
            <v>805</v>
          </cell>
          <cell r="D300" t="str">
            <v>Wah-Noble</v>
          </cell>
          <cell r="E300">
            <v>250.99</v>
          </cell>
          <cell r="F300">
            <v>250.99</v>
          </cell>
          <cell r="G300">
            <v>246</v>
          </cell>
          <cell r="H300">
            <v>246.1</v>
          </cell>
        </row>
        <row r="301">
          <cell r="B301" t="str">
            <v>BPBL</v>
          </cell>
          <cell r="C301">
            <v>822</v>
          </cell>
          <cell r="D301" t="str">
            <v>B.P.Board</v>
          </cell>
          <cell r="E301">
            <v>4</v>
          </cell>
          <cell r="F301">
            <v>4</v>
          </cell>
          <cell r="G301">
            <v>4</v>
          </cell>
          <cell r="H301">
            <v>4</v>
          </cell>
        </row>
        <row r="302">
          <cell r="B302" t="str">
            <v>CEPB</v>
          </cell>
          <cell r="C302">
            <v>822</v>
          </cell>
          <cell r="D302" t="str">
            <v>Century Paper</v>
          </cell>
          <cell r="E302">
            <v>65</v>
          </cell>
          <cell r="F302">
            <v>67</v>
          </cell>
          <cell r="G302">
            <v>64.7</v>
          </cell>
          <cell r="H302">
            <v>66.59</v>
          </cell>
        </row>
        <row r="303">
          <cell r="B303" t="str">
            <v>CPPL</v>
          </cell>
          <cell r="C303">
            <v>822</v>
          </cell>
          <cell r="D303" t="str">
            <v>Cherat PackXD</v>
          </cell>
          <cell r="E303">
            <v>184.99</v>
          </cell>
          <cell r="F303">
            <v>185</v>
          </cell>
          <cell r="G303">
            <v>182</v>
          </cell>
          <cell r="H303">
            <v>182.19</v>
          </cell>
        </row>
        <row r="304">
          <cell r="B304" t="str">
            <v>MERIT</v>
          </cell>
          <cell r="C304">
            <v>822</v>
          </cell>
          <cell r="D304" t="str">
            <v>Merit Packaging</v>
          </cell>
          <cell r="E304">
            <v>21.2</v>
          </cell>
          <cell r="F304">
            <v>22.05</v>
          </cell>
          <cell r="G304">
            <v>21.02</v>
          </cell>
          <cell r="H304">
            <v>21.5</v>
          </cell>
        </row>
        <row r="305">
          <cell r="B305" t="str">
            <v>PKGS</v>
          </cell>
          <cell r="C305">
            <v>822</v>
          </cell>
          <cell r="D305" t="str">
            <v>Packages Ltd.</v>
          </cell>
          <cell r="E305">
            <v>549.9</v>
          </cell>
          <cell r="F305">
            <v>567.02</v>
          </cell>
          <cell r="G305">
            <v>544</v>
          </cell>
          <cell r="H305">
            <v>560.57000000000005</v>
          </cell>
        </row>
        <row r="306">
          <cell r="B306" t="str">
            <v>PPP</v>
          </cell>
          <cell r="C306">
            <v>822</v>
          </cell>
          <cell r="D306" t="str">
            <v>Pak Paper Prod</v>
          </cell>
          <cell r="E306">
            <v>77</v>
          </cell>
          <cell r="F306">
            <v>83.47</v>
          </cell>
          <cell r="G306">
            <v>77</v>
          </cell>
          <cell r="H306">
            <v>80.239999999999995</v>
          </cell>
        </row>
        <row r="307">
          <cell r="B307" t="str">
            <v>RPL</v>
          </cell>
          <cell r="C307">
            <v>822</v>
          </cell>
          <cell r="D307" t="str">
            <v>Roshan Packages</v>
          </cell>
          <cell r="E307">
            <v>37.67</v>
          </cell>
          <cell r="F307">
            <v>37.67</v>
          </cell>
          <cell r="G307">
            <v>36.299999999999997</v>
          </cell>
          <cell r="H307">
            <v>36.630000000000003</v>
          </cell>
        </row>
        <row r="308">
          <cell r="B308" t="str">
            <v>SEPL</v>
          </cell>
          <cell r="C308">
            <v>822</v>
          </cell>
          <cell r="D308" t="str">
            <v>Security Paper</v>
          </cell>
          <cell r="E308">
            <v>120.02</v>
          </cell>
          <cell r="F308">
            <v>120.5</v>
          </cell>
          <cell r="G308">
            <v>120</v>
          </cell>
          <cell r="H308">
            <v>120.3</v>
          </cell>
        </row>
        <row r="309">
          <cell r="B309" t="str">
            <v>POML</v>
          </cell>
          <cell r="C309">
            <v>834</v>
          </cell>
          <cell r="D309" t="str">
            <v>Punjab Oil</v>
          </cell>
          <cell r="E309">
            <v>267.75</v>
          </cell>
          <cell r="F309">
            <v>267.75</v>
          </cell>
          <cell r="G309">
            <v>267.75</v>
          </cell>
          <cell r="H309">
            <v>267.75</v>
          </cell>
        </row>
        <row r="310">
          <cell r="B310" t="str">
            <v>SSOM</v>
          </cell>
          <cell r="C310">
            <v>834</v>
          </cell>
          <cell r="D310" t="str">
            <v>S.S.Oil</v>
          </cell>
          <cell r="E310">
            <v>45</v>
          </cell>
          <cell r="F310">
            <v>45.39</v>
          </cell>
          <cell r="G310">
            <v>45</v>
          </cell>
          <cell r="H310">
            <v>45.39</v>
          </cell>
        </row>
        <row r="311">
          <cell r="B311" t="str">
            <v>BATA</v>
          </cell>
          <cell r="C311">
            <v>816</v>
          </cell>
          <cell r="D311" t="str">
            <v>Bata (Pak)</v>
          </cell>
          <cell r="E311">
            <v>2964.98</v>
          </cell>
          <cell r="F311">
            <v>2964.98</v>
          </cell>
          <cell r="G311">
            <v>2690</v>
          </cell>
          <cell r="H311">
            <v>2899.6</v>
          </cell>
        </row>
        <row r="312">
          <cell r="B312" t="str">
            <v>LEUL</v>
          </cell>
          <cell r="C312">
            <v>816</v>
          </cell>
          <cell r="D312" t="str">
            <v>Leather Up Ltd.</v>
          </cell>
          <cell r="E312">
            <v>19</v>
          </cell>
          <cell r="F312">
            <v>19.850000000000001</v>
          </cell>
          <cell r="G312">
            <v>19</v>
          </cell>
          <cell r="H312">
            <v>19.399999999999999</v>
          </cell>
        </row>
        <row r="313">
          <cell r="B313" t="str">
            <v>SRVI</v>
          </cell>
          <cell r="C313">
            <v>816</v>
          </cell>
          <cell r="D313" t="str">
            <v>Service Ind.Ltd</v>
          </cell>
          <cell r="E313">
            <v>799</v>
          </cell>
          <cell r="F313">
            <v>799</v>
          </cell>
          <cell r="G313">
            <v>799</v>
          </cell>
          <cell r="H313">
            <v>799</v>
          </cell>
        </row>
        <row r="314">
          <cell r="B314" t="str">
            <v>ASC</v>
          </cell>
          <cell r="C314">
            <v>810</v>
          </cell>
          <cell r="D314" t="str">
            <v>Al-Shaheer Corp</v>
          </cell>
          <cell r="E314">
            <v>23.25</v>
          </cell>
          <cell r="F314">
            <v>23.5</v>
          </cell>
          <cell r="G314">
            <v>23.11</v>
          </cell>
          <cell r="H314">
            <v>23.32</v>
          </cell>
        </row>
        <row r="315">
          <cell r="B315" t="str">
            <v>CLOV</v>
          </cell>
          <cell r="C315">
            <v>810</v>
          </cell>
          <cell r="D315" t="str">
            <v>Clover Pakistan</v>
          </cell>
          <cell r="E315">
            <v>88.5</v>
          </cell>
          <cell r="F315">
            <v>89</v>
          </cell>
          <cell r="G315">
            <v>84.61</v>
          </cell>
          <cell r="H315">
            <v>85.87</v>
          </cell>
        </row>
        <row r="316">
          <cell r="B316" t="str">
            <v>IBLHL</v>
          </cell>
          <cell r="C316">
            <v>823</v>
          </cell>
          <cell r="D316" t="str">
            <v>IBL HealthCare</v>
          </cell>
          <cell r="E316">
            <v>92.5</v>
          </cell>
          <cell r="F316">
            <v>93</v>
          </cell>
          <cell r="G316">
            <v>90.05</v>
          </cell>
          <cell r="H316">
            <v>91.4</v>
          </cell>
        </row>
        <row r="317">
          <cell r="B317" t="str">
            <v>MACTER</v>
          </cell>
          <cell r="C317">
            <v>823</v>
          </cell>
          <cell r="D317" t="str">
            <v>Macter Int. Ltd</v>
          </cell>
          <cell r="E317">
            <v>265</v>
          </cell>
          <cell r="F317">
            <v>265</v>
          </cell>
          <cell r="G317">
            <v>265</v>
          </cell>
          <cell r="H317">
            <v>265</v>
          </cell>
        </row>
        <row r="318">
          <cell r="B318" t="str">
            <v>ISIL</v>
          </cell>
          <cell r="C318">
            <v>810</v>
          </cell>
          <cell r="D318" t="str">
            <v>Ismail Ind</v>
          </cell>
          <cell r="E318">
            <v>0</v>
          </cell>
          <cell r="F318">
            <v>381</v>
          </cell>
          <cell r="G318">
            <v>381</v>
          </cell>
          <cell r="H318">
            <v>381</v>
          </cell>
        </row>
        <row r="319">
          <cell r="B319" t="str">
            <v>MFL</v>
          </cell>
          <cell r="C319">
            <v>810</v>
          </cell>
          <cell r="D319" t="str">
            <v>Matco Foods Ltd</v>
          </cell>
          <cell r="E319">
            <v>29.99</v>
          </cell>
          <cell r="F319">
            <v>30.3</v>
          </cell>
          <cell r="G319">
            <v>29.45</v>
          </cell>
          <cell r="H319">
            <v>29.63</v>
          </cell>
        </row>
        <row r="320">
          <cell r="B320" t="str">
            <v>MFFL</v>
          </cell>
          <cell r="C320">
            <v>810</v>
          </cell>
          <cell r="D320" t="str">
            <v>MithchellsFruit</v>
          </cell>
          <cell r="E320">
            <v>275</v>
          </cell>
          <cell r="F320">
            <v>280</v>
          </cell>
          <cell r="G320">
            <v>275</v>
          </cell>
          <cell r="H320">
            <v>280</v>
          </cell>
        </row>
        <row r="321">
          <cell r="B321" t="str">
            <v>MUREB</v>
          </cell>
          <cell r="C321">
            <v>810</v>
          </cell>
          <cell r="D321" t="str">
            <v>Murree Brewery</v>
          </cell>
          <cell r="E321">
            <v>784</v>
          </cell>
          <cell r="F321">
            <v>787</v>
          </cell>
          <cell r="G321">
            <v>756.06</v>
          </cell>
          <cell r="H321">
            <v>776.53</v>
          </cell>
        </row>
        <row r="322">
          <cell r="B322" t="str">
            <v>NATF</v>
          </cell>
          <cell r="C322">
            <v>810</v>
          </cell>
          <cell r="D322" t="str">
            <v>National Foods</v>
          </cell>
          <cell r="E322">
            <v>301.10000000000002</v>
          </cell>
          <cell r="F322">
            <v>301.10000000000002</v>
          </cell>
          <cell r="G322">
            <v>301</v>
          </cell>
          <cell r="H322">
            <v>301</v>
          </cell>
        </row>
        <row r="323">
          <cell r="B323" t="str">
            <v>FFL</v>
          </cell>
          <cell r="C323">
            <v>810</v>
          </cell>
          <cell r="D323" t="str">
            <v>Fauji Foods Ltd</v>
          </cell>
          <cell r="E323">
            <v>26.6</v>
          </cell>
          <cell r="F323">
            <v>26.7</v>
          </cell>
          <cell r="G323">
            <v>26.12</v>
          </cell>
          <cell r="H323">
            <v>26.19</v>
          </cell>
        </row>
        <row r="324">
          <cell r="B324" t="str">
            <v>FFLNV</v>
          </cell>
          <cell r="C324">
            <v>810</v>
          </cell>
          <cell r="D324" t="str">
            <v>Fauji FoodsNonV</v>
          </cell>
          <cell r="E324">
            <v>25.5</v>
          </cell>
          <cell r="F324">
            <v>25.6</v>
          </cell>
          <cell r="G324">
            <v>25.26</v>
          </cell>
          <cell r="H324">
            <v>25.3</v>
          </cell>
        </row>
        <row r="325">
          <cell r="B325" t="str">
            <v>QUICE</v>
          </cell>
          <cell r="C325">
            <v>810</v>
          </cell>
          <cell r="D325" t="str">
            <v>Quice Food</v>
          </cell>
          <cell r="E325">
            <v>5.73</v>
          </cell>
          <cell r="F325">
            <v>5.73</v>
          </cell>
          <cell r="G325">
            <v>5.64</v>
          </cell>
          <cell r="H325">
            <v>5.66</v>
          </cell>
        </row>
        <row r="326">
          <cell r="B326" t="str">
            <v>UPFL</v>
          </cell>
          <cell r="C326">
            <v>810</v>
          </cell>
          <cell r="D326" t="str">
            <v>Unilever Foods</v>
          </cell>
          <cell r="E326">
            <v>8900</v>
          </cell>
          <cell r="F326">
            <v>8900</v>
          </cell>
          <cell r="G326">
            <v>8900</v>
          </cell>
          <cell r="H326">
            <v>8900</v>
          </cell>
        </row>
        <row r="327">
          <cell r="B327" t="str">
            <v>RMPL</v>
          </cell>
          <cell r="C327">
            <v>810</v>
          </cell>
          <cell r="D327" t="str">
            <v>Rafhan Maize</v>
          </cell>
          <cell r="E327">
            <v>7100</v>
          </cell>
          <cell r="F327">
            <v>7100</v>
          </cell>
          <cell r="G327">
            <v>7100</v>
          </cell>
          <cell r="H327">
            <v>7100</v>
          </cell>
        </row>
        <row r="328">
          <cell r="B328" t="str">
            <v>SHEZ</v>
          </cell>
          <cell r="C328">
            <v>810</v>
          </cell>
          <cell r="D328" t="str">
            <v>Shezan Inter.</v>
          </cell>
          <cell r="E328">
            <v>534.44000000000005</v>
          </cell>
          <cell r="F328">
            <v>534.44000000000005</v>
          </cell>
          <cell r="G328">
            <v>509</v>
          </cell>
          <cell r="H328">
            <v>509</v>
          </cell>
        </row>
        <row r="329">
          <cell r="B329" t="str">
            <v>SCL</v>
          </cell>
          <cell r="C329">
            <v>810</v>
          </cell>
          <cell r="D329" t="str">
            <v>Shield Corp.</v>
          </cell>
          <cell r="E329">
            <v>280</v>
          </cell>
          <cell r="F329">
            <v>285</v>
          </cell>
          <cell r="G329">
            <v>266</v>
          </cell>
          <cell r="H329">
            <v>283.20999999999998</v>
          </cell>
        </row>
        <row r="330">
          <cell r="B330" t="str">
            <v>TREET</v>
          </cell>
          <cell r="C330">
            <v>810</v>
          </cell>
          <cell r="D330" t="str">
            <v>Treet Corp</v>
          </cell>
          <cell r="E330">
            <v>40.049999999999997</v>
          </cell>
          <cell r="F330">
            <v>40.54</v>
          </cell>
          <cell r="G330">
            <v>39.79</v>
          </cell>
          <cell r="H330">
            <v>39.979999999999997</v>
          </cell>
        </row>
        <row r="331">
          <cell r="B331" t="str">
            <v>ZIL</v>
          </cell>
          <cell r="C331">
            <v>810</v>
          </cell>
          <cell r="D331" t="str">
            <v>ZIL Limited</v>
          </cell>
          <cell r="E331">
            <v>122.89</v>
          </cell>
          <cell r="F331">
            <v>122.89</v>
          </cell>
          <cell r="G331">
            <v>122.89</v>
          </cell>
          <cell r="H331">
            <v>122.89</v>
          </cell>
        </row>
        <row r="332">
          <cell r="B332" t="str">
            <v>BGL</v>
          </cell>
          <cell r="C332">
            <v>811</v>
          </cell>
          <cell r="D332" t="str">
            <v>Bal.Glass</v>
          </cell>
          <cell r="E332">
            <v>9.0399999999999991</v>
          </cell>
          <cell r="F332">
            <v>9.0500000000000007</v>
          </cell>
          <cell r="G332">
            <v>8.85</v>
          </cell>
          <cell r="H332">
            <v>8.9</v>
          </cell>
        </row>
        <row r="333">
          <cell r="B333" t="str">
            <v>EMCO</v>
          </cell>
          <cell r="C333">
            <v>811</v>
          </cell>
          <cell r="D333" t="str">
            <v>EMCO Industries</v>
          </cell>
          <cell r="E333">
            <v>21.95</v>
          </cell>
          <cell r="F333">
            <v>22</v>
          </cell>
          <cell r="G333">
            <v>21.95</v>
          </cell>
          <cell r="H333">
            <v>22</v>
          </cell>
        </row>
        <row r="334">
          <cell r="B334" t="str">
            <v>FRCL</v>
          </cell>
          <cell r="C334">
            <v>811</v>
          </cell>
          <cell r="D334" t="str">
            <v>Frontier Ceram</v>
          </cell>
          <cell r="E334">
            <v>16</v>
          </cell>
          <cell r="F334">
            <v>16.010000000000002</v>
          </cell>
          <cell r="G334">
            <v>16</v>
          </cell>
          <cell r="H334">
            <v>16.010000000000002</v>
          </cell>
        </row>
        <row r="335">
          <cell r="B335" t="str">
            <v>GHGL</v>
          </cell>
          <cell r="C335">
            <v>811</v>
          </cell>
          <cell r="D335" t="str">
            <v>Ghani Glass Ltd</v>
          </cell>
          <cell r="E335">
            <v>67.95</v>
          </cell>
          <cell r="F335">
            <v>68.63</v>
          </cell>
          <cell r="G335">
            <v>67.349999999999994</v>
          </cell>
          <cell r="H335">
            <v>68.45</v>
          </cell>
        </row>
        <row r="336">
          <cell r="B336" t="str">
            <v>GGGL</v>
          </cell>
          <cell r="C336">
            <v>811</v>
          </cell>
          <cell r="D336" t="str">
            <v>GhaniGlobalGlass</v>
          </cell>
          <cell r="E336">
            <v>14.71</v>
          </cell>
          <cell r="F336">
            <v>14.86</v>
          </cell>
          <cell r="G336">
            <v>14.21</v>
          </cell>
          <cell r="H336">
            <v>14.32</v>
          </cell>
        </row>
        <row r="337">
          <cell r="B337" t="str">
            <v>GVGL</v>
          </cell>
          <cell r="C337">
            <v>811</v>
          </cell>
          <cell r="D337" t="str">
            <v>Ghani Value Gla.</v>
          </cell>
          <cell r="E337">
            <v>28.66</v>
          </cell>
          <cell r="F337">
            <v>28.66</v>
          </cell>
          <cell r="G337">
            <v>27.15</v>
          </cell>
          <cell r="H337">
            <v>27.2</v>
          </cell>
        </row>
        <row r="338">
          <cell r="B338" t="str">
            <v>TGL</v>
          </cell>
          <cell r="C338">
            <v>811</v>
          </cell>
          <cell r="D338" t="str">
            <v>Tariq Glass Ind.</v>
          </cell>
          <cell r="E338">
            <v>108.99</v>
          </cell>
          <cell r="F338">
            <v>109.75</v>
          </cell>
          <cell r="G338">
            <v>107.5</v>
          </cell>
          <cell r="H338">
            <v>108.18</v>
          </cell>
        </row>
        <row r="339">
          <cell r="B339" t="str">
            <v>STCL</v>
          </cell>
          <cell r="C339">
            <v>811</v>
          </cell>
          <cell r="D339" t="str">
            <v>Shabbir Tiles</v>
          </cell>
          <cell r="E339">
            <v>14.9</v>
          </cell>
          <cell r="F339">
            <v>15.2</v>
          </cell>
          <cell r="G339">
            <v>14.9</v>
          </cell>
          <cell r="H339">
            <v>14.98</v>
          </cell>
        </row>
        <row r="340">
          <cell r="B340" t="str">
            <v>GAMON</v>
          </cell>
          <cell r="C340">
            <v>818</v>
          </cell>
          <cell r="D340" t="str">
            <v>Gammon Pak</v>
          </cell>
          <cell r="E340">
            <v>18.5</v>
          </cell>
          <cell r="F340">
            <v>18.89</v>
          </cell>
          <cell r="G340">
            <v>18.399999999999999</v>
          </cell>
          <cell r="H340">
            <v>18.72</v>
          </cell>
        </row>
        <row r="341">
          <cell r="B341" t="str">
            <v>AKGL</v>
          </cell>
          <cell r="C341">
            <v>818</v>
          </cell>
          <cell r="D341" t="str">
            <v>AL-Khair Gadoon</v>
          </cell>
          <cell r="E341">
            <v>10.52</v>
          </cell>
          <cell r="F341">
            <v>10.52</v>
          </cell>
          <cell r="G341">
            <v>10.52</v>
          </cell>
          <cell r="H341">
            <v>10.52</v>
          </cell>
        </row>
        <row r="342">
          <cell r="B342" t="str">
            <v>MACFL</v>
          </cell>
          <cell r="C342">
            <v>818</v>
          </cell>
          <cell r="D342" t="str">
            <v>MACPAC Films</v>
          </cell>
          <cell r="E342">
            <v>19.3</v>
          </cell>
          <cell r="F342">
            <v>19.899999999999999</v>
          </cell>
          <cell r="G342">
            <v>18.89</v>
          </cell>
          <cell r="H342">
            <v>18.940000000000001</v>
          </cell>
        </row>
        <row r="343">
          <cell r="B343" t="str">
            <v>ECOP</v>
          </cell>
          <cell r="C343">
            <v>818</v>
          </cell>
          <cell r="D343" t="str">
            <v>ECOPACK Ltd</v>
          </cell>
          <cell r="E343">
            <v>21</v>
          </cell>
          <cell r="F343">
            <v>21</v>
          </cell>
          <cell r="G343">
            <v>20.11</v>
          </cell>
          <cell r="H343">
            <v>20.3</v>
          </cell>
        </row>
        <row r="344">
          <cell r="B344" t="str">
            <v>GOC</v>
          </cell>
          <cell r="C344">
            <v>818</v>
          </cell>
          <cell r="D344" t="str">
            <v>GOC (Pak) Ltd.</v>
          </cell>
          <cell r="E344">
            <v>0</v>
          </cell>
          <cell r="F344">
            <v>61.4</v>
          </cell>
          <cell r="G344">
            <v>61.4</v>
          </cell>
          <cell r="H344">
            <v>61.4</v>
          </cell>
        </row>
        <row r="345">
          <cell r="B345" t="str">
            <v>PACE</v>
          </cell>
          <cell r="C345">
            <v>818</v>
          </cell>
          <cell r="D345" t="str">
            <v>Pace (Pak) Ltd.</v>
          </cell>
          <cell r="E345">
            <v>4.28</v>
          </cell>
          <cell r="F345">
            <v>4.32</v>
          </cell>
          <cell r="G345">
            <v>4.12</v>
          </cell>
          <cell r="H345">
            <v>4.17</v>
          </cell>
        </row>
        <row r="346">
          <cell r="B346" t="str">
            <v>PHDL</v>
          </cell>
          <cell r="C346">
            <v>818</v>
          </cell>
          <cell r="D346" t="str">
            <v>Pak Hotels</v>
          </cell>
          <cell r="E346">
            <v>88</v>
          </cell>
          <cell r="F346">
            <v>93</v>
          </cell>
          <cell r="G346">
            <v>88</v>
          </cell>
          <cell r="H346">
            <v>93</v>
          </cell>
        </row>
        <row r="347">
          <cell r="B347" t="str">
            <v>STPL</v>
          </cell>
          <cell r="C347">
            <v>818</v>
          </cell>
          <cell r="D347" t="str">
            <v>Siddiqsons Tin</v>
          </cell>
          <cell r="E347">
            <v>25.8</v>
          </cell>
          <cell r="F347">
            <v>27.52</v>
          </cell>
          <cell r="G347">
            <v>25.26</v>
          </cell>
          <cell r="H347">
            <v>26.59</v>
          </cell>
        </row>
        <row r="348">
          <cell r="B348" t="str">
            <v>TPLP</v>
          </cell>
          <cell r="C348">
            <v>818</v>
          </cell>
          <cell r="D348" t="str">
            <v>TPL Properties</v>
          </cell>
          <cell r="E348">
            <v>9.25</v>
          </cell>
          <cell r="F348">
            <v>10.32</v>
          </cell>
          <cell r="G348">
            <v>9.0299999999999994</v>
          </cell>
          <cell r="H348">
            <v>10.26</v>
          </cell>
        </row>
        <row r="349">
          <cell r="B349" t="str">
            <v>TRIPF</v>
          </cell>
          <cell r="C349">
            <v>818</v>
          </cell>
          <cell r="D349" t="str">
            <v>Tri-Pack Films</v>
          </cell>
          <cell r="E349">
            <v>164.89</v>
          </cell>
          <cell r="F349">
            <v>166</v>
          </cell>
          <cell r="G349">
            <v>163</v>
          </cell>
          <cell r="H349">
            <v>164.99</v>
          </cell>
        </row>
        <row r="350">
          <cell r="B350" t="str">
            <v>UBDL</v>
          </cell>
          <cell r="C350">
            <v>818</v>
          </cell>
          <cell r="D350" t="str">
            <v>United Brands</v>
          </cell>
          <cell r="E350">
            <v>550</v>
          </cell>
          <cell r="F350">
            <v>572</v>
          </cell>
          <cell r="G350">
            <v>550</v>
          </cell>
          <cell r="H350">
            <v>558</v>
          </cell>
        </row>
        <row r="351">
          <cell r="B351" t="str">
            <v>UDPL</v>
          </cell>
          <cell r="C351">
            <v>818</v>
          </cell>
          <cell r="D351" t="str">
            <v>United Dist.</v>
          </cell>
          <cell r="E351">
            <v>54.5</v>
          </cell>
          <cell r="F351">
            <v>55.5</v>
          </cell>
          <cell r="G351">
            <v>54.5</v>
          </cell>
          <cell r="H351">
            <v>55.5</v>
          </cell>
        </row>
        <row r="352">
          <cell r="B352" t="str">
            <v>TELETFC</v>
          </cell>
          <cell r="C352">
            <v>36</v>
          </cell>
          <cell r="D352" t="str">
            <v>Telecard TFC</v>
          </cell>
          <cell r="E352">
            <v>0</v>
          </cell>
          <cell r="F352">
            <v>328.45</v>
          </cell>
          <cell r="G352">
            <v>0</v>
          </cell>
          <cell r="H352">
            <v>328.45</v>
          </cell>
        </row>
        <row r="353">
          <cell r="B353" t="str">
            <v>HBLTFC</v>
          </cell>
          <cell r="C353">
            <v>36</v>
          </cell>
          <cell r="D353" t="str">
            <v>HBLTFC Priv. Placed</v>
          </cell>
          <cell r="E353">
            <v>0</v>
          </cell>
          <cell r="F353">
            <v>99.75</v>
          </cell>
          <cell r="G353">
            <v>0</v>
          </cell>
          <cell r="H353">
            <v>99.75</v>
          </cell>
        </row>
        <row r="354">
          <cell r="B354" t="str">
            <v>BAFLTFC5</v>
          </cell>
          <cell r="C354">
            <v>36</v>
          </cell>
          <cell r="D354" t="str">
            <v>Bank Alfalah(TFC)</v>
          </cell>
          <cell r="E354">
            <v>0</v>
          </cell>
          <cell r="F354">
            <v>100.63209999999999</v>
          </cell>
          <cell r="G354">
            <v>0</v>
          </cell>
          <cell r="H354">
            <v>100.63209999999999</v>
          </cell>
        </row>
        <row r="355">
          <cell r="B355" t="str">
            <v>MCBTFC2</v>
          </cell>
          <cell r="C355">
            <v>36</v>
          </cell>
          <cell r="D355" t="str">
            <v>MCB Bank</v>
          </cell>
          <cell r="E355">
            <v>0</v>
          </cell>
          <cell r="F355">
            <v>100.8156</v>
          </cell>
          <cell r="G355">
            <v>0</v>
          </cell>
          <cell r="H355">
            <v>100.8156</v>
          </cell>
        </row>
        <row r="356">
          <cell r="B356" t="str">
            <v>ENGROSC2</v>
          </cell>
          <cell r="C356">
            <v>36</v>
          </cell>
          <cell r="D356" t="str">
            <v>EngroCorp(SUKUK</v>
          </cell>
          <cell r="E356">
            <v>0</v>
          </cell>
          <cell r="F356">
            <v>115.5</v>
          </cell>
          <cell r="G356">
            <v>0</v>
          </cell>
          <cell r="H356">
            <v>115.5</v>
          </cell>
        </row>
        <row r="357">
          <cell r="B357" t="str">
            <v>KELSC4</v>
          </cell>
          <cell r="C357">
            <v>36</v>
          </cell>
          <cell r="D357" t="str">
            <v>K-Elect(SUKUK-4</v>
          </cell>
          <cell r="E357">
            <v>0</v>
          </cell>
          <cell r="F357">
            <v>101.88500000000001</v>
          </cell>
          <cell r="G357">
            <v>0</v>
          </cell>
          <cell r="H357">
            <v>101.88500000000001</v>
          </cell>
        </row>
        <row r="358">
          <cell r="B358" t="str">
            <v>SNBLTFC2</v>
          </cell>
          <cell r="C358">
            <v>36</v>
          </cell>
          <cell r="D358" t="str">
            <v>Soneri Bank TFC</v>
          </cell>
          <cell r="E358">
            <v>0</v>
          </cell>
          <cell r="F358">
            <v>100.2206</v>
          </cell>
          <cell r="G358">
            <v>0</v>
          </cell>
          <cell r="H358">
            <v>100.2206</v>
          </cell>
        </row>
        <row r="359">
          <cell r="B359" t="str">
            <v>FATIMASC</v>
          </cell>
          <cell r="C359">
            <v>36</v>
          </cell>
          <cell r="D359" t="str">
            <v>Fatima Fert(Suk</v>
          </cell>
          <cell r="E359">
            <v>0</v>
          </cell>
          <cell r="F359">
            <v>101.9</v>
          </cell>
          <cell r="G359">
            <v>0</v>
          </cell>
          <cell r="H359">
            <v>101.9</v>
          </cell>
        </row>
        <row r="360">
          <cell r="B360" t="str">
            <v>AICL-MAR</v>
          </cell>
          <cell r="C360">
            <v>40</v>
          </cell>
          <cell r="D360" t="str">
            <v>AICL-MAR</v>
          </cell>
          <cell r="E360">
            <v>0</v>
          </cell>
          <cell r="F360">
            <v>57.53</v>
          </cell>
          <cell r="G360">
            <v>0</v>
          </cell>
          <cell r="H360">
            <v>57.53</v>
          </cell>
        </row>
        <row r="361">
          <cell r="B361" t="str">
            <v>ATRL-MAR</v>
          </cell>
          <cell r="C361">
            <v>40</v>
          </cell>
          <cell r="D361" t="str">
            <v>ATRL-MAR</v>
          </cell>
          <cell r="E361">
            <v>249</v>
          </cell>
          <cell r="F361">
            <v>252.5</v>
          </cell>
          <cell r="G361">
            <v>246.65</v>
          </cell>
          <cell r="H361">
            <v>249.39</v>
          </cell>
        </row>
        <row r="362">
          <cell r="B362" t="str">
            <v>FCCL-MAR</v>
          </cell>
          <cell r="C362">
            <v>40</v>
          </cell>
          <cell r="D362" t="str">
            <v>FCCL-MAR</v>
          </cell>
          <cell r="E362">
            <v>24.6</v>
          </cell>
          <cell r="F362">
            <v>25.2</v>
          </cell>
          <cell r="G362">
            <v>24.51</v>
          </cell>
          <cell r="H362">
            <v>25.11</v>
          </cell>
        </row>
        <row r="363">
          <cell r="B363" t="str">
            <v>UBL-MAR</v>
          </cell>
          <cell r="C363">
            <v>40</v>
          </cell>
          <cell r="D363" t="str">
            <v>UBL-MAR</v>
          </cell>
          <cell r="E363">
            <v>192</v>
          </cell>
          <cell r="F363">
            <v>194.25</v>
          </cell>
          <cell r="G363">
            <v>188.9</v>
          </cell>
          <cell r="H363">
            <v>189.28</v>
          </cell>
        </row>
        <row r="364">
          <cell r="B364" t="str">
            <v>NRL-MAR</v>
          </cell>
          <cell r="C364">
            <v>40</v>
          </cell>
          <cell r="D364" t="str">
            <v>NRL-MAR</v>
          </cell>
          <cell r="E364">
            <v>430.4</v>
          </cell>
          <cell r="F364">
            <v>430.4</v>
          </cell>
          <cell r="G364">
            <v>428.25</v>
          </cell>
          <cell r="H364">
            <v>429.43</v>
          </cell>
        </row>
        <row r="365">
          <cell r="B365" t="str">
            <v>HBL-MAR</v>
          </cell>
          <cell r="C365">
            <v>40</v>
          </cell>
          <cell r="D365" t="str">
            <v>HBL-MAR</v>
          </cell>
          <cell r="E365">
            <v>211.9</v>
          </cell>
          <cell r="F365">
            <v>214</v>
          </cell>
          <cell r="G365">
            <v>207</v>
          </cell>
          <cell r="H365">
            <v>207.54</v>
          </cell>
        </row>
        <row r="366">
          <cell r="B366" t="str">
            <v>HBL-CMAR</v>
          </cell>
          <cell r="C366">
            <v>40</v>
          </cell>
          <cell r="D366" t="str">
            <v>HBL-CMAR</v>
          </cell>
          <cell r="E366">
            <v>0</v>
          </cell>
          <cell r="F366">
            <v>210.21</v>
          </cell>
          <cell r="G366">
            <v>0</v>
          </cell>
          <cell r="H366">
            <v>210.21</v>
          </cell>
        </row>
        <row r="367">
          <cell r="B367" t="str">
            <v>AKBL-CMAR</v>
          </cell>
          <cell r="C367">
            <v>40</v>
          </cell>
          <cell r="D367" t="str">
            <v>AKBL-CMAR</v>
          </cell>
          <cell r="E367">
            <v>0</v>
          </cell>
          <cell r="F367">
            <v>20.41</v>
          </cell>
          <cell r="G367">
            <v>0</v>
          </cell>
          <cell r="H367">
            <v>20.41</v>
          </cell>
        </row>
        <row r="368">
          <cell r="B368" t="str">
            <v>ATRL-CMAR</v>
          </cell>
          <cell r="C368">
            <v>40</v>
          </cell>
          <cell r="D368" t="str">
            <v>ATRL-CMAR</v>
          </cell>
          <cell r="E368">
            <v>0</v>
          </cell>
          <cell r="F368">
            <v>249.74</v>
          </cell>
          <cell r="G368">
            <v>0</v>
          </cell>
          <cell r="H368">
            <v>249.74</v>
          </cell>
        </row>
        <row r="369">
          <cell r="B369" t="str">
            <v>BAFL-CMAR</v>
          </cell>
          <cell r="C369">
            <v>40</v>
          </cell>
          <cell r="D369" t="str">
            <v>BAFL-CMAR</v>
          </cell>
          <cell r="E369">
            <v>0</v>
          </cell>
          <cell r="F369">
            <v>47.75</v>
          </cell>
          <cell r="G369">
            <v>0</v>
          </cell>
          <cell r="H369">
            <v>47.75</v>
          </cell>
        </row>
        <row r="370">
          <cell r="B370" t="str">
            <v>ENGRO-CMAR</v>
          </cell>
          <cell r="C370">
            <v>40</v>
          </cell>
          <cell r="D370" t="str">
            <v>ENGRO-CMAR</v>
          </cell>
          <cell r="E370">
            <v>0</v>
          </cell>
          <cell r="F370">
            <v>303.33</v>
          </cell>
          <cell r="G370">
            <v>0</v>
          </cell>
          <cell r="H370">
            <v>303.33</v>
          </cell>
        </row>
        <row r="371">
          <cell r="B371" t="str">
            <v>FCCL-CMAR</v>
          </cell>
          <cell r="C371">
            <v>40</v>
          </cell>
          <cell r="D371" t="str">
            <v>FCCL-CMAR</v>
          </cell>
          <cell r="E371">
            <v>0</v>
          </cell>
          <cell r="F371">
            <v>25.18</v>
          </cell>
          <cell r="G371">
            <v>0</v>
          </cell>
          <cell r="H371">
            <v>25.18</v>
          </cell>
        </row>
        <row r="372">
          <cell r="B372" t="str">
            <v>FFBL-CMAR</v>
          </cell>
          <cell r="C372">
            <v>40</v>
          </cell>
          <cell r="D372" t="str">
            <v>FFBL-CMAR</v>
          </cell>
          <cell r="E372">
            <v>0</v>
          </cell>
          <cell r="F372">
            <v>36.67</v>
          </cell>
          <cell r="G372">
            <v>0</v>
          </cell>
          <cell r="H372">
            <v>36.67</v>
          </cell>
        </row>
        <row r="373">
          <cell r="B373" t="str">
            <v>FFC-CMAR</v>
          </cell>
          <cell r="C373">
            <v>40</v>
          </cell>
          <cell r="D373" t="str">
            <v>FFC-CMAR</v>
          </cell>
          <cell r="E373">
            <v>0</v>
          </cell>
          <cell r="F373">
            <v>89.46</v>
          </cell>
          <cell r="G373">
            <v>0</v>
          </cell>
          <cell r="H373">
            <v>89.46</v>
          </cell>
        </row>
        <row r="374">
          <cell r="B374" t="str">
            <v>HUBC-CMAR</v>
          </cell>
          <cell r="C374">
            <v>40</v>
          </cell>
          <cell r="D374" t="str">
            <v>HUBC-CMAR</v>
          </cell>
          <cell r="E374">
            <v>0</v>
          </cell>
          <cell r="F374">
            <v>98.92</v>
          </cell>
          <cell r="G374">
            <v>0</v>
          </cell>
          <cell r="H374">
            <v>98.92</v>
          </cell>
        </row>
        <row r="375">
          <cell r="B375" t="str">
            <v>MCB-CMAR</v>
          </cell>
          <cell r="C375">
            <v>40</v>
          </cell>
          <cell r="D375" t="str">
            <v>MCB-CMAR</v>
          </cell>
          <cell r="E375">
            <v>0</v>
          </cell>
          <cell r="F375">
            <v>220.34</v>
          </cell>
          <cell r="G375">
            <v>0</v>
          </cell>
          <cell r="H375">
            <v>220.34</v>
          </cell>
        </row>
        <row r="376">
          <cell r="B376" t="str">
            <v>NML-CMAR</v>
          </cell>
          <cell r="C376">
            <v>40</v>
          </cell>
          <cell r="D376" t="str">
            <v>NML-CMAR</v>
          </cell>
          <cell r="E376">
            <v>0</v>
          </cell>
          <cell r="F376">
            <v>160.97</v>
          </cell>
          <cell r="G376">
            <v>0</v>
          </cell>
          <cell r="H376">
            <v>160.97</v>
          </cell>
        </row>
        <row r="377">
          <cell r="B377" t="str">
            <v>PPL-CMAR</v>
          </cell>
          <cell r="C377">
            <v>40</v>
          </cell>
          <cell r="D377" t="str">
            <v>PPL-CMAR</v>
          </cell>
          <cell r="E377">
            <v>0</v>
          </cell>
          <cell r="F377">
            <v>205.73</v>
          </cell>
          <cell r="G377">
            <v>0</v>
          </cell>
          <cell r="H377">
            <v>205.73</v>
          </cell>
        </row>
        <row r="378">
          <cell r="B378" t="str">
            <v>PSO-CMAR</v>
          </cell>
          <cell r="C378">
            <v>40</v>
          </cell>
          <cell r="D378" t="str">
            <v>PSO-CMAR</v>
          </cell>
          <cell r="E378">
            <v>0</v>
          </cell>
          <cell r="F378">
            <v>300.44</v>
          </cell>
          <cell r="G378">
            <v>0</v>
          </cell>
          <cell r="H378">
            <v>300.44</v>
          </cell>
        </row>
        <row r="379">
          <cell r="B379" t="str">
            <v>UBL-CMAR</v>
          </cell>
          <cell r="C379">
            <v>40</v>
          </cell>
          <cell r="D379" t="str">
            <v>UBL-CMAR</v>
          </cell>
          <cell r="E379">
            <v>0</v>
          </cell>
          <cell r="F379">
            <v>190.34</v>
          </cell>
          <cell r="G379">
            <v>0</v>
          </cell>
          <cell r="H379">
            <v>190.34</v>
          </cell>
        </row>
        <row r="380">
          <cell r="B380" t="str">
            <v>HBL-CMAY</v>
          </cell>
          <cell r="C380">
            <v>40</v>
          </cell>
          <cell r="D380" t="str">
            <v>HBL-CMAY</v>
          </cell>
          <cell r="E380">
            <v>0</v>
          </cell>
          <cell r="F380">
            <v>213.56</v>
          </cell>
          <cell r="G380">
            <v>0</v>
          </cell>
          <cell r="H380">
            <v>213.56</v>
          </cell>
        </row>
        <row r="381">
          <cell r="B381" t="str">
            <v>AKBL-CMAY</v>
          </cell>
          <cell r="C381">
            <v>40</v>
          </cell>
          <cell r="D381" t="str">
            <v>AKBL-CMAY</v>
          </cell>
          <cell r="E381">
            <v>0</v>
          </cell>
          <cell r="F381">
            <v>20.74</v>
          </cell>
          <cell r="G381">
            <v>0</v>
          </cell>
          <cell r="H381">
            <v>20.74</v>
          </cell>
        </row>
        <row r="382">
          <cell r="B382" t="str">
            <v>ATRL-CMAY</v>
          </cell>
          <cell r="C382">
            <v>40</v>
          </cell>
          <cell r="D382" t="str">
            <v>ATRL-CMAY</v>
          </cell>
          <cell r="E382">
            <v>0</v>
          </cell>
          <cell r="F382">
            <v>253.73</v>
          </cell>
          <cell r="G382">
            <v>0</v>
          </cell>
          <cell r="H382">
            <v>253.73</v>
          </cell>
        </row>
        <row r="383">
          <cell r="B383" t="str">
            <v>BAFL-CMAY</v>
          </cell>
          <cell r="C383">
            <v>40</v>
          </cell>
          <cell r="D383" t="str">
            <v>BAFL-CMAY</v>
          </cell>
          <cell r="E383">
            <v>0</v>
          </cell>
          <cell r="F383">
            <v>48.51</v>
          </cell>
          <cell r="G383">
            <v>0</v>
          </cell>
          <cell r="H383">
            <v>48.51</v>
          </cell>
        </row>
        <row r="384">
          <cell r="B384" t="str">
            <v>ENGRO-CMAY</v>
          </cell>
          <cell r="C384">
            <v>40</v>
          </cell>
          <cell r="D384" t="str">
            <v>ENGRO-CMAY</v>
          </cell>
          <cell r="E384">
            <v>0</v>
          </cell>
          <cell r="F384">
            <v>308.17</v>
          </cell>
          <cell r="G384">
            <v>0</v>
          </cell>
          <cell r="H384">
            <v>308.17</v>
          </cell>
        </row>
        <row r="385">
          <cell r="B385" t="str">
            <v>FCCL-CMAY</v>
          </cell>
          <cell r="C385">
            <v>40</v>
          </cell>
          <cell r="D385" t="str">
            <v>FCCL-CMAY</v>
          </cell>
          <cell r="E385">
            <v>0</v>
          </cell>
          <cell r="F385">
            <v>25.58</v>
          </cell>
          <cell r="G385">
            <v>0</v>
          </cell>
          <cell r="H385">
            <v>25.58</v>
          </cell>
        </row>
        <row r="386">
          <cell r="B386" t="str">
            <v>FFBL-CMAY</v>
          </cell>
          <cell r="C386">
            <v>40</v>
          </cell>
          <cell r="D386" t="str">
            <v>FFBL-CMAY</v>
          </cell>
          <cell r="E386">
            <v>0</v>
          </cell>
          <cell r="F386">
            <v>37.26</v>
          </cell>
          <cell r="G386">
            <v>0</v>
          </cell>
          <cell r="H386">
            <v>37.26</v>
          </cell>
        </row>
        <row r="387">
          <cell r="B387" t="str">
            <v>FFC-CMAY</v>
          </cell>
          <cell r="C387">
            <v>40</v>
          </cell>
          <cell r="D387" t="str">
            <v>FFC-CMAY</v>
          </cell>
          <cell r="E387">
            <v>0</v>
          </cell>
          <cell r="F387">
            <v>90.89</v>
          </cell>
          <cell r="G387">
            <v>0</v>
          </cell>
          <cell r="H387">
            <v>90.89</v>
          </cell>
        </row>
        <row r="388">
          <cell r="B388" t="str">
            <v>HUBC-CMAY</v>
          </cell>
          <cell r="C388">
            <v>40</v>
          </cell>
          <cell r="D388" t="str">
            <v>HUBC-CMAY</v>
          </cell>
          <cell r="E388">
            <v>0</v>
          </cell>
          <cell r="F388">
            <v>100.5</v>
          </cell>
          <cell r="G388">
            <v>0</v>
          </cell>
          <cell r="H388">
            <v>100.5</v>
          </cell>
        </row>
        <row r="389">
          <cell r="B389" t="str">
            <v>KAPCO-CMAY</v>
          </cell>
          <cell r="C389">
            <v>40</v>
          </cell>
          <cell r="D389" t="str">
            <v>KAPCO-CMAY</v>
          </cell>
          <cell r="E389">
            <v>0</v>
          </cell>
          <cell r="F389">
            <v>61.28</v>
          </cell>
          <cell r="G389">
            <v>0</v>
          </cell>
          <cell r="H389">
            <v>61.28</v>
          </cell>
        </row>
        <row r="390">
          <cell r="B390" t="str">
            <v>LUCK-CMAY</v>
          </cell>
          <cell r="C390">
            <v>40</v>
          </cell>
          <cell r="D390" t="str">
            <v>LUCK-CMAY</v>
          </cell>
          <cell r="E390">
            <v>0</v>
          </cell>
          <cell r="F390">
            <v>615.79</v>
          </cell>
          <cell r="G390">
            <v>0</v>
          </cell>
          <cell r="H390">
            <v>615.79</v>
          </cell>
        </row>
        <row r="391">
          <cell r="B391" t="str">
            <v>MCB-CMAY</v>
          </cell>
          <cell r="C391">
            <v>40</v>
          </cell>
          <cell r="D391" t="str">
            <v>MCB-CMAY</v>
          </cell>
          <cell r="E391">
            <v>0</v>
          </cell>
          <cell r="F391">
            <v>223.86</v>
          </cell>
          <cell r="G391">
            <v>0</v>
          </cell>
          <cell r="H391">
            <v>223.86</v>
          </cell>
        </row>
        <row r="392">
          <cell r="B392" t="str">
            <v>NML-CMAY</v>
          </cell>
          <cell r="C392">
            <v>40</v>
          </cell>
          <cell r="D392" t="str">
            <v>NML-CMAY</v>
          </cell>
          <cell r="E392">
            <v>0</v>
          </cell>
          <cell r="F392">
            <v>163.54</v>
          </cell>
          <cell r="G392">
            <v>0</v>
          </cell>
          <cell r="H392">
            <v>163.54</v>
          </cell>
        </row>
        <row r="393">
          <cell r="B393" t="str">
            <v>PPL-CMAY</v>
          </cell>
          <cell r="C393">
            <v>40</v>
          </cell>
          <cell r="D393" t="str">
            <v>PPL-CMAY</v>
          </cell>
          <cell r="E393">
            <v>0</v>
          </cell>
          <cell r="F393">
            <v>209.01</v>
          </cell>
          <cell r="G393">
            <v>0</v>
          </cell>
          <cell r="H393">
            <v>209.01</v>
          </cell>
        </row>
        <row r="394">
          <cell r="B394" t="str">
            <v>PRL-CMAY</v>
          </cell>
          <cell r="C394">
            <v>40</v>
          </cell>
          <cell r="D394" t="str">
            <v>PRL-CMAY</v>
          </cell>
          <cell r="E394">
            <v>0</v>
          </cell>
          <cell r="F394">
            <v>38.33</v>
          </cell>
          <cell r="G394">
            <v>0</v>
          </cell>
          <cell r="H394">
            <v>38.33</v>
          </cell>
        </row>
        <row r="395">
          <cell r="B395" t="str">
            <v>PSO-CMAY</v>
          </cell>
          <cell r="C395">
            <v>40</v>
          </cell>
          <cell r="D395" t="str">
            <v>PSO-CMAY</v>
          </cell>
          <cell r="E395">
            <v>0</v>
          </cell>
          <cell r="F395">
            <v>305.23</v>
          </cell>
          <cell r="G395">
            <v>0</v>
          </cell>
          <cell r="H395">
            <v>305.23</v>
          </cell>
        </row>
        <row r="396">
          <cell r="B396" t="str">
            <v>UBL-CMAY</v>
          </cell>
          <cell r="C396">
            <v>40</v>
          </cell>
          <cell r="D396" t="str">
            <v>UBL-CMAY</v>
          </cell>
          <cell r="E396">
            <v>0</v>
          </cell>
          <cell r="F396">
            <v>193.38</v>
          </cell>
          <cell r="G396">
            <v>0</v>
          </cell>
          <cell r="H396">
            <v>193.38</v>
          </cell>
        </row>
        <row r="397">
          <cell r="B397" t="str">
            <v>HBL-CAPR</v>
          </cell>
          <cell r="C397">
            <v>40</v>
          </cell>
          <cell r="D397" t="str">
            <v>HBL-CAPR</v>
          </cell>
          <cell r="E397">
            <v>0</v>
          </cell>
          <cell r="F397">
            <v>211.89</v>
          </cell>
          <cell r="G397">
            <v>0</v>
          </cell>
          <cell r="H397">
            <v>211.89</v>
          </cell>
        </row>
        <row r="398">
          <cell r="B398" t="str">
            <v>AKBL-CAPR</v>
          </cell>
          <cell r="C398">
            <v>40</v>
          </cell>
          <cell r="D398" t="str">
            <v>AKBL-CAPR</v>
          </cell>
          <cell r="E398">
            <v>0</v>
          </cell>
          <cell r="F398">
            <v>20.57</v>
          </cell>
          <cell r="G398">
            <v>0</v>
          </cell>
          <cell r="H398">
            <v>20.57</v>
          </cell>
        </row>
        <row r="399">
          <cell r="B399" t="str">
            <v>ATRL-CAPR</v>
          </cell>
          <cell r="C399">
            <v>40</v>
          </cell>
          <cell r="D399" t="str">
            <v>ATRL-CAPR</v>
          </cell>
          <cell r="E399">
            <v>0</v>
          </cell>
          <cell r="F399">
            <v>251.73</v>
          </cell>
          <cell r="G399">
            <v>0</v>
          </cell>
          <cell r="H399">
            <v>251.73</v>
          </cell>
        </row>
        <row r="400">
          <cell r="B400" t="str">
            <v>BAFL-CAPR</v>
          </cell>
          <cell r="C400">
            <v>40</v>
          </cell>
          <cell r="D400" t="str">
            <v>BAFL-CAPR</v>
          </cell>
          <cell r="E400">
            <v>0</v>
          </cell>
          <cell r="F400">
            <v>48.13</v>
          </cell>
          <cell r="G400">
            <v>0</v>
          </cell>
          <cell r="H400">
            <v>48.13</v>
          </cell>
        </row>
        <row r="401">
          <cell r="B401" t="str">
            <v>ENGRO-CAPR</v>
          </cell>
          <cell r="C401">
            <v>40</v>
          </cell>
          <cell r="D401" t="str">
            <v>ENGRO-CAPR</v>
          </cell>
          <cell r="E401">
            <v>0</v>
          </cell>
          <cell r="F401">
            <v>305.75</v>
          </cell>
          <cell r="G401">
            <v>0</v>
          </cell>
          <cell r="H401">
            <v>305.75</v>
          </cell>
        </row>
        <row r="402">
          <cell r="B402" t="str">
            <v>FCCL-CAPR</v>
          </cell>
          <cell r="C402">
            <v>40</v>
          </cell>
          <cell r="D402" t="str">
            <v>FCCL-CAPR</v>
          </cell>
          <cell r="E402">
            <v>0</v>
          </cell>
          <cell r="F402">
            <v>25.38</v>
          </cell>
          <cell r="G402">
            <v>0</v>
          </cell>
          <cell r="H402">
            <v>25.38</v>
          </cell>
        </row>
        <row r="403">
          <cell r="B403" t="str">
            <v>FFBL-CAPR</v>
          </cell>
          <cell r="C403">
            <v>40</v>
          </cell>
          <cell r="D403" t="str">
            <v>FFBL-CAPR</v>
          </cell>
          <cell r="E403">
            <v>0</v>
          </cell>
          <cell r="F403">
            <v>36.97</v>
          </cell>
          <cell r="G403">
            <v>0</v>
          </cell>
          <cell r="H403">
            <v>36.97</v>
          </cell>
        </row>
        <row r="404">
          <cell r="B404" t="str">
            <v>FFC-CAPR</v>
          </cell>
          <cell r="C404">
            <v>40</v>
          </cell>
          <cell r="D404" t="str">
            <v>FFC-CAPR</v>
          </cell>
          <cell r="E404">
            <v>0</v>
          </cell>
          <cell r="F404">
            <v>90.17</v>
          </cell>
          <cell r="G404">
            <v>0</v>
          </cell>
          <cell r="H404">
            <v>90.17</v>
          </cell>
        </row>
        <row r="405">
          <cell r="B405" t="str">
            <v>HUBC-CAPR</v>
          </cell>
          <cell r="C405">
            <v>40</v>
          </cell>
          <cell r="D405" t="str">
            <v>HUBC-CAPR</v>
          </cell>
          <cell r="E405">
            <v>0</v>
          </cell>
          <cell r="F405">
            <v>99.71</v>
          </cell>
          <cell r="G405">
            <v>0</v>
          </cell>
          <cell r="H405">
            <v>99.71</v>
          </cell>
        </row>
        <row r="406">
          <cell r="B406" t="str">
            <v>MCB-CAPR</v>
          </cell>
          <cell r="C406">
            <v>40</v>
          </cell>
          <cell r="D406" t="str">
            <v>MCB-CAPR</v>
          </cell>
          <cell r="E406">
            <v>0</v>
          </cell>
          <cell r="F406">
            <v>222.1</v>
          </cell>
          <cell r="G406">
            <v>0</v>
          </cell>
          <cell r="H406">
            <v>222.1</v>
          </cell>
        </row>
        <row r="407">
          <cell r="B407" t="str">
            <v>NML-CAPR</v>
          </cell>
          <cell r="C407">
            <v>40</v>
          </cell>
          <cell r="D407" t="str">
            <v>NML-CAPR</v>
          </cell>
          <cell r="E407">
            <v>0</v>
          </cell>
          <cell r="F407">
            <v>162.26</v>
          </cell>
          <cell r="G407">
            <v>0</v>
          </cell>
          <cell r="H407">
            <v>162.26</v>
          </cell>
        </row>
        <row r="408">
          <cell r="B408" t="str">
            <v>PPL-CAPR</v>
          </cell>
          <cell r="C408">
            <v>40</v>
          </cell>
          <cell r="D408" t="str">
            <v>PPL-CAPR</v>
          </cell>
          <cell r="E408">
            <v>0</v>
          </cell>
          <cell r="F408">
            <v>207.37</v>
          </cell>
          <cell r="G408">
            <v>0</v>
          </cell>
          <cell r="H408">
            <v>207.37</v>
          </cell>
        </row>
        <row r="409">
          <cell r="B409" t="str">
            <v>PSO-CAPR</v>
          </cell>
          <cell r="C409">
            <v>40</v>
          </cell>
          <cell r="D409" t="str">
            <v>PSO-CAPR</v>
          </cell>
          <cell r="E409">
            <v>0</v>
          </cell>
          <cell r="F409">
            <v>302.83</v>
          </cell>
          <cell r="G409">
            <v>0</v>
          </cell>
          <cell r="H409">
            <v>302.83</v>
          </cell>
        </row>
        <row r="410">
          <cell r="B410" t="str">
            <v>UBL-CAPR</v>
          </cell>
          <cell r="C410">
            <v>40</v>
          </cell>
          <cell r="D410" t="str">
            <v>UBL-CAPR</v>
          </cell>
          <cell r="E410">
            <v>0</v>
          </cell>
          <cell r="F410">
            <v>191.86</v>
          </cell>
          <cell r="G410">
            <v>0</v>
          </cell>
          <cell r="H410">
            <v>191.86</v>
          </cell>
        </row>
        <row r="411">
          <cell r="B411" t="str">
            <v>BOP-CMAR</v>
          </cell>
          <cell r="C411">
            <v>40</v>
          </cell>
          <cell r="D411" t="str">
            <v>BOP-CMAR</v>
          </cell>
          <cell r="E411">
            <v>0</v>
          </cell>
          <cell r="F411">
            <v>9.3699999999999992</v>
          </cell>
          <cell r="G411">
            <v>0</v>
          </cell>
          <cell r="H411">
            <v>9.3699999999999992</v>
          </cell>
        </row>
        <row r="412">
          <cell r="B412" t="str">
            <v>DGKC-CMAR</v>
          </cell>
          <cell r="C412">
            <v>40</v>
          </cell>
          <cell r="D412" t="str">
            <v>DGKC-CMAR</v>
          </cell>
          <cell r="E412">
            <v>0</v>
          </cell>
          <cell r="F412">
            <v>144.99</v>
          </cell>
          <cell r="G412">
            <v>0</v>
          </cell>
          <cell r="H412">
            <v>144.99</v>
          </cell>
        </row>
        <row r="413">
          <cell r="B413" t="str">
            <v>BOP-CAPR</v>
          </cell>
          <cell r="C413">
            <v>40</v>
          </cell>
          <cell r="D413" t="str">
            <v>BOP-CAPR</v>
          </cell>
          <cell r="E413">
            <v>0</v>
          </cell>
          <cell r="F413">
            <v>9.4499999999999993</v>
          </cell>
          <cell r="G413">
            <v>0</v>
          </cell>
          <cell r="H413">
            <v>9.4499999999999993</v>
          </cell>
        </row>
        <row r="414">
          <cell r="B414" t="str">
            <v>DGKC-CAPR</v>
          </cell>
          <cell r="C414">
            <v>40</v>
          </cell>
          <cell r="D414" t="str">
            <v>DGKC-CAPR</v>
          </cell>
          <cell r="E414">
            <v>0</v>
          </cell>
          <cell r="F414">
            <v>146.15</v>
          </cell>
          <cell r="G414">
            <v>0</v>
          </cell>
          <cell r="H414">
            <v>146.15</v>
          </cell>
        </row>
        <row r="415">
          <cell r="B415" t="str">
            <v>DGKC-CMAY</v>
          </cell>
          <cell r="C415">
            <v>40</v>
          </cell>
          <cell r="D415" t="str">
            <v>DGKC-CMAY</v>
          </cell>
          <cell r="E415">
            <v>0</v>
          </cell>
          <cell r="F415">
            <v>147.31</v>
          </cell>
          <cell r="G415">
            <v>0</v>
          </cell>
          <cell r="H415">
            <v>147.31</v>
          </cell>
        </row>
        <row r="416">
          <cell r="B416" t="str">
            <v>NCL-MAR</v>
          </cell>
          <cell r="C416">
            <v>40</v>
          </cell>
          <cell r="D416" t="str">
            <v>NCL-MAR</v>
          </cell>
          <cell r="E416">
            <v>50.35</v>
          </cell>
          <cell r="F416">
            <v>50.4</v>
          </cell>
          <cell r="G416">
            <v>49.4</v>
          </cell>
          <cell r="H416">
            <v>49.93</v>
          </cell>
        </row>
        <row r="417">
          <cell r="B417" t="str">
            <v>NCL-CMAY</v>
          </cell>
          <cell r="C417">
            <v>40</v>
          </cell>
          <cell r="D417" t="str">
            <v>NCL-CMAY</v>
          </cell>
          <cell r="E417">
            <v>0</v>
          </cell>
          <cell r="F417">
            <v>50.81</v>
          </cell>
          <cell r="G417">
            <v>0</v>
          </cell>
          <cell r="H417">
            <v>50.81</v>
          </cell>
        </row>
        <row r="418">
          <cell r="B418" t="str">
            <v>HUBC-MAR</v>
          </cell>
          <cell r="C418">
            <v>40</v>
          </cell>
          <cell r="D418" t="str">
            <v>HUBC-MAR</v>
          </cell>
          <cell r="E418">
            <v>98.5</v>
          </cell>
          <cell r="F418">
            <v>99</v>
          </cell>
          <cell r="G418">
            <v>97.7</v>
          </cell>
          <cell r="H418">
            <v>98.38</v>
          </cell>
        </row>
        <row r="419">
          <cell r="B419" t="str">
            <v>PSO-MAR</v>
          </cell>
          <cell r="C419">
            <v>40</v>
          </cell>
          <cell r="D419" t="str">
            <v>PSO-MAR</v>
          </cell>
          <cell r="E419">
            <v>293.5</v>
          </cell>
          <cell r="F419">
            <v>302.39999999999998</v>
          </cell>
          <cell r="G419">
            <v>292.5</v>
          </cell>
          <cell r="H419">
            <v>299.04000000000002</v>
          </cell>
        </row>
        <row r="420">
          <cell r="B420" t="str">
            <v>SNGP-MAR</v>
          </cell>
          <cell r="C420">
            <v>40</v>
          </cell>
          <cell r="D420" t="str">
            <v>SNGP-MAR</v>
          </cell>
          <cell r="E420">
            <v>113.6</v>
          </cell>
          <cell r="F420">
            <v>116</v>
          </cell>
          <cell r="G420">
            <v>113.2</v>
          </cell>
          <cell r="H420">
            <v>115.55</v>
          </cell>
        </row>
        <row r="421">
          <cell r="B421" t="str">
            <v>MCB-MAR</v>
          </cell>
          <cell r="C421">
            <v>40</v>
          </cell>
          <cell r="D421" t="str">
            <v>MCB-MAR</v>
          </cell>
          <cell r="E421">
            <v>217</v>
          </cell>
          <cell r="F421">
            <v>217</v>
          </cell>
          <cell r="G421">
            <v>215</v>
          </cell>
          <cell r="H421">
            <v>215</v>
          </cell>
        </row>
        <row r="422">
          <cell r="B422" t="str">
            <v>NML-MAR</v>
          </cell>
          <cell r="C422">
            <v>40</v>
          </cell>
          <cell r="D422" t="str">
            <v>NML-MAR</v>
          </cell>
          <cell r="E422">
            <v>158</v>
          </cell>
          <cell r="F422">
            <v>160.75</v>
          </cell>
          <cell r="G422">
            <v>157.16</v>
          </cell>
          <cell r="H422">
            <v>159.88</v>
          </cell>
        </row>
        <row r="423">
          <cell r="B423" t="str">
            <v>PTC-MAR</v>
          </cell>
          <cell r="C423">
            <v>40</v>
          </cell>
          <cell r="D423" t="str">
            <v>PTC-MAR</v>
          </cell>
          <cell r="E423">
            <v>12.35</v>
          </cell>
          <cell r="F423">
            <v>12.4</v>
          </cell>
          <cell r="G423">
            <v>12.35</v>
          </cell>
          <cell r="H423">
            <v>12.4</v>
          </cell>
        </row>
        <row r="424">
          <cell r="B424" t="str">
            <v>ENGRO-MAR</v>
          </cell>
          <cell r="C424">
            <v>40</v>
          </cell>
          <cell r="D424" t="str">
            <v>ENGRO-MAR</v>
          </cell>
          <cell r="E424">
            <v>297.7</v>
          </cell>
          <cell r="F424">
            <v>302.8</v>
          </cell>
          <cell r="G424">
            <v>294.5</v>
          </cell>
          <cell r="H424">
            <v>301.01</v>
          </cell>
        </row>
        <row r="425">
          <cell r="B425" t="str">
            <v>FFC-MAR</v>
          </cell>
          <cell r="C425">
            <v>40</v>
          </cell>
          <cell r="D425" t="str">
            <v>FFC-MAR</v>
          </cell>
          <cell r="E425">
            <v>85.4</v>
          </cell>
          <cell r="F425">
            <v>86</v>
          </cell>
          <cell r="G425">
            <v>84.6</v>
          </cell>
          <cell r="H425">
            <v>85.99</v>
          </cell>
        </row>
        <row r="426">
          <cell r="B426" t="str">
            <v>FFBL-MAR</v>
          </cell>
          <cell r="C426">
            <v>40</v>
          </cell>
          <cell r="D426" t="str">
            <v>FFBL-MAR</v>
          </cell>
          <cell r="E426">
            <v>35.5</v>
          </cell>
          <cell r="F426">
            <v>35.6</v>
          </cell>
          <cell r="G426">
            <v>35.5</v>
          </cell>
          <cell r="H426">
            <v>35.54</v>
          </cell>
        </row>
        <row r="427">
          <cell r="B427" t="str">
            <v>DGKC-MAR</v>
          </cell>
          <cell r="C427">
            <v>40</v>
          </cell>
          <cell r="D427" t="str">
            <v>DGKC-MAR</v>
          </cell>
          <cell r="E427">
            <v>142.15</v>
          </cell>
          <cell r="F427">
            <v>145</v>
          </cell>
          <cell r="G427">
            <v>141.1</v>
          </cell>
          <cell r="H427">
            <v>144.44999999999999</v>
          </cell>
        </row>
        <row r="428">
          <cell r="B428" t="str">
            <v>POL-MAR</v>
          </cell>
          <cell r="C428">
            <v>40</v>
          </cell>
          <cell r="D428" t="str">
            <v>POL-MAR</v>
          </cell>
          <cell r="E428">
            <v>608.99</v>
          </cell>
          <cell r="F428">
            <v>610</v>
          </cell>
          <cell r="G428">
            <v>605</v>
          </cell>
          <cell r="H428">
            <v>608.5</v>
          </cell>
        </row>
        <row r="429">
          <cell r="B429" t="str">
            <v>NBP-MAR</v>
          </cell>
          <cell r="C429">
            <v>40</v>
          </cell>
          <cell r="D429" t="str">
            <v>NBP-MAR</v>
          </cell>
          <cell r="E429">
            <v>47.3</v>
          </cell>
          <cell r="F429">
            <v>47.75</v>
          </cell>
          <cell r="G429">
            <v>47.01</v>
          </cell>
          <cell r="H429">
            <v>47.11</v>
          </cell>
        </row>
        <row r="430">
          <cell r="B430" t="str">
            <v>MLCF-MAR</v>
          </cell>
          <cell r="C430">
            <v>40</v>
          </cell>
          <cell r="D430" t="str">
            <v>MLCF-MAR</v>
          </cell>
          <cell r="E430">
            <v>66.099999999999994</v>
          </cell>
          <cell r="F430">
            <v>66.349999999999994</v>
          </cell>
          <cell r="G430">
            <v>65.510000000000005</v>
          </cell>
          <cell r="H430">
            <v>66.06</v>
          </cell>
        </row>
        <row r="431">
          <cell r="B431" t="str">
            <v>LUCK-MAR</v>
          </cell>
          <cell r="C431">
            <v>40</v>
          </cell>
          <cell r="D431" t="str">
            <v>LUCK-MAR</v>
          </cell>
          <cell r="E431">
            <v>593</v>
          </cell>
          <cell r="F431">
            <v>605</v>
          </cell>
          <cell r="G431">
            <v>593</v>
          </cell>
          <cell r="H431">
            <v>603.1</v>
          </cell>
        </row>
        <row r="432">
          <cell r="B432" t="str">
            <v>SSGC-MAR</v>
          </cell>
          <cell r="C432">
            <v>40</v>
          </cell>
          <cell r="D432" t="str">
            <v>SSGC-MAR</v>
          </cell>
          <cell r="E432">
            <v>35.89</v>
          </cell>
          <cell r="F432">
            <v>36.1</v>
          </cell>
          <cell r="G432">
            <v>35.6</v>
          </cell>
          <cell r="H432">
            <v>35.81</v>
          </cell>
        </row>
        <row r="433">
          <cell r="B433" t="str">
            <v>BOP-MAR</v>
          </cell>
          <cell r="C433">
            <v>40</v>
          </cell>
          <cell r="D433" t="str">
            <v>BOP-MAR</v>
          </cell>
          <cell r="E433">
            <v>9.2799999999999994</v>
          </cell>
          <cell r="F433">
            <v>9.4</v>
          </cell>
          <cell r="G433">
            <v>9.2799999999999994</v>
          </cell>
          <cell r="H433">
            <v>9.3699999999999992</v>
          </cell>
        </row>
        <row r="434">
          <cell r="B434" t="str">
            <v>WTL-MAR</v>
          </cell>
          <cell r="C434">
            <v>40</v>
          </cell>
          <cell r="D434" t="str">
            <v>WTL-MAR</v>
          </cell>
          <cell r="E434">
            <v>2.2000000000000002</v>
          </cell>
          <cell r="F434">
            <v>2.27</v>
          </cell>
          <cell r="G434">
            <v>2.16</v>
          </cell>
          <cell r="H434">
            <v>2.2200000000000002</v>
          </cell>
        </row>
        <row r="435">
          <cell r="B435" t="str">
            <v>AKBL-MAR</v>
          </cell>
          <cell r="C435">
            <v>40</v>
          </cell>
          <cell r="D435" t="str">
            <v>AKBL-MAR</v>
          </cell>
          <cell r="E435">
            <v>20.56</v>
          </cell>
          <cell r="F435">
            <v>20.57</v>
          </cell>
          <cell r="G435">
            <v>20.56</v>
          </cell>
          <cell r="H435">
            <v>20.57</v>
          </cell>
        </row>
        <row r="436">
          <cell r="B436" t="str">
            <v>PPL-MAR</v>
          </cell>
          <cell r="C436">
            <v>40</v>
          </cell>
          <cell r="D436" t="str">
            <v>PPL-MAR</v>
          </cell>
          <cell r="E436">
            <v>201</v>
          </cell>
          <cell r="F436">
            <v>205</v>
          </cell>
          <cell r="G436">
            <v>201</v>
          </cell>
          <cell r="H436">
            <v>204.82</v>
          </cell>
        </row>
        <row r="437">
          <cell r="B437" t="str">
            <v>OGDC-MAR</v>
          </cell>
          <cell r="C437">
            <v>40</v>
          </cell>
          <cell r="D437" t="str">
            <v>OGDC-MAR</v>
          </cell>
          <cell r="E437">
            <v>163</v>
          </cell>
          <cell r="F437">
            <v>163.6</v>
          </cell>
          <cell r="G437">
            <v>162</v>
          </cell>
          <cell r="H437">
            <v>163.38</v>
          </cell>
        </row>
        <row r="438">
          <cell r="B438" t="str">
            <v>KAPCO-MAR</v>
          </cell>
          <cell r="C438">
            <v>40</v>
          </cell>
          <cell r="D438" t="str">
            <v>KAPCO-MAR</v>
          </cell>
          <cell r="E438">
            <v>60</v>
          </cell>
          <cell r="F438">
            <v>60</v>
          </cell>
          <cell r="G438">
            <v>60</v>
          </cell>
          <cell r="H438">
            <v>60</v>
          </cell>
        </row>
        <row r="439">
          <cell r="B439" t="str">
            <v>PIOC-MAR</v>
          </cell>
          <cell r="C439">
            <v>40</v>
          </cell>
          <cell r="D439" t="str">
            <v>PIOC-MAR</v>
          </cell>
          <cell r="E439">
            <v>64.03</v>
          </cell>
          <cell r="F439">
            <v>65.87</v>
          </cell>
          <cell r="G439">
            <v>64.02</v>
          </cell>
          <cell r="H439">
            <v>65.38</v>
          </cell>
        </row>
        <row r="440">
          <cell r="B440" t="str">
            <v>BAFL-MAR</v>
          </cell>
          <cell r="C440">
            <v>40</v>
          </cell>
          <cell r="D440" t="str">
            <v>BAFL-MAR</v>
          </cell>
          <cell r="E440">
            <v>0</v>
          </cell>
          <cell r="F440">
            <v>47.77</v>
          </cell>
          <cell r="G440">
            <v>0</v>
          </cell>
          <cell r="H440">
            <v>47.77</v>
          </cell>
        </row>
        <row r="441">
          <cell r="B441" t="str">
            <v>OGDC-CMAR</v>
          </cell>
          <cell r="C441">
            <v>40</v>
          </cell>
          <cell r="D441" t="str">
            <v>OGDC-CMAR</v>
          </cell>
          <cell r="E441">
            <v>0</v>
          </cell>
          <cell r="F441">
            <v>164.68</v>
          </cell>
          <cell r="G441">
            <v>0</v>
          </cell>
          <cell r="H441">
            <v>164.68</v>
          </cell>
        </row>
        <row r="442">
          <cell r="B442" t="str">
            <v>NBP-CMAR</v>
          </cell>
          <cell r="C442">
            <v>40</v>
          </cell>
          <cell r="D442" t="str">
            <v>NBP-CMAR</v>
          </cell>
          <cell r="E442">
            <v>0</v>
          </cell>
          <cell r="F442">
            <v>47.24</v>
          </cell>
          <cell r="G442">
            <v>0</v>
          </cell>
          <cell r="H442">
            <v>47.24</v>
          </cell>
        </row>
        <row r="443">
          <cell r="B443" t="str">
            <v>OGDC-CAPR</v>
          </cell>
          <cell r="C443">
            <v>40</v>
          </cell>
          <cell r="D443" t="str">
            <v>OGDC-CAPR</v>
          </cell>
          <cell r="E443">
            <v>0</v>
          </cell>
          <cell r="F443">
            <v>165.99</v>
          </cell>
          <cell r="G443">
            <v>0</v>
          </cell>
          <cell r="H443">
            <v>165.99</v>
          </cell>
        </row>
        <row r="444">
          <cell r="B444" t="str">
            <v>NBP-CAPR</v>
          </cell>
          <cell r="C444">
            <v>40</v>
          </cell>
          <cell r="D444" t="str">
            <v>NBP-CAPR</v>
          </cell>
          <cell r="E444">
            <v>0</v>
          </cell>
          <cell r="F444">
            <v>47.61</v>
          </cell>
          <cell r="G444">
            <v>0</v>
          </cell>
          <cell r="H444">
            <v>47.61</v>
          </cell>
        </row>
        <row r="445">
          <cell r="B445" t="str">
            <v>OGDC-CMAY</v>
          </cell>
          <cell r="C445">
            <v>40</v>
          </cell>
          <cell r="D445" t="str">
            <v>OGDC-CMAY</v>
          </cell>
          <cell r="E445">
            <v>0</v>
          </cell>
          <cell r="F445">
            <v>167.3</v>
          </cell>
          <cell r="G445">
            <v>0</v>
          </cell>
          <cell r="H445">
            <v>167.3</v>
          </cell>
        </row>
        <row r="446">
          <cell r="B446" t="str">
            <v>NBP-CMAY</v>
          </cell>
          <cell r="C446">
            <v>40</v>
          </cell>
          <cell r="D446" t="str">
            <v>NBP-CMAY</v>
          </cell>
          <cell r="E446">
            <v>0</v>
          </cell>
          <cell r="F446">
            <v>47.99</v>
          </cell>
          <cell r="G446">
            <v>0</v>
          </cell>
          <cell r="H446">
            <v>47.99</v>
          </cell>
        </row>
        <row r="447">
          <cell r="B447" t="str">
            <v>HUBC-MARB</v>
          </cell>
          <cell r="C447">
            <v>40</v>
          </cell>
          <cell r="D447" t="str">
            <v>HUBC-MARB</v>
          </cell>
          <cell r="E447">
            <v>96.99</v>
          </cell>
          <cell r="F447">
            <v>96.99</v>
          </cell>
          <cell r="G447">
            <v>96.99</v>
          </cell>
          <cell r="H447">
            <v>96.99</v>
          </cell>
        </row>
        <row r="448">
          <cell r="B448" t="str">
            <v>UBL-MARB</v>
          </cell>
          <cell r="C448">
            <v>40</v>
          </cell>
          <cell r="D448" t="str">
            <v>UBL-MARB</v>
          </cell>
          <cell r="E448">
            <v>191</v>
          </cell>
          <cell r="F448">
            <v>191</v>
          </cell>
          <cell r="G448">
            <v>184.55</v>
          </cell>
          <cell r="H448">
            <v>186.06</v>
          </cell>
        </row>
        <row r="449">
          <cell r="B449" t="str">
            <v>NCL-CMAR</v>
          </cell>
          <cell r="C449">
            <v>40</v>
          </cell>
          <cell r="D449" t="str">
            <v>NCL-CMAR</v>
          </cell>
          <cell r="E449">
            <v>0</v>
          </cell>
          <cell r="F449">
            <v>50.01</v>
          </cell>
          <cell r="G449">
            <v>0</v>
          </cell>
          <cell r="H449">
            <v>50.01</v>
          </cell>
        </row>
        <row r="450">
          <cell r="B450" t="str">
            <v>NCL-CAPR</v>
          </cell>
          <cell r="C450">
            <v>40</v>
          </cell>
          <cell r="D450" t="str">
            <v>NCL-CAPR</v>
          </cell>
          <cell r="E450">
            <v>0</v>
          </cell>
          <cell r="F450">
            <v>50.41</v>
          </cell>
          <cell r="G450">
            <v>0</v>
          </cell>
          <cell r="H450">
            <v>50.41</v>
          </cell>
        </row>
        <row r="451">
          <cell r="B451" t="str">
            <v>BAHL-MAR</v>
          </cell>
          <cell r="C451">
            <v>40</v>
          </cell>
          <cell r="D451" t="str">
            <v>BAHL-MAR</v>
          </cell>
          <cell r="E451">
            <v>0</v>
          </cell>
          <cell r="F451">
            <v>68.63</v>
          </cell>
          <cell r="G451">
            <v>0</v>
          </cell>
          <cell r="H451">
            <v>65.63</v>
          </cell>
        </row>
        <row r="452">
          <cell r="B452" t="str">
            <v>EFOODS-CMAR</v>
          </cell>
          <cell r="C452">
            <v>40</v>
          </cell>
          <cell r="D452" t="str">
            <v>EFOODS-CMAR</v>
          </cell>
          <cell r="E452">
            <v>0</v>
          </cell>
          <cell r="F452">
            <v>88.52</v>
          </cell>
          <cell r="G452">
            <v>0</v>
          </cell>
          <cell r="H452">
            <v>88.52</v>
          </cell>
        </row>
        <row r="453">
          <cell r="B453" t="str">
            <v>EFOODS-CAPR</v>
          </cell>
          <cell r="C453">
            <v>40</v>
          </cell>
          <cell r="D453" t="str">
            <v>EFOODS-CAPR</v>
          </cell>
          <cell r="E453">
            <v>0</v>
          </cell>
          <cell r="F453">
            <v>89.23</v>
          </cell>
          <cell r="G453">
            <v>0</v>
          </cell>
          <cell r="H453">
            <v>89.23</v>
          </cell>
        </row>
        <row r="454">
          <cell r="B454" t="str">
            <v>CHCC-MAR</v>
          </cell>
          <cell r="C454">
            <v>40</v>
          </cell>
          <cell r="D454" t="str">
            <v>CHCC-MAR</v>
          </cell>
          <cell r="E454">
            <v>0</v>
          </cell>
          <cell r="F454">
            <v>127.39</v>
          </cell>
          <cell r="G454">
            <v>0</v>
          </cell>
          <cell r="H454">
            <v>126.39</v>
          </cell>
        </row>
        <row r="455">
          <cell r="B455" t="str">
            <v>EFOODS-MAR</v>
          </cell>
          <cell r="C455">
            <v>40</v>
          </cell>
          <cell r="D455" t="str">
            <v>EFOODS-MAR</v>
          </cell>
          <cell r="E455">
            <v>87.2</v>
          </cell>
          <cell r="F455">
            <v>89.3</v>
          </cell>
          <cell r="G455">
            <v>87.2</v>
          </cell>
          <cell r="H455">
            <v>88.08</v>
          </cell>
        </row>
        <row r="456">
          <cell r="B456" t="str">
            <v>EFOODS-CMAY</v>
          </cell>
          <cell r="C456">
            <v>40</v>
          </cell>
          <cell r="D456" t="str">
            <v>EFOODS-CMAY</v>
          </cell>
          <cell r="E456">
            <v>0</v>
          </cell>
          <cell r="F456">
            <v>89.94</v>
          </cell>
          <cell r="G456">
            <v>0</v>
          </cell>
          <cell r="H456">
            <v>89.94</v>
          </cell>
        </row>
        <row r="457">
          <cell r="B457" t="str">
            <v>BOP-CMAY</v>
          </cell>
          <cell r="C457">
            <v>40</v>
          </cell>
          <cell r="D457" t="str">
            <v>BOP-CMAY</v>
          </cell>
          <cell r="E457">
            <v>0</v>
          </cell>
          <cell r="F457">
            <v>9.52</v>
          </cell>
          <cell r="G457">
            <v>0</v>
          </cell>
          <cell r="H457">
            <v>9.52</v>
          </cell>
        </row>
        <row r="458">
          <cell r="B458" t="str">
            <v>MLCF-CMAY</v>
          </cell>
          <cell r="C458">
            <v>40</v>
          </cell>
          <cell r="D458" t="str">
            <v>MLCF-CMAY</v>
          </cell>
          <cell r="E458">
            <v>0</v>
          </cell>
          <cell r="F458">
            <v>69.19</v>
          </cell>
          <cell r="G458">
            <v>0</v>
          </cell>
          <cell r="H458">
            <v>69.19</v>
          </cell>
        </row>
        <row r="459">
          <cell r="B459" t="str">
            <v>KEL-CMAR</v>
          </cell>
          <cell r="C459">
            <v>40</v>
          </cell>
          <cell r="D459" t="str">
            <v>KEL-CMAR</v>
          </cell>
          <cell r="E459">
            <v>0</v>
          </cell>
          <cell r="F459">
            <v>6.27</v>
          </cell>
          <cell r="G459">
            <v>0</v>
          </cell>
          <cell r="H459">
            <v>6.27</v>
          </cell>
        </row>
        <row r="460">
          <cell r="B460" t="str">
            <v>MLCF-CMAR</v>
          </cell>
          <cell r="C460">
            <v>40</v>
          </cell>
          <cell r="D460" t="str">
            <v>MLCF-CMAR</v>
          </cell>
          <cell r="E460">
            <v>0</v>
          </cell>
          <cell r="F460">
            <v>68.099999999999994</v>
          </cell>
          <cell r="G460">
            <v>0</v>
          </cell>
          <cell r="H460">
            <v>68.099999999999994</v>
          </cell>
        </row>
        <row r="461">
          <cell r="B461" t="str">
            <v>PAEL-CMAR</v>
          </cell>
          <cell r="C461">
            <v>40</v>
          </cell>
          <cell r="D461" t="str">
            <v>PAEL-CMAR</v>
          </cell>
          <cell r="E461">
            <v>0</v>
          </cell>
          <cell r="F461">
            <v>49.31</v>
          </cell>
          <cell r="G461">
            <v>0</v>
          </cell>
          <cell r="H461">
            <v>49.31</v>
          </cell>
        </row>
        <row r="462">
          <cell r="B462" t="str">
            <v>KEL-CAPR</v>
          </cell>
          <cell r="C462">
            <v>40</v>
          </cell>
          <cell r="D462" t="str">
            <v>KEL-CAPR</v>
          </cell>
          <cell r="E462">
            <v>0</v>
          </cell>
          <cell r="F462">
            <v>6.32</v>
          </cell>
          <cell r="G462">
            <v>0</v>
          </cell>
          <cell r="H462">
            <v>6.32</v>
          </cell>
        </row>
        <row r="463">
          <cell r="B463" t="str">
            <v>MLCF-CAPR</v>
          </cell>
          <cell r="C463">
            <v>40</v>
          </cell>
          <cell r="D463" t="str">
            <v>MLCF-CAPR</v>
          </cell>
          <cell r="E463">
            <v>0</v>
          </cell>
          <cell r="F463">
            <v>68.650000000000006</v>
          </cell>
          <cell r="G463">
            <v>0</v>
          </cell>
          <cell r="H463">
            <v>68.650000000000006</v>
          </cell>
        </row>
        <row r="464">
          <cell r="B464" t="str">
            <v>PAEL-CAPR</v>
          </cell>
          <cell r="C464">
            <v>40</v>
          </cell>
          <cell r="D464" t="str">
            <v>PAEL-CAPR</v>
          </cell>
          <cell r="E464">
            <v>0</v>
          </cell>
          <cell r="F464">
            <v>49.7</v>
          </cell>
          <cell r="G464">
            <v>0</v>
          </cell>
          <cell r="H464">
            <v>49.7</v>
          </cell>
        </row>
        <row r="465">
          <cell r="B465" t="str">
            <v>PAEL-MAR</v>
          </cell>
          <cell r="C465">
            <v>40</v>
          </cell>
          <cell r="D465" t="str">
            <v>PAEL-MAR</v>
          </cell>
          <cell r="E465">
            <v>49.64</v>
          </cell>
          <cell r="F465">
            <v>49.85</v>
          </cell>
          <cell r="G465">
            <v>48.8</v>
          </cell>
          <cell r="H465">
            <v>49.24</v>
          </cell>
        </row>
        <row r="466">
          <cell r="B466" t="str">
            <v>EFERT-MAR</v>
          </cell>
          <cell r="C466">
            <v>40</v>
          </cell>
          <cell r="D466" t="str">
            <v>EFERT-MAR</v>
          </cell>
          <cell r="E466">
            <v>66.36</v>
          </cell>
          <cell r="F466">
            <v>67.010000000000005</v>
          </cell>
          <cell r="G466">
            <v>66.36</v>
          </cell>
          <cell r="H466">
            <v>66.5</v>
          </cell>
        </row>
        <row r="467">
          <cell r="B467" t="str">
            <v>SEARL-MAR</v>
          </cell>
          <cell r="C467">
            <v>40</v>
          </cell>
          <cell r="D467" t="str">
            <v>SEARL-MAR</v>
          </cell>
          <cell r="E467">
            <v>363.84</v>
          </cell>
          <cell r="F467">
            <v>366.4</v>
          </cell>
          <cell r="G467">
            <v>361.55</v>
          </cell>
          <cell r="H467">
            <v>363.42</v>
          </cell>
        </row>
        <row r="468">
          <cell r="B468" t="str">
            <v>GATM-MAR</v>
          </cell>
          <cell r="C468">
            <v>40</v>
          </cell>
          <cell r="D468" t="str">
            <v>GATM-MAR</v>
          </cell>
          <cell r="E468">
            <v>39.1</v>
          </cell>
          <cell r="F468">
            <v>39.4</v>
          </cell>
          <cell r="G468">
            <v>38.75</v>
          </cell>
          <cell r="H468">
            <v>39.07</v>
          </cell>
        </row>
        <row r="469">
          <cell r="B469" t="str">
            <v>KEL-MAR</v>
          </cell>
          <cell r="C469">
            <v>40</v>
          </cell>
          <cell r="D469" t="str">
            <v>KEL-MAR</v>
          </cell>
          <cell r="E469">
            <v>6.21</v>
          </cell>
          <cell r="F469">
            <v>6.27</v>
          </cell>
          <cell r="G469">
            <v>6.21</v>
          </cell>
          <cell r="H469">
            <v>6.25</v>
          </cell>
        </row>
        <row r="470">
          <cell r="B470" t="str">
            <v>EFERT-CMAY</v>
          </cell>
          <cell r="C470">
            <v>40</v>
          </cell>
          <cell r="D470" t="str">
            <v>EFERT-CMAY</v>
          </cell>
          <cell r="E470">
            <v>0</v>
          </cell>
          <cell r="F470">
            <v>70.91</v>
          </cell>
          <cell r="G470">
            <v>0</v>
          </cell>
          <cell r="H470">
            <v>70.91</v>
          </cell>
        </row>
        <row r="471">
          <cell r="B471" t="str">
            <v>KEL-CMAY</v>
          </cell>
          <cell r="C471">
            <v>40</v>
          </cell>
          <cell r="D471" t="str">
            <v>KEL-CMAY</v>
          </cell>
          <cell r="E471">
            <v>0</v>
          </cell>
          <cell r="F471">
            <v>6.37</v>
          </cell>
          <cell r="G471">
            <v>0</v>
          </cell>
          <cell r="H471">
            <v>6.37</v>
          </cell>
        </row>
        <row r="472">
          <cell r="B472" t="str">
            <v>PAEL-CMAY</v>
          </cell>
          <cell r="C472">
            <v>40</v>
          </cell>
          <cell r="D472" t="str">
            <v>PAEL-CMAY</v>
          </cell>
          <cell r="E472">
            <v>0</v>
          </cell>
          <cell r="F472">
            <v>50.09</v>
          </cell>
          <cell r="G472">
            <v>0</v>
          </cell>
          <cell r="H472">
            <v>50.09</v>
          </cell>
        </row>
        <row r="473">
          <cell r="B473" t="str">
            <v>EFERT-CMAR</v>
          </cell>
          <cell r="C473">
            <v>40</v>
          </cell>
          <cell r="D473" t="str">
            <v>EFERT-CMAR</v>
          </cell>
          <cell r="E473">
            <v>0</v>
          </cell>
          <cell r="F473">
            <v>69.8</v>
          </cell>
          <cell r="G473">
            <v>0</v>
          </cell>
          <cell r="H473">
            <v>69.8</v>
          </cell>
        </row>
        <row r="474">
          <cell r="B474" t="str">
            <v>EFERT-CAPR</v>
          </cell>
          <cell r="C474">
            <v>40</v>
          </cell>
          <cell r="D474" t="str">
            <v>EFERT-CAPR</v>
          </cell>
          <cell r="E474">
            <v>0</v>
          </cell>
          <cell r="F474">
            <v>70.349999999999994</v>
          </cell>
          <cell r="G474">
            <v>0</v>
          </cell>
          <cell r="H474">
            <v>70.349999999999994</v>
          </cell>
        </row>
        <row r="475">
          <cell r="B475" t="str">
            <v>ISL-MAR</v>
          </cell>
          <cell r="C475">
            <v>40</v>
          </cell>
          <cell r="D475" t="str">
            <v>ISL-MAR</v>
          </cell>
          <cell r="E475">
            <v>117</v>
          </cell>
          <cell r="F475">
            <v>120</v>
          </cell>
          <cell r="G475">
            <v>117</v>
          </cell>
          <cell r="H475">
            <v>119.3</v>
          </cell>
        </row>
        <row r="476">
          <cell r="B476" t="str">
            <v>POWER-MAR</v>
          </cell>
          <cell r="C476">
            <v>40</v>
          </cell>
          <cell r="D476" t="str">
            <v>POWER-MAR</v>
          </cell>
          <cell r="E476">
            <v>8.98</v>
          </cell>
          <cell r="F476">
            <v>9.08</v>
          </cell>
          <cell r="G476">
            <v>8.98</v>
          </cell>
          <cell r="H476">
            <v>9.0399999999999991</v>
          </cell>
        </row>
        <row r="477">
          <cell r="B477" t="str">
            <v>TRG-MAR</v>
          </cell>
          <cell r="C477">
            <v>40</v>
          </cell>
          <cell r="D477" t="str">
            <v>TRG-MAR</v>
          </cell>
          <cell r="E477">
            <v>37.29</v>
          </cell>
          <cell r="F477">
            <v>37.6</v>
          </cell>
          <cell r="G477">
            <v>36.799999999999997</v>
          </cell>
          <cell r="H477">
            <v>37.08</v>
          </cell>
        </row>
        <row r="478">
          <cell r="B478" t="str">
            <v>ISL-CMAY</v>
          </cell>
          <cell r="C478">
            <v>40</v>
          </cell>
          <cell r="D478" t="str">
            <v>ISL-CMAY</v>
          </cell>
          <cell r="E478">
            <v>0</v>
          </cell>
          <cell r="F478">
            <v>123.32</v>
          </cell>
          <cell r="G478">
            <v>0</v>
          </cell>
          <cell r="H478">
            <v>123.32</v>
          </cell>
        </row>
        <row r="479">
          <cell r="B479" t="str">
            <v>POWER-CMAY</v>
          </cell>
          <cell r="C479">
            <v>40</v>
          </cell>
          <cell r="D479" t="str">
            <v>POWER-CMAY</v>
          </cell>
          <cell r="E479">
            <v>0</v>
          </cell>
          <cell r="F479">
            <v>9.3000000000000007</v>
          </cell>
          <cell r="G479">
            <v>0</v>
          </cell>
          <cell r="H479">
            <v>9.3000000000000007</v>
          </cell>
        </row>
        <row r="480">
          <cell r="B480" t="str">
            <v>TRG-CMAY</v>
          </cell>
          <cell r="C480">
            <v>40</v>
          </cell>
          <cell r="D480" t="str">
            <v>TRG-CMAY</v>
          </cell>
          <cell r="E480">
            <v>0</v>
          </cell>
          <cell r="F480">
            <v>37.770000000000003</v>
          </cell>
          <cell r="G480">
            <v>0</v>
          </cell>
          <cell r="H480">
            <v>37.770000000000003</v>
          </cell>
        </row>
        <row r="481">
          <cell r="B481" t="str">
            <v>TRG-CMAR</v>
          </cell>
          <cell r="C481">
            <v>40</v>
          </cell>
          <cell r="D481" t="str">
            <v>TRG-CMAR</v>
          </cell>
          <cell r="E481">
            <v>0</v>
          </cell>
          <cell r="F481">
            <v>37.18</v>
          </cell>
          <cell r="G481">
            <v>0</v>
          </cell>
          <cell r="H481">
            <v>37.18</v>
          </cell>
        </row>
        <row r="482">
          <cell r="B482" t="str">
            <v>ISL-CMAR</v>
          </cell>
          <cell r="C482">
            <v>40</v>
          </cell>
          <cell r="D482" t="str">
            <v>ISL-CMAR</v>
          </cell>
          <cell r="E482">
            <v>0</v>
          </cell>
          <cell r="F482">
            <v>121.38</v>
          </cell>
          <cell r="G482">
            <v>0</v>
          </cell>
          <cell r="H482">
            <v>121.38</v>
          </cell>
        </row>
        <row r="483">
          <cell r="B483" t="str">
            <v>TRG-CAPR</v>
          </cell>
          <cell r="C483">
            <v>40</v>
          </cell>
          <cell r="D483" t="str">
            <v>TRG-CAPR</v>
          </cell>
          <cell r="E483">
            <v>0</v>
          </cell>
          <cell r="F483">
            <v>37.479999999999997</v>
          </cell>
          <cell r="G483">
            <v>0</v>
          </cell>
          <cell r="H483">
            <v>37.479999999999997</v>
          </cell>
        </row>
        <row r="484">
          <cell r="B484" t="str">
            <v>ISL-CAPR</v>
          </cell>
          <cell r="C484">
            <v>40</v>
          </cell>
          <cell r="D484" t="str">
            <v>ISL-CAPR</v>
          </cell>
          <cell r="E484">
            <v>0</v>
          </cell>
          <cell r="F484">
            <v>122.35</v>
          </cell>
          <cell r="G484">
            <v>0</v>
          </cell>
          <cell r="H484">
            <v>122.35</v>
          </cell>
        </row>
        <row r="485">
          <cell r="B485" t="str">
            <v>TREET-MAR</v>
          </cell>
          <cell r="C485">
            <v>40</v>
          </cell>
          <cell r="D485" t="str">
            <v>TREET-MAR</v>
          </cell>
          <cell r="E485">
            <v>39.549999999999997</v>
          </cell>
          <cell r="F485">
            <v>40.549999999999997</v>
          </cell>
          <cell r="G485">
            <v>39.549999999999997</v>
          </cell>
          <cell r="H485">
            <v>40.35</v>
          </cell>
        </row>
        <row r="486">
          <cell r="B486" t="str">
            <v>TREET-CMAY</v>
          </cell>
          <cell r="C486">
            <v>40</v>
          </cell>
          <cell r="D486" t="str">
            <v>TREET-CMAY</v>
          </cell>
          <cell r="E486">
            <v>0</v>
          </cell>
          <cell r="F486">
            <v>40.98</v>
          </cell>
          <cell r="G486">
            <v>0</v>
          </cell>
          <cell r="H486">
            <v>40.98</v>
          </cell>
        </row>
        <row r="487">
          <cell r="B487" t="str">
            <v>POWER-CMAR</v>
          </cell>
          <cell r="C487">
            <v>40</v>
          </cell>
          <cell r="D487" t="str">
            <v>POWER-CMAR</v>
          </cell>
          <cell r="E487">
            <v>0</v>
          </cell>
          <cell r="F487">
            <v>9.15</v>
          </cell>
          <cell r="G487">
            <v>0</v>
          </cell>
          <cell r="H487">
            <v>9.15</v>
          </cell>
        </row>
        <row r="488">
          <cell r="B488" t="str">
            <v>GATM-CMAR</v>
          </cell>
          <cell r="C488">
            <v>40</v>
          </cell>
          <cell r="D488" t="str">
            <v>GATM-CMAR</v>
          </cell>
          <cell r="E488">
            <v>0</v>
          </cell>
          <cell r="F488">
            <v>39.4</v>
          </cell>
          <cell r="G488">
            <v>0</v>
          </cell>
          <cell r="H488">
            <v>39.4</v>
          </cell>
        </row>
        <row r="489">
          <cell r="B489" t="str">
            <v>POWER-CAPR</v>
          </cell>
          <cell r="C489">
            <v>40</v>
          </cell>
          <cell r="D489" t="str">
            <v>POWER-CAPR</v>
          </cell>
          <cell r="E489">
            <v>0</v>
          </cell>
          <cell r="F489">
            <v>9.2200000000000006</v>
          </cell>
          <cell r="G489">
            <v>0</v>
          </cell>
          <cell r="H489">
            <v>9.2200000000000006</v>
          </cell>
        </row>
        <row r="490">
          <cell r="B490" t="str">
            <v>GATM-CAPR</v>
          </cell>
          <cell r="C490">
            <v>40</v>
          </cell>
          <cell r="D490" t="str">
            <v>GATM-CAPR</v>
          </cell>
          <cell r="E490">
            <v>0</v>
          </cell>
          <cell r="F490">
            <v>39.71</v>
          </cell>
          <cell r="G490">
            <v>0</v>
          </cell>
          <cell r="H490">
            <v>39.71</v>
          </cell>
        </row>
        <row r="491">
          <cell r="B491" t="str">
            <v>BYCO-MAR</v>
          </cell>
          <cell r="C491">
            <v>40</v>
          </cell>
          <cell r="D491" t="str">
            <v>BYCO-MAR</v>
          </cell>
          <cell r="E491">
            <v>15.3</v>
          </cell>
          <cell r="F491">
            <v>16.14</v>
          </cell>
          <cell r="G491">
            <v>15.3</v>
          </cell>
          <cell r="H491">
            <v>15.85</v>
          </cell>
        </row>
        <row r="492">
          <cell r="B492" t="str">
            <v>LOADS-MAR</v>
          </cell>
          <cell r="C492">
            <v>40</v>
          </cell>
          <cell r="D492" t="str">
            <v>LOADS-MAR</v>
          </cell>
          <cell r="E492">
            <v>42</v>
          </cell>
          <cell r="F492">
            <v>42.33</v>
          </cell>
          <cell r="G492">
            <v>40.43</v>
          </cell>
          <cell r="H492">
            <v>40.72</v>
          </cell>
        </row>
        <row r="493">
          <cell r="B493" t="str">
            <v>MUGHAL-MAR</v>
          </cell>
          <cell r="C493">
            <v>40</v>
          </cell>
          <cell r="D493" t="str">
            <v>MUGHAL-MAR</v>
          </cell>
          <cell r="E493">
            <v>75</v>
          </cell>
          <cell r="F493">
            <v>75.099999999999994</v>
          </cell>
          <cell r="G493">
            <v>74</v>
          </cell>
          <cell r="H493">
            <v>74.5</v>
          </cell>
        </row>
        <row r="494">
          <cell r="B494" t="str">
            <v>PRL-MAR</v>
          </cell>
          <cell r="C494">
            <v>40</v>
          </cell>
          <cell r="D494" t="str">
            <v>PRL-MAR</v>
          </cell>
          <cell r="E494">
            <v>0</v>
          </cell>
          <cell r="F494">
            <v>37.729999999999997</v>
          </cell>
          <cell r="G494">
            <v>0</v>
          </cell>
          <cell r="H494">
            <v>37.729999999999997</v>
          </cell>
        </row>
        <row r="495">
          <cell r="B495" t="str">
            <v>ASL-MAR</v>
          </cell>
          <cell r="C495">
            <v>40</v>
          </cell>
          <cell r="D495" t="str">
            <v>ASL-MAR</v>
          </cell>
          <cell r="E495">
            <v>20.96</v>
          </cell>
          <cell r="F495">
            <v>21.35</v>
          </cell>
          <cell r="G495">
            <v>20.8</v>
          </cell>
          <cell r="H495">
            <v>20.9</v>
          </cell>
        </row>
        <row r="496">
          <cell r="B496" t="str">
            <v>DOL-MAR</v>
          </cell>
          <cell r="C496">
            <v>40</v>
          </cell>
          <cell r="D496" t="str">
            <v>DOL-MAR</v>
          </cell>
          <cell r="E496">
            <v>17.53</v>
          </cell>
          <cell r="F496">
            <v>17.77</v>
          </cell>
          <cell r="G496">
            <v>17.010000000000002</v>
          </cell>
          <cell r="H496">
            <v>17.39</v>
          </cell>
        </row>
        <row r="497">
          <cell r="B497" t="str">
            <v>EPCL-MAR</v>
          </cell>
          <cell r="C497">
            <v>40</v>
          </cell>
          <cell r="D497" t="str">
            <v>EPCL-MAR</v>
          </cell>
          <cell r="E497">
            <v>28.45</v>
          </cell>
          <cell r="F497">
            <v>29.1</v>
          </cell>
          <cell r="G497">
            <v>28.25</v>
          </cell>
          <cell r="H497">
            <v>28.92</v>
          </cell>
        </row>
        <row r="498">
          <cell r="B498" t="str">
            <v>HMB-MAR</v>
          </cell>
          <cell r="C498">
            <v>40</v>
          </cell>
          <cell r="D498" t="str">
            <v>HMB-MAR</v>
          </cell>
          <cell r="E498">
            <v>0</v>
          </cell>
          <cell r="F498">
            <v>41.75</v>
          </cell>
          <cell r="G498">
            <v>0</v>
          </cell>
          <cell r="H498">
            <v>41.75</v>
          </cell>
        </row>
        <row r="499">
          <cell r="B499" t="str">
            <v>INIL-MAR</v>
          </cell>
          <cell r="C499">
            <v>40</v>
          </cell>
          <cell r="D499" t="str">
            <v>INIL-MAR</v>
          </cell>
          <cell r="E499">
            <v>303.89999999999998</v>
          </cell>
          <cell r="F499">
            <v>312.49</v>
          </cell>
          <cell r="G499">
            <v>303.89999999999998</v>
          </cell>
          <cell r="H499">
            <v>307.99</v>
          </cell>
        </row>
        <row r="500">
          <cell r="B500" t="str">
            <v>KOHC-MAR</v>
          </cell>
          <cell r="C500">
            <v>40</v>
          </cell>
          <cell r="D500" t="str">
            <v>KOHC-MAR</v>
          </cell>
          <cell r="E500">
            <v>0</v>
          </cell>
          <cell r="F500">
            <v>145.66</v>
          </cell>
          <cell r="G500">
            <v>0</v>
          </cell>
          <cell r="H500">
            <v>145.66</v>
          </cell>
        </row>
        <row r="501">
          <cell r="B501" t="str">
            <v>LOTCHEM-MAR</v>
          </cell>
          <cell r="C501">
            <v>40</v>
          </cell>
          <cell r="D501" t="str">
            <v>LOTCHEM-MAR</v>
          </cell>
          <cell r="E501">
            <v>8.93</v>
          </cell>
          <cell r="F501">
            <v>9.0500000000000007</v>
          </cell>
          <cell r="G501">
            <v>8.85</v>
          </cell>
          <cell r="H501">
            <v>8.8800000000000008</v>
          </cell>
        </row>
        <row r="502">
          <cell r="B502" t="str">
            <v>PIBTL-MAR</v>
          </cell>
          <cell r="C502">
            <v>40</v>
          </cell>
          <cell r="D502" t="str">
            <v>PIBTL-MAR</v>
          </cell>
          <cell r="E502">
            <v>16.55</v>
          </cell>
          <cell r="F502">
            <v>16.649999999999999</v>
          </cell>
          <cell r="G502">
            <v>16.510000000000002</v>
          </cell>
          <cell r="H502">
            <v>16.53</v>
          </cell>
        </row>
        <row r="503">
          <cell r="B503" t="str">
            <v>STCL-MAR</v>
          </cell>
          <cell r="C503">
            <v>40</v>
          </cell>
          <cell r="D503" t="str">
            <v>STCL-MAR</v>
          </cell>
          <cell r="E503">
            <v>15.24</v>
          </cell>
          <cell r="F503">
            <v>15.24</v>
          </cell>
          <cell r="G503">
            <v>15.05</v>
          </cell>
          <cell r="H503">
            <v>15.11</v>
          </cell>
        </row>
        <row r="504">
          <cell r="B504" t="str">
            <v>STPL-MAR</v>
          </cell>
          <cell r="C504">
            <v>40</v>
          </cell>
          <cell r="D504" t="str">
            <v>STPL-MAR</v>
          </cell>
          <cell r="E504">
            <v>25.9</v>
          </cell>
          <cell r="F504">
            <v>27.67</v>
          </cell>
          <cell r="G504">
            <v>25.6</v>
          </cell>
          <cell r="H504">
            <v>26.84</v>
          </cell>
        </row>
        <row r="505">
          <cell r="B505" t="str">
            <v>MUGHAL-CMAY</v>
          </cell>
          <cell r="C505">
            <v>40</v>
          </cell>
          <cell r="D505" t="str">
            <v>MUGHAL-CMAY</v>
          </cell>
          <cell r="E505">
            <v>0</v>
          </cell>
          <cell r="F505">
            <v>76.14</v>
          </cell>
          <cell r="G505">
            <v>0</v>
          </cell>
          <cell r="H505">
            <v>76.14</v>
          </cell>
        </row>
        <row r="506">
          <cell r="B506" t="str">
            <v>BYCO-CMAY</v>
          </cell>
          <cell r="C506">
            <v>40</v>
          </cell>
          <cell r="D506" t="str">
            <v>BYCO-CMAY</v>
          </cell>
          <cell r="E506">
            <v>0</v>
          </cell>
          <cell r="F506">
            <v>16.11</v>
          </cell>
          <cell r="G506">
            <v>0</v>
          </cell>
          <cell r="H506">
            <v>16.11</v>
          </cell>
        </row>
        <row r="507">
          <cell r="B507" t="str">
            <v>LOADS-CMAY</v>
          </cell>
          <cell r="C507">
            <v>40</v>
          </cell>
          <cell r="D507" t="str">
            <v>LOADS-CMAY</v>
          </cell>
          <cell r="E507">
            <v>0</v>
          </cell>
          <cell r="F507">
            <v>41.12</v>
          </cell>
          <cell r="G507">
            <v>0</v>
          </cell>
          <cell r="H507">
            <v>41.12</v>
          </cell>
        </row>
        <row r="508">
          <cell r="B508" t="str">
            <v>HMB-MARB</v>
          </cell>
          <cell r="C508">
            <v>40</v>
          </cell>
          <cell r="D508" t="str">
            <v>HMB-MARB</v>
          </cell>
          <cell r="E508">
            <v>0</v>
          </cell>
          <cell r="F508">
            <v>41.75</v>
          </cell>
          <cell r="G508">
            <v>0</v>
          </cell>
          <cell r="H508">
            <v>38.75</v>
          </cell>
        </row>
        <row r="509">
          <cell r="B509" t="str">
            <v>OGDC-MARB</v>
          </cell>
          <cell r="C509">
            <v>40</v>
          </cell>
          <cell r="D509" t="str">
            <v>OGDC-MARB</v>
          </cell>
          <cell r="E509">
            <v>161</v>
          </cell>
          <cell r="F509">
            <v>161</v>
          </cell>
          <cell r="G509">
            <v>159.5</v>
          </cell>
          <cell r="H509">
            <v>161</v>
          </cell>
        </row>
        <row r="510">
          <cell r="B510" t="str">
            <v>DCR</v>
          </cell>
          <cell r="C510">
            <v>836</v>
          </cell>
          <cell r="D510" t="str">
            <v>Dolmen City</v>
          </cell>
          <cell r="E510">
            <v>12.98</v>
          </cell>
          <cell r="F510">
            <v>12.99</v>
          </cell>
          <cell r="G510">
            <v>12.82</v>
          </cell>
          <cell r="H510">
            <v>12.95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R583"/>
  <sheetViews>
    <sheetView showGridLines="0" tabSelected="1" view="pageBreakPreview" topLeftCell="A54" zoomScaleSheetLayoutView="100" workbookViewId="0">
      <selection activeCell="K65" sqref="K65"/>
    </sheetView>
  </sheetViews>
  <sheetFormatPr defaultColWidth="9" defaultRowHeight="0" customHeight="1" zeroHeight="1" x14ac:dyDescent="0.2"/>
  <cols>
    <col min="1" max="1" width="4.75" style="497" customWidth="1"/>
    <col min="2" max="2" width="25.625" style="497" customWidth="1"/>
    <col min="3" max="3" width="13.625" style="497" customWidth="1"/>
    <col min="4" max="4" width="1.625" style="497" customWidth="1"/>
    <col min="5" max="5" width="14.125" style="497" customWidth="1"/>
    <col min="6" max="6" width="1.375" style="497" customWidth="1"/>
    <col min="7" max="7" width="14.875" style="497" customWidth="1"/>
    <col min="8" max="8" width="1" style="497" customWidth="1"/>
    <col min="9" max="9" width="14.125" style="497" customWidth="1"/>
    <col min="10" max="10" width="14.75" style="497" bestFit="1" customWidth="1"/>
    <col min="11" max="11" width="13.125" style="497" bestFit="1" customWidth="1"/>
    <col min="12" max="12" width="11.125" style="497" customWidth="1"/>
    <col min="13" max="13" width="12.75" style="497" bestFit="1" customWidth="1"/>
    <col min="14" max="14" width="15.875" style="497" bestFit="1" customWidth="1"/>
    <col min="15" max="16" width="12.125" style="497" bestFit="1" customWidth="1"/>
    <col min="17" max="16384" width="9" style="497"/>
  </cols>
  <sheetData>
    <row r="1" spans="1:14" ht="11.25" x14ac:dyDescent="0.2">
      <c r="A1" s="494" t="s">
        <v>170</v>
      </c>
      <c r="B1" s="495"/>
      <c r="C1" s="496"/>
      <c r="D1" s="496"/>
      <c r="E1" s="1323"/>
      <c r="F1" s="1323"/>
      <c r="G1" s="1323"/>
    </row>
    <row r="2" spans="1:14" ht="11.25" x14ac:dyDescent="0.2">
      <c r="A2" s="498" t="s">
        <v>269</v>
      </c>
      <c r="B2" s="498"/>
      <c r="C2" s="496"/>
      <c r="D2" s="496"/>
      <c r="E2" s="499"/>
      <c r="F2" s="499"/>
      <c r="G2" s="499"/>
    </row>
    <row r="3" spans="1:14" ht="11.25" x14ac:dyDescent="0.2">
      <c r="A3" s="498" t="s">
        <v>233</v>
      </c>
      <c r="B3" s="498"/>
      <c r="C3" s="496"/>
      <c r="D3" s="496"/>
      <c r="E3" s="499"/>
      <c r="F3" s="499"/>
      <c r="G3" s="499"/>
    </row>
    <row r="4" spans="1:14" ht="15" customHeight="1" x14ac:dyDescent="0.2">
      <c r="A4" s="500"/>
      <c r="B4" s="501"/>
      <c r="C4" s="502"/>
      <c r="D4" s="502"/>
      <c r="E4" s="503"/>
      <c r="F4" s="504"/>
      <c r="G4" s="504"/>
      <c r="H4" s="504"/>
      <c r="I4" s="504"/>
      <c r="J4" s="504"/>
      <c r="K4" s="504"/>
      <c r="L4" s="504"/>
    </row>
    <row r="5" spans="1:14" ht="11.25" x14ac:dyDescent="0.2">
      <c r="A5" s="1324" t="s">
        <v>234</v>
      </c>
      <c r="B5" s="1325"/>
      <c r="C5" s="1326"/>
      <c r="D5" s="505"/>
      <c r="E5" s="1318" t="s">
        <v>235</v>
      </c>
      <c r="F5" s="503"/>
      <c r="G5" s="1318" t="s">
        <v>236</v>
      </c>
      <c r="H5" s="506"/>
      <c r="I5" s="1318" t="s">
        <v>237</v>
      </c>
      <c r="J5" s="507"/>
      <c r="K5" s="507"/>
      <c r="L5" s="507"/>
    </row>
    <row r="6" spans="1:14" ht="12" x14ac:dyDescent="0.2">
      <c r="A6" s="508" t="s">
        <v>238</v>
      </c>
      <c r="B6" s="1320">
        <v>44764</v>
      </c>
      <c r="C6" s="1321"/>
      <c r="D6" s="509"/>
      <c r="E6" s="1319"/>
      <c r="F6" s="510"/>
      <c r="G6" s="1319"/>
      <c r="H6" s="511"/>
      <c r="I6" s="1319"/>
      <c r="J6" s="507"/>
      <c r="K6" s="507"/>
      <c r="L6" s="507"/>
    </row>
    <row r="7" spans="1:14" ht="10.5" customHeight="1" x14ac:dyDescent="0.2">
      <c r="C7" s="512"/>
      <c r="D7" s="512"/>
      <c r="F7" s="504"/>
    </row>
    <row r="8" spans="1:14" ht="11.25" x14ac:dyDescent="0.2">
      <c r="C8" s="512"/>
      <c r="D8" s="512"/>
      <c r="F8" s="504"/>
    </row>
    <row r="9" spans="1:14" ht="13.5" customHeight="1" x14ac:dyDescent="0.2">
      <c r="B9" s="513" t="s">
        <v>239</v>
      </c>
      <c r="C9" s="514"/>
      <c r="D9" s="514"/>
      <c r="E9" s="515">
        <v>24088186011.628571</v>
      </c>
      <c r="F9" s="516"/>
      <c r="G9" s="517">
        <v>35717980.572415367</v>
      </c>
      <c r="H9" s="516"/>
      <c r="I9" s="518">
        <f>ROUNDDOWN((E9/G9),4)</f>
        <v>674.39940000000001</v>
      </c>
      <c r="J9" s="519"/>
      <c r="K9" s="519"/>
      <c r="L9" s="520"/>
      <c r="M9" s="521"/>
    </row>
    <row r="10" spans="1:14" ht="15" customHeight="1" x14ac:dyDescent="0.2">
      <c r="B10" s="522"/>
      <c r="C10" s="514"/>
      <c r="D10" s="514"/>
      <c r="E10" s="523"/>
      <c r="F10" s="524"/>
      <c r="G10" s="520"/>
      <c r="H10" s="516"/>
      <c r="I10" s="519"/>
      <c r="J10" s="519"/>
      <c r="K10" s="519"/>
      <c r="L10" s="519"/>
    </row>
    <row r="11" spans="1:14" ht="11.25" x14ac:dyDescent="0.2">
      <c r="B11" s="525" t="s">
        <v>240</v>
      </c>
      <c r="C11" s="526"/>
      <c r="D11" s="526"/>
      <c r="E11" s="516"/>
      <c r="F11" s="516"/>
      <c r="G11" s="527"/>
      <c r="H11" s="516"/>
      <c r="I11" s="516"/>
      <c r="J11" s="516"/>
      <c r="K11" s="516"/>
      <c r="L11" s="516"/>
      <c r="N11" s="528"/>
    </row>
    <row r="12" spans="1:14" ht="8.1" customHeight="1" x14ac:dyDescent="0.2">
      <c r="B12" s="529"/>
      <c r="C12" s="526"/>
      <c r="D12" s="526"/>
      <c r="E12" s="516"/>
      <c r="F12" s="516"/>
      <c r="G12" s="527"/>
      <c r="H12" s="516"/>
      <c r="I12" s="516"/>
      <c r="J12" s="516"/>
      <c r="K12" s="516"/>
      <c r="L12" s="516"/>
      <c r="N12" s="528"/>
    </row>
    <row r="13" spans="1:14" ht="12" x14ac:dyDescent="0.2">
      <c r="B13" s="530" t="s">
        <v>241</v>
      </c>
      <c r="C13" s="526"/>
      <c r="D13" s="526"/>
      <c r="E13" s="516"/>
      <c r="F13" s="516"/>
      <c r="G13" s="609">
        <f>+B6-1</f>
        <v>44763</v>
      </c>
      <c r="H13" s="516"/>
      <c r="I13" s="610" t="s">
        <v>25</v>
      </c>
      <c r="J13" s="516"/>
      <c r="K13" s="516"/>
      <c r="L13" s="516"/>
      <c r="N13" s="528"/>
    </row>
    <row r="14" spans="1:14" ht="8.1" customHeight="1" x14ac:dyDescent="0.2">
      <c r="B14" s="529"/>
      <c r="C14" s="526"/>
      <c r="D14" s="526"/>
      <c r="E14" s="516"/>
      <c r="F14" s="516"/>
      <c r="G14" s="1206"/>
      <c r="H14" s="516"/>
      <c r="I14" s="516"/>
      <c r="J14" s="516"/>
      <c r="K14" s="516"/>
      <c r="L14" s="516"/>
      <c r="N14" s="528"/>
    </row>
    <row r="15" spans="1:14" ht="12" customHeight="1" x14ac:dyDescent="0.2">
      <c r="B15" s="531" t="s">
        <v>242</v>
      </c>
      <c r="C15" s="526"/>
      <c r="D15" s="526"/>
      <c r="E15" s="532"/>
      <c r="F15" s="516"/>
      <c r="G15" s="532"/>
      <c r="H15" s="516"/>
      <c r="I15" s="532"/>
      <c r="J15" s="516"/>
      <c r="K15" s="516"/>
      <c r="L15" s="516"/>
      <c r="N15" s="528"/>
    </row>
    <row r="16" spans="1:14" ht="12" customHeight="1" x14ac:dyDescent="0.2">
      <c r="B16" s="504" t="s">
        <v>243</v>
      </c>
      <c r="C16" s="533">
        <f>+'Equity - CIAP MA'!M147</f>
        <v>-4334389718.474062</v>
      </c>
      <c r="D16" s="534"/>
      <c r="E16" s="535"/>
      <c r="F16" s="516"/>
      <c r="G16" s="535"/>
      <c r="H16" s="516"/>
      <c r="I16" s="535"/>
      <c r="J16" s="516"/>
      <c r="K16" s="537"/>
      <c r="L16" s="538"/>
      <c r="N16" s="504"/>
    </row>
    <row r="17" spans="2:15" ht="12" customHeight="1" x14ac:dyDescent="0.2">
      <c r="B17" s="497" t="s">
        <v>244</v>
      </c>
      <c r="C17" s="658">
        <f>+'Equity - CIAP MA'!M145</f>
        <v>-4227747350.7044177</v>
      </c>
      <c r="D17" s="534"/>
      <c r="E17" s="223">
        <f>+C17-C16</f>
        <v>106642367.76964426</v>
      </c>
      <c r="F17" s="714"/>
      <c r="G17" s="223">
        <v>-291197827.02356863</v>
      </c>
      <c r="H17" s="714"/>
      <c r="I17" s="223">
        <f>+E17-G17</f>
        <v>397840194.79321289</v>
      </c>
      <c r="J17" s="516">
        <v>-3457327.07</v>
      </c>
      <c r="K17" s="516">
        <f>+E17-J17</f>
        <v>110099694.83964425</v>
      </c>
      <c r="L17" s="516"/>
      <c r="M17" s="546"/>
      <c r="N17" s="504"/>
      <c r="O17" s="542"/>
    </row>
    <row r="18" spans="2:15" ht="12" customHeight="1" x14ac:dyDescent="0.2">
      <c r="B18" s="497" t="s">
        <v>333</v>
      </c>
      <c r="C18" s="534"/>
      <c r="D18" s="534"/>
      <c r="E18" s="223">
        <f>'Daily Trade Summary'!L52</f>
        <v>-7643876.1400000108</v>
      </c>
      <c r="F18" s="516"/>
      <c r="G18" s="223">
        <v>-4937806.1597333364</v>
      </c>
      <c r="H18" s="516"/>
      <c r="I18" s="541"/>
      <c r="J18" s="544">
        <v>769406.93</v>
      </c>
      <c r="K18" s="516">
        <f>+E18-J18</f>
        <v>-8413283.0700000115</v>
      </c>
      <c r="L18" s="516"/>
      <c r="M18" s="565"/>
      <c r="N18" s="504"/>
      <c r="O18" s="542"/>
    </row>
    <row r="19" spans="2:15" ht="11.25" x14ac:dyDescent="0.2">
      <c r="C19" s="534"/>
      <c r="D19" s="534"/>
      <c r="E19" s="535"/>
      <c r="F19" s="516"/>
      <c r="G19" s="535"/>
      <c r="H19" s="516"/>
      <c r="I19" s="535"/>
      <c r="J19" s="546"/>
      <c r="K19" s="516">
        <f>+E19-J19</f>
        <v>0</v>
      </c>
      <c r="L19" s="516"/>
      <c r="N19" s="504"/>
      <c r="O19" s="542"/>
    </row>
    <row r="20" spans="2:15" ht="12" customHeight="1" x14ac:dyDescent="0.2">
      <c r="B20" s="531" t="s">
        <v>245</v>
      </c>
      <c r="C20" s="504"/>
      <c r="D20" s="504"/>
      <c r="E20" s="535"/>
      <c r="F20" s="516"/>
      <c r="G20" s="535"/>
      <c r="H20" s="516"/>
      <c r="I20" s="535"/>
      <c r="J20" s="521"/>
      <c r="K20" s="516"/>
      <c r="L20" s="516"/>
      <c r="N20" s="504"/>
      <c r="O20" s="542"/>
    </row>
    <row r="21" spans="2:15" ht="8.1" customHeight="1" x14ac:dyDescent="0.2">
      <c r="B21" s="543"/>
      <c r="C21" s="504"/>
      <c r="D21" s="504"/>
      <c r="E21" s="535"/>
      <c r="F21" s="516"/>
      <c r="G21" s="535"/>
      <c r="H21" s="516"/>
      <c r="I21" s="535"/>
      <c r="J21" s="516"/>
      <c r="K21" s="516"/>
      <c r="L21" s="516"/>
      <c r="N21" s="504"/>
      <c r="O21" s="542"/>
    </row>
    <row r="22" spans="2:15" ht="12" customHeight="1" x14ac:dyDescent="0.2">
      <c r="B22" s="543" t="s">
        <v>195</v>
      </c>
      <c r="C22" s="504"/>
      <c r="D22" s="504"/>
      <c r="E22" s="535"/>
      <c r="F22" s="516"/>
      <c r="G22" s="535"/>
      <c r="H22" s="516"/>
      <c r="I22" s="535"/>
      <c r="J22" s="516"/>
      <c r="K22" s="516"/>
      <c r="L22" s="516"/>
      <c r="M22" s="539"/>
      <c r="N22" s="504"/>
      <c r="O22" s="542"/>
    </row>
    <row r="23" spans="2:15" ht="12" customHeight="1" x14ac:dyDescent="0.2">
      <c r="B23" s="504" t="s">
        <v>243</v>
      </c>
      <c r="C23" s="533">
        <v>0</v>
      </c>
      <c r="D23" s="504"/>
      <c r="E23" s="535"/>
      <c r="F23" s="516"/>
      <c r="G23" s="535"/>
      <c r="H23" s="516"/>
      <c r="I23" s="535"/>
      <c r="J23" s="516"/>
      <c r="K23" s="516"/>
      <c r="L23" s="516"/>
      <c r="N23" s="504"/>
      <c r="O23" s="542"/>
    </row>
    <row r="24" spans="2:15" ht="12" customHeight="1" x14ac:dyDescent="0.2">
      <c r="B24" s="497" t="s">
        <v>246</v>
      </c>
      <c r="C24" s="540">
        <f>+PIB!X17</f>
        <v>0</v>
      </c>
      <c r="D24" s="504"/>
      <c r="E24" s="535"/>
      <c r="F24" s="516"/>
      <c r="G24" s="535"/>
      <c r="H24" s="516"/>
      <c r="I24" s="535"/>
      <c r="J24" s="516"/>
      <c r="K24" s="516"/>
      <c r="L24" s="516"/>
      <c r="N24" s="504"/>
      <c r="O24" s="542"/>
    </row>
    <row r="25" spans="2:15" ht="12" customHeight="1" x14ac:dyDescent="0.2">
      <c r="C25" s="504"/>
      <c r="D25" s="504"/>
      <c r="E25" s="223">
        <f>C24-C23</f>
        <v>0</v>
      </c>
      <c r="F25" s="714"/>
      <c r="G25" s="223">
        <v>0</v>
      </c>
      <c r="H25" s="714"/>
      <c r="I25" s="223">
        <f t="shared" ref="I25:I27" si="0">+E25-G25</f>
        <v>0</v>
      </c>
      <c r="J25" s="516"/>
      <c r="K25" s="516"/>
      <c r="L25" s="516"/>
      <c r="N25" s="504"/>
      <c r="O25" s="542"/>
    </row>
    <row r="26" spans="2:15" ht="12" customHeight="1" x14ac:dyDescent="0.2">
      <c r="B26" s="707" t="s">
        <v>480</v>
      </c>
      <c r="C26" s="504"/>
      <c r="D26" s="504"/>
      <c r="E26" s="223">
        <v>0</v>
      </c>
      <c r="F26" s="714"/>
      <c r="G26" s="223">
        <v>0</v>
      </c>
      <c r="H26" s="714"/>
      <c r="I26" s="223">
        <f t="shared" si="0"/>
        <v>0</v>
      </c>
      <c r="J26" s="516"/>
      <c r="K26" s="516"/>
      <c r="L26" s="516"/>
      <c r="N26" s="504"/>
      <c r="O26" s="542"/>
    </row>
    <row r="27" spans="2:15" ht="12" customHeight="1" x14ac:dyDescent="0.2">
      <c r="B27" s="707" t="s">
        <v>429</v>
      </c>
      <c r="C27" s="504"/>
      <c r="D27" s="504"/>
      <c r="E27" s="223">
        <f>+PIB!AD26*0</f>
        <v>0</v>
      </c>
      <c r="F27" s="714"/>
      <c r="G27" s="223">
        <v>0</v>
      </c>
      <c r="H27" s="714"/>
      <c r="I27" s="403">
        <f t="shared" si="0"/>
        <v>0</v>
      </c>
      <c r="J27" s="524"/>
      <c r="K27" s="516"/>
      <c r="L27" s="516"/>
      <c r="N27" s="504"/>
      <c r="O27" s="542"/>
    </row>
    <row r="28" spans="2:15" ht="12" customHeight="1" x14ac:dyDescent="0.2">
      <c r="C28" s="504"/>
      <c r="D28" s="504"/>
      <c r="E28" s="541"/>
      <c r="F28" s="516"/>
      <c r="G28" s="541"/>
      <c r="H28" s="516"/>
      <c r="I28" s="541"/>
      <c r="J28" s="516"/>
      <c r="K28" s="516"/>
      <c r="L28" s="516"/>
      <c r="N28" s="504"/>
      <c r="O28" s="542"/>
    </row>
    <row r="29" spans="2:15" ht="12" customHeight="1" x14ac:dyDescent="0.2">
      <c r="B29" s="543" t="s">
        <v>271</v>
      </c>
      <c r="C29" s="504"/>
      <c r="D29" s="504"/>
      <c r="E29" s="541"/>
      <c r="F29" s="516"/>
      <c r="G29" s="541"/>
      <c r="H29" s="516"/>
      <c r="I29" s="541"/>
      <c r="J29" s="516"/>
      <c r="K29" s="516"/>
      <c r="L29" s="544"/>
      <c r="N29" s="504"/>
      <c r="O29" s="542"/>
    </row>
    <row r="30" spans="2:15" ht="12" customHeight="1" x14ac:dyDescent="0.2">
      <c r="B30" s="504" t="s">
        <v>243</v>
      </c>
      <c r="C30" s="680">
        <f>+'T-Bills'!T53</f>
        <v>-7593850.6371821128</v>
      </c>
      <c r="D30" s="504"/>
      <c r="E30" s="541"/>
      <c r="F30" s="516"/>
      <c r="G30" s="541"/>
      <c r="H30" s="516"/>
      <c r="I30" s="541"/>
      <c r="J30" s="516"/>
      <c r="K30" s="516"/>
      <c r="L30" s="544"/>
      <c r="N30" s="504"/>
      <c r="O30" s="542"/>
    </row>
    <row r="31" spans="2:15" ht="12" customHeight="1" x14ac:dyDescent="0.2">
      <c r="B31" s="497" t="s">
        <v>246</v>
      </c>
      <c r="C31" s="540">
        <f>+'T-Bills'!S53</f>
        <v>-7472793.1978107328</v>
      </c>
      <c r="D31" s="504"/>
      <c r="E31" s="223">
        <f>C31-C30</f>
        <v>121057.43937138002</v>
      </c>
      <c r="F31" s="714"/>
      <c r="G31" s="223">
        <v>-402185.36062863842</v>
      </c>
      <c r="H31" s="714"/>
      <c r="I31" s="223">
        <f>+E31-G31</f>
        <v>523242.80000001844</v>
      </c>
      <c r="J31" s="516">
        <v>6373429.0599999996</v>
      </c>
      <c r="K31" s="516">
        <f>+E31-J31</f>
        <v>-6252371.6206286196</v>
      </c>
      <c r="L31" s="516"/>
      <c r="M31" s="546"/>
      <c r="N31" s="504"/>
      <c r="O31" s="542"/>
    </row>
    <row r="32" spans="2:15" ht="12" customHeight="1" x14ac:dyDescent="0.2">
      <c r="B32" s="497" t="s">
        <v>429</v>
      </c>
      <c r="C32" s="534"/>
      <c r="D32" s="504"/>
      <c r="E32" s="223">
        <f>+PIB!AD26</f>
        <v>-0.4122864231467247</v>
      </c>
      <c r="F32" s="714"/>
      <c r="G32" s="223">
        <v>-0.4122864231467247</v>
      </c>
      <c r="H32" s="714"/>
      <c r="I32" s="223"/>
      <c r="J32" s="516">
        <v>-5808185.6699999999</v>
      </c>
      <c r="K32" s="516">
        <f>+E32-J32</f>
        <v>5808185.2577135768</v>
      </c>
      <c r="L32" s="516"/>
      <c r="M32" s="546"/>
      <c r="N32" s="504"/>
      <c r="O32" s="542"/>
    </row>
    <row r="33" spans="2:15" ht="12" customHeight="1" x14ac:dyDescent="0.2">
      <c r="C33" s="534"/>
      <c r="D33" s="504"/>
      <c r="E33" s="223"/>
      <c r="F33" s="714"/>
      <c r="G33" s="223"/>
      <c r="H33" s="714"/>
      <c r="I33" s="223"/>
      <c r="J33" s="516"/>
      <c r="K33" s="516"/>
      <c r="L33" s="516"/>
      <c r="M33" s="546"/>
      <c r="N33" s="504"/>
      <c r="O33" s="542"/>
    </row>
    <row r="34" spans="2:15" ht="12" customHeight="1" x14ac:dyDescent="0.2">
      <c r="C34" s="534"/>
      <c r="D34" s="504"/>
      <c r="E34" s="223"/>
      <c r="F34" s="714"/>
      <c r="G34" s="223"/>
      <c r="H34" s="714"/>
      <c r="I34" s="223"/>
      <c r="J34" s="516"/>
      <c r="K34" s="516"/>
      <c r="L34" s="662"/>
      <c r="M34" s="521"/>
      <c r="N34" s="504"/>
      <c r="O34" s="542"/>
    </row>
    <row r="35" spans="2:15" ht="12" customHeight="1" x14ac:dyDescent="0.2">
      <c r="B35" s="545" t="s">
        <v>247</v>
      </c>
      <c r="C35" s="504"/>
      <c r="D35" s="504"/>
      <c r="E35" s="223"/>
      <c r="F35" s="714"/>
      <c r="G35" s="223"/>
      <c r="H35" s="714"/>
      <c r="I35" s="223"/>
      <c r="J35" s="516"/>
      <c r="K35" s="516"/>
      <c r="L35" s="516"/>
      <c r="M35" s="546"/>
      <c r="N35" s="504"/>
      <c r="O35" s="542"/>
    </row>
    <row r="36" spans="2:15" ht="12" customHeight="1" x14ac:dyDescent="0.2">
      <c r="B36" s="504" t="s">
        <v>243</v>
      </c>
      <c r="C36" s="680">
        <v>0</v>
      </c>
      <c r="D36" s="504"/>
      <c r="E36" s="223"/>
      <c r="F36" s="714"/>
      <c r="G36" s="223"/>
      <c r="H36" s="714"/>
      <c r="I36" s="223"/>
      <c r="J36" s="516"/>
      <c r="K36" s="516"/>
      <c r="L36" s="516"/>
      <c r="N36" s="504"/>
      <c r="O36" s="542"/>
    </row>
    <row r="37" spans="2:15" ht="12" customHeight="1" x14ac:dyDescent="0.2">
      <c r="B37" s="497" t="s">
        <v>246</v>
      </c>
      <c r="C37" s="540">
        <f>+'TFCs -Market Value '!O13</f>
        <v>0</v>
      </c>
      <c r="D37" s="504"/>
      <c r="E37" s="223">
        <f>+C37-C36</f>
        <v>0</v>
      </c>
      <c r="F37" s="714"/>
      <c r="G37" s="223">
        <v>0</v>
      </c>
      <c r="H37" s="714"/>
      <c r="I37" s="223">
        <f>+E37-G37</f>
        <v>0</v>
      </c>
      <c r="J37" s="516"/>
      <c r="K37" s="516"/>
      <c r="L37" s="516"/>
      <c r="N37" s="504"/>
      <c r="O37" s="542"/>
    </row>
    <row r="38" spans="2:15" ht="12" customHeight="1" x14ac:dyDescent="0.2">
      <c r="B38" s="608"/>
      <c r="C38" s="504"/>
      <c r="D38" s="504"/>
      <c r="E38" s="223"/>
      <c r="F38" s="714"/>
      <c r="G38" s="223"/>
      <c r="H38" s="714"/>
      <c r="I38" s="223"/>
      <c r="J38" s="516"/>
      <c r="K38" s="516"/>
      <c r="L38" s="516"/>
      <c r="N38" s="504"/>
      <c r="O38" s="542"/>
    </row>
    <row r="39" spans="2:15" ht="12" customHeight="1" x14ac:dyDescent="0.2">
      <c r="B39" s="707" t="s">
        <v>429</v>
      </c>
      <c r="C39" s="504"/>
      <c r="D39" s="504"/>
      <c r="E39" s="223">
        <v>0</v>
      </c>
      <c r="F39" s="714"/>
      <c r="G39" s="223">
        <v>0</v>
      </c>
      <c r="H39" s="714"/>
      <c r="I39" s="223"/>
      <c r="J39" s="516"/>
      <c r="K39" s="516"/>
      <c r="L39" s="516"/>
      <c r="M39" s="546"/>
      <c r="N39" s="504"/>
      <c r="O39" s="542"/>
    </row>
    <row r="40" spans="2:15" ht="12" customHeight="1" x14ac:dyDescent="0.2">
      <c r="B40" s="543" t="s">
        <v>248</v>
      </c>
      <c r="C40" s="504"/>
      <c r="D40" s="504"/>
      <c r="E40" s="223"/>
      <c r="F40" s="714"/>
      <c r="G40" s="223"/>
      <c r="H40" s="714"/>
      <c r="I40" s="223"/>
      <c r="J40" s="524"/>
      <c r="K40" s="516"/>
      <c r="L40" s="516"/>
      <c r="M40" s="546"/>
      <c r="N40" s="682"/>
      <c r="O40" s="542"/>
    </row>
    <row r="41" spans="2:15" ht="12" customHeight="1" x14ac:dyDescent="0.2">
      <c r="B41" s="497" t="s">
        <v>249</v>
      </c>
      <c r="C41" s="504"/>
      <c r="D41" s="504"/>
      <c r="E41" s="223">
        <f>+'PIB Accrual And Income'!M16</f>
        <v>0</v>
      </c>
      <c r="F41" s="714"/>
      <c r="G41" s="223">
        <v>0</v>
      </c>
      <c r="H41" s="714"/>
      <c r="I41" s="223">
        <f t="shared" ref="I41:I44" si="1">+E41-G41</f>
        <v>0</v>
      </c>
      <c r="J41" s="524"/>
      <c r="K41" s="536"/>
      <c r="L41" s="516"/>
      <c r="N41" s="504"/>
      <c r="O41" s="542"/>
    </row>
    <row r="42" spans="2:15" s="707" customFormat="1" ht="12" customHeight="1" x14ac:dyDescent="0.2">
      <c r="B42" s="707" t="s">
        <v>268</v>
      </c>
      <c r="C42" s="611"/>
      <c r="D42" s="611"/>
      <c r="E42" s="223">
        <f>SUM('T-Bills Amortization '!M41)</f>
        <v>1220513.1606286301</v>
      </c>
      <c r="F42" s="714"/>
      <c r="G42" s="223">
        <v>1220513.1606286301</v>
      </c>
      <c r="H42" s="714"/>
      <c r="I42" s="223">
        <f t="shared" si="1"/>
        <v>0</v>
      </c>
      <c r="J42" s="1028">
        <v>1165429.58</v>
      </c>
      <c r="K42" s="1029">
        <f>+E42-J42</f>
        <v>55083.580628630007</v>
      </c>
      <c r="L42" s="714"/>
      <c r="M42" s="933"/>
      <c r="N42" s="611"/>
      <c r="O42" s="1030"/>
    </row>
    <row r="43" spans="2:15" s="707" customFormat="1" ht="12" customHeight="1" x14ac:dyDescent="0.2">
      <c r="B43" s="707" t="s">
        <v>272</v>
      </c>
      <c r="C43" s="611"/>
      <c r="D43" s="611"/>
      <c r="E43" s="223">
        <f>(+'TFCs -Accrued Income'!O13)</f>
        <v>0</v>
      </c>
      <c r="F43" s="714"/>
      <c r="G43" s="223">
        <v>0</v>
      </c>
      <c r="H43" s="714"/>
      <c r="I43" s="223">
        <f t="shared" si="1"/>
        <v>0</v>
      </c>
      <c r="J43" s="1028">
        <v>0</v>
      </c>
      <c r="K43" s="1029">
        <f>+E43-J43</f>
        <v>0</v>
      </c>
      <c r="L43" s="714"/>
      <c r="N43" s="611"/>
      <c r="O43" s="1030"/>
    </row>
    <row r="44" spans="2:15" s="707" customFormat="1" ht="12" customHeight="1" x14ac:dyDescent="0.2">
      <c r="B44" s="707" t="s">
        <v>250</v>
      </c>
      <c r="C44" s="611"/>
      <c r="D44" s="611"/>
      <c r="E44" s="223">
        <f>(+'TDR accrual '!H23)</f>
        <v>15457.962555068494</v>
      </c>
      <c r="F44" s="714"/>
      <c r="G44" s="223">
        <v>16771.743483287672</v>
      </c>
      <c r="H44" s="714"/>
      <c r="I44" s="223">
        <f t="shared" si="1"/>
        <v>-1313.7809282191774</v>
      </c>
      <c r="J44" s="714">
        <v>990</v>
      </c>
      <c r="K44" s="1029">
        <f>+E44-J44</f>
        <v>14467.962555068494</v>
      </c>
      <c r="L44" s="714"/>
      <c r="N44" s="611"/>
      <c r="O44" s="1030"/>
    </row>
    <row r="45" spans="2:15" ht="12" customHeight="1" x14ac:dyDescent="0.2">
      <c r="B45" s="497" t="s">
        <v>344</v>
      </c>
      <c r="C45" s="504"/>
      <c r="D45" s="504"/>
      <c r="E45" s="223">
        <f>+IFERROR(SUMIF(Dividend!A:A,B6,Dividend!N:N),0)</f>
        <v>0</v>
      </c>
      <c r="F45" s="516"/>
      <c r="G45" s="223">
        <v>0</v>
      </c>
      <c r="H45" s="516"/>
      <c r="I45" s="1031">
        <f>+E45-G45</f>
        <v>0</v>
      </c>
      <c r="J45" s="546"/>
      <c r="K45" s="536"/>
      <c r="L45" s="665"/>
      <c r="M45" s="521"/>
      <c r="N45" s="504"/>
      <c r="O45" s="542"/>
    </row>
    <row r="46" spans="2:15" ht="12" customHeight="1" x14ac:dyDescent="0.2">
      <c r="B46" s="547" t="s">
        <v>30</v>
      </c>
      <c r="E46" s="548">
        <f>SUM(E15:E45)</f>
        <v>100355519.77991289</v>
      </c>
      <c r="F46" s="516"/>
      <c r="G46" s="548">
        <f>SUM(G15:G45)</f>
        <v>-295300534.05210513</v>
      </c>
      <c r="H46" s="516"/>
      <c r="I46" s="516"/>
      <c r="J46" s="659">
        <v>100355519.62</v>
      </c>
      <c r="K46" s="1299">
        <f>+J46-E46</f>
        <v>-0.15991288423538208</v>
      </c>
      <c r="L46" s="550">
        <f>+IFERROR(SUMIF(Dividend!A:A,B6,Dividend!M:M),0)+Dividend!U38</f>
        <v>952597.35000000009</v>
      </c>
      <c r="M46" s="1302">
        <f>K46-L46</f>
        <v>-952597.50991288433</v>
      </c>
      <c r="N46" s="682"/>
      <c r="O46" s="504"/>
    </row>
    <row r="47" spans="2:15" ht="11.25" customHeight="1" x14ac:dyDescent="0.2">
      <c r="C47" s="547"/>
      <c r="D47" s="547"/>
      <c r="E47" s="551"/>
      <c r="F47" s="516"/>
      <c r="G47" s="516"/>
      <c r="H47" s="516"/>
      <c r="I47" s="516"/>
      <c r="J47" s="516"/>
      <c r="K47" s="714" t="s">
        <v>524</v>
      </c>
      <c r="L47" s="550"/>
      <c r="M47" s="504"/>
      <c r="N47" s="504"/>
      <c r="O47" s="504"/>
    </row>
    <row r="48" spans="2:15" ht="12" customHeight="1" x14ac:dyDescent="0.2">
      <c r="B48" s="529" t="s">
        <v>251</v>
      </c>
      <c r="E48" s="516"/>
      <c r="F48" s="516"/>
      <c r="G48" s="516"/>
      <c r="H48" s="516"/>
      <c r="I48" s="516"/>
      <c r="J48" s="516"/>
      <c r="K48" s="516"/>
      <c r="L48" s="516"/>
      <c r="M48" s="552"/>
      <c r="N48" s="504"/>
      <c r="O48" s="504"/>
    </row>
    <row r="49" spans="1:16" ht="12" customHeight="1" x14ac:dyDescent="0.2">
      <c r="B49" s="504" t="s">
        <v>252</v>
      </c>
      <c r="D49" s="504"/>
      <c r="E49" s="553">
        <v>994039.53</v>
      </c>
      <c r="F49" s="516"/>
      <c r="G49" s="684">
        <v>989966.15</v>
      </c>
      <c r="H49" s="516"/>
      <c r="I49" s="684">
        <f>+E49-G49</f>
        <v>4073.3800000000047</v>
      </c>
      <c r="J49" s="716"/>
      <c r="K49" s="660"/>
      <c r="L49" s="516"/>
      <c r="M49" s="552"/>
      <c r="N49" s="711"/>
      <c r="O49" s="711"/>
      <c r="P49" s="711"/>
    </row>
    <row r="50" spans="1:16" ht="12" customHeight="1" x14ac:dyDescent="0.2">
      <c r="B50" s="504" t="s">
        <v>273</v>
      </c>
      <c r="C50" s="504"/>
      <c r="E50" s="223">
        <f>119.43-1748.64+2.18</f>
        <v>-1627.03</v>
      </c>
      <c r="F50" s="516"/>
      <c r="G50" s="1255">
        <v>403.82000000000011</v>
      </c>
      <c r="H50" s="516"/>
      <c r="I50" s="223">
        <f>+E50-G50</f>
        <v>-2030.8500000000001</v>
      </c>
      <c r="J50" s="516"/>
      <c r="K50" s="516"/>
      <c r="L50" s="516"/>
      <c r="M50" s="544"/>
      <c r="N50" s="711"/>
      <c r="O50" s="711"/>
      <c r="P50" s="711"/>
    </row>
    <row r="51" spans="1:16" ht="12" customHeight="1" x14ac:dyDescent="0.2">
      <c r="B51" s="611" t="s">
        <v>428</v>
      </c>
      <c r="C51" s="504"/>
      <c r="E51" s="223">
        <f>VLOOKUP(B6,Brokerage!B:AG,32,FALSE)</f>
        <v>51407.695134999994</v>
      </c>
      <c r="F51" s="516"/>
      <c r="G51" s="1256">
        <v>39351.17566666667</v>
      </c>
      <c r="H51" s="516"/>
      <c r="I51" s="223">
        <f t="shared" ref="I51:I52" si="2">+E51-G51</f>
        <v>12056.519468333325</v>
      </c>
      <c r="J51" s="1033">
        <f>ROUND((E51*1.5%)/365,2)</f>
        <v>2.11</v>
      </c>
      <c r="K51" s="741">
        <v>494569</v>
      </c>
      <c r="L51" s="516">
        <f>K51-E51</f>
        <v>443161.30486500001</v>
      </c>
      <c r="M51" s="544"/>
      <c r="N51" s="712"/>
      <c r="O51" s="711"/>
      <c r="P51" s="713"/>
    </row>
    <row r="52" spans="1:16" ht="12" customHeight="1" x14ac:dyDescent="0.2">
      <c r="B52" s="611" t="s">
        <v>684</v>
      </c>
      <c r="C52" s="504"/>
      <c r="E52" s="223">
        <f>VLOOKUP(B6,'NCCPL Charges'!A:B,2,FALSE)</f>
        <v>1820</v>
      </c>
      <c r="F52" s="516"/>
      <c r="G52" s="1256">
        <v>1393</v>
      </c>
      <c r="H52" s="516"/>
      <c r="I52" s="223">
        <f t="shared" si="2"/>
        <v>427</v>
      </c>
      <c r="J52" s="1033">
        <f>ROUND((E52*1.5%)/365,2)</f>
        <v>7.0000000000000007E-2</v>
      </c>
      <c r="K52" s="741"/>
      <c r="L52" s="1033"/>
      <c r="M52" s="544"/>
      <c r="N52" s="712"/>
      <c r="O52" s="711"/>
      <c r="P52" s="713"/>
    </row>
    <row r="53" spans="1:16" ht="12" customHeight="1" x14ac:dyDescent="0.2">
      <c r="B53" s="611" t="s">
        <v>787</v>
      </c>
      <c r="C53" s="504"/>
      <c r="E53" s="223">
        <f>+IFERROR(VLOOKUP(B6,'MONTHLY BANK CHARGES'!$A:$B,2,FALSE),0)</f>
        <v>0</v>
      </c>
      <c r="F53" s="516"/>
      <c r="G53" s="1256">
        <v>0</v>
      </c>
      <c r="H53" s="516"/>
      <c r="I53" s="223"/>
      <c r="J53" s="1033">
        <f>ROUND((E53*1.5%)/365,2)</f>
        <v>0</v>
      </c>
      <c r="K53" s="741"/>
      <c r="L53" s="1033"/>
      <c r="M53" s="544"/>
      <c r="N53" s="712"/>
      <c r="O53" s="711"/>
      <c r="P53" s="713"/>
    </row>
    <row r="54" spans="1:16" ht="12" customHeight="1" x14ac:dyDescent="0.2">
      <c r="B54" s="504" t="s">
        <v>288</v>
      </c>
      <c r="C54" s="504"/>
      <c r="D54" s="504"/>
      <c r="E54" s="1034">
        <f>+IFERROR(VLOOKUP(B6,'MONTHLY CDC CHARGES'!$A:$B,2,FALSE),)</f>
        <v>0</v>
      </c>
      <c r="F54" s="516"/>
      <c r="G54" s="1257">
        <v>0</v>
      </c>
      <c r="H54" s="516"/>
      <c r="I54" s="1031">
        <f>+E54-G54</f>
        <v>0</v>
      </c>
      <c r="J54" s="1033">
        <f>ROUND((E54*1.5%)/365,2)</f>
        <v>0</v>
      </c>
      <c r="K54" s="741"/>
      <c r="L54" s="516"/>
      <c r="N54" s="711"/>
      <c r="O54" s="711"/>
      <c r="P54" s="713"/>
    </row>
    <row r="55" spans="1:16" ht="12" customHeight="1" x14ac:dyDescent="0.2">
      <c r="B55" s="547" t="s">
        <v>253</v>
      </c>
      <c r="E55" s="555">
        <f>SUM(E49:E54)</f>
        <v>1045640.195135</v>
      </c>
      <c r="F55" s="516"/>
      <c r="G55" s="536"/>
      <c r="H55" s="516"/>
      <c r="I55" s="516"/>
      <c r="J55" s="516">
        <f>SUM(J49:J54)</f>
        <v>2.1799999999999997</v>
      </c>
      <c r="K55" s="516"/>
      <c r="L55" s="549"/>
      <c r="M55" s="539"/>
      <c r="N55" s="711"/>
      <c r="O55" s="711"/>
      <c r="P55" s="711"/>
    </row>
    <row r="56" spans="1:16" ht="6" customHeight="1" x14ac:dyDescent="0.2">
      <c r="E56" s="516"/>
      <c r="F56" s="516"/>
      <c r="G56" s="536"/>
      <c r="H56" s="516"/>
      <c r="I56" s="516"/>
      <c r="J56" s="516"/>
      <c r="K56" s="516"/>
      <c r="L56" s="516"/>
    </row>
    <row r="57" spans="1:16" ht="11.25" x14ac:dyDescent="0.2">
      <c r="B57" s="547" t="s">
        <v>254</v>
      </c>
      <c r="E57" s="556">
        <f>E46-E55</f>
        <v>99309879.584777892</v>
      </c>
      <c r="F57" s="516"/>
      <c r="G57" s="536"/>
      <c r="H57" s="516"/>
      <c r="I57" s="516"/>
      <c r="J57" s="933"/>
      <c r="K57" s="714"/>
      <c r="L57" s="516"/>
    </row>
    <row r="58" spans="1:16" ht="6" customHeight="1" x14ac:dyDescent="0.2">
      <c r="E58" s="516"/>
      <c r="F58" s="516"/>
      <c r="G58" s="536"/>
      <c r="H58" s="516"/>
      <c r="I58" s="516"/>
      <c r="J58" s="516"/>
      <c r="K58" s="516"/>
      <c r="L58" s="516"/>
    </row>
    <row r="59" spans="1:16" ht="11.25" x14ac:dyDescent="0.2">
      <c r="E59" s="552"/>
      <c r="F59" s="516"/>
      <c r="G59" s="536"/>
      <c r="H59" s="516"/>
      <c r="I59" s="516"/>
      <c r="J59" s="516"/>
      <c r="K59" s="516"/>
      <c r="L59" s="516"/>
    </row>
    <row r="60" spans="1:16" ht="11.25" x14ac:dyDescent="0.2">
      <c r="B60" s="547" t="s">
        <v>255</v>
      </c>
      <c r="E60" s="556">
        <f>+E9+E57</f>
        <v>24187495891.213348</v>
      </c>
      <c r="F60" s="516"/>
      <c r="H60" s="524"/>
      <c r="I60" s="519"/>
      <c r="J60" s="662"/>
      <c r="K60" s="662"/>
      <c r="L60" s="519"/>
      <c r="M60" s="521"/>
      <c r="N60" s="521"/>
    </row>
    <row r="61" spans="1:16" ht="8.1" customHeight="1" x14ac:dyDescent="0.2">
      <c r="B61" s="522"/>
      <c r="E61" s="555"/>
      <c r="F61" s="516"/>
      <c r="G61" s="536"/>
      <c r="H61" s="516"/>
      <c r="I61" s="516"/>
      <c r="J61" s="662"/>
      <c r="K61" s="662"/>
      <c r="L61" s="516"/>
    </row>
    <row r="62" spans="1:16" ht="8.1" customHeight="1" x14ac:dyDescent="0.2">
      <c r="E62" s="555"/>
      <c r="F62" s="516"/>
      <c r="G62" s="536"/>
      <c r="H62" s="516"/>
      <c r="I62" s="516"/>
      <c r="J62" s="662"/>
      <c r="K62" s="662"/>
      <c r="L62" s="516"/>
    </row>
    <row r="63" spans="1:16" ht="11.25" x14ac:dyDescent="0.2">
      <c r="A63" s="504"/>
      <c r="B63" s="504" t="s">
        <v>256</v>
      </c>
      <c r="C63" s="504"/>
      <c r="D63" s="504"/>
      <c r="E63" s="553"/>
      <c r="F63" s="504"/>
      <c r="G63" s="557"/>
      <c r="H63" s="516"/>
      <c r="I63" s="558"/>
      <c r="J63" s="662"/>
      <c r="K63" s="662"/>
      <c r="L63" s="558"/>
      <c r="O63" s="546"/>
    </row>
    <row r="64" spans="1:16" ht="11.25" x14ac:dyDescent="0.2">
      <c r="A64" s="504"/>
      <c r="B64" s="504" t="s">
        <v>257</v>
      </c>
      <c r="C64" s="504"/>
      <c r="D64" s="504"/>
      <c r="E64" s="223"/>
      <c r="F64" s="524"/>
      <c r="G64" s="559">
        <f>+E64/ROUND($E$75,4)</f>
        <v>0</v>
      </c>
      <c r="H64" s="516"/>
      <c r="I64" s="558"/>
      <c r="J64" s="662"/>
      <c r="K64" s="662"/>
      <c r="L64" s="558"/>
      <c r="O64" s="546"/>
    </row>
    <row r="65" spans="1:18" ht="11.25" x14ac:dyDescent="0.2">
      <c r="A65" s="504"/>
      <c r="B65" s="504" t="s">
        <v>258</v>
      </c>
      <c r="C65" s="504"/>
      <c r="D65" s="504"/>
      <c r="E65" s="535"/>
      <c r="F65" s="524"/>
      <c r="G65" s="559"/>
      <c r="H65" s="516"/>
      <c r="J65" s="662"/>
      <c r="K65" s="662">
        <v>35717694.212922797</v>
      </c>
      <c r="M65" s="539"/>
      <c r="N65" s="558"/>
      <c r="O65" s="546"/>
    </row>
    <row r="66" spans="1:18" ht="12" customHeight="1" x14ac:dyDescent="0.2">
      <c r="A66" s="504"/>
      <c r="B66" s="504" t="s">
        <v>259</v>
      </c>
      <c r="C66" s="504"/>
      <c r="D66" s="504"/>
      <c r="E66" s="535">
        <v>-193120.67</v>
      </c>
      <c r="F66" s="524"/>
      <c r="G66" s="559">
        <f>+E66/ROUND($E$75,4)</f>
        <v>-286.35949260927578</v>
      </c>
      <c r="H66" s="516"/>
      <c r="I66" s="561"/>
      <c r="J66" s="1214"/>
      <c r="K66" s="662"/>
      <c r="L66" s="561"/>
      <c r="O66" s="546"/>
    </row>
    <row r="67" spans="1:18" ht="0" hidden="1" customHeight="1" x14ac:dyDescent="0.2">
      <c r="A67" s="504"/>
      <c r="B67" s="504"/>
      <c r="C67" s="504"/>
      <c r="D67" s="504"/>
      <c r="E67" s="535"/>
      <c r="F67" s="504"/>
      <c r="G67" s="562"/>
      <c r="J67" s="662"/>
      <c r="K67" s="662"/>
    </row>
    <row r="68" spans="1:18" ht="11.25" x14ac:dyDescent="0.2">
      <c r="A68" s="504"/>
      <c r="B68" s="504"/>
      <c r="C68" s="504"/>
      <c r="D68" s="504"/>
      <c r="E68" s="554"/>
      <c r="F68" s="504"/>
      <c r="G68" s="563"/>
      <c r="J68" s="662"/>
      <c r="K68" s="662"/>
    </row>
    <row r="69" spans="1:18" ht="11.25" x14ac:dyDescent="0.2">
      <c r="A69" s="504"/>
      <c r="B69" s="504"/>
      <c r="C69" s="504"/>
      <c r="D69" s="504"/>
      <c r="E69" s="564">
        <f>SUM(E63:E68)</f>
        <v>-193120.67</v>
      </c>
      <c r="F69" s="504"/>
      <c r="G69" s="564">
        <f>SUM(G63:G68)</f>
        <v>-286.35949260927578</v>
      </c>
      <c r="J69" s="662"/>
      <c r="K69" s="662"/>
    </row>
    <row r="70" spans="1:18" ht="11.25" x14ac:dyDescent="0.2">
      <c r="B70" s="513"/>
      <c r="E70" s="524"/>
      <c r="F70" s="516"/>
      <c r="G70" s="566"/>
      <c r="H70" s="516"/>
      <c r="I70" s="524"/>
      <c r="J70" s="662"/>
      <c r="K70" s="1215"/>
      <c r="L70" s="524"/>
      <c r="N70" s="567"/>
      <c r="O70" s="567"/>
      <c r="P70" s="504"/>
      <c r="Q70" s="504"/>
      <c r="R70" s="504"/>
    </row>
    <row r="71" spans="1:18" ht="12" thickBot="1" x14ac:dyDescent="0.25">
      <c r="B71" s="513" t="s">
        <v>260</v>
      </c>
      <c r="E71" s="568">
        <f>+E60+E69</f>
        <v>24187302770.54335</v>
      </c>
      <c r="F71" s="516"/>
      <c r="G71" s="569">
        <f>+G9+G69</f>
        <v>35717694.212922759</v>
      </c>
      <c r="H71" s="516"/>
      <c r="I71" s="524"/>
      <c r="J71" s="683">
        <v>24187302772.189999</v>
      </c>
      <c r="K71" s="662">
        <f>+J71-E71</f>
        <v>1.6466484069824219</v>
      </c>
      <c r="L71" s="524"/>
      <c r="M71" s="662"/>
      <c r="N71" s="570"/>
      <c r="O71" s="570"/>
      <c r="P71" s="570"/>
      <c r="Q71" s="570"/>
      <c r="R71" s="504"/>
    </row>
    <row r="72" spans="1:18" ht="12" thickTop="1" x14ac:dyDescent="0.2">
      <c r="E72" s="516"/>
      <c r="F72" s="516"/>
      <c r="G72" s="558"/>
      <c r="H72" s="516"/>
      <c r="I72" s="516"/>
      <c r="J72" s="549"/>
      <c r="K72" s="516"/>
      <c r="L72" s="516"/>
      <c r="N72" s="504"/>
      <c r="O72" s="504"/>
      <c r="P72" s="504"/>
      <c r="Q72" s="504"/>
      <c r="R72" s="504"/>
    </row>
    <row r="73" spans="1:18" ht="12" thickBot="1" x14ac:dyDescent="0.25">
      <c r="B73" s="513" t="s">
        <v>261</v>
      </c>
      <c r="E73" s="569">
        <f>ROUNDDOWN(E71/G71,4)</f>
        <v>677.1798</v>
      </c>
      <c r="F73" s="571"/>
      <c r="G73" s="520"/>
      <c r="H73" s="516"/>
      <c r="I73" s="560"/>
      <c r="J73" s="546"/>
      <c r="K73" s="521"/>
      <c r="L73" s="521"/>
    </row>
    <row r="74" spans="1:18" ht="6" customHeight="1" thickTop="1" x14ac:dyDescent="0.2">
      <c r="B74" s="513"/>
      <c r="E74" s="520"/>
      <c r="F74" s="571"/>
      <c r="G74" s="520"/>
      <c r="H74" s="516"/>
      <c r="K74" s="521"/>
    </row>
    <row r="75" spans="1:18" ht="11.25" x14ac:dyDescent="0.2">
      <c r="B75" s="497" t="s">
        <v>341</v>
      </c>
      <c r="E75" s="520">
        <f>I9</f>
        <v>674.39940000000001</v>
      </c>
      <c r="F75" s="571"/>
      <c r="G75" s="520"/>
      <c r="H75" s="516"/>
      <c r="K75" s="521"/>
    </row>
    <row r="76" spans="1:18" ht="11.25" x14ac:dyDescent="0.2">
      <c r="B76" s="513" t="s">
        <v>274</v>
      </c>
      <c r="E76" s="519">
        <f>E73-I9</f>
        <v>2.780399999999986</v>
      </c>
      <c r="F76" s="571"/>
      <c r="G76" s="572">
        <f>+E76/E75</f>
        <v>4.1227794686649871E-3</v>
      </c>
      <c r="H76" s="516"/>
      <c r="J76" s="521"/>
      <c r="K76" s="521"/>
      <c r="L76" s="560"/>
      <c r="M76" s="573"/>
    </row>
    <row r="77" spans="1:18" ht="13.5" x14ac:dyDescent="0.35">
      <c r="E77" s="574"/>
      <c r="F77" s="575"/>
      <c r="G77" s="576"/>
      <c r="H77" s="577"/>
      <c r="I77" s="578" t="s">
        <v>262</v>
      </c>
      <c r="J77" s="578"/>
      <c r="L77" s="579"/>
    </row>
    <row r="78" spans="1:18" ht="13.5" x14ac:dyDescent="0.35">
      <c r="B78" s="580" t="s">
        <v>289</v>
      </c>
      <c r="C78" s="581"/>
      <c r="D78" s="581"/>
      <c r="E78" s="582">
        <f>+E73</f>
        <v>677.1798</v>
      </c>
      <c r="F78" s="575"/>
      <c r="G78" s="576"/>
      <c r="H78" s="577"/>
      <c r="I78" s="578"/>
      <c r="J78" s="1301">
        <v>760.42790000000002</v>
      </c>
      <c r="K78" s="1238">
        <f>+E78-J78</f>
        <v>-83.248100000000022</v>
      </c>
      <c r="L78" s="578"/>
    </row>
    <row r="79" spans="1:18" ht="13.5" x14ac:dyDescent="0.35">
      <c r="B79" s="583" t="s">
        <v>290</v>
      </c>
      <c r="C79" s="584"/>
      <c r="D79" s="584"/>
      <c r="E79" s="585">
        <f>+E80-E78</f>
        <v>35.64104999999995</v>
      </c>
      <c r="F79" s="575"/>
      <c r="G79" s="576"/>
      <c r="H79" s="577"/>
      <c r="I79" s="578"/>
      <c r="J79" s="1236"/>
      <c r="K79" s="1237"/>
      <c r="L79" s="578"/>
    </row>
    <row r="80" spans="1:18" ht="11.25" x14ac:dyDescent="0.2">
      <c r="B80" s="586" t="s">
        <v>291</v>
      </c>
      <c r="C80" s="587"/>
      <c r="D80" s="587"/>
      <c r="E80" s="588">
        <f>ROUNDDOWN(E78/0.95,4)+0.00005</f>
        <v>712.82084999999995</v>
      </c>
      <c r="F80" s="516"/>
      <c r="G80" s="516"/>
      <c r="H80" s="516"/>
      <c r="I80" s="516"/>
      <c r="J80" s="558">
        <v>800.45054999999991</v>
      </c>
      <c r="K80" s="1238">
        <f t="shared" ref="K80" si="3">+E80-J80</f>
        <v>-87.629699999999957</v>
      </c>
      <c r="L80" s="516"/>
    </row>
    <row r="81" spans="2:12" ht="11.25" x14ac:dyDescent="0.2">
      <c r="B81" s="504"/>
      <c r="C81" s="584"/>
      <c r="D81" s="584"/>
      <c r="E81" s="589"/>
      <c r="F81" s="516"/>
      <c r="G81" s="516"/>
      <c r="H81" s="516"/>
      <c r="I81" s="516"/>
      <c r="J81" s="516"/>
      <c r="K81" s="516"/>
      <c r="L81" s="516"/>
    </row>
    <row r="82" spans="2:12" ht="11.25" x14ac:dyDescent="0.2">
      <c r="B82" s="504"/>
      <c r="C82" s="584"/>
      <c r="D82" s="584"/>
      <c r="E82" s="589"/>
      <c r="F82" s="516"/>
      <c r="G82" s="516"/>
      <c r="H82" s="516"/>
      <c r="I82" s="516"/>
      <c r="J82" s="516"/>
      <c r="K82" s="516"/>
      <c r="L82" s="516"/>
    </row>
    <row r="83" spans="2:12" ht="11.25" x14ac:dyDescent="0.2">
      <c r="B83" s="504"/>
      <c r="C83" s="584"/>
      <c r="D83" s="584"/>
      <c r="E83" s="589"/>
      <c r="F83" s="516"/>
      <c r="G83" s="516"/>
      <c r="H83" s="516"/>
      <c r="I83" s="516"/>
      <c r="J83" s="516"/>
      <c r="K83" s="516"/>
      <c r="L83" s="516"/>
    </row>
    <row r="84" spans="2:12" ht="11.25" x14ac:dyDescent="0.2">
      <c r="B84" s="504"/>
      <c r="C84" s="504"/>
      <c r="D84" s="504"/>
      <c r="E84" s="589"/>
      <c r="F84" s="516"/>
      <c r="G84" s="516"/>
      <c r="H84" s="516"/>
      <c r="I84" s="516"/>
      <c r="J84" s="516"/>
      <c r="K84" s="516"/>
      <c r="L84" s="644"/>
    </row>
    <row r="85" spans="2:12" ht="11.25" x14ac:dyDescent="0.2">
      <c r="B85" s="504" t="s">
        <v>263</v>
      </c>
      <c r="C85" s="590" t="s">
        <v>264</v>
      </c>
      <c r="D85" s="590"/>
      <c r="E85" s="524"/>
      <c r="F85" s="591"/>
      <c r="G85" s="591"/>
      <c r="H85" s="592"/>
      <c r="I85" s="516"/>
      <c r="J85" s="516"/>
      <c r="K85" s="516"/>
      <c r="L85" s="516"/>
    </row>
    <row r="86" spans="2:12" ht="11.25" x14ac:dyDescent="0.2">
      <c r="B86" s="504" t="s">
        <v>265</v>
      </c>
      <c r="C86" s="590" t="s">
        <v>266</v>
      </c>
      <c r="D86" s="590"/>
      <c r="E86" s="504"/>
      <c r="F86" s="1322" t="s">
        <v>267</v>
      </c>
      <c r="G86" s="1322"/>
      <c r="H86" s="1322"/>
      <c r="I86" s="516"/>
      <c r="J86" s="516"/>
      <c r="K86" s="516"/>
      <c r="L86" s="516"/>
    </row>
    <row r="87" spans="2:12" ht="11.25" x14ac:dyDescent="0.2">
      <c r="E87" s="516"/>
      <c r="F87" s="516"/>
      <c r="G87" s="516"/>
      <c r="H87" s="516"/>
      <c r="I87" s="516"/>
      <c r="J87" s="516"/>
      <c r="K87" s="516"/>
      <c r="L87" s="516"/>
    </row>
    <row r="88" spans="2:12" ht="11.25" x14ac:dyDescent="0.2">
      <c r="E88" s="516"/>
      <c r="F88" s="516"/>
      <c r="G88" s="558"/>
      <c r="H88" s="516"/>
      <c r="I88" s="516"/>
      <c r="J88" s="516"/>
      <c r="K88" s="516"/>
      <c r="L88" s="516"/>
    </row>
    <row r="89" spans="2:12" ht="11.25" x14ac:dyDescent="0.2">
      <c r="E89" s="516"/>
      <c r="F89" s="516"/>
      <c r="G89" s="714"/>
      <c r="H89" s="516"/>
      <c r="I89" s="516"/>
      <c r="J89" s="516"/>
      <c r="K89" s="516"/>
      <c r="L89" s="516"/>
    </row>
    <row r="90" spans="2:12" ht="11.25" x14ac:dyDescent="0.2">
      <c r="E90" s="516"/>
      <c r="F90" s="516"/>
      <c r="G90" s="516"/>
      <c r="H90" s="516"/>
      <c r="I90" s="516"/>
      <c r="J90" s="516"/>
      <c r="K90" s="516"/>
      <c r="L90" s="516"/>
    </row>
    <row r="91" spans="2:12" ht="11.25" x14ac:dyDescent="0.2">
      <c r="E91" s="516"/>
      <c r="F91" s="516"/>
      <c r="G91" s="516"/>
      <c r="H91" s="516"/>
      <c r="I91" s="516"/>
      <c r="J91" s="516"/>
      <c r="K91" s="516"/>
      <c r="L91" s="516"/>
    </row>
    <row r="92" spans="2:12" ht="11.25" x14ac:dyDescent="0.2">
      <c r="E92" s="516"/>
      <c r="F92" s="516"/>
      <c r="G92" s="516"/>
      <c r="H92" s="516"/>
      <c r="I92" s="516"/>
      <c r="J92" s="516"/>
      <c r="K92" s="516"/>
      <c r="L92" s="516"/>
    </row>
    <row r="93" spans="2:12" ht="11.25" x14ac:dyDescent="0.2">
      <c r="E93" s="516"/>
      <c r="F93" s="516"/>
      <c r="G93" s="516"/>
      <c r="H93" s="516"/>
      <c r="I93" s="516"/>
      <c r="J93" s="516"/>
      <c r="K93" s="516"/>
      <c r="L93" s="516"/>
    </row>
    <row r="94" spans="2:12" ht="11.25" x14ac:dyDescent="0.2">
      <c r="B94" s="1016" t="s">
        <v>353</v>
      </c>
      <c r="C94" s="1016"/>
      <c r="E94" s="516"/>
      <c r="F94" s="516"/>
      <c r="G94" s="516"/>
      <c r="H94" s="516"/>
      <c r="I94" s="516"/>
      <c r="J94" s="516"/>
      <c r="K94" s="516"/>
      <c r="L94" s="516"/>
    </row>
    <row r="95" spans="2:12" ht="11.25" x14ac:dyDescent="0.2">
      <c r="B95" s="1016" t="s">
        <v>657</v>
      </c>
      <c r="C95" s="1017">
        <f>+'Equity - CIAP MA'!K145</f>
        <v>20753959302.022507</v>
      </c>
      <c r="E95" s="516"/>
      <c r="F95" s="516"/>
      <c r="G95" s="516"/>
      <c r="H95" s="516"/>
      <c r="I95" s="516"/>
      <c r="J95" s="516"/>
      <c r="K95" s="516"/>
      <c r="L95" s="516"/>
    </row>
    <row r="96" spans="2:12" ht="11.25" x14ac:dyDescent="0.2">
      <c r="B96" s="1016" t="s">
        <v>479</v>
      </c>
      <c r="C96" s="1017">
        <f>+PIB!Q17</f>
        <v>0</v>
      </c>
      <c r="E96" s="516"/>
      <c r="F96" s="516"/>
      <c r="G96" s="516"/>
      <c r="H96" s="516"/>
      <c r="I96" s="516"/>
      <c r="J96" s="516"/>
      <c r="K96" s="516"/>
      <c r="L96" s="516"/>
    </row>
    <row r="97" spans="2:12" ht="11.25" x14ac:dyDescent="0.2">
      <c r="B97" s="1016" t="s">
        <v>399</v>
      </c>
      <c r="C97" s="1017">
        <f>+'T-Bills'!R53</f>
        <v>3208908653.9000001</v>
      </c>
      <c r="E97" s="516"/>
      <c r="F97" s="516"/>
      <c r="G97" s="516"/>
      <c r="H97" s="516"/>
      <c r="I97" s="516"/>
      <c r="J97" s="516"/>
      <c r="K97" s="516"/>
      <c r="L97" s="516"/>
    </row>
    <row r="98" spans="2:12" ht="11.25" x14ac:dyDescent="0.2">
      <c r="B98" s="1016" t="s">
        <v>658</v>
      </c>
      <c r="C98" s="1017">
        <v>0</v>
      </c>
      <c r="E98" s="516"/>
      <c r="F98" s="516"/>
      <c r="G98" s="516"/>
      <c r="H98" s="516"/>
      <c r="I98" s="516"/>
      <c r="J98" s="516"/>
      <c r="K98" s="516"/>
      <c r="L98" s="516"/>
    </row>
    <row r="99" spans="2:12" ht="11.25" x14ac:dyDescent="0.2">
      <c r="B99" s="1016" t="s">
        <v>659</v>
      </c>
      <c r="C99" s="1017">
        <f>+'TFCs -Market Value '!N13</f>
        <v>0</v>
      </c>
      <c r="E99" s="516"/>
      <c r="F99" s="516"/>
      <c r="G99" s="516"/>
      <c r="H99" s="516"/>
      <c r="I99" s="516"/>
      <c r="J99" s="516"/>
      <c r="K99" s="516"/>
      <c r="L99" s="516"/>
    </row>
    <row r="100" spans="2:12" ht="11.25" x14ac:dyDescent="0.2">
      <c r="B100" s="1016" t="s">
        <v>66</v>
      </c>
      <c r="C100" s="1017">
        <f>+'TDR accrual '!C23</f>
        <v>0</v>
      </c>
      <c r="E100" s="516"/>
      <c r="F100" s="516"/>
      <c r="G100" s="516"/>
      <c r="H100" s="516"/>
      <c r="I100" s="516"/>
      <c r="J100" s="516"/>
      <c r="K100" s="516"/>
      <c r="L100" s="516"/>
    </row>
    <row r="101" spans="2:12" ht="11.25" x14ac:dyDescent="0.2">
      <c r="E101" s="516"/>
      <c r="F101" s="516"/>
      <c r="G101" s="516"/>
      <c r="H101" s="516"/>
      <c r="I101" s="516"/>
      <c r="J101" s="516"/>
      <c r="K101" s="516"/>
      <c r="L101" s="516"/>
    </row>
    <row r="102" spans="2:12" ht="11.25" x14ac:dyDescent="0.2">
      <c r="E102" s="516"/>
      <c r="F102" s="516"/>
      <c r="G102" s="516"/>
      <c r="H102" s="516"/>
      <c r="I102" s="516"/>
      <c r="J102" s="516"/>
      <c r="K102" s="516"/>
      <c r="L102" s="516"/>
    </row>
    <row r="103" spans="2:12" ht="11.25" x14ac:dyDescent="0.2">
      <c r="E103" s="516"/>
      <c r="F103" s="516"/>
      <c r="G103" s="516"/>
      <c r="H103" s="516"/>
      <c r="I103" s="516"/>
      <c r="J103" s="516"/>
      <c r="K103" s="516"/>
      <c r="L103" s="516"/>
    </row>
    <row r="104" spans="2:12" ht="11.25" x14ac:dyDescent="0.2">
      <c r="E104" s="516"/>
      <c r="F104" s="516"/>
      <c r="G104" s="516"/>
      <c r="H104" s="516"/>
      <c r="I104" s="516"/>
      <c r="J104" s="516"/>
      <c r="K104" s="516"/>
      <c r="L104" s="516"/>
    </row>
    <row r="105" spans="2:12" ht="11.25" x14ac:dyDescent="0.2">
      <c r="E105" s="516"/>
      <c r="F105" s="516"/>
      <c r="G105" s="516"/>
      <c r="H105" s="516"/>
      <c r="I105" s="516"/>
      <c r="J105" s="516"/>
      <c r="K105" s="516"/>
      <c r="L105" s="516"/>
    </row>
    <row r="106" spans="2:12" ht="11.25" x14ac:dyDescent="0.2">
      <c r="E106" s="516"/>
      <c r="F106" s="516"/>
      <c r="G106" s="516"/>
      <c r="H106" s="516"/>
      <c r="I106" s="516"/>
      <c r="J106" s="516"/>
      <c r="K106" s="516"/>
      <c r="L106" s="516"/>
    </row>
    <row r="107" spans="2:12" ht="11.25" x14ac:dyDescent="0.2">
      <c r="E107" s="516"/>
      <c r="F107" s="516"/>
      <c r="G107" s="516"/>
      <c r="H107" s="516"/>
      <c r="I107" s="516"/>
      <c r="J107" s="516"/>
      <c r="K107" s="516"/>
      <c r="L107" s="516"/>
    </row>
    <row r="108" spans="2:12" ht="11.25" x14ac:dyDescent="0.2">
      <c r="E108" s="516"/>
      <c r="F108" s="516"/>
      <c r="G108" s="516"/>
      <c r="H108" s="516"/>
      <c r="I108" s="516"/>
      <c r="J108" s="516"/>
      <c r="K108" s="516"/>
      <c r="L108" s="516"/>
    </row>
    <row r="109" spans="2:12" ht="11.25" x14ac:dyDescent="0.2">
      <c r="E109" s="516"/>
      <c r="F109" s="516"/>
      <c r="G109" s="516"/>
      <c r="H109" s="516"/>
      <c r="I109" s="516"/>
      <c r="J109" s="516"/>
      <c r="K109" s="516"/>
      <c r="L109" s="516"/>
    </row>
    <row r="110" spans="2:12" ht="11.25" x14ac:dyDescent="0.2">
      <c r="E110" s="516"/>
      <c r="F110" s="516"/>
      <c r="G110" s="516"/>
      <c r="H110" s="516"/>
      <c r="I110" s="516"/>
      <c r="J110" s="516"/>
      <c r="K110" s="516"/>
      <c r="L110" s="516"/>
    </row>
    <row r="111" spans="2:12" ht="11.25" x14ac:dyDescent="0.2">
      <c r="E111" s="516"/>
      <c r="F111" s="516"/>
      <c r="G111" s="516"/>
      <c r="H111" s="516"/>
      <c r="I111" s="516"/>
      <c r="J111" s="516"/>
      <c r="K111" s="516"/>
      <c r="L111" s="516"/>
    </row>
    <row r="112" spans="2:12" ht="11.25" x14ac:dyDescent="0.2">
      <c r="E112" s="516"/>
      <c r="F112" s="516"/>
      <c r="G112" s="516"/>
      <c r="H112" s="516"/>
      <c r="I112" s="516"/>
      <c r="J112" s="516"/>
      <c r="K112" s="516"/>
      <c r="L112" s="516"/>
    </row>
    <row r="113" spans="5:12" ht="11.25" x14ac:dyDescent="0.2">
      <c r="E113" s="516"/>
      <c r="F113" s="516"/>
      <c r="G113" s="516"/>
      <c r="H113" s="516"/>
      <c r="I113" s="516"/>
      <c r="J113" s="516"/>
      <c r="K113" s="516"/>
      <c r="L113" s="516"/>
    </row>
    <row r="114" spans="5:12" ht="11.25" x14ac:dyDescent="0.2">
      <c r="E114" s="516"/>
      <c r="F114" s="516"/>
      <c r="G114" s="516"/>
      <c r="H114" s="516"/>
      <c r="I114" s="516"/>
      <c r="J114" s="516"/>
      <c r="K114" s="516"/>
      <c r="L114" s="516"/>
    </row>
    <row r="115" spans="5:12" ht="11.25" x14ac:dyDescent="0.2">
      <c r="E115" s="516"/>
      <c r="F115" s="516"/>
      <c r="G115" s="516"/>
      <c r="H115" s="516"/>
      <c r="I115" s="516"/>
      <c r="J115" s="516"/>
      <c r="K115" s="516"/>
      <c r="L115" s="516"/>
    </row>
    <row r="116" spans="5:12" ht="11.25" x14ac:dyDescent="0.2">
      <c r="E116" s="516"/>
      <c r="F116" s="516"/>
      <c r="G116" s="516"/>
      <c r="H116" s="516"/>
      <c r="I116" s="516"/>
      <c r="J116" s="516"/>
      <c r="K116" s="516"/>
      <c r="L116" s="516"/>
    </row>
    <row r="117" spans="5:12" ht="11.25" x14ac:dyDescent="0.2">
      <c r="E117" s="516"/>
      <c r="F117" s="516"/>
      <c r="G117" s="516"/>
      <c r="H117" s="516"/>
      <c r="I117" s="516"/>
      <c r="J117" s="516"/>
      <c r="K117" s="516"/>
      <c r="L117" s="516"/>
    </row>
    <row r="118" spans="5:12" ht="11.25" x14ac:dyDescent="0.2">
      <c r="E118" s="516"/>
      <c r="F118" s="516"/>
      <c r="G118" s="516"/>
      <c r="H118" s="516"/>
      <c r="I118" s="516"/>
      <c r="J118" s="516"/>
      <c r="K118" s="516"/>
      <c r="L118" s="516"/>
    </row>
    <row r="119" spans="5:12" ht="11.25" x14ac:dyDescent="0.2">
      <c r="E119" s="516"/>
      <c r="F119" s="516"/>
      <c r="G119" s="516"/>
      <c r="H119" s="516"/>
      <c r="I119" s="516"/>
      <c r="J119" s="516"/>
      <c r="K119" s="516"/>
      <c r="L119" s="516"/>
    </row>
    <row r="120" spans="5:12" ht="11.25" x14ac:dyDescent="0.2">
      <c r="E120" s="516"/>
      <c r="F120" s="516"/>
      <c r="G120" s="516"/>
      <c r="H120" s="516"/>
      <c r="I120" s="516"/>
      <c r="J120" s="516"/>
      <c r="K120" s="516"/>
      <c r="L120" s="516"/>
    </row>
    <row r="121" spans="5:12" ht="11.25" x14ac:dyDescent="0.2">
      <c r="E121" s="516"/>
      <c r="F121" s="516"/>
      <c r="G121" s="516"/>
      <c r="H121" s="516"/>
      <c r="I121" s="516"/>
      <c r="J121" s="516"/>
      <c r="K121" s="516"/>
      <c r="L121" s="516"/>
    </row>
    <row r="122" spans="5:12" ht="11.25" x14ac:dyDescent="0.2">
      <c r="E122" s="516"/>
      <c r="F122" s="516"/>
      <c r="G122" s="516"/>
      <c r="H122" s="516"/>
      <c r="I122" s="516"/>
      <c r="J122" s="516"/>
      <c r="K122" s="516"/>
      <c r="L122" s="516"/>
    </row>
    <row r="123" spans="5:12" ht="11.25" x14ac:dyDescent="0.2">
      <c r="E123" s="516"/>
      <c r="F123" s="516"/>
      <c r="G123" s="516"/>
      <c r="H123" s="516"/>
      <c r="I123" s="516"/>
      <c r="J123" s="516"/>
      <c r="K123" s="516"/>
      <c r="L123" s="516"/>
    </row>
    <row r="124" spans="5:12" ht="11.25" x14ac:dyDescent="0.2">
      <c r="E124" s="516"/>
      <c r="F124" s="516"/>
      <c r="G124" s="516"/>
      <c r="H124" s="516"/>
      <c r="I124" s="516"/>
      <c r="J124" s="516"/>
      <c r="K124" s="516"/>
      <c r="L124" s="516"/>
    </row>
    <row r="125" spans="5:12" ht="11.25" x14ac:dyDescent="0.2">
      <c r="E125" s="516"/>
      <c r="F125" s="516"/>
      <c r="G125" s="516"/>
      <c r="H125" s="516"/>
      <c r="I125" s="516"/>
      <c r="J125" s="516"/>
      <c r="K125" s="516"/>
      <c r="L125" s="516"/>
    </row>
    <row r="126" spans="5:12" ht="11.25" x14ac:dyDescent="0.2">
      <c r="E126" s="516"/>
      <c r="F126" s="516"/>
      <c r="G126" s="516"/>
      <c r="H126" s="516"/>
      <c r="I126" s="516"/>
      <c r="J126" s="516"/>
      <c r="K126" s="516"/>
      <c r="L126" s="516"/>
    </row>
    <row r="127" spans="5:12" ht="11.25" x14ac:dyDescent="0.2">
      <c r="E127" s="516"/>
      <c r="F127" s="516"/>
      <c r="G127" s="516"/>
      <c r="H127" s="516"/>
      <c r="I127" s="516"/>
      <c r="J127" s="516"/>
      <c r="K127" s="516"/>
      <c r="L127" s="516"/>
    </row>
    <row r="128" spans="5:12" ht="11.25" x14ac:dyDescent="0.2">
      <c r="E128" s="516"/>
      <c r="F128" s="516"/>
      <c r="G128" s="516"/>
      <c r="H128" s="516"/>
      <c r="I128" s="516"/>
      <c r="J128" s="516"/>
      <c r="K128" s="516"/>
      <c r="L128" s="516"/>
    </row>
    <row r="129" spans="5:12" ht="11.25" x14ac:dyDescent="0.2">
      <c r="E129" s="516"/>
      <c r="F129" s="516"/>
      <c r="G129" s="516"/>
      <c r="H129" s="516"/>
      <c r="I129" s="516"/>
      <c r="J129" s="516"/>
      <c r="K129" s="516"/>
      <c r="L129" s="516"/>
    </row>
    <row r="130" spans="5:12" ht="11.25" x14ac:dyDescent="0.2">
      <c r="E130" s="516"/>
      <c r="F130" s="516"/>
      <c r="G130" s="516"/>
      <c r="H130" s="516"/>
      <c r="I130" s="516"/>
      <c r="J130" s="516"/>
      <c r="K130" s="516"/>
      <c r="L130" s="516"/>
    </row>
    <row r="131" spans="5:12" ht="11.25" x14ac:dyDescent="0.2">
      <c r="E131" s="516"/>
      <c r="F131" s="516"/>
      <c r="G131" s="516"/>
      <c r="H131" s="516"/>
      <c r="I131" s="516"/>
      <c r="J131" s="516"/>
      <c r="K131" s="516"/>
      <c r="L131" s="516"/>
    </row>
    <row r="132" spans="5:12" ht="11.25" x14ac:dyDescent="0.2">
      <c r="E132" s="516"/>
      <c r="F132" s="516"/>
      <c r="G132" s="516"/>
      <c r="H132" s="516"/>
      <c r="I132" s="516"/>
      <c r="J132" s="516"/>
      <c r="K132" s="516"/>
      <c r="L132" s="516"/>
    </row>
    <row r="133" spans="5:12" ht="11.25" x14ac:dyDescent="0.2">
      <c r="E133" s="516"/>
      <c r="F133" s="516"/>
      <c r="G133" s="516"/>
      <c r="H133" s="516"/>
      <c r="I133" s="516"/>
      <c r="J133" s="516"/>
      <c r="K133" s="516"/>
      <c r="L133" s="516"/>
    </row>
    <row r="134" spans="5:12" ht="11.25" x14ac:dyDescent="0.2">
      <c r="E134" s="516"/>
      <c r="F134" s="516"/>
      <c r="G134" s="516"/>
      <c r="H134" s="516"/>
      <c r="I134" s="516"/>
      <c r="J134" s="516"/>
      <c r="K134" s="516"/>
      <c r="L134" s="516"/>
    </row>
    <row r="135" spans="5:12" ht="11.25" x14ac:dyDescent="0.2">
      <c r="E135" s="516"/>
      <c r="F135" s="516"/>
      <c r="G135" s="516"/>
      <c r="H135" s="516"/>
      <c r="I135" s="516"/>
      <c r="J135" s="516"/>
      <c r="K135" s="516"/>
      <c r="L135" s="516"/>
    </row>
    <row r="136" spans="5:12" ht="11.25" x14ac:dyDescent="0.2">
      <c r="E136" s="516"/>
      <c r="F136" s="516"/>
      <c r="G136" s="516"/>
      <c r="H136" s="516"/>
      <c r="I136" s="516"/>
      <c r="J136" s="516"/>
      <c r="K136" s="516"/>
      <c r="L136" s="516"/>
    </row>
    <row r="137" spans="5:12" ht="11.25" x14ac:dyDescent="0.2">
      <c r="E137" s="516"/>
      <c r="F137" s="516"/>
      <c r="G137" s="516"/>
      <c r="H137" s="516"/>
      <c r="I137" s="516"/>
      <c r="J137" s="516"/>
      <c r="K137" s="516"/>
      <c r="L137" s="516"/>
    </row>
    <row r="138" spans="5:12" ht="11.25" x14ac:dyDescent="0.2">
      <c r="E138" s="516"/>
      <c r="F138" s="516"/>
      <c r="G138" s="516"/>
      <c r="H138" s="516"/>
      <c r="I138" s="516"/>
      <c r="J138" s="516"/>
      <c r="K138" s="516"/>
      <c r="L138" s="516"/>
    </row>
    <row r="139" spans="5:12" ht="11.25" x14ac:dyDescent="0.2">
      <c r="E139" s="516"/>
      <c r="F139" s="516"/>
      <c r="G139" s="516"/>
      <c r="H139" s="516"/>
      <c r="I139" s="516"/>
      <c r="J139" s="516"/>
      <c r="K139" s="516"/>
      <c r="L139" s="516"/>
    </row>
    <row r="140" spans="5:12" ht="11.25" x14ac:dyDescent="0.2">
      <c r="E140" s="516"/>
      <c r="F140" s="516"/>
      <c r="G140" s="516"/>
      <c r="H140" s="516"/>
      <c r="I140" s="516"/>
      <c r="J140" s="516"/>
      <c r="K140" s="516"/>
      <c r="L140" s="516"/>
    </row>
    <row r="141" spans="5:12" ht="11.25" x14ac:dyDescent="0.2">
      <c r="E141" s="516"/>
      <c r="F141" s="516"/>
      <c r="G141" s="516"/>
      <c r="H141" s="516"/>
      <c r="I141" s="516"/>
      <c r="J141" s="516"/>
      <c r="K141" s="516"/>
      <c r="L141" s="516"/>
    </row>
    <row r="142" spans="5:12" ht="11.25" x14ac:dyDescent="0.2">
      <c r="E142" s="516"/>
      <c r="F142" s="516"/>
      <c r="G142" s="516"/>
      <c r="H142" s="516"/>
      <c r="I142" s="516"/>
      <c r="J142" s="516"/>
      <c r="K142" s="516"/>
      <c r="L142" s="516"/>
    </row>
    <row r="143" spans="5:12" ht="11.25" x14ac:dyDescent="0.2">
      <c r="E143" s="516"/>
      <c r="F143" s="516"/>
      <c r="G143" s="516"/>
      <c r="H143" s="516"/>
      <c r="I143" s="516"/>
      <c r="J143" s="516"/>
      <c r="K143" s="516"/>
      <c r="L143" s="516"/>
    </row>
    <row r="144" spans="5:12" ht="11.25" x14ac:dyDescent="0.2">
      <c r="E144" s="516"/>
      <c r="F144" s="516"/>
      <c r="G144" s="516"/>
      <c r="H144" s="516"/>
      <c r="I144" s="516"/>
      <c r="J144" s="516"/>
      <c r="K144" s="516"/>
      <c r="L144" s="516"/>
    </row>
    <row r="145" spans="5:12" ht="11.25" x14ac:dyDescent="0.2">
      <c r="E145" s="516"/>
      <c r="F145" s="516"/>
      <c r="G145" s="516"/>
      <c r="H145" s="516"/>
      <c r="I145" s="516"/>
      <c r="J145" s="516"/>
      <c r="K145" s="516"/>
      <c r="L145" s="516"/>
    </row>
    <row r="146" spans="5:12" ht="11.25" x14ac:dyDescent="0.2">
      <c r="E146" s="516"/>
      <c r="F146" s="516"/>
      <c r="G146" s="516"/>
      <c r="H146" s="516"/>
      <c r="I146" s="516"/>
      <c r="J146" s="516"/>
      <c r="K146" s="516"/>
      <c r="L146" s="516"/>
    </row>
    <row r="147" spans="5:12" ht="11.25" x14ac:dyDescent="0.2">
      <c r="E147" s="516"/>
      <c r="F147" s="516"/>
      <c r="G147" s="516"/>
      <c r="H147" s="516"/>
      <c r="I147" s="516"/>
      <c r="J147" s="516"/>
      <c r="K147" s="516"/>
      <c r="L147" s="516"/>
    </row>
    <row r="148" spans="5:12" ht="11.25" x14ac:dyDescent="0.2">
      <c r="E148" s="516"/>
      <c r="F148" s="516"/>
      <c r="G148" s="516"/>
      <c r="H148" s="516"/>
      <c r="I148" s="516"/>
      <c r="J148" s="516"/>
      <c r="K148" s="516"/>
      <c r="L148" s="516"/>
    </row>
    <row r="149" spans="5:12" ht="11.25" x14ac:dyDescent="0.2">
      <c r="E149" s="516"/>
      <c r="F149" s="516"/>
      <c r="G149" s="516"/>
      <c r="H149" s="516"/>
      <c r="I149" s="516"/>
      <c r="J149" s="516"/>
      <c r="K149" s="516"/>
      <c r="L149" s="516"/>
    </row>
    <row r="150" spans="5:12" ht="11.25" x14ac:dyDescent="0.2">
      <c r="E150" s="516"/>
      <c r="F150" s="516"/>
      <c r="G150" s="516"/>
      <c r="H150" s="516"/>
      <c r="I150" s="516"/>
      <c r="J150" s="516"/>
      <c r="K150" s="516"/>
      <c r="L150" s="516"/>
    </row>
    <row r="151" spans="5:12" ht="11.25" x14ac:dyDescent="0.2">
      <c r="E151" s="516"/>
      <c r="F151" s="516"/>
      <c r="G151" s="516"/>
      <c r="H151" s="516"/>
      <c r="I151" s="516"/>
      <c r="J151" s="516"/>
      <c r="K151" s="516"/>
      <c r="L151" s="516"/>
    </row>
    <row r="152" spans="5:12" ht="11.25" x14ac:dyDescent="0.2">
      <c r="E152" s="516"/>
      <c r="F152" s="516"/>
      <c r="G152" s="516"/>
      <c r="H152" s="516"/>
      <c r="I152" s="516"/>
      <c r="J152" s="516"/>
      <c r="K152" s="516"/>
      <c r="L152" s="516"/>
    </row>
    <row r="153" spans="5:12" ht="11.25" x14ac:dyDescent="0.2">
      <c r="E153" s="516"/>
      <c r="F153" s="516"/>
      <c r="G153" s="516"/>
      <c r="H153" s="516"/>
      <c r="I153" s="516"/>
      <c r="J153" s="516"/>
      <c r="K153" s="516"/>
      <c r="L153" s="516"/>
    </row>
    <row r="154" spans="5:12" ht="11.25" x14ac:dyDescent="0.2">
      <c r="E154" s="516"/>
      <c r="F154" s="516"/>
      <c r="G154" s="516"/>
      <c r="H154" s="516"/>
      <c r="I154" s="516"/>
      <c r="J154" s="516"/>
      <c r="K154" s="516"/>
      <c r="L154" s="516"/>
    </row>
    <row r="155" spans="5:12" ht="11.25" x14ac:dyDescent="0.2">
      <c r="E155" s="516"/>
      <c r="F155" s="516"/>
      <c r="G155" s="516"/>
      <c r="H155" s="516"/>
      <c r="I155" s="516"/>
      <c r="J155" s="516"/>
      <c r="K155" s="516"/>
      <c r="L155" s="516"/>
    </row>
    <row r="156" spans="5:12" ht="11.25" x14ac:dyDescent="0.2">
      <c r="E156" s="516"/>
      <c r="F156" s="516"/>
      <c r="G156" s="516"/>
      <c r="H156" s="516"/>
      <c r="I156" s="516"/>
      <c r="J156" s="516"/>
      <c r="K156" s="516"/>
      <c r="L156" s="516"/>
    </row>
    <row r="157" spans="5:12" ht="11.25" x14ac:dyDescent="0.2">
      <c r="E157" s="516"/>
      <c r="F157" s="516"/>
      <c r="G157" s="516"/>
      <c r="H157" s="516"/>
      <c r="I157" s="516"/>
      <c r="J157" s="516"/>
      <c r="K157" s="516"/>
      <c r="L157" s="516"/>
    </row>
    <row r="158" spans="5:12" ht="11.25" x14ac:dyDescent="0.2">
      <c r="E158" s="516"/>
      <c r="F158" s="516"/>
      <c r="G158" s="516"/>
      <c r="H158" s="516"/>
      <c r="I158" s="516"/>
      <c r="J158" s="516"/>
      <c r="K158" s="516"/>
      <c r="L158" s="516"/>
    </row>
    <row r="159" spans="5:12" ht="11.25" x14ac:dyDescent="0.2">
      <c r="E159" s="516"/>
      <c r="F159" s="516"/>
      <c r="G159" s="516"/>
      <c r="H159" s="516"/>
      <c r="I159" s="516"/>
      <c r="J159" s="516"/>
      <c r="K159" s="516"/>
      <c r="L159" s="516"/>
    </row>
    <row r="160" spans="5:12" ht="11.25" x14ac:dyDescent="0.2">
      <c r="E160" s="516"/>
      <c r="F160" s="516"/>
      <c r="G160" s="516"/>
      <c r="H160" s="516"/>
      <c r="I160" s="516"/>
      <c r="J160" s="516"/>
      <c r="K160" s="516"/>
      <c r="L160" s="516"/>
    </row>
    <row r="161" spans="5:12" ht="11.25" x14ac:dyDescent="0.2">
      <c r="E161" s="516"/>
      <c r="F161" s="516"/>
      <c r="G161" s="516"/>
      <c r="H161" s="516"/>
      <c r="I161" s="516"/>
      <c r="J161" s="516"/>
      <c r="K161" s="516"/>
      <c r="L161" s="516"/>
    </row>
    <row r="162" spans="5:12" ht="11.25" x14ac:dyDescent="0.2">
      <c r="E162" s="516"/>
      <c r="F162" s="516"/>
      <c r="G162" s="516"/>
      <c r="H162" s="516"/>
      <c r="I162" s="516"/>
      <c r="J162" s="516"/>
      <c r="K162" s="516"/>
      <c r="L162" s="516"/>
    </row>
    <row r="163" spans="5:12" ht="11.25" x14ac:dyDescent="0.2">
      <c r="E163" s="516"/>
      <c r="F163" s="516"/>
      <c r="G163" s="516"/>
      <c r="H163" s="516"/>
      <c r="I163" s="516"/>
      <c r="J163" s="516"/>
      <c r="K163" s="516"/>
      <c r="L163" s="516"/>
    </row>
    <row r="164" spans="5:12" ht="11.25" x14ac:dyDescent="0.2">
      <c r="E164" s="516"/>
      <c r="F164" s="516"/>
      <c r="G164" s="516"/>
      <c r="H164" s="516"/>
      <c r="I164" s="516"/>
      <c r="J164" s="516"/>
      <c r="K164" s="516"/>
      <c r="L164" s="516"/>
    </row>
    <row r="165" spans="5:12" ht="11.25" x14ac:dyDescent="0.2">
      <c r="E165" s="516"/>
      <c r="F165" s="516"/>
      <c r="G165" s="516"/>
      <c r="H165" s="516"/>
      <c r="I165" s="516"/>
      <c r="J165" s="516"/>
      <c r="K165" s="516"/>
      <c r="L165" s="516"/>
    </row>
    <row r="166" spans="5:12" ht="11.25" x14ac:dyDescent="0.2">
      <c r="E166" s="516"/>
      <c r="F166" s="516"/>
      <c r="G166" s="516"/>
      <c r="H166" s="516"/>
      <c r="I166" s="516"/>
      <c r="J166" s="516"/>
      <c r="K166" s="516"/>
      <c r="L166" s="516"/>
    </row>
    <row r="167" spans="5:12" ht="11.25" x14ac:dyDescent="0.2">
      <c r="E167" s="516"/>
      <c r="F167" s="516"/>
      <c r="G167" s="516"/>
      <c r="H167" s="516"/>
      <c r="I167" s="516"/>
      <c r="J167" s="516"/>
      <c r="K167" s="516"/>
      <c r="L167" s="516"/>
    </row>
    <row r="168" spans="5:12" ht="11.25" x14ac:dyDescent="0.2">
      <c r="E168" s="516"/>
      <c r="F168" s="516"/>
      <c r="G168" s="516"/>
      <c r="H168" s="516"/>
      <c r="I168" s="516"/>
      <c r="J168" s="516"/>
      <c r="K168" s="516"/>
      <c r="L168" s="516"/>
    </row>
    <row r="169" spans="5:12" ht="11.25" x14ac:dyDescent="0.2">
      <c r="E169" s="516"/>
      <c r="F169" s="516"/>
      <c r="G169" s="516"/>
      <c r="H169" s="516"/>
      <c r="I169" s="516"/>
      <c r="J169" s="516"/>
      <c r="K169" s="516"/>
      <c r="L169" s="516"/>
    </row>
    <row r="170" spans="5:12" ht="11.25" x14ac:dyDescent="0.2">
      <c r="E170" s="516"/>
      <c r="F170" s="516"/>
      <c r="G170" s="516"/>
      <c r="H170" s="516"/>
      <c r="I170" s="516"/>
      <c r="J170" s="516"/>
      <c r="K170" s="516"/>
      <c r="L170" s="516"/>
    </row>
    <row r="171" spans="5:12" ht="11.25" x14ac:dyDescent="0.2">
      <c r="E171" s="516"/>
      <c r="F171" s="516"/>
      <c r="G171" s="516"/>
      <c r="H171" s="516"/>
      <c r="I171" s="516"/>
      <c r="J171" s="516"/>
      <c r="K171" s="516"/>
      <c r="L171" s="516"/>
    </row>
    <row r="172" spans="5:12" ht="11.25" x14ac:dyDescent="0.2">
      <c r="E172" s="516"/>
      <c r="F172" s="516"/>
      <c r="G172" s="516"/>
      <c r="H172" s="516"/>
      <c r="I172" s="516"/>
      <c r="J172" s="516"/>
      <c r="K172" s="516"/>
      <c r="L172" s="516"/>
    </row>
    <row r="173" spans="5:12" ht="11.25" x14ac:dyDescent="0.2">
      <c r="E173" s="516"/>
      <c r="F173" s="516"/>
      <c r="G173" s="516"/>
      <c r="H173" s="516"/>
      <c r="I173" s="516"/>
      <c r="J173" s="516"/>
      <c r="K173" s="516"/>
      <c r="L173" s="516"/>
    </row>
    <row r="174" spans="5:12" ht="11.25" x14ac:dyDescent="0.2">
      <c r="E174" s="516"/>
      <c r="F174" s="516"/>
      <c r="G174" s="516"/>
      <c r="H174" s="516"/>
      <c r="I174" s="516"/>
      <c r="J174" s="516"/>
      <c r="K174" s="516"/>
      <c r="L174" s="516"/>
    </row>
    <row r="175" spans="5:12" ht="11.25" x14ac:dyDescent="0.2">
      <c r="E175" s="516"/>
      <c r="F175" s="516"/>
      <c r="G175" s="516"/>
      <c r="H175" s="516"/>
      <c r="I175" s="516"/>
      <c r="J175" s="516"/>
      <c r="K175" s="516"/>
      <c r="L175" s="516"/>
    </row>
    <row r="176" spans="5:12" ht="11.25" x14ac:dyDescent="0.2">
      <c r="E176" s="516"/>
      <c r="F176" s="516"/>
      <c r="G176" s="516"/>
      <c r="H176" s="516"/>
      <c r="I176" s="516"/>
      <c r="J176" s="516"/>
      <c r="K176" s="516"/>
      <c r="L176" s="516"/>
    </row>
    <row r="177" spans="5:12" ht="11.25" x14ac:dyDescent="0.2">
      <c r="E177" s="516"/>
      <c r="F177" s="516"/>
      <c r="G177" s="516"/>
      <c r="H177" s="516"/>
      <c r="I177" s="516"/>
      <c r="J177" s="516"/>
      <c r="K177" s="516"/>
      <c r="L177" s="516"/>
    </row>
    <row r="178" spans="5:12" ht="11.25" x14ac:dyDescent="0.2">
      <c r="E178" s="516"/>
      <c r="F178" s="516"/>
      <c r="G178" s="516"/>
      <c r="H178" s="516"/>
      <c r="I178" s="516"/>
      <c r="J178" s="516"/>
      <c r="K178" s="516"/>
      <c r="L178" s="516"/>
    </row>
    <row r="179" spans="5:12" ht="11.25" x14ac:dyDescent="0.2">
      <c r="E179" s="516"/>
      <c r="F179" s="516"/>
      <c r="G179" s="516"/>
      <c r="H179" s="516"/>
      <c r="I179" s="516"/>
      <c r="J179" s="516"/>
      <c r="K179" s="516"/>
      <c r="L179" s="516"/>
    </row>
    <row r="180" spans="5:12" ht="11.25" x14ac:dyDescent="0.2">
      <c r="E180" s="516"/>
      <c r="F180" s="516"/>
      <c r="G180" s="516"/>
      <c r="H180" s="516"/>
      <c r="I180" s="516"/>
      <c r="J180" s="516"/>
      <c r="K180" s="516"/>
      <c r="L180" s="516"/>
    </row>
    <row r="181" spans="5:12" ht="11.25" x14ac:dyDescent="0.2">
      <c r="E181" s="516"/>
      <c r="F181" s="516"/>
      <c r="G181" s="516"/>
      <c r="H181" s="516"/>
      <c r="I181" s="516"/>
      <c r="J181" s="516"/>
      <c r="K181" s="516"/>
      <c r="L181" s="516"/>
    </row>
    <row r="182" spans="5:12" ht="11.25" x14ac:dyDescent="0.2">
      <c r="E182" s="516"/>
      <c r="F182" s="516"/>
      <c r="G182" s="516"/>
      <c r="H182" s="516"/>
      <c r="I182" s="516"/>
      <c r="J182" s="516"/>
      <c r="K182" s="516"/>
      <c r="L182" s="516"/>
    </row>
    <row r="183" spans="5:12" ht="11.25" x14ac:dyDescent="0.2">
      <c r="E183" s="516"/>
      <c r="F183" s="516"/>
      <c r="G183" s="516"/>
      <c r="H183" s="516"/>
      <c r="I183" s="516"/>
      <c r="J183" s="516"/>
      <c r="K183" s="516"/>
      <c r="L183" s="516"/>
    </row>
    <row r="184" spans="5:12" ht="11.25" x14ac:dyDescent="0.2">
      <c r="E184" s="516"/>
      <c r="F184" s="516"/>
      <c r="G184" s="516"/>
      <c r="H184" s="516"/>
      <c r="I184" s="516"/>
      <c r="J184" s="516"/>
      <c r="K184" s="516"/>
      <c r="L184" s="516"/>
    </row>
    <row r="185" spans="5:12" ht="11.25" x14ac:dyDescent="0.2">
      <c r="E185" s="516"/>
      <c r="F185" s="516"/>
      <c r="G185" s="516"/>
      <c r="H185" s="516"/>
      <c r="I185" s="516"/>
      <c r="J185" s="516"/>
      <c r="K185" s="516"/>
      <c r="L185" s="516"/>
    </row>
    <row r="186" spans="5:12" ht="11.25" x14ac:dyDescent="0.2">
      <c r="E186" s="516"/>
      <c r="F186" s="516"/>
      <c r="G186" s="516"/>
      <c r="H186" s="516"/>
      <c r="I186" s="516"/>
      <c r="J186" s="516"/>
      <c r="K186" s="516"/>
      <c r="L186" s="516"/>
    </row>
    <row r="187" spans="5:12" ht="11.25" x14ac:dyDescent="0.2">
      <c r="E187" s="516"/>
      <c r="F187" s="516"/>
      <c r="G187" s="516"/>
      <c r="H187" s="516"/>
      <c r="I187" s="516"/>
      <c r="J187" s="516"/>
      <c r="K187" s="516"/>
      <c r="L187" s="516"/>
    </row>
    <row r="188" spans="5:12" ht="11.25" x14ac:dyDescent="0.2">
      <c r="E188" s="516"/>
      <c r="F188" s="516"/>
      <c r="G188" s="516"/>
      <c r="H188" s="516"/>
      <c r="I188" s="516"/>
      <c r="J188" s="516"/>
      <c r="K188" s="516"/>
      <c r="L188" s="516"/>
    </row>
    <row r="189" spans="5:12" ht="11.25" x14ac:dyDescent="0.2">
      <c r="E189" s="516"/>
      <c r="F189" s="516"/>
      <c r="G189" s="516"/>
      <c r="H189" s="516"/>
      <c r="I189" s="516"/>
      <c r="J189" s="516"/>
      <c r="K189" s="516"/>
      <c r="L189" s="516"/>
    </row>
    <row r="190" spans="5:12" ht="11.25" x14ac:dyDescent="0.2">
      <c r="E190" s="516"/>
      <c r="F190" s="516"/>
      <c r="G190" s="516"/>
      <c r="H190" s="516"/>
      <c r="I190" s="516"/>
      <c r="J190" s="516"/>
      <c r="K190" s="516"/>
      <c r="L190" s="516"/>
    </row>
    <row r="191" spans="5:12" ht="11.25" x14ac:dyDescent="0.2">
      <c r="E191" s="516"/>
      <c r="F191" s="516"/>
      <c r="G191" s="516"/>
      <c r="H191" s="516"/>
      <c r="I191" s="516"/>
      <c r="J191" s="516"/>
      <c r="K191" s="516"/>
      <c r="L191" s="516"/>
    </row>
    <row r="192" spans="5:12" ht="11.25" x14ac:dyDescent="0.2">
      <c r="E192" s="516"/>
      <c r="F192" s="516"/>
      <c r="G192" s="516"/>
      <c r="H192" s="516"/>
      <c r="I192" s="516"/>
      <c r="J192" s="516"/>
      <c r="K192" s="516"/>
      <c r="L192" s="516"/>
    </row>
    <row r="193" spans="5:12" ht="11.25" x14ac:dyDescent="0.2">
      <c r="E193" s="516"/>
      <c r="F193" s="516"/>
      <c r="G193" s="516"/>
      <c r="H193" s="516"/>
      <c r="I193" s="516"/>
      <c r="J193" s="516"/>
      <c r="K193" s="516"/>
      <c r="L193" s="516"/>
    </row>
    <row r="194" spans="5:12" ht="11.25" x14ac:dyDescent="0.2">
      <c r="E194" s="516"/>
      <c r="F194" s="516"/>
      <c r="G194" s="516"/>
      <c r="H194" s="516"/>
      <c r="I194" s="516"/>
      <c r="J194" s="516"/>
      <c r="K194" s="516"/>
      <c r="L194" s="516"/>
    </row>
    <row r="195" spans="5:12" ht="11.25" x14ac:dyDescent="0.2">
      <c r="E195" s="516"/>
      <c r="F195" s="516"/>
      <c r="G195" s="516"/>
      <c r="H195" s="516"/>
      <c r="I195" s="516"/>
      <c r="J195" s="516"/>
      <c r="K195" s="516"/>
      <c r="L195" s="516"/>
    </row>
    <row r="196" spans="5:12" ht="11.25" x14ac:dyDescent="0.2">
      <c r="E196" s="516"/>
      <c r="F196" s="516"/>
      <c r="G196" s="516"/>
      <c r="H196" s="516"/>
      <c r="I196" s="516"/>
      <c r="J196" s="516"/>
      <c r="K196" s="516"/>
      <c r="L196" s="516"/>
    </row>
    <row r="197" spans="5:12" ht="11.25" x14ac:dyDescent="0.2">
      <c r="E197" s="516"/>
      <c r="F197" s="516"/>
      <c r="G197" s="516"/>
      <c r="H197" s="516"/>
      <c r="I197" s="516"/>
      <c r="J197" s="516"/>
      <c r="K197" s="516"/>
      <c r="L197" s="516"/>
    </row>
    <row r="198" spans="5:12" ht="11.25" x14ac:dyDescent="0.2">
      <c r="E198" s="516"/>
      <c r="F198" s="516"/>
      <c r="G198" s="516"/>
      <c r="H198" s="516"/>
      <c r="I198" s="516"/>
      <c r="J198" s="516"/>
      <c r="K198" s="516"/>
      <c r="L198" s="516"/>
    </row>
    <row r="199" spans="5:12" ht="11.25" x14ac:dyDescent="0.2">
      <c r="E199" s="516"/>
      <c r="F199" s="516"/>
      <c r="G199" s="516"/>
      <c r="H199" s="516"/>
      <c r="I199" s="516"/>
      <c r="J199" s="516"/>
      <c r="K199" s="516"/>
      <c r="L199" s="516"/>
    </row>
    <row r="200" spans="5:12" ht="11.25" x14ac:dyDescent="0.2">
      <c r="E200" s="516"/>
      <c r="F200" s="516"/>
      <c r="G200" s="516"/>
      <c r="H200" s="516"/>
      <c r="I200" s="516"/>
      <c r="J200" s="516"/>
      <c r="K200" s="516"/>
      <c r="L200" s="516"/>
    </row>
    <row r="201" spans="5:12" ht="11.25" x14ac:dyDescent="0.2">
      <c r="E201" s="516"/>
      <c r="F201" s="516"/>
      <c r="G201" s="516"/>
      <c r="H201" s="516"/>
      <c r="I201" s="516"/>
      <c r="J201" s="516"/>
      <c r="K201" s="516"/>
      <c r="L201" s="516"/>
    </row>
    <row r="202" spans="5:12" ht="11.25" x14ac:dyDescent="0.2">
      <c r="E202" s="516"/>
      <c r="F202" s="516"/>
      <c r="G202" s="516"/>
      <c r="H202" s="516"/>
      <c r="I202" s="516"/>
      <c r="J202" s="516"/>
      <c r="K202" s="516"/>
      <c r="L202" s="516"/>
    </row>
    <row r="203" spans="5:12" ht="11.25" x14ac:dyDescent="0.2">
      <c r="E203" s="516"/>
      <c r="F203" s="516"/>
      <c r="G203" s="516"/>
      <c r="H203" s="516"/>
      <c r="I203" s="516"/>
      <c r="J203" s="516"/>
      <c r="K203" s="516"/>
      <c r="L203" s="516"/>
    </row>
    <row r="204" spans="5:12" ht="11.25" x14ac:dyDescent="0.2">
      <c r="E204" s="516"/>
      <c r="F204" s="516"/>
      <c r="G204" s="516"/>
      <c r="H204" s="516"/>
      <c r="I204" s="516"/>
      <c r="J204" s="516"/>
      <c r="K204" s="516"/>
      <c r="L204" s="516"/>
    </row>
    <row r="205" spans="5:12" ht="11.25" x14ac:dyDescent="0.2">
      <c r="E205" s="516"/>
      <c r="F205" s="516"/>
      <c r="G205" s="516"/>
      <c r="H205" s="516"/>
      <c r="I205" s="516"/>
      <c r="J205" s="516"/>
      <c r="K205" s="516"/>
      <c r="L205" s="516"/>
    </row>
    <row r="206" spans="5:12" ht="11.25" x14ac:dyDescent="0.2">
      <c r="E206" s="516"/>
      <c r="F206" s="516"/>
      <c r="G206" s="516"/>
      <c r="H206" s="516"/>
      <c r="I206" s="516"/>
      <c r="J206" s="516"/>
      <c r="K206" s="516"/>
      <c r="L206" s="516"/>
    </row>
    <row r="207" spans="5:12" ht="11.25" x14ac:dyDescent="0.2">
      <c r="E207" s="516"/>
      <c r="F207" s="516"/>
      <c r="G207" s="516"/>
      <c r="H207" s="516"/>
      <c r="I207" s="516"/>
      <c r="J207" s="516"/>
      <c r="K207" s="516"/>
      <c r="L207" s="516"/>
    </row>
    <row r="208" spans="5:12" ht="11.25" x14ac:dyDescent="0.2">
      <c r="E208" s="516"/>
      <c r="F208" s="516"/>
      <c r="G208" s="516"/>
      <c r="H208" s="516"/>
      <c r="I208" s="516"/>
      <c r="J208" s="516"/>
      <c r="K208" s="516"/>
      <c r="L208" s="516"/>
    </row>
    <row r="209" spans="5:12" ht="11.25" x14ac:dyDescent="0.2">
      <c r="E209" s="516"/>
      <c r="F209" s="516"/>
      <c r="G209" s="516"/>
      <c r="H209" s="516"/>
      <c r="I209" s="516"/>
      <c r="J209" s="516"/>
      <c r="K209" s="516"/>
      <c r="L209" s="516"/>
    </row>
    <row r="210" spans="5:12" ht="11.25" x14ac:dyDescent="0.2">
      <c r="E210" s="516"/>
      <c r="F210" s="516"/>
      <c r="G210" s="516"/>
      <c r="H210" s="516"/>
      <c r="I210" s="516"/>
      <c r="J210" s="516"/>
      <c r="K210" s="516"/>
      <c r="L210" s="516"/>
    </row>
    <row r="211" spans="5:12" ht="11.25" x14ac:dyDescent="0.2">
      <c r="E211" s="516"/>
      <c r="F211" s="516"/>
      <c r="G211" s="516"/>
      <c r="H211" s="516"/>
      <c r="I211" s="516"/>
      <c r="J211" s="516"/>
      <c r="K211" s="516"/>
      <c r="L211" s="516"/>
    </row>
    <row r="212" spans="5:12" ht="11.25" x14ac:dyDescent="0.2">
      <c r="E212" s="516"/>
      <c r="F212" s="516"/>
      <c r="G212" s="516"/>
      <c r="H212" s="516"/>
      <c r="I212" s="516"/>
      <c r="J212" s="516"/>
      <c r="K212" s="516"/>
      <c r="L212" s="516"/>
    </row>
    <row r="213" spans="5:12" ht="11.25" x14ac:dyDescent="0.2">
      <c r="E213" s="516"/>
      <c r="F213" s="516"/>
      <c r="G213" s="516"/>
      <c r="H213" s="516"/>
      <c r="I213" s="516"/>
      <c r="J213" s="516"/>
      <c r="K213" s="516"/>
      <c r="L213" s="516"/>
    </row>
    <row r="214" spans="5:12" ht="11.25" x14ac:dyDescent="0.2">
      <c r="E214" s="516"/>
      <c r="F214" s="516"/>
      <c r="G214" s="516"/>
      <c r="H214" s="516"/>
      <c r="I214" s="516"/>
      <c r="J214" s="516"/>
      <c r="K214" s="516"/>
      <c r="L214" s="516"/>
    </row>
    <row r="215" spans="5:12" ht="11.25" x14ac:dyDescent="0.2">
      <c r="E215" s="516"/>
      <c r="F215" s="516"/>
      <c r="G215" s="516"/>
      <c r="H215" s="516"/>
      <c r="I215" s="516"/>
      <c r="J215" s="516"/>
      <c r="K215" s="516"/>
      <c r="L215" s="516"/>
    </row>
    <row r="216" spans="5:12" ht="11.25" x14ac:dyDescent="0.2">
      <c r="E216" s="516"/>
      <c r="F216" s="516"/>
      <c r="G216" s="516"/>
      <c r="H216" s="516"/>
      <c r="I216" s="516"/>
      <c r="J216" s="516"/>
      <c r="K216" s="516"/>
      <c r="L216" s="516"/>
    </row>
    <row r="217" spans="5:12" ht="11.25" x14ac:dyDescent="0.2">
      <c r="E217" s="516"/>
      <c r="F217" s="516"/>
      <c r="G217" s="516"/>
      <c r="H217" s="516"/>
      <c r="I217" s="516"/>
      <c r="J217" s="516"/>
      <c r="K217" s="516"/>
      <c r="L217" s="516"/>
    </row>
    <row r="218" spans="5:12" ht="11.25" x14ac:dyDescent="0.2">
      <c r="E218" s="516"/>
      <c r="F218" s="516"/>
      <c r="G218" s="516"/>
      <c r="H218" s="516"/>
      <c r="I218" s="516"/>
      <c r="J218" s="516"/>
      <c r="K218" s="516"/>
      <c r="L218" s="516"/>
    </row>
    <row r="219" spans="5:12" ht="11.25" x14ac:dyDescent="0.2">
      <c r="E219" s="516"/>
      <c r="F219" s="516"/>
      <c r="G219" s="516"/>
      <c r="H219" s="516"/>
      <c r="I219" s="516"/>
      <c r="J219" s="516"/>
      <c r="K219" s="516"/>
      <c r="L219" s="516"/>
    </row>
    <row r="220" spans="5:12" ht="11.25" x14ac:dyDescent="0.2">
      <c r="E220" s="516"/>
      <c r="F220" s="516"/>
      <c r="G220" s="516"/>
      <c r="H220" s="516"/>
      <c r="I220" s="516"/>
      <c r="J220" s="516"/>
      <c r="K220" s="516"/>
      <c r="L220" s="516"/>
    </row>
    <row r="221" spans="5:12" ht="11.25" x14ac:dyDescent="0.2">
      <c r="E221" s="516"/>
      <c r="F221" s="516"/>
      <c r="G221" s="516"/>
      <c r="H221" s="516"/>
      <c r="I221" s="516"/>
      <c r="J221" s="516"/>
      <c r="K221" s="516"/>
      <c r="L221" s="516"/>
    </row>
    <row r="222" spans="5:12" ht="11.25" x14ac:dyDescent="0.2">
      <c r="E222" s="516"/>
      <c r="F222" s="516"/>
      <c r="G222" s="516"/>
      <c r="H222" s="516"/>
      <c r="I222" s="516"/>
      <c r="J222" s="516"/>
      <c r="K222" s="516"/>
      <c r="L222" s="516"/>
    </row>
    <row r="223" spans="5:12" ht="11.25" x14ac:dyDescent="0.2">
      <c r="E223" s="516"/>
      <c r="F223" s="516"/>
      <c r="G223" s="516"/>
      <c r="H223" s="516"/>
      <c r="I223" s="516"/>
      <c r="J223" s="516"/>
      <c r="K223" s="516"/>
      <c r="L223" s="516"/>
    </row>
    <row r="224" spans="5:12" ht="11.25" x14ac:dyDescent="0.2">
      <c r="E224" s="516"/>
      <c r="F224" s="516"/>
      <c r="G224" s="516"/>
      <c r="H224" s="516"/>
      <c r="I224" s="516"/>
      <c r="J224" s="516"/>
      <c r="K224" s="516"/>
      <c r="L224" s="516"/>
    </row>
    <row r="225" spans="5:12" ht="11.25" x14ac:dyDescent="0.2">
      <c r="E225" s="516"/>
      <c r="F225" s="516"/>
      <c r="G225" s="516"/>
      <c r="H225" s="516"/>
      <c r="I225" s="516"/>
      <c r="J225" s="516"/>
      <c r="K225" s="516"/>
      <c r="L225" s="516"/>
    </row>
    <row r="226" spans="5:12" ht="11.25" x14ac:dyDescent="0.2">
      <c r="E226" s="516"/>
      <c r="F226" s="516"/>
      <c r="G226" s="516"/>
      <c r="H226" s="516"/>
      <c r="I226" s="516"/>
      <c r="J226" s="516"/>
      <c r="K226" s="516"/>
      <c r="L226" s="516"/>
    </row>
    <row r="227" spans="5:12" ht="11.25" x14ac:dyDescent="0.2">
      <c r="E227" s="516"/>
      <c r="F227" s="516"/>
      <c r="G227" s="516"/>
      <c r="H227" s="516"/>
      <c r="I227" s="516"/>
      <c r="J227" s="516"/>
      <c r="K227" s="516"/>
      <c r="L227" s="516"/>
    </row>
    <row r="228" spans="5:12" ht="11.25" x14ac:dyDescent="0.2">
      <c r="E228" s="516"/>
      <c r="F228" s="516"/>
      <c r="G228" s="516"/>
      <c r="H228" s="516"/>
      <c r="I228" s="516"/>
      <c r="J228" s="516"/>
      <c r="K228" s="516"/>
      <c r="L228" s="516"/>
    </row>
    <row r="229" spans="5:12" ht="11.25" x14ac:dyDescent="0.2">
      <c r="E229" s="516"/>
      <c r="F229" s="516"/>
      <c r="G229" s="516"/>
      <c r="H229" s="516"/>
      <c r="I229" s="516"/>
      <c r="J229" s="516"/>
      <c r="K229" s="516"/>
      <c r="L229" s="516"/>
    </row>
    <row r="230" spans="5:12" ht="11.25" x14ac:dyDescent="0.2">
      <c r="E230" s="516"/>
      <c r="F230" s="516"/>
      <c r="G230" s="516"/>
      <c r="H230" s="516"/>
      <c r="I230" s="516"/>
      <c r="J230" s="516"/>
      <c r="K230" s="516"/>
      <c r="L230" s="516"/>
    </row>
    <row r="231" spans="5:12" ht="11.25" x14ac:dyDescent="0.2">
      <c r="E231" s="516"/>
      <c r="F231" s="516"/>
      <c r="G231" s="516"/>
      <c r="H231" s="516"/>
      <c r="I231" s="516"/>
      <c r="J231" s="516"/>
      <c r="K231" s="516"/>
      <c r="L231" s="516"/>
    </row>
    <row r="232" spans="5:12" ht="11.25" x14ac:dyDescent="0.2">
      <c r="E232" s="516"/>
      <c r="F232" s="516"/>
      <c r="G232" s="516"/>
      <c r="H232" s="516"/>
      <c r="I232" s="516"/>
      <c r="J232" s="516"/>
      <c r="K232" s="516"/>
      <c r="L232" s="516"/>
    </row>
    <row r="233" spans="5:12" ht="11.25" x14ac:dyDescent="0.2">
      <c r="E233" s="516"/>
      <c r="F233" s="516"/>
      <c r="G233" s="516"/>
      <c r="H233" s="516"/>
      <c r="I233" s="516"/>
      <c r="J233" s="516"/>
      <c r="K233" s="516"/>
      <c r="L233" s="516"/>
    </row>
    <row r="234" spans="5:12" ht="11.25" x14ac:dyDescent="0.2">
      <c r="E234" s="516"/>
      <c r="F234" s="516"/>
      <c r="G234" s="516"/>
      <c r="H234" s="516"/>
      <c r="I234" s="516"/>
      <c r="J234" s="516"/>
      <c r="K234" s="516"/>
      <c r="L234" s="516"/>
    </row>
    <row r="235" spans="5:12" ht="11.25" x14ac:dyDescent="0.2">
      <c r="E235" s="516"/>
      <c r="F235" s="516"/>
      <c r="G235" s="516"/>
      <c r="H235" s="516"/>
      <c r="I235" s="516"/>
      <c r="J235" s="516"/>
      <c r="K235" s="516"/>
      <c r="L235" s="516"/>
    </row>
    <row r="236" spans="5:12" ht="11.25" x14ac:dyDescent="0.2">
      <c r="E236" s="516"/>
      <c r="F236" s="516"/>
      <c r="G236" s="516"/>
      <c r="H236" s="516"/>
      <c r="I236" s="516"/>
      <c r="J236" s="516"/>
      <c r="K236" s="516"/>
      <c r="L236" s="516"/>
    </row>
    <row r="237" spans="5:12" ht="11.25" x14ac:dyDescent="0.2">
      <c r="E237" s="516"/>
      <c r="F237" s="516"/>
      <c r="G237" s="516"/>
      <c r="H237" s="516"/>
      <c r="I237" s="516"/>
      <c r="J237" s="516"/>
      <c r="K237" s="516"/>
      <c r="L237" s="516"/>
    </row>
    <row r="238" spans="5:12" ht="11.25" x14ac:dyDescent="0.2">
      <c r="E238" s="516"/>
      <c r="F238" s="516"/>
      <c r="G238" s="516"/>
      <c r="H238" s="516"/>
      <c r="I238" s="516"/>
      <c r="J238" s="516"/>
      <c r="K238" s="516"/>
      <c r="L238" s="516"/>
    </row>
    <row r="239" spans="5:12" ht="11.25" x14ac:dyDescent="0.2">
      <c r="E239" s="516"/>
      <c r="F239" s="516"/>
      <c r="G239" s="516"/>
      <c r="H239" s="516"/>
      <c r="I239" s="516"/>
      <c r="J239" s="516"/>
      <c r="K239" s="516"/>
      <c r="L239" s="516"/>
    </row>
    <row r="240" spans="5:12" ht="11.25" x14ac:dyDescent="0.2">
      <c r="E240" s="516"/>
      <c r="F240" s="516"/>
      <c r="G240" s="516"/>
      <c r="H240" s="516"/>
      <c r="I240" s="516"/>
      <c r="J240" s="516"/>
      <c r="K240" s="516"/>
      <c r="L240" s="516"/>
    </row>
    <row r="241" spans="5:12" ht="11.25" x14ac:dyDescent="0.2">
      <c r="E241" s="516"/>
      <c r="F241" s="516"/>
      <c r="G241" s="516"/>
      <c r="H241" s="516"/>
      <c r="I241" s="516"/>
      <c r="J241" s="516"/>
      <c r="K241" s="516"/>
      <c r="L241" s="516"/>
    </row>
    <row r="242" spans="5:12" ht="11.25" x14ac:dyDescent="0.2">
      <c r="E242" s="516"/>
      <c r="F242" s="516"/>
      <c r="G242" s="516"/>
      <c r="H242" s="516"/>
      <c r="I242" s="516"/>
      <c r="J242" s="516"/>
      <c r="K242" s="516"/>
      <c r="L242" s="516"/>
    </row>
    <row r="243" spans="5:12" ht="11.25" x14ac:dyDescent="0.2">
      <c r="E243" s="516"/>
      <c r="F243" s="516"/>
      <c r="G243" s="516"/>
      <c r="H243" s="516"/>
      <c r="I243" s="516"/>
      <c r="J243" s="516"/>
      <c r="K243" s="516"/>
      <c r="L243" s="516"/>
    </row>
    <row r="244" spans="5:12" ht="11.25" x14ac:dyDescent="0.2">
      <c r="E244" s="516"/>
      <c r="F244" s="516"/>
      <c r="G244" s="516"/>
      <c r="H244" s="516"/>
      <c r="I244" s="516"/>
      <c r="J244" s="516"/>
      <c r="K244" s="516"/>
      <c r="L244" s="516"/>
    </row>
    <row r="245" spans="5:12" ht="11.25" x14ac:dyDescent="0.2">
      <c r="E245" s="516"/>
      <c r="F245" s="516"/>
      <c r="G245" s="516"/>
      <c r="H245" s="516"/>
      <c r="I245" s="516"/>
      <c r="J245" s="516"/>
      <c r="K245" s="516"/>
      <c r="L245" s="516"/>
    </row>
    <row r="246" spans="5:12" ht="11.25" x14ac:dyDescent="0.2">
      <c r="E246" s="516"/>
      <c r="F246" s="516"/>
      <c r="G246" s="516"/>
      <c r="H246" s="516"/>
      <c r="I246" s="516"/>
      <c r="J246" s="516"/>
      <c r="K246" s="516"/>
      <c r="L246" s="516"/>
    </row>
    <row r="247" spans="5:12" ht="11.25" x14ac:dyDescent="0.2">
      <c r="E247" s="516"/>
      <c r="F247" s="516"/>
      <c r="G247" s="516"/>
      <c r="H247" s="516"/>
      <c r="I247" s="516"/>
      <c r="J247" s="516"/>
      <c r="K247" s="516"/>
      <c r="L247" s="516"/>
    </row>
    <row r="248" spans="5:12" ht="11.25" x14ac:dyDescent="0.2">
      <c r="E248" s="516"/>
      <c r="F248" s="516"/>
      <c r="G248" s="516"/>
      <c r="H248" s="516"/>
      <c r="I248" s="516"/>
      <c r="J248" s="516"/>
      <c r="K248" s="516"/>
      <c r="L248" s="516"/>
    </row>
    <row r="249" spans="5:12" ht="11.25" x14ac:dyDescent="0.2">
      <c r="E249" s="516"/>
      <c r="F249" s="516"/>
      <c r="G249" s="516"/>
      <c r="H249" s="516"/>
      <c r="I249" s="516"/>
      <c r="J249" s="516"/>
      <c r="K249" s="516"/>
      <c r="L249" s="516"/>
    </row>
    <row r="250" spans="5:12" ht="11.25" x14ac:dyDescent="0.2">
      <c r="E250" s="516"/>
      <c r="F250" s="516"/>
      <c r="G250" s="516"/>
      <c r="H250" s="516"/>
      <c r="I250" s="516"/>
      <c r="J250" s="516"/>
      <c r="K250" s="516"/>
      <c r="L250" s="516"/>
    </row>
    <row r="251" spans="5:12" ht="11.25" x14ac:dyDescent="0.2">
      <c r="E251" s="516"/>
      <c r="F251" s="516"/>
      <c r="G251" s="516"/>
      <c r="H251" s="516"/>
      <c r="I251" s="516"/>
      <c r="J251" s="516"/>
      <c r="K251" s="516"/>
      <c r="L251" s="516"/>
    </row>
    <row r="252" spans="5:12" ht="11.25" x14ac:dyDescent="0.2">
      <c r="E252" s="516"/>
      <c r="F252" s="516"/>
      <c r="G252" s="516"/>
      <c r="H252" s="516"/>
      <c r="I252" s="516"/>
      <c r="J252" s="516"/>
      <c r="K252" s="516"/>
      <c r="L252" s="516"/>
    </row>
    <row r="253" spans="5:12" ht="11.25" x14ac:dyDescent="0.2">
      <c r="E253" s="516"/>
      <c r="F253" s="516"/>
      <c r="G253" s="516"/>
      <c r="H253" s="516"/>
      <c r="I253" s="516"/>
      <c r="J253" s="516"/>
      <c r="K253" s="516"/>
      <c r="L253" s="516"/>
    </row>
    <row r="254" spans="5:12" ht="11.25" x14ac:dyDescent="0.2">
      <c r="E254" s="516"/>
      <c r="F254" s="516"/>
      <c r="G254" s="516"/>
      <c r="H254" s="516"/>
      <c r="I254" s="516"/>
      <c r="J254" s="516"/>
      <c r="K254" s="516"/>
      <c r="L254" s="516"/>
    </row>
    <row r="255" spans="5:12" ht="11.25" x14ac:dyDescent="0.2">
      <c r="E255" s="516"/>
      <c r="F255" s="516"/>
      <c r="G255" s="516"/>
      <c r="H255" s="516"/>
      <c r="I255" s="516"/>
      <c r="J255" s="516"/>
      <c r="K255" s="516"/>
      <c r="L255" s="516"/>
    </row>
    <row r="256" spans="5:12" ht="11.25" x14ac:dyDescent="0.2">
      <c r="E256" s="516"/>
      <c r="F256" s="516"/>
      <c r="G256" s="516"/>
      <c r="H256" s="516"/>
      <c r="I256" s="516"/>
      <c r="J256" s="516"/>
      <c r="K256" s="516"/>
      <c r="L256" s="516"/>
    </row>
    <row r="257" spans="5:12" ht="11.25" x14ac:dyDescent="0.2">
      <c r="E257" s="516"/>
      <c r="F257" s="516"/>
      <c r="G257" s="516"/>
      <c r="H257" s="516"/>
      <c r="I257" s="516"/>
      <c r="J257" s="516"/>
      <c r="K257" s="516"/>
      <c r="L257" s="516"/>
    </row>
    <row r="258" spans="5:12" ht="11.25" x14ac:dyDescent="0.2">
      <c r="E258" s="516"/>
      <c r="F258" s="516"/>
      <c r="G258" s="516"/>
      <c r="H258" s="516"/>
      <c r="I258" s="516"/>
      <c r="J258" s="516"/>
      <c r="K258" s="516"/>
      <c r="L258" s="516"/>
    </row>
    <row r="259" spans="5:12" ht="11.25" x14ac:dyDescent="0.2">
      <c r="E259" s="516"/>
      <c r="F259" s="516"/>
      <c r="G259" s="516"/>
      <c r="H259" s="516"/>
      <c r="I259" s="516"/>
      <c r="J259" s="516"/>
      <c r="K259" s="516"/>
      <c r="L259" s="516"/>
    </row>
    <row r="260" spans="5:12" ht="11.25" x14ac:dyDescent="0.2">
      <c r="E260" s="516"/>
      <c r="F260" s="516"/>
      <c r="G260" s="516"/>
      <c r="H260" s="516"/>
      <c r="I260" s="516"/>
      <c r="J260" s="516"/>
      <c r="K260" s="516"/>
      <c r="L260" s="516"/>
    </row>
    <row r="261" spans="5:12" ht="11.25" x14ac:dyDescent="0.2">
      <c r="E261" s="516"/>
      <c r="F261" s="516"/>
      <c r="G261" s="516"/>
      <c r="H261" s="516"/>
      <c r="I261" s="516"/>
      <c r="J261" s="516"/>
      <c r="K261" s="516"/>
      <c r="L261" s="516"/>
    </row>
    <row r="262" spans="5:12" ht="11.25" x14ac:dyDescent="0.2">
      <c r="E262" s="516"/>
      <c r="F262" s="516"/>
      <c r="G262" s="516"/>
      <c r="H262" s="516"/>
      <c r="I262" s="516"/>
      <c r="J262" s="516"/>
      <c r="K262" s="516"/>
      <c r="L262" s="516"/>
    </row>
    <row r="263" spans="5:12" ht="11.25" x14ac:dyDescent="0.2">
      <c r="E263" s="516"/>
      <c r="F263" s="516"/>
      <c r="G263" s="516"/>
      <c r="H263" s="516"/>
      <c r="I263" s="516"/>
      <c r="J263" s="516"/>
      <c r="K263" s="516"/>
      <c r="L263" s="516"/>
    </row>
    <row r="264" spans="5:12" ht="11.25" x14ac:dyDescent="0.2">
      <c r="E264" s="516"/>
      <c r="F264" s="516"/>
      <c r="G264" s="516"/>
      <c r="H264" s="516"/>
      <c r="I264" s="516"/>
      <c r="J264" s="516"/>
      <c r="K264" s="516"/>
      <c r="L264" s="516"/>
    </row>
    <row r="265" spans="5:12" ht="11.25" x14ac:dyDescent="0.2">
      <c r="E265" s="516"/>
      <c r="F265" s="516"/>
      <c r="G265" s="516"/>
      <c r="H265" s="516"/>
      <c r="I265" s="516"/>
      <c r="J265" s="516"/>
      <c r="K265" s="516"/>
      <c r="L265" s="516"/>
    </row>
    <row r="266" spans="5:12" ht="11.25" x14ac:dyDescent="0.2">
      <c r="E266" s="516"/>
      <c r="F266" s="516"/>
      <c r="G266" s="516"/>
      <c r="H266" s="516"/>
      <c r="I266" s="516"/>
      <c r="J266" s="516"/>
      <c r="K266" s="516"/>
      <c r="L266" s="516"/>
    </row>
    <row r="267" spans="5:12" ht="11.25" x14ac:dyDescent="0.2">
      <c r="E267" s="516"/>
      <c r="F267" s="516"/>
      <c r="G267" s="516"/>
      <c r="H267" s="516"/>
      <c r="I267" s="516"/>
      <c r="J267" s="516"/>
      <c r="K267" s="516"/>
      <c r="L267" s="516"/>
    </row>
    <row r="268" spans="5:12" ht="11.25" x14ac:dyDescent="0.2">
      <c r="E268" s="516"/>
      <c r="F268" s="516"/>
      <c r="G268" s="516"/>
      <c r="H268" s="516"/>
      <c r="I268" s="516"/>
      <c r="J268" s="516"/>
      <c r="K268" s="516"/>
      <c r="L268" s="516"/>
    </row>
    <row r="269" spans="5:12" ht="11.25" x14ac:dyDescent="0.2">
      <c r="E269" s="516"/>
      <c r="F269" s="516"/>
      <c r="G269" s="516"/>
      <c r="H269" s="516"/>
      <c r="I269" s="516"/>
      <c r="J269" s="516"/>
      <c r="K269" s="516"/>
      <c r="L269" s="516"/>
    </row>
    <row r="270" spans="5:12" ht="11.25" x14ac:dyDescent="0.2">
      <c r="E270" s="516"/>
      <c r="F270" s="516"/>
      <c r="G270" s="516"/>
      <c r="H270" s="516"/>
      <c r="I270" s="516"/>
      <c r="J270" s="516"/>
      <c r="K270" s="516"/>
      <c r="L270" s="516"/>
    </row>
    <row r="271" spans="5:12" ht="11.25" x14ac:dyDescent="0.2">
      <c r="E271" s="516"/>
      <c r="F271" s="516"/>
      <c r="G271" s="516"/>
      <c r="H271" s="516"/>
      <c r="I271" s="516"/>
      <c r="J271" s="516"/>
      <c r="K271" s="516"/>
      <c r="L271" s="516"/>
    </row>
    <row r="272" spans="5:12" ht="11.25" x14ac:dyDescent="0.2">
      <c r="E272" s="516"/>
      <c r="F272" s="516"/>
      <c r="G272" s="516"/>
      <c r="H272" s="516"/>
      <c r="I272" s="516"/>
      <c r="J272" s="516"/>
      <c r="K272" s="516"/>
      <c r="L272" s="516"/>
    </row>
    <row r="273" spans="5:12" ht="11.25" x14ac:dyDescent="0.2">
      <c r="E273" s="516"/>
      <c r="F273" s="516"/>
      <c r="G273" s="516"/>
      <c r="H273" s="516"/>
      <c r="I273" s="516"/>
      <c r="J273" s="516"/>
      <c r="K273" s="516"/>
      <c r="L273" s="516"/>
    </row>
    <row r="274" spans="5:12" ht="11.25" x14ac:dyDescent="0.2">
      <c r="E274" s="516"/>
      <c r="F274" s="516"/>
      <c r="G274" s="516"/>
      <c r="H274" s="516"/>
      <c r="I274" s="516"/>
      <c r="J274" s="516"/>
      <c r="K274" s="516"/>
      <c r="L274" s="516"/>
    </row>
    <row r="275" spans="5:12" ht="11.25" x14ac:dyDescent="0.2">
      <c r="E275" s="516"/>
      <c r="F275" s="516"/>
      <c r="G275" s="516"/>
      <c r="H275" s="516"/>
      <c r="I275" s="516"/>
      <c r="J275" s="516"/>
      <c r="K275" s="516"/>
      <c r="L275" s="516"/>
    </row>
    <row r="276" spans="5:12" ht="11.25" x14ac:dyDescent="0.2">
      <c r="E276" s="516"/>
      <c r="F276" s="516"/>
      <c r="G276" s="516"/>
      <c r="H276" s="516"/>
      <c r="I276" s="516"/>
      <c r="J276" s="516"/>
      <c r="K276" s="516"/>
      <c r="L276" s="516"/>
    </row>
    <row r="277" spans="5:12" ht="11.25" x14ac:dyDescent="0.2">
      <c r="E277" s="516"/>
      <c r="F277" s="516"/>
      <c r="G277" s="516"/>
      <c r="H277" s="516"/>
      <c r="I277" s="516"/>
      <c r="J277" s="516"/>
      <c r="K277" s="516"/>
      <c r="L277" s="516"/>
    </row>
    <row r="278" spans="5:12" ht="11.25" x14ac:dyDescent="0.2">
      <c r="E278" s="516"/>
      <c r="F278" s="516"/>
      <c r="G278" s="516"/>
      <c r="H278" s="516"/>
      <c r="I278" s="516"/>
      <c r="J278" s="516"/>
      <c r="K278" s="516"/>
      <c r="L278" s="516"/>
    </row>
    <row r="279" spans="5:12" ht="11.25" x14ac:dyDescent="0.2">
      <c r="E279" s="516"/>
      <c r="F279" s="516"/>
      <c r="G279" s="516"/>
      <c r="H279" s="516"/>
      <c r="I279" s="516"/>
      <c r="J279" s="516"/>
      <c r="K279" s="516"/>
      <c r="L279" s="516"/>
    </row>
    <row r="280" spans="5:12" ht="11.25" x14ac:dyDescent="0.2">
      <c r="E280" s="516"/>
      <c r="F280" s="516"/>
      <c r="G280" s="516"/>
      <c r="H280" s="516"/>
      <c r="I280" s="516"/>
      <c r="J280" s="516"/>
      <c r="K280" s="516"/>
      <c r="L280" s="516"/>
    </row>
    <row r="281" spans="5:12" ht="11.25" x14ac:dyDescent="0.2">
      <c r="E281" s="516"/>
      <c r="F281" s="516"/>
      <c r="G281" s="516"/>
      <c r="H281" s="516"/>
      <c r="I281" s="516"/>
      <c r="J281" s="516"/>
      <c r="K281" s="516"/>
      <c r="L281" s="516"/>
    </row>
    <row r="282" spans="5:12" ht="11.25" x14ac:dyDescent="0.2">
      <c r="E282" s="516"/>
      <c r="F282" s="516"/>
      <c r="G282" s="516"/>
      <c r="H282" s="516"/>
      <c r="I282" s="516"/>
      <c r="J282" s="516"/>
      <c r="K282" s="516"/>
      <c r="L282" s="516"/>
    </row>
    <row r="283" spans="5:12" ht="11.25" x14ac:dyDescent="0.2">
      <c r="E283" s="516"/>
      <c r="F283" s="516"/>
      <c r="G283" s="516"/>
      <c r="H283" s="516"/>
      <c r="I283" s="516"/>
      <c r="J283" s="516"/>
      <c r="K283" s="516"/>
      <c r="L283" s="516"/>
    </row>
    <row r="284" spans="5:12" ht="11.25" x14ac:dyDescent="0.2">
      <c r="E284" s="516"/>
      <c r="F284" s="516"/>
      <c r="G284" s="516"/>
      <c r="H284" s="516"/>
      <c r="I284" s="516"/>
      <c r="J284" s="516"/>
      <c r="K284" s="516"/>
      <c r="L284" s="516"/>
    </row>
    <row r="285" spans="5:12" ht="11.25" x14ac:dyDescent="0.2">
      <c r="E285" s="516"/>
      <c r="F285" s="516"/>
      <c r="G285" s="516"/>
      <c r="H285" s="516"/>
      <c r="I285" s="516"/>
      <c r="J285" s="516"/>
      <c r="K285" s="516"/>
      <c r="L285" s="516"/>
    </row>
    <row r="286" spans="5:12" ht="11.25" x14ac:dyDescent="0.2">
      <c r="E286" s="516"/>
      <c r="F286" s="516"/>
      <c r="G286" s="516"/>
      <c r="H286" s="516"/>
      <c r="I286" s="516"/>
      <c r="J286" s="516"/>
      <c r="K286" s="516"/>
      <c r="L286" s="516"/>
    </row>
    <row r="287" spans="5:12" ht="11.25" x14ac:dyDescent="0.2">
      <c r="E287" s="516"/>
      <c r="F287" s="516"/>
      <c r="G287" s="516"/>
      <c r="H287" s="516"/>
      <c r="I287" s="516"/>
      <c r="J287" s="516"/>
      <c r="K287" s="516"/>
      <c r="L287" s="516"/>
    </row>
    <row r="288" spans="5:12" ht="11.25" x14ac:dyDescent="0.2">
      <c r="E288" s="516"/>
      <c r="F288" s="516"/>
      <c r="G288" s="516"/>
      <c r="H288" s="516"/>
      <c r="I288" s="516"/>
      <c r="J288" s="516"/>
      <c r="K288" s="516"/>
      <c r="L288" s="516"/>
    </row>
    <row r="289" spans="5:12" ht="11.25" x14ac:dyDescent="0.2">
      <c r="E289" s="516"/>
      <c r="F289" s="516"/>
      <c r="G289" s="516"/>
      <c r="H289" s="516"/>
      <c r="I289" s="516"/>
      <c r="J289" s="516"/>
      <c r="K289" s="516"/>
      <c r="L289" s="516"/>
    </row>
    <row r="290" spans="5:12" ht="11.25" x14ac:dyDescent="0.2">
      <c r="E290" s="516"/>
      <c r="F290" s="516"/>
      <c r="G290" s="516"/>
      <c r="H290" s="516"/>
      <c r="I290" s="516"/>
      <c r="J290" s="516"/>
      <c r="K290" s="516"/>
      <c r="L290" s="516"/>
    </row>
    <row r="291" spans="5:12" ht="11.25" x14ac:dyDescent="0.2">
      <c r="E291" s="516"/>
      <c r="F291" s="516"/>
      <c r="G291" s="516"/>
      <c r="H291" s="516"/>
      <c r="I291" s="516"/>
      <c r="J291" s="516"/>
      <c r="K291" s="516"/>
      <c r="L291" s="516"/>
    </row>
    <row r="292" spans="5:12" ht="11.25" x14ac:dyDescent="0.2">
      <c r="E292" s="516"/>
      <c r="F292" s="516"/>
      <c r="G292" s="516"/>
      <c r="H292" s="516"/>
      <c r="I292" s="516"/>
      <c r="J292" s="516"/>
      <c r="K292" s="516"/>
      <c r="L292" s="516"/>
    </row>
    <row r="293" spans="5:12" ht="11.25" x14ac:dyDescent="0.2">
      <c r="E293" s="516"/>
      <c r="F293" s="516"/>
      <c r="G293" s="516"/>
      <c r="H293" s="516"/>
      <c r="I293" s="516"/>
      <c r="J293" s="516"/>
      <c r="K293" s="516"/>
      <c r="L293" s="516"/>
    </row>
    <row r="294" spans="5:12" ht="11.25" x14ac:dyDescent="0.2">
      <c r="E294" s="516"/>
      <c r="F294" s="516"/>
      <c r="G294" s="516"/>
      <c r="H294" s="516"/>
      <c r="I294" s="516"/>
      <c r="J294" s="516"/>
      <c r="K294" s="516"/>
      <c r="L294" s="516"/>
    </row>
    <row r="295" spans="5:12" ht="11.25" x14ac:dyDescent="0.2">
      <c r="E295" s="516"/>
      <c r="F295" s="516"/>
      <c r="G295" s="516"/>
      <c r="H295" s="516"/>
      <c r="I295" s="516"/>
      <c r="J295" s="516"/>
      <c r="K295" s="516"/>
      <c r="L295" s="516"/>
    </row>
    <row r="296" spans="5:12" ht="11.25" x14ac:dyDescent="0.2">
      <c r="E296" s="516"/>
      <c r="F296" s="516"/>
      <c r="G296" s="516"/>
      <c r="H296" s="516"/>
      <c r="I296" s="516"/>
      <c r="J296" s="516"/>
      <c r="K296" s="516"/>
      <c r="L296" s="516"/>
    </row>
    <row r="297" spans="5:12" ht="11.25" x14ac:dyDescent="0.2">
      <c r="E297" s="516"/>
      <c r="F297" s="516"/>
      <c r="G297" s="516"/>
      <c r="H297" s="516"/>
      <c r="I297" s="516"/>
      <c r="J297" s="516"/>
      <c r="K297" s="516"/>
      <c r="L297" s="516"/>
    </row>
    <row r="298" spans="5:12" ht="11.25" x14ac:dyDescent="0.2">
      <c r="E298" s="516"/>
      <c r="F298" s="516"/>
      <c r="G298" s="516"/>
      <c r="H298" s="516"/>
      <c r="I298" s="516"/>
      <c r="J298" s="516"/>
      <c r="K298" s="516"/>
      <c r="L298" s="516"/>
    </row>
    <row r="299" spans="5:12" ht="11.25" x14ac:dyDescent="0.2">
      <c r="E299" s="516"/>
      <c r="F299" s="516"/>
      <c r="G299" s="516"/>
      <c r="H299" s="516"/>
      <c r="I299" s="516"/>
      <c r="J299" s="516"/>
      <c r="K299" s="516"/>
      <c r="L299" s="516"/>
    </row>
    <row r="300" spans="5:12" ht="11.25" x14ac:dyDescent="0.2">
      <c r="E300" s="516"/>
      <c r="F300" s="516"/>
      <c r="G300" s="516"/>
      <c r="H300" s="516"/>
      <c r="I300" s="516"/>
      <c r="J300" s="516"/>
      <c r="K300" s="516"/>
      <c r="L300" s="516"/>
    </row>
    <row r="301" spans="5:12" ht="11.25" x14ac:dyDescent="0.2">
      <c r="E301" s="516"/>
      <c r="F301" s="516"/>
      <c r="G301" s="516"/>
      <c r="H301" s="516"/>
      <c r="I301" s="516"/>
      <c r="J301" s="516"/>
      <c r="K301" s="516"/>
      <c r="L301" s="516"/>
    </row>
    <row r="302" spans="5:12" ht="11.25" x14ac:dyDescent="0.2">
      <c r="E302" s="516"/>
      <c r="F302" s="516"/>
      <c r="G302" s="516"/>
      <c r="H302" s="516"/>
      <c r="I302" s="516"/>
      <c r="J302" s="516"/>
      <c r="K302" s="516"/>
      <c r="L302" s="516"/>
    </row>
    <row r="303" spans="5:12" ht="11.25" x14ac:dyDescent="0.2">
      <c r="E303" s="516"/>
      <c r="F303" s="516"/>
      <c r="G303" s="516"/>
      <c r="H303" s="516"/>
      <c r="I303" s="516"/>
      <c r="J303" s="516"/>
      <c r="K303" s="516"/>
      <c r="L303" s="516"/>
    </row>
    <row r="304" spans="5:12" ht="11.25" x14ac:dyDescent="0.2">
      <c r="E304" s="516"/>
      <c r="F304" s="516"/>
      <c r="G304" s="516"/>
      <c r="H304" s="516"/>
      <c r="I304" s="516"/>
      <c r="J304" s="516"/>
      <c r="K304" s="516"/>
      <c r="L304" s="516"/>
    </row>
    <row r="305" spans="5:12" ht="11.25" x14ac:dyDescent="0.2">
      <c r="E305" s="516"/>
      <c r="F305" s="516"/>
      <c r="G305" s="516"/>
      <c r="H305" s="516"/>
      <c r="I305" s="516"/>
      <c r="J305" s="516"/>
      <c r="K305" s="516"/>
      <c r="L305" s="516"/>
    </row>
    <row r="306" spans="5:12" ht="11.25" x14ac:dyDescent="0.2">
      <c r="E306" s="516"/>
      <c r="F306" s="516"/>
      <c r="G306" s="516"/>
      <c r="H306" s="516"/>
      <c r="I306" s="516"/>
      <c r="J306" s="516"/>
      <c r="K306" s="516"/>
      <c r="L306" s="516"/>
    </row>
    <row r="307" spans="5:12" ht="11.25" x14ac:dyDescent="0.2">
      <c r="E307" s="516"/>
      <c r="F307" s="516"/>
      <c r="G307" s="516"/>
      <c r="H307" s="516"/>
      <c r="I307" s="516"/>
      <c r="J307" s="516"/>
      <c r="K307" s="516"/>
      <c r="L307" s="516"/>
    </row>
    <row r="308" spans="5:12" ht="11.25" x14ac:dyDescent="0.2">
      <c r="E308" s="516"/>
      <c r="F308" s="516"/>
      <c r="G308" s="516"/>
      <c r="H308" s="516"/>
      <c r="I308" s="516"/>
      <c r="J308" s="516"/>
      <c r="K308" s="516"/>
      <c r="L308" s="516"/>
    </row>
    <row r="309" spans="5:12" ht="11.25" x14ac:dyDescent="0.2">
      <c r="E309" s="516"/>
      <c r="F309" s="516"/>
      <c r="G309" s="516"/>
      <c r="H309" s="516"/>
      <c r="I309" s="516"/>
      <c r="J309" s="516"/>
      <c r="K309" s="516"/>
      <c r="L309" s="516"/>
    </row>
    <row r="310" spans="5:12" ht="11.25" x14ac:dyDescent="0.2">
      <c r="E310" s="516"/>
      <c r="F310" s="516"/>
      <c r="G310" s="516"/>
      <c r="H310" s="516"/>
      <c r="I310" s="516"/>
      <c r="J310" s="516"/>
      <c r="K310" s="516"/>
      <c r="L310" s="516"/>
    </row>
    <row r="311" spans="5:12" ht="11.25" x14ac:dyDescent="0.2">
      <c r="E311" s="516"/>
      <c r="F311" s="516"/>
      <c r="G311" s="516"/>
      <c r="H311" s="516"/>
      <c r="I311" s="516"/>
      <c r="J311" s="516"/>
      <c r="K311" s="516"/>
      <c r="L311" s="516"/>
    </row>
    <row r="312" spans="5:12" ht="11.25" x14ac:dyDescent="0.2">
      <c r="E312" s="516"/>
      <c r="F312" s="516"/>
      <c r="G312" s="516"/>
      <c r="H312" s="516"/>
      <c r="I312" s="516"/>
      <c r="J312" s="516"/>
      <c r="K312" s="516"/>
      <c r="L312" s="516"/>
    </row>
    <row r="313" spans="5:12" ht="11.25" x14ac:dyDescent="0.2">
      <c r="E313" s="516"/>
      <c r="F313" s="516"/>
      <c r="G313" s="516"/>
      <c r="H313" s="516"/>
      <c r="I313" s="516"/>
      <c r="J313" s="516"/>
      <c r="K313" s="516"/>
      <c r="L313" s="516"/>
    </row>
    <row r="314" spans="5:12" ht="11.25" x14ac:dyDescent="0.2">
      <c r="E314" s="516"/>
      <c r="F314" s="516"/>
      <c r="G314" s="516"/>
      <c r="H314" s="516"/>
      <c r="I314" s="516"/>
      <c r="J314" s="516"/>
      <c r="K314" s="516"/>
      <c r="L314" s="516"/>
    </row>
    <row r="315" spans="5:12" ht="11.25" x14ac:dyDescent="0.2">
      <c r="E315" s="516"/>
      <c r="F315" s="516"/>
      <c r="G315" s="516"/>
      <c r="H315" s="516"/>
      <c r="I315" s="516"/>
      <c r="J315" s="516"/>
      <c r="K315" s="516"/>
      <c r="L315" s="516"/>
    </row>
    <row r="316" spans="5:12" ht="11.25" x14ac:dyDescent="0.2">
      <c r="E316" s="516"/>
      <c r="F316" s="516"/>
      <c r="G316" s="516"/>
      <c r="H316" s="516"/>
      <c r="I316" s="516"/>
      <c r="J316" s="516"/>
      <c r="K316" s="516"/>
      <c r="L316" s="516"/>
    </row>
    <row r="317" spans="5:12" ht="11.25" x14ac:dyDescent="0.2">
      <c r="E317" s="516"/>
      <c r="F317" s="516"/>
      <c r="G317" s="516"/>
      <c r="H317" s="516"/>
      <c r="I317" s="516"/>
      <c r="J317" s="516"/>
      <c r="K317" s="516"/>
      <c r="L317" s="516"/>
    </row>
    <row r="318" spans="5:12" ht="11.25" x14ac:dyDescent="0.2">
      <c r="E318" s="516"/>
      <c r="F318" s="516"/>
      <c r="G318" s="516"/>
      <c r="H318" s="516"/>
      <c r="I318" s="516"/>
      <c r="J318" s="516"/>
      <c r="K318" s="516"/>
      <c r="L318" s="516"/>
    </row>
    <row r="319" spans="5:12" ht="11.25" x14ac:dyDescent="0.2">
      <c r="E319" s="516"/>
      <c r="F319" s="516"/>
      <c r="G319" s="516"/>
      <c r="H319" s="516"/>
      <c r="I319" s="516"/>
      <c r="J319" s="516"/>
      <c r="K319" s="516"/>
      <c r="L319" s="516"/>
    </row>
    <row r="320" spans="5:12" ht="11.25" x14ac:dyDescent="0.2">
      <c r="E320" s="516"/>
      <c r="F320" s="516"/>
      <c r="G320" s="516"/>
      <c r="H320" s="516"/>
      <c r="I320" s="516"/>
      <c r="J320" s="516"/>
      <c r="K320" s="516"/>
      <c r="L320" s="516"/>
    </row>
    <row r="321" spans="5:12" ht="11.25" x14ac:dyDescent="0.2">
      <c r="E321" s="516"/>
      <c r="F321" s="516"/>
      <c r="G321" s="516"/>
      <c r="H321" s="516"/>
      <c r="I321" s="516"/>
      <c r="J321" s="516"/>
      <c r="K321" s="516"/>
      <c r="L321" s="516"/>
    </row>
    <row r="322" spans="5:12" ht="11.25" x14ac:dyDescent="0.2">
      <c r="E322" s="516"/>
      <c r="F322" s="516"/>
      <c r="G322" s="516"/>
      <c r="H322" s="516"/>
      <c r="I322" s="516"/>
      <c r="J322" s="516"/>
      <c r="K322" s="516"/>
      <c r="L322" s="516"/>
    </row>
    <row r="323" spans="5:12" ht="11.25" x14ac:dyDescent="0.2">
      <c r="E323" s="516"/>
      <c r="F323" s="516"/>
      <c r="G323" s="516"/>
      <c r="H323" s="516"/>
      <c r="I323" s="516"/>
      <c r="J323" s="516"/>
      <c r="K323" s="516"/>
      <c r="L323" s="516"/>
    </row>
    <row r="324" spans="5:12" ht="11.25" x14ac:dyDescent="0.2">
      <c r="E324" s="516"/>
      <c r="F324" s="516"/>
      <c r="G324" s="516"/>
      <c r="H324" s="516"/>
      <c r="I324" s="516"/>
      <c r="J324" s="516"/>
      <c r="K324" s="516"/>
      <c r="L324" s="516"/>
    </row>
    <row r="325" spans="5:12" ht="11.25" x14ac:dyDescent="0.2">
      <c r="E325" s="516"/>
      <c r="F325" s="516"/>
      <c r="G325" s="516"/>
      <c r="H325" s="516"/>
      <c r="I325" s="516"/>
      <c r="J325" s="516"/>
      <c r="K325" s="516"/>
      <c r="L325" s="516"/>
    </row>
    <row r="326" spans="5:12" ht="11.25" x14ac:dyDescent="0.2">
      <c r="E326" s="516"/>
      <c r="F326" s="516"/>
      <c r="G326" s="516"/>
      <c r="H326" s="516"/>
      <c r="I326" s="516"/>
      <c r="J326" s="516"/>
      <c r="K326" s="516"/>
      <c r="L326" s="516"/>
    </row>
    <row r="327" spans="5:12" ht="11.25" x14ac:dyDescent="0.2">
      <c r="E327" s="516"/>
      <c r="F327" s="516"/>
      <c r="G327" s="516"/>
      <c r="H327" s="516"/>
      <c r="I327" s="516"/>
      <c r="J327" s="516"/>
      <c r="K327" s="516"/>
      <c r="L327" s="516"/>
    </row>
    <row r="328" spans="5:12" ht="11.25" x14ac:dyDescent="0.2">
      <c r="E328" s="516"/>
      <c r="F328" s="516"/>
      <c r="G328" s="516"/>
      <c r="H328" s="516"/>
      <c r="I328" s="516"/>
      <c r="J328" s="516"/>
      <c r="K328" s="516"/>
      <c r="L328" s="516"/>
    </row>
    <row r="329" spans="5:12" ht="11.25" x14ac:dyDescent="0.2">
      <c r="E329" s="516"/>
      <c r="F329" s="516"/>
      <c r="G329" s="516"/>
      <c r="H329" s="516"/>
      <c r="I329" s="516"/>
      <c r="J329" s="516"/>
      <c r="K329" s="516"/>
      <c r="L329" s="516"/>
    </row>
    <row r="330" spans="5:12" ht="11.25" x14ac:dyDescent="0.2">
      <c r="E330" s="516"/>
      <c r="F330" s="516"/>
      <c r="G330" s="516"/>
      <c r="H330" s="516"/>
      <c r="I330" s="516"/>
      <c r="J330" s="516"/>
      <c r="K330" s="516"/>
      <c r="L330" s="516"/>
    </row>
    <row r="331" spans="5:12" ht="11.25" x14ac:dyDescent="0.2">
      <c r="E331" s="516"/>
      <c r="F331" s="516"/>
      <c r="G331" s="516"/>
      <c r="H331" s="516"/>
      <c r="I331" s="516"/>
      <c r="J331" s="516"/>
      <c r="K331" s="516"/>
      <c r="L331" s="516"/>
    </row>
    <row r="332" spans="5:12" ht="11.25" x14ac:dyDescent="0.2">
      <c r="E332" s="516"/>
      <c r="F332" s="516"/>
      <c r="G332" s="516"/>
      <c r="H332" s="516"/>
      <c r="I332" s="516"/>
      <c r="J332" s="516"/>
      <c r="K332" s="516"/>
      <c r="L332" s="516"/>
    </row>
    <row r="333" spans="5:12" ht="11.25" x14ac:dyDescent="0.2">
      <c r="E333" s="516"/>
      <c r="F333" s="516"/>
      <c r="G333" s="516"/>
      <c r="H333" s="516"/>
      <c r="I333" s="516"/>
      <c r="J333" s="516"/>
      <c r="K333" s="516"/>
      <c r="L333" s="516"/>
    </row>
    <row r="334" spans="5:12" ht="11.25" x14ac:dyDescent="0.2">
      <c r="E334" s="516"/>
      <c r="F334" s="516"/>
      <c r="G334" s="516"/>
      <c r="H334" s="516"/>
      <c r="I334" s="516"/>
      <c r="J334" s="516"/>
      <c r="K334" s="516"/>
      <c r="L334" s="516"/>
    </row>
    <row r="335" spans="5:12" ht="11.25" x14ac:dyDescent="0.2">
      <c r="E335" s="516"/>
      <c r="F335" s="516"/>
      <c r="G335" s="516"/>
      <c r="H335" s="516"/>
      <c r="I335" s="516"/>
      <c r="J335" s="516"/>
      <c r="K335" s="516"/>
      <c r="L335" s="516"/>
    </row>
    <row r="336" spans="5:12" ht="11.25" x14ac:dyDescent="0.2">
      <c r="E336" s="516"/>
      <c r="F336" s="516"/>
      <c r="G336" s="516"/>
      <c r="H336" s="516"/>
      <c r="I336" s="516"/>
      <c r="J336" s="516"/>
      <c r="K336" s="516"/>
      <c r="L336" s="516"/>
    </row>
    <row r="337" spans="5:12" ht="11.25" x14ac:dyDescent="0.2">
      <c r="E337" s="516"/>
      <c r="F337" s="516"/>
      <c r="G337" s="516"/>
      <c r="H337" s="516"/>
      <c r="I337" s="516"/>
      <c r="J337" s="516"/>
      <c r="K337" s="516"/>
      <c r="L337" s="516"/>
    </row>
    <row r="338" spans="5:12" ht="11.25" x14ac:dyDescent="0.2">
      <c r="E338" s="516"/>
      <c r="F338" s="516"/>
      <c r="G338" s="516"/>
      <c r="H338" s="516"/>
      <c r="I338" s="516"/>
      <c r="J338" s="516"/>
      <c r="K338" s="516"/>
      <c r="L338" s="516"/>
    </row>
    <row r="339" spans="5:12" ht="11.25" x14ac:dyDescent="0.2">
      <c r="E339" s="516"/>
      <c r="F339" s="516"/>
      <c r="G339" s="516"/>
      <c r="H339" s="516"/>
      <c r="I339" s="516"/>
      <c r="J339" s="516"/>
      <c r="K339" s="516"/>
      <c r="L339" s="516"/>
    </row>
    <row r="340" spans="5:12" ht="11.25" x14ac:dyDescent="0.2">
      <c r="E340" s="516"/>
      <c r="F340" s="516"/>
      <c r="G340" s="516"/>
      <c r="H340" s="516"/>
      <c r="I340" s="516"/>
      <c r="J340" s="516"/>
      <c r="K340" s="516"/>
      <c r="L340" s="516"/>
    </row>
    <row r="341" spans="5:12" ht="11.25" x14ac:dyDescent="0.2">
      <c r="E341" s="516"/>
      <c r="F341" s="516"/>
      <c r="G341" s="516"/>
      <c r="H341" s="516"/>
      <c r="I341" s="516"/>
      <c r="J341" s="516"/>
      <c r="K341" s="516"/>
      <c r="L341" s="516"/>
    </row>
    <row r="342" spans="5:12" ht="11.25" x14ac:dyDescent="0.2">
      <c r="E342" s="516"/>
      <c r="F342" s="516"/>
      <c r="G342" s="516"/>
      <c r="H342" s="516"/>
      <c r="I342" s="516"/>
      <c r="J342" s="516"/>
      <c r="K342" s="516"/>
      <c r="L342" s="516"/>
    </row>
    <row r="343" spans="5:12" ht="11.25" x14ac:dyDescent="0.2">
      <c r="E343" s="516"/>
      <c r="F343" s="516"/>
      <c r="G343" s="516"/>
      <c r="H343" s="516"/>
      <c r="I343" s="516"/>
      <c r="J343" s="516"/>
      <c r="K343" s="516"/>
      <c r="L343" s="516"/>
    </row>
    <row r="344" spans="5:12" ht="11.25" x14ac:dyDescent="0.2">
      <c r="E344" s="516"/>
      <c r="F344" s="516"/>
      <c r="G344" s="516"/>
      <c r="H344" s="516"/>
      <c r="I344" s="516"/>
      <c r="J344" s="516"/>
      <c r="K344" s="516"/>
      <c r="L344" s="516"/>
    </row>
    <row r="345" spans="5:12" ht="11.25" x14ac:dyDescent="0.2">
      <c r="E345" s="516"/>
      <c r="F345" s="516"/>
      <c r="G345" s="516"/>
      <c r="H345" s="516"/>
      <c r="I345" s="516"/>
      <c r="J345" s="516"/>
      <c r="K345" s="516"/>
      <c r="L345" s="516"/>
    </row>
    <row r="346" spans="5:12" ht="11.25" x14ac:dyDescent="0.2">
      <c r="E346" s="516"/>
      <c r="F346" s="516"/>
      <c r="G346" s="516"/>
      <c r="H346" s="516"/>
      <c r="I346" s="516"/>
      <c r="J346" s="516"/>
      <c r="K346" s="516"/>
      <c r="L346" s="516"/>
    </row>
    <row r="347" spans="5:12" ht="11.25" x14ac:dyDescent="0.2">
      <c r="E347" s="516"/>
      <c r="F347" s="516"/>
      <c r="G347" s="516"/>
      <c r="H347" s="516"/>
      <c r="I347" s="516"/>
      <c r="J347" s="516"/>
      <c r="K347" s="516"/>
      <c r="L347" s="516"/>
    </row>
    <row r="348" spans="5:12" ht="11.25" x14ac:dyDescent="0.2">
      <c r="E348" s="516"/>
      <c r="F348" s="516"/>
      <c r="G348" s="516"/>
      <c r="H348" s="516"/>
      <c r="I348" s="516"/>
      <c r="J348" s="516"/>
      <c r="K348" s="516"/>
      <c r="L348" s="516"/>
    </row>
    <row r="349" spans="5:12" ht="11.25" x14ac:dyDescent="0.2">
      <c r="E349" s="516"/>
      <c r="F349" s="516"/>
      <c r="G349" s="516"/>
      <c r="H349" s="516"/>
      <c r="I349" s="516"/>
      <c r="J349" s="516"/>
      <c r="K349" s="516"/>
      <c r="L349" s="516"/>
    </row>
    <row r="350" spans="5:12" ht="11.25" x14ac:dyDescent="0.2">
      <c r="E350" s="516"/>
      <c r="F350" s="516"/>
      <c r="G350" s="516"/>
      <c r="H350" s="516"/>
      <c r="I350" s="516"/>
      <c r="J350" s="516"/>
      <c r="K350" s="516"/>
      <c r="L350" s="516"/>
    </row>
    <row r="351" spans="5:12" ht="11.25" x14ac:dyDescent="0.2">
      <c r="E351" s="516"/>
      <c r="F351" s="516"/>
      <c r="G351" s="516"/>
      <c r="H351" s="516"/>
      <c r="I351" s="516"/>
      <c r="J351" s="516"/>
      <c r="K351" s="516"/>
      <c r="L351" s="516"/>
    </row>
    <row r="352" spans="5:12" ht="11.25" x14ac:dyDescent="0.2">
      <c r="E352" s="516"/>
      <c r="F352" s="516"/>
      <c r="G352" s="516"/>
      <c r="H352" s="516"/>
      <c r="I352" s="516"/>
      <c r="J352" s="516"/>
      <c r="K352" s="516"/>
      <c r="L352" s="516"/>
    </row>
    <row r="353" spans="5:12" ht="11.25" x14ac:dyDescent="0.2">
      <c r="E353" s="516"/>
      <c r="F353" s="516"/>
      <c r="G353" s="516"/>
      <c r="H353" s="516"/>
      <c r="I353" s="516"/>
      <c r="J353" s="516"/>
      <c r="K353" s="516"/>
      <c r="L353" s="516"/>
    </row>
    <row r="354" spans="5:12" ht="11.25" x14ac:dyDescent="0.2">
      <c r="E354" s="516"/>
      <c r="F354" s="516"/>
      <c r="G354" s="516"/>
      <c r="H354" s="516"/>
      <c r="I354" s="516"/>
      <c r="J354" s="516"/>
      <c r="K354" s="516"/>
      <c r="L354" s="516"/>
    </row>
    <row r="355" spans="5:12" ht="11.25" x14ac:dyDescent="0.2">
      <c r="E355" s="516"/>
      <c r="F355" s="516"/>
      <c r="G355" s="516"/>
      <c r="H355" s="516"/>
      <c r="I355" s="516"/>
      <c r="J355" s="516"/>
      <c r="K355" s="516"/>
      <c r="L355" s="516"/>
    </row>
    <row r="356" spans="5:12" ht="11.25" x14ac:dyDescent="0.2">
      <c r="E356" s="516"/>
      <c r="F356" s="516"/>
      <c r="G356" s="516"/>
      <c r="H356" s="516"/>
      <c r="I356" s="516"/>
      <c r="J356" s="516"/>
      <c r="K356" s="516"/>
      <c r="L356" s="516"/>
    </row>
    <row r="357" spans="5:12" ht="11.25" x14ac:dyDescent="0.2">
      <c r="E357" s="516"/>
      <c r="F357" s="516"/>
      <c r="G357" s="516"/>
      <c r="H357" s="516"/>
      <c r="I357" s="516"/>
      <c r="J357" s="516"/>
      <c r="K357" s="516"/>
      <c r="L357" s="516"/>
    </row>
    <row r="358" spans="5:12" ht="11.25" x14ac:dyDescent="0.2">
      <c r="E358" s="516"/>
      <c r="F358" s="516"/>
      <c r="G358" s="516"/>
      <c r="H358" s="516"/>
      <c r="I358" s="516"/>
      <c r="J358" s="516"/>
      <c r="K358" s="516"/>
      <c r="L358" s="516"/>
    </row>
    <row r="359" spans="5:12" ht="11.25" x14ac:dyDescent="0.2">
      <c r="E359" s="516"/>
      <c r="F359" s="516"/>
      <c r="G359" s="516"/>
      <c r="H359" s="516"/>
      <c r="I359" s="516"/>
      <c r="J359" s="516"/>
      <c r="K359" s="516"/>
      <c r="L359" s="516"/>
    </row>
    <row r="360" spans="5:12" ht="11.25" x14ac:dyDescent="0.2">
      <c r="E360" s="516"/>
      <c r="F360" s="516"/>
      <c r="G360" s="516"/>
      <c r="H360" s="516"/>
      <c r="I360" s="516"/>
      <c r="J360" s="516"/>
      <c r="K360" s="516"/>
      <c r="L360" s="516"/>
    </row>
    <row r="361" spans="5:12" ht="11.25" x14ac:dyDescent="0.2">
      <c r="E361" s="516"/>
      <c r="F361" s="516"/>
      <c r="G361" s="516"/>
      <c r="H361" s="516"/>
      <c r="I361" s="516"/>
      <c r="J361" s="516"/>
      <c r="K361" s="516"/>
      <c r="L361" s="516"/>
    </row>
    <row r="362" spans="5:12" ht="11.25" x14ac:dyDescent="0.2">
      <c r="E362" s="516"/>
      <c r="F362" s="516"/>
      <c r="G362" s="516"/>
      <c r="H362" s="516"/>
      <c r="I362" s="516"/>
      <c r="J362" s="516"/>
      <c r="K362" s="516"/>
      <c r="L362" s="516"/>
    </row>
    <row r="363" spans="5:12" ht="11.25" x14ac:dyDescent="0.2">
      <c r="E363" s="516"/>
      <c r="F363" s="516"/>
      <c r="G363" s="516"/>
      <c r="H363" s="516"/>
      <c r="I363" s="516"/>
      <c r="J363" s="516"/>
      <c r="K363" s="516"/>
      <c r="L363" s="516"/>
    </row>
    <row r="364" spans="5:12" ht="11.25" x14ac:dyDescent="0.2">
      <c r="E364" s="516"/>
      <c r="F364" s="516"/>
      <c r="G364" s="516"/>
      <c r="H364" s="516"/>
      <c r="I364" s="516"/>
      <c r="J364" s="516"/>
      <c r="K364" s="516"/>
      <c r="L364" s="516"/>
    </row>
    <row r="365" spans="5:12" ht="11.25" x14ac:dyDescent="0.2">
      <c r="E365" s="516"/>
      <c r="F365" s="516"/>
      <c r="G365" s="516"/>
      <c r="H365" s="516"/>
      <c r="I365" s="516"/>
      <c r="J365" s="516"/>
      <c r="K365" s="516"/>
      <c r="L365" s="516"/>
    </row>
    <row r="366" spans="5:12" ht="11.25" x14ac:dyDescent="0.2">
      <c r="E366" s="516"/>
      <c r="F366" s="516"/>
      <c r="G366" s="516"/>
      <c r="H366" s="516"/>
      <c r="I366" s="516"/>
      <c r="J366" s="516"/>
      <c r="K366" s="516"/>
      <c r="L366" s="516"/>
    </row>
    <row r="367" spans="5:12" ht="11.25" x14ac:dyDescent="0.2">
      <c r="E367" s="516"/>
      <c r="F367" s="516"/>
      <c r="G367" s="516"/>
      <c r="H367" s="516"/>
      <c r="I367" s="516"/>
      <c r="J367" s="516"/>
      <c r="K367" s="516"/>
      <c r="L367" s="516"/>
    </row>
    <row r="368" spans="5:12" ht="11.25" x14ac:dyDescent="0.2">
      <c r="E368" s="516"/>
      <c r="F368" s="516"/>
      <c r="G368" s="516"/>
      <c r="H368" s="516"/>
      <c r="I368" s="516"/>
      <c r="J368" s="516"/>
      <c r="K368" s="516"/>
      <c r="L368" s="516"/>
    </row>
    <row r="369" spans="5:12" ht="11.25" x14ac:dyDescent="0.2">
      <c r="E369" s="516"/>
      <c r="F369" s="516"/>
      <c r="G369" s="516"/>
      <c r="H369" s="516"/>
      <c r="I369" s="516"/>
      <c r="J369" s="516"/>
      <c r="K369" s="516"/>
      <c r="L369" s="516"/>
    </row>
    <row r="370" spans="5:12" ht="11.25" x14ac:dyDescent="0.2">
      <c r="E370" s="516"/>
      <c r="F370" s="516"/>
      <c r="G370" s="516"/>
      <c r="H370" s="516"/>
      <c r="I370" s="516"/>
      <c r="J370" s="516"/>
      <c r="K370" s="516"/>
      <c r="L370" s="516"/>
    </row>
    <row r="371" spans="5:12" ht="11.25" x14ac:dyDescent="0.2">
      <c r="E371" s="516"/>
      <c r="F371" s="516"/>
      <c r="G371" s="516"/>
      <c r="H371" s="516"/>
      <c r="I371" s="516"/>
      <c r="J371" s="516"/>
      <c r="K371" s="516"/>
      <c r="L371" s="516"/>
    </row>
    <row r="372" spans="5:12" ht="11.25" x14ac:dyDescent="0.2">
      <c r="E372" s="516"/>
      <c r="F372" s="516"/>
      <c r="G372" s="516"/>
      <c r="H372" s="516"/>
      <c r="I372" s="516"/>
      <c r="J372" s="516"/>
      <c r="K372" s="516"/>
      <c r="L372" s="516"/>
    </row>
    <row r="373" spans="5:12" ht="11.25" x14ac:dyDescent="0.2">
      <c r="E373" s="516"/>
      <c r="F373" s="516"/>
      <c r="G373" s="516"/>
      <c r="H373" s="516"/>
      <c r="I373" s="516"/>
      <c r="J373" s="516"/>
      <c r="K373" s="516"/>
      <c r="L373" s="516"/>
    </row>
    <row r="374" spans="5:12" ht="11.25" x14ac:dyDescent="0.2">
      <c r="E374" s="516"/>
      <c r="F374" s="516"/>
      <c r="G374" s="516"/>
      <c r="H374" s="516"/>
      <c r="I374" s="516"/>
      <c r="J374" s="516"/>
      <c r="K374" s="516"/>
      <c r="L374" s="516"/>
    </row>
    <row r="375" spans="5:12" ht="11.25" x14ac:dyDescent="0.2">
      <c r="E375" s="516"/>
      <c r="F375" s="516"/>
      <c r="G375" s="516"/>
      <c r="H375" s="516"/>
      <c r="I375" s="516"/>
      <c r="J375" s="516"/>
      <c r="K375" s="516"/>
      <c r="L375" s="516"/>
    </row>
    <row r="376" spans="5:12" ht="11.25" x14ac:dyDescent="0.2">
      <c r="E376" s="516"/>
      <c r="F376" s="516"/>
      <c r="G376" s="516"/>
      <c r="H376" s="516"/>
      <c r="I376" s="516"/>
      <c r="J376" s="516"/>
      <c r="K376" s="516"/>
      <c r="L376" s="516"/>
    </row>
    <row r="377" spans="5:12" ht="11.25" x14ac:dyDescent="0.2">
      <c r="E377" s="516"/>
      <c r="F377" s="516"/>
      <c r="G377" s="516"/>
      <c r="H377" s="516"/>
      <c r="I377" s="516"/>
      <c r="J377" s="516"/>
      <c r="K377" s="516"/>
      <c r="L377" s="516"/>
    </row>
    <row r="378" spans="5:12" ht="11.25" x14ac:dyDescent="0.2">
      <c r="E378" s="516"/>
      <c r="F378" s="516"/>
      <c r="G378" s="516"/>
      <c r="H378" s="516"/>
      <c r="I378" s="516"/>
      <c r="J378" s="516"/>
      <c r="K378" s="516"/>
      <c r="L378" s="516"/>
    </row>
    <row r="379" spans="5:12" ht="11.25" x14ac:dyDescent="0.2">
      <c r="E379" s="516"/>
      <c r="F379" s="516"/>
      <c r="G379" s="516"/>
      <c r="H379" s="516"/>
      <c r="I379" s="516"/>
      <c r="J379" s="516"/>
      <c r="K379" s="516"/>
      <c r="L379" s="516"/>
    </row>
    <row r="380" spans="5:12" ht="11.25" x14ac:dyDescent="0.2">
      <c r="E380" s="516"/>
      <c r="F380" s="516"/>
      <c r="G380" s="516"/>
      <c r="H380" s="516"/>
      <c r="I380" s="516"/>
      <c r="J380" s="516"/>
      <c r="K380" s="516"/>
      <c r="L380" s="516"/>
    </row>
    <row r="381" spans="5:12" ht="11.25" x14ac:dyDescent="0.2">
      <c r="E381" s="516"/>
      <c r="F381" s="516"/>
      <c r="G381" s="516"/>
      <c r="H381" s="516"/>
      <c r="I381" s="516"/>
      <c r="J381" s="516"/>
      <c r="K381" s="516"/>
      <c r="L381" s="516"/>
    </row>
    <row r="382" spans="5:12" ht="11.25" x14ac:dyDescent="0.2">
      <c r="E382" s="516"/>
      <c r="F382" s="516"/>
      <c r="G382" s="516"/>
      <c r="H382" s="516"/>
      <c r="I382" s="516"/>
      <c r="J382" s="516"/>
      <c r="K382" s="516"/>
      <c r="L382" s="516"/>
    </row>
    <row r="383" spans="5:12" ht="11.25" x14ac:dyDescent="0.2">
      <c r="E383" s="516"/>
      <c r="F383" s="516"/>
      <c r="G383" s="516"/>
      <c r="H383" s="516"/>
      <c r="I383" s="516"/>
      <c r="J383" s="516"/>
      <c r="K383" s="516"/>
      <c r="L383" s="516"/>
    </row>
    <row r="384" spans="5:12" ht="11.25" x14ac:dyDescent="0.2">
      <c r="E384" s="516"/>
      <c r="F384" s="516"/>
      <c r="G384" s="516"/>
      <c r="H384" s="516"/>
      <c r="I384" s="516"/>
      <c r="J384" s="516"/>
      <c r="K384" s="516"/>
      <c r="L384" s="516"/>
    </row>
    <row r="385" spans="5:12" ht="11.25" x14ac:dyDescent="0.2">
      <c r="E385" s="516"/>
      <c r="F385" s="516"/>
      <c r="G385" s="516"/>
      <c r="H385" s="516"/>
      <c r="I385" s="516"/>
      <c r="J385" s="516"/>
      <c r="K385" s="516"/>
      <c r="L385" s="516"/>
    </row>
    <row r="386" spans="5:12" ht="11.25" x14ac:dyDescent="0.2">
      <c r="E386" s="516"/>
      <c r="F386" s="516"/>
      <c r="G386" s="516"/>
      <c r="H386" s="516"/>
      <c r="I386" s="516"/>
      <c r="J386" s="516"/>
      <c r="K386" s="516"/>
      <c r="L386" s="516"/>
    </row>
    <row r="387" spans="5:12" ht="11.25" x14ac:dyDescent="0.2">
      <c r="E387" s="516"/>
      <c r="F387" s="516"/>
      <c r="G387" s="516"/>
      <c r="H387" s="516"/>
      <c r="I387" s="516"/>
      <c r="J387" s="516"/>
      <c r="K387" s="516"/>
      <c r="L387" s="516"/>
    </row>
    <row r="388" spans="5:12" ht="11.25" x14ac:dyDescent="0.2">
      <c r="E388" s="516"/>
      <c r="F388" s="516"/>
      <c r="G388" s="516"/>
      <c r="H388" s="516"/>
      <c r="I388" s="516"/>
      <c r="J388" s="516"/>
      <c r="K388" s="516"/>
      <c r="L388" s="516"/>
    </row>
    <row r="389" spans="5:12" ht="11.25" x14ac:dyDescent="0.2">
      <c r="E389" s="516"/>
      <c r="F389" s="516"/>
      <c r="G389" s="516"/>
      <c r="H389" s="516"/>
      <c r="I389" s="516"/>
      <c r="J389" s="516"/>
      <c r="K389" s="516"/>
      <c r="L389" s="516"/>
    </row>
    <row r="390" spans="5:12" ht="11.25" x14ac:dyDescent="0.2">
      <c r="E390" s="516"/>
      <c r="F390" s="516"/>
      <c r="G390" s="516"/>
      <c r="H390" s="516"/>
      <c r="I390" s="516"/>
      <c r="J390" s="516"/>
      <c r="K390" s="516"/>
      <c r="L390" s="516"/>
    </row>
    <row r="391" spans="5:12" ht="11.25" x14ac:dyDescent="0.2">
      <c r="E391" s="516"/>
      <c r="F391" s="516"/>
      <c r="G391" s="516"/>
      <c r="H391" s="516"/>
      <c r="I391" s="516"/>
      <c r="J391" s="516"/>
      <c r="K391" s="516"/>
      <c r="L391" s="516"/>
    </row>
    <row r="392" spans="5:12" ht="11.25" x14ac:dyDescent="0.2">
      <c r="E392" s="516"/>
      <c r="F392" s="516"/>
      <c r="G392" s="516"/>
      <c r="H392" s="516"/>
      <c r="I392" s="516"/>
      <c r="J392" s="516"/>
      <c r="K392" s="516"/>
      <c r="L392" s="516"/>
    </row>
    <row r="393" spans="5:12" ht="11.25" x14ac:dyDescent="0.2">
      <c r="E393" s="516"/>
      <c r="F393" s="516"/>
      <c r="G393" s="516"/>
      <c r="H393" s="516"/>
      <c r="I393" s="516"/>
      <c r="J393" s="516"/>
      <c r="K393" s="516"/>
      <c r="L393" s="516"/>
    </row>
    <row r="394" spans="5:12" ht="11.25" x14ac:dyDescent="0.2">
      <c r="E394" s="516"/>
      <c r="F394" s="516"/>
      <c r="G394" s="516"/>
      <c r="H394" s="516"/>
      <c r="I394" s="516"/>
      <c r="J394" s="516"/>
      <c r="K394" s="516"/>
      <c r="L394" s="516"/>
    </row>
    <row r="395" spans="5:12" ht="11.25" x14ac:dyDescent="0.2">
      <c r="E395" s="516"/>
      <c r="F395" s="516"/>
      <c r="G395" s="516"/>
      <c r="H395" s="516"/>
      <c r="I395" s="516"/>
      <c r="J395" s="516"/>
      <c r="K395" s="516"/>
      <c r="L395" s="516"/>
    </row>
    <row r="396" spans="5:12" ht="11.25" x14ac:dyDescent="0.2">
      <c r="E396" s="516"/>
      <c r="F396" s="516"/>
      <c r="G396" s="516"/>
      <c r="H396" s="516"/>
      <c r="I396" s="516"/>
      <c r="J396" s="516"/>
      <c r="K396" s="516"/>
      <c r="L396" s="516"/>
    </row>
    <row r="397" spans="5:12" ht="11.25" x14ac:dyDescent="0.2">
      <c r="E397" s="516"/>
      <c r="F397" s="516"/>
      <c r="G397" s="516"/>
      <c r="H397" s="516"/>
      <c r="I397" s="516"/>
      <c r="J397" s="516"/>
      <c r="K397" s="516"/>
      <c r="L397" s="516"/>
    </row>
    <row r="398" spans="5:12" ht="11.25" x14ac:dyDescent="0.2">
      <c r="E398" s="516"/>
      <c r="F398" s="516"/>
      <c r="G398" s="516"/>
      <c r="H398" s="516"/>
      <c r="I398" s="516"/>
      <c r="J398" s="516"/>
      <c r="K398" s="516"/>
      <c r="L398" s="516"/>
    </row>
    <row r="399" spans="5:12" ht="11.25" x14ac:dyDescent="0.2">
      <c r="E399" s="516"/>
      <c r="F399" s="516"/>
      <c r="G399" s="516"/>
      <c r="H399" s="516"/>
      <c r="I399" s="516"/>
      <c r="J399" s="516"/>
      <c r="K399" s="516"/>
      <c r="L399" s="516"/>
    </row>
    <row r="400" spans="5:12" ht="11.25" x14ac:dyDescent="0.2">
      <c r="E400" s="516"/>
      <c r="F400" s="516"/>
      <c r="G400" s="516"/>
      <c r="H400" s="516"/>
      <c r="I400" s="516"/>
      <c r="J400" s="516"/>
      <c r="K400" s="516"/>
      <c r="L400" s="516"/>
    </row>
    <row r="401" spans="5:12" ht="11.25" x14ac:dyDescent="0.2">
      <c r="E401" s="516"/>
      <c r="F401" s="516"/>
      <c r="G401" s="516"/>
      <c r="H401" s="516"/>
      <c r="I401" s="516"/>
      <c r="J401" s="516"/>
      <c r="K401" s="516"/>
      <c r="L401" s="516"/>
    </row>
    <row r="402" spans="5:12" ht="11.25" x14ac:dyDescent="0.2">
      <c r="E402" s="516"/>
      <c r="F402" s="516"/>
      <c r="G402" s="516"/>
      <c r="H402" s="516"/>
      <c r="I402" s="516"/>
      <c r="J402" s="516"/>
      <c r="K402" s="516"/>
      <c r="L402" s="516"/>
    </row>
    <row r="403" spans="5:12" ht="11.25" x14ac:dyDescent="0.2">
      <c r="E403" s="516"/>
      <c r="F403" s="516"/>
      <c r="G403" s="516"/>
      <c r="H403" s="516"/>
      <c r="I403" s="516"/>
      <c r="J403" s="516"/>
      <c r="K403" s="516"/>
      <c r="L403" s="516"/>
    </row>
    <row r="404" spans="5:12" ht="11.25" x14ac:dyDescent="0.2">
      <c r="E404" s="516"/>
      <c r="F404" s="516"/>
      <c r="G404" s="516"/>
      <c r="H404" s="516"/>
      <c r="I404" s="516"/>
      <c r="J404" s="516"/>
      <c r="K404" s="516"/>
      <c r="L404" s="516"/>
    </row>
    <row r="405" spans="5:12" ht="11.25" x14ac:dyDescent="0.2">
      <c r="E405" s="516"/>
      <c r="F405" s="516"/>
      <c r="G405" s="516"/>
      <c r="H405" s="516"/>
      <c r="I405" s="516"/>
      <c r="J405" s="516"/>
      <c r="K405" s="516"/>
      <c r="L405" s="516"/>
    </row>
    <row r="406" spans="5:12" ht="11.25" x14ac:dyDescent="0.2">
      <c r="E406" s="516"/>
      <c r="F406" s="516"/>
      <c r="G406" s="516"/>
      <c r="H406" s="516"/>
      <c r="I406" s="516"/>
      <c r="J406" s="516"/>
      <c r="K406" s="516"/>
      <c r="L406" s="516"/>
    </row>
    <row r="407" spans="5:12" ht="11.25" x14ac:dyDescent="0.2">
      <c r="E407" s="516"/>
      <c r="F407" s="516"/>
      <c r="G407" s="516"/>
      <c r="H407" s="516"/>
      <c r="I407" s="516"/>
      <c r="J407" s="516"/>
      <c r="K407" s="516"/>
      <c r="L407" s="516"/>
    </row>
    <row r="408" spans="5:12" ht="11.25" x14ac:dyDescent="0.2">
      <c r="E408" s="516"/>
      <c r="F408" s="516"/>
      <c r="G408" s="516"/>
      <c r="H408" s="516"/>
      <c r="I408" s="516"/>
      <c r="J408" s="516"/>
      <c r="K408" s="516"/>
      <c r="L408" s="516"/>
    </row>
    <row r="409" spans="5:12" ht="11.25" x14ac:dyDescent="0.2">
      <c r="E409" s="516"/>
      <c r="F409" s="516"/>
      <c r="G409" s="516"/>
      <c r="H409" s="516"/>
      <c r="I409" s="516"/>
      <c r="J409" s="516"/>
      <c r="K409" s="516"/>
      <c r="L409" s="516"/>
    </row>
    <row r="410" spans="5:12" ht="11.25" x14ac:dyDescent="0.2">
      <c r="E410" s="516"/>
      <c r="F410" s="516"/>
      <c r="G410" s="516"/>
      <c r="H410" s="516"/>
      <c r="I410" s="516"/>
      <c r="J410" s="516"/>
      <c r="K410" s="516"/>
      <c r="L410" s="516"/>
    </row>
    <row r="411" spans="5:12" ht="11.25" x14ac:dyDescent="0.2">
      <c r="E411" s="516"/>
      <c r="F411" s="516"/>
      <c r="G411" s="516"/>
      <c r="H411" s="516"/>
      <c r="I411" s="516"/>
      <c r="J411" s="516"/>
      <c r="K411" s="516"/>
      <c r="L411" s="516"/>
    </row>
    <row r="412" spans="5:12" ht="11.25" x14ac:dyDescent="0.2">
      <c r="E412" s="516"/>
      <c r="F412" s="516"/>
      <c r="G412" s="516"/>
      <c r="H412" s="516"/>
      <c r="I412" s="516"/>
      <c r="J412" s="516"/>
      <c r="K412" s="516"/>
      <c r="L412" s="516"/>
    </row>
    <row r="413" spans="5:12" ht="11.25" x14ac:dyDescent="0.2">
      <c r="E413" s="516"/>
      <c r="F413" s="516"/>
      <c r="G413" s="516"/>
      <c r="H413" s="516"/>
      <c r="I413" s="516"/>
      <c r="J413" s="516"/>
      <c r="K413" s="516"/>
      <c r="L413" s="516"/>
    </row>
    <row r="414" spans="5:12" ht="11.25" x14ac:dyDescent="0.2">
      <c r="E414" s="516"/>
      <c r="F414" s="516"/>
      <c r="G414" s="516"/>
      <c r="H414" s="516"/>
      <c r="I414" s="516"/>
      <c r="J414" s="516"/>
      <c r="K414" s="516"/>
      <c r="L414" s="516"/>
    </row>
    <row r="415" spans="5:12" ht="11.25" x14ac:dyDescent="0.2">
      <c r="E415" s="516"/>
      <c r="F415" s="516"/>
      <c r="G415" s="516"/>
      <c r="H415" s="516"/>
      <c r="I415" s="516"/>
      <c r="J415" s="516"/>
      <c r="K415" s="516"/>
      <c r="L415" s="516"/>
    </row>
    <row r="416" spans="5:12" ht="11.25" x14ac:dyDescent="0.2">
      <c r="E416" s="516"/>
      <c r="F416" s="516"/>
      <c r="G416" s="516"/>
      <c r="H416" s="516"/>
      <c r="I416" s="516"/>
      <c r="J416" s="516"/>
      <c r="K416" s="516"/>
      <c r="L416" s="516"/>
    </row>
    <row r="417" spans="5:12" ht="11.25" x14ac:dyDescent="0.2">
      <c r="E417" s="516"/>
      <c r="F417" s="516"/>
      <c r="G417" s="516"/>
      <c r="H417" s="516"/>
      <c r="I417" s="516"/>
      <c r="J417" s="516"/>
      <c r="K417" s="516"/>
      <c r="L417" s="516"/>
    </row>
    <row r="418" spans="5:12" ht="11.25" x14ac:dyDescent="0.2">
      <c r="E418" s="516"/>
      <c r="F418" s="516"/>
      <c r="G418" s="516"/>
      <c r="H418" s="516"/>
      <c r="I418" s="516"/>
      <c r="J418" s="516"/>
      <c r="K418" s="516"/>
      <c r="L418" s="516"/>
    </row>
    <row r="419" spans="5:12" ht="11.25" x14ac:dyDescent="0.2">
      <c r="E419" s="516"/>
      <c r="F419" s="516"/>
      <c r="G419" s="516"/>
      <c r="H419" s="516"/>
      <c r="I419" s="516"/>
      <c r="J419" s="516"/>
      <c r="K419" s="516"/>
      <c r="L419" s="516"/>
    </row>
    <row r="420" spans="5:12" ht="11.25" x14ac:dyDescent="0.2">
      <c r="E420" s="516"/>
      <c r="F420" s="516"/>
      <c r="G420" s="516"/>
      <c r="H420" s="516"/>
      <c r="I420" s="516"/>
      <c r="J420" s="516"/>
      <c r="K420" s="516"/>
      <c r="L420" s="516"/>
    </row>
    <row r="421" spans="5:12" ht="11.25" x14ac:dyDescent="0.2">
      <c r="E421" s="516"/>
      <c r="F421" s="516"/>
      <c r="G421" s="516"/>
      <c r="H421" s="516"/>
      <c r="I421" s="516"/>
      <c r="J421" s="516"/>
      <c r="K421" s="516"/>
      <c r="L421" s="516"/>
    </row>
    <row r="422" spans="5:12" ht="11.25" x14ac:dyDescent="0.2">
      <c r="E422" s="516"/>
      <c r="F422" s="516"/>
      <c r="G422" s="516"/>
      <c r="H422" s="516"/>
      <c r="I422" s="516"/>
      <c r="J422" s="516"/>
      <c r="K422" s="516"/>
      <c r="L422" s="516"/>
    </row>
    <row r="423" spans="5:12" ht="11.25" x14ac:dyDescent="0.2">
      <c r="E423" s="516"/>
      <c r="F423" s="516"/>
      <c r="G423" s="516"/>
      <c r="H423" s="516"/>
      <c r="I423" s="516"/>
      <c r="J423" s="516"/>
      <c r="K423" s="516"/>
      <c r="L423" s="516"/>
    </row>
    <row r="424" spans="5:12" ht="11.25" x14ac:dyDescent="0.2">
      <c r="E424" s="516"/>
      <c r="F424" s="516"/>
      <c r="G424" s="516"/>
      <c r="H424" s="516"/>
      <c r="I424" s="516"/>
      <c r="J424" s="516"/>
      <c r="K424" s="516"/>
      <c r="L424" s="516"/>
    </row>
    <row r="425" spans="5:12" ht="11.25" x14ac:dyDescent="0.2">
      <c r="E425" s="516"/>
      <c r="F425" s="516"/>
      <c r="G425" s="516"/>
      <c r="H425" s="516"/>
      <c r="I425" s="516"/>
      <c r="J425" s="516"/>
      <c r="K425" s="516"/>
      <c r="L425" s="516"/>
    </row>
    <row r="426" spans="5:12" ht="11.25" x14ac:dyDescent="0.2">
      <c r="E426" s="516"/>
      <c r="F426" s="516"/>
      <c r="G426" s="516"/>
      <c r="H426" s="516"/>
      <c r="I426" s="516"/>
      <c r="J426" s="516"/>
      <c r="K426" s="516"/>
      <c r="L426" s="516"/>
    </row>
    <row r="427" spans="5:12" ht="11.25" x14ac:dyDescent="0.2">
      <c r="E427" s="516"/>
      <c r="F427" s="516"/>
      <c r="G427" s="516"/>
      <c r="H427" s="516"/>
      <c r="I427" s="516"/>
      <c r="J427" s="516"/>
      <c r="K427" s="516"/>
      <c r="L427" s="516"/>
    </row>
    <row r="428" spans="5:12" ht="11.25" x14ac:dyDescent="0.2">
      <c r="E428" s="516"/>
      <c r="F428" s="516"/>
      <c r="G428" s="516"/>
      <c r="H428" s="516"/>
      <c r="I428" s="516"/>
      <c r="J428" s="516"/>
      <c r="K428" s="516"/>
      <c r="L428" s="516"/>
    </row>
    <row r="429" spans="5:12" ht="11.25" x14ac:dyDescent="0.2">
      <c r="E429" s="516"/>
      <c r="F429" s="516"/>
      <c r="G429" s="516"/>
      <c r="H429" s="516"/>
      <c r="I429" s="516"/>
      <c r="J429" s="516"/>
      <c r="K429" s="516"/>
      <c r="L429" s="516"/>
    </row>
    <row r="430" spans="5:12" ht="11.25" x14ac:dyDescent="0.2">
      <c r="E430" s="516"/>
      <c r="F430" s="516"/>
      <c r="G430" s="516"/>
      <c r="H430" s="516"/>
      <c r="I430" s="516"/>
      <c r="J430" s="516"/>
      <c r="K430" s="516"/>
      <c r="L430" s="516"/>
    </row>
    <row r="431" spans="5:12" ht="11.25" x14ac:dyDescent="0.2">
      <c r="E431" s="516"/>
      <c r="F431" s="516"/>
      <c r="G431" s="516"/>
      <c r="H431" s="516"/>
      <c r="I431" s="516"/>
      <c r="J431" s="516"/>
      <c r="K431" s="516"/>
      <c r="L431" s="516"/>
    </row>
    <row r="432" spans="5:12" ht="11.25" x14ac:dyDescent="0.2">
      <c r="E432" s="516"/>
      <c r="F432" s="516"/>
      <c r="G432" s="516"/>
      <c r="H432" s="516"/>
      <c r="I432" s="516"/>
      <c r="J432" s="516"/>
      <c r="K432" s="516"/>
      <c r="L432" s="516"/>
    </row>
    <row r="433" spans="5:12" ht="11.25" x14ac:dyDescent="0.2">
      <c r="E433" s="516"/>
      <c r="F433" s="516"/>
      <c r="G433" s="516"/>
      <c r="H433" s="516"/>
      <c r="I433" s="516"/>
      <c r="J433" s="516"/>
      <c r="K433" s="516"/>
      <c r="L433" s="516"/>
    </row>
    <row r="434" spans="5:12" ht="11.25" x14ac:dyDescent="0.2">
      <c r="E434" s="516"/>
      <c r="F434" s="516"/>
      <c r="G434" s="516"/>
      <c r="H434" s="516"/>
      <c r="I434" s="516"/>
      <c r="J434" s="516"/>
      <c r="K434" s="516"/>
      <c r="L434" s="516"/>
    </row>
    <row r="435" spans="5:12" ht="11.25" x14ac:dyDescent="0.2">
      <c r="E435" s="516"/>
      <c r="F435" s="516"/>
      <c r="G435" s="516"/>
      <c r="H435" s="516"/>
      <c r="I435" s="516"/>
      <c r="J435" s="516"/>
      <c r="K435" s="516"/>
      <c r="L435" s="516"/>
    </row>
    <row r="436" spans="5:12" ht="11.25" x14ac:dyDescent="0.2">
      <c r="E436" s="516"/>
      <c r="F436" s="516"/>
      <c r="G436" s="516"/>
      <c r="H436" s="516"/>
      <c r="I436" s="516"/>
      <c r="J436" s="516"/>
      <c r="K436" s="516"/>
      <c r="L436" s="516"/>
    </row>
    <row r="437" spans="5:12" ht="11.25" x14ac:dyDescent="0.2">
      <c r="E437" s="516"/>
      <c r="F437" s="516"/>
      <c r="G437" s="516"/>
      <c r="H437" s="516"/>
      <c r="I437" s="516"/>
      <c r="J437" s="516"/>
      <c r="K437" s="516"/>
      <c r="L437" s="516"/>
    </row>
    <row r="438" spans="5:12" ht="11.25" x14ac:dyDescent="0.2">
      <c r="E438" s="516"/>
      <c r="F438" s="516"/>
      <c r="G438" s="516"/>
      <c r="H438" s="516"/>
      <c r="I438" s="516"/>
      <c r="J438" s="516"/>
      <c r="K438" s="516"/>
      <c r="L438" s="516"/>
    </row>
    <row r="439" spans="5:12" ht="11.25" x14ac:dyDescent="0.2">
      <c r="E439" s="516"/>
      <c r="F439" s="516"/>
      <c r="G439" s="516"/>
      <c r="H439" s="516"/>
      <c r="I439" s="516"/>
      <c r="J439" s="516"/>
      <c r="K439" s="516"/>
      <c r="L439" s="516"/>
    </row>
    <row r="440" spans="5:12" ht="11.25" x14ac:dyDescent="0.2">
      <c r="E440" s="516"/>
      <c r="F440" s="516"/>
      <c r="G440" s="516"/>
      <c r="H440" s="516"/>
      <c r="I440" s="516"/>
      <c r="J440" s="516"/>
      <c r="K440" s="516"/>
      <c r="L440" s="516"/>
    </row>
    <row r="441" spans="5:12" ht="11.25" x14ac:dyDescent="0.2">
      <c r="E441" s="516"/>
      <c r="F441" s="516"/>
      <c r="G441" s="516"/>
      <c r="H441" s="516"/>
      <c r="I441" s="516"/>
      <c r="J441" s="516"/>
      <c r="K441" s="516"/>
      <c r="L441" s="516"/>
    </row>
    <row r="442" spans="5:12" ht="11.25" x14ac:dyDescent="0.2">
      <c r="E442" s="516"/>
      <c r="F442" s="516"/>
      <c r="G442" s="516"/>
      <c r="H442" s="516"/>
      <c r="I442" s="516"/>
      <c r="J442" s="516"/>
      <c r="K442" s="516"/>
      <c r="L442" s="516"/>
    </row>
    <row r="443" spans="5:12" ht="11.25" x14ac:dyDescent="0.2">
      <c r="E443" s="516"/>
      <c r="F443" s="516"/>
      <c r="G443" s="516"/>
      <c r="H443" s="516"/>
      <c r="I443" s="516"/>
      <c r="J443" s="516"/>
      <c r="K443" s="516"/>
      <c r="L443" s="516"/>
    </row>
    <row r="444" spans="5:12" ht="11.25" x14ac:dyDescent="0.2">
      <c r="E444" s="516"/>
      <c r="F444" s="516"/>
      <c r="G444" s="516"/>
      <c r="H444" s="516"/>
      <c r="I444" s="516"/>
      <c r="J444" s="516"/>
      <c r="K444" s="516"/>
      <c r="L444" s="516"/>
    </row>
    <row r="445" spans="5:12" ht="11.25" x14ac:dyDescent="0.2">
      <c r="E445" s="516"/>
      <c r="F445" s="516"/>
      <c r="G445" s="516"/>
      <c r="H445" s="516"/>
      <c r="I445" s="516"/>
      <c r="J445" s="516"/>
      <c r="K445" s="516"/>
      <c r="L445" s="516"/>
    </row>
    <row r="446" spans="5:12" ht="11.25" x14ac:dyDescent="0.2">
      <c r="E446" s="516"/>
      <c r="F446" s="516"/>
      <c r="G446" s="516"/>
      <c r="H446" s="516"/>
      <c r="I446" s="516"/>
      <c r="J446" s="516"/>
      <c r="K446" s="516"/>
      <c r="L446" s="516"/>
    </row>
    <row r="447" spans="5:12" ht="11.25" x14ac:dyDescent="0.2">
      <c r="E447" s="516"/>
      <c r="F447" s="516"/>
      <c r="G447" s="516"/>
      <c r="H447" s="516"/>
      <c r="I447" s="516"/>
      <c r="J447" s="516"/>
      <c r="K447" s="516"/>
      <c r="L447" s="516"/>
    </row>
    <row r="448" spans="5:12" ht="11.25" x14ac:dyDescent="0.2">
      <c r="E448" s="516"/>
      <c r="F448" s="516"/>
      <c r="G448" s="516"/>
      <c r="H448" s="516"/>
      <c r="I448" s="516"/>
      <c r="J448" s="516"/>
      <c r="K448" s="516"/>
      <c r="L448" s="516"/>
    </row>
    <row r="449" spans="5:12" ht="11.25" x14ac:dyDescent="0.2">
      <c r="E449" s="516"/>
      <c r="F449" s="516"/>
      <c r="G449" s="516"/>
      <c r="H449" s="516"/>
      <c r="I449" s="516"/>
      <c r="J449" s="516"/>
      <c r="K449" s="516"/>
      <c r="L449" s="516"/>
    </row>
    <row r="450" spans="5:12" ht="11.25" x14ac:dyDescent="0.2">
      <c r="E450" s="516"/>
      <c r="F450" s="516"/>
      <c r="G450" s="516"/>
      <c r="H450" s="516"/>
      <c r="I450" s="516"/>
      <c r="J450" s="516"/>
      <c r="K450" s="516"/>
      <c r="L450" s="516"/>
    </row>
    <row r="451" spans="5:12" ht="11.25" x14ac:dyDescent="0.2">
      <c r="E451" s="516"/>
      <c r="F451" s="516"/>
      <c r="G451" s="516"/>
      <c r="H451" s="516"/>
      <c r="I451" s="516"/>
      <c r="J451" s="516"/>
      <c r="K451" s="516"/>
      <c r="L451" s="516"/>
    </row>
    <row r="452" spans="5:12" ht="11.25" x14ac:dyDescent="0.2">
      <c r="E452" s="516"/>
      <c r="F452" s="516"/>
      <c r="G452" s="516"/>
      <c r="H452" s="516"/>
      <c r="I452" s="516"/>
      <c r="J452" s="516"/>
      <c r="K452" s="516"/>
      <c r="L452" s="516"/>
    </row>
    <row r="453" spans="5:12" ht="11.25" x14ac:dyDescent="0.2">
      <c r="E453" s="516"/>
      <c r="F453" s="516"/>
      <c r="G453" s="516"/>
      <c r="H453" s="516"/>
      <c r="I453" s="516"/>
      <c r="J453" s="516"/>
      <c r="K453" s="516"/>
      <c r="L453" s="516"/>
    </row>
    <row r="454" spans="5:12" ht="11.25" x14ac:dyDescent="0.2">
      <c r="E454" s="516"/>
      <c r="F454" s="516"/>
      <c r="G454" s="516"/>
      <c r="H454" s="516"/>
      <c r="I454" s="516"/>
      <c r="J454" s="516"/>
      <c r="K454" s="516"/>
      <c r="L454" s="516"/>
    </row>
    <row r="455" spans="5:12" ht="11.25" x14ac:dyDescent="0.2">
      <c r="E455" s="516"/>
      <c r="F455" s="516"/>
      <c r="G455" s="516"/>
      <c r="H455" s="516"/>
      <c r="I455" s="516"/>
      <c r="J455" s="516"/>
      <c r="K455" s="516"/>
      <c r="L455" s="516"/>
    </row>
    <row r="456" spans="5:12" ht="11.25" x14ac:dyDescent="0.2">
      <c r="E456" s="516"/>
      <c r="F456" s="516"/>
      <c r="G456" s="516"/>
      <c r="H456" s="516"/>
      <c r="I456" s="516"/>
      <c r="J456" s="516"/>
      <c r="K456" s="516"/>
      <c r="L456" s="516"/>
    </row>
    <row r="457" spans="5:12" ht="11.25" x14ac:dyDescent="0.2">
      <c r="E457" s="516"/>
      <c r="F457" s="516"/>
      <c r="G457" s="516"/>
      <c r="H457" s="516"/>
      <c r="I457" s="516"/>
      <c r="J457" s="516"/>
      <c r="K457" s="516"/>
      <c r="L457" s="516"/>
    </row>
    <row r="458" spans="5:12" ht="11.25" x14ac:dyDescent="0.2">
      <c r="E458" s="516"/>
      <c r="F458" s="516"/>
      <c r="G458" s="516"/>
      <c r="H458" s="516"/>
      <c r="I458" s="516"/>
      <c r="J458" s="516"/>
      <c r="K458" s="516"/>
      <c r="L458" s="516"/>
    </row>
    <row r="459" spans="5:12" ht="11.25" x14ac:dyDescent="0.2">
      <c r="E459" s="516"/>
      <c r="F459" s="516"/>
      <c r="G459" s="516"/>
      <c r="H459" s="516"/>
      <c r="I459" s="516"/>
      <c r="J459" s="516"/>
      <c r="K459" s="516"/>
      <c r="L459" s="516"/>
    </row>
    <row r="460" spans="5:12" ht="11.25" x14ac:dyDescent="0.2">
      <c r="E460" s="516"/>
      <c r="F460" s="516"/>
      <c r="G460" s="516"/>
      <c r="H460" s="516"/>
      <c r="I460" s="516"/>
      <c r="J460" s="516"/>
      <c r="K460" s="516"/>
      <c r="L460" s="516"/>
    </row>
    <row r="461" spans="5:12" ht="11.25" x14ac:dyDescent="0.2">
      <c r="E461" s="516"/>
      <c r="F461" s="516"/>
      <c r="G461" s="516"/>
      <c r="H461" s="516"/>
      <c r="I461" s="516"/>
      <c r="J461" s="516"/>
      <c r="K461" s="516"/>
      <c r="L461" s="516"/>
    </row>
    <row r="462" spans="5:12" ht="11.25" x14ac:dyDescent="0.2">
      <c r="E462" s="516"/>
      <c r="F462" s="516"/>
      <c r="G462" s="516"/>
      <c r="H462" s="516"/>
      <c r="I462" s="516"/>
      <c r="J462" s="516"/>
      <c r="K462" s="516"/>
      <c r="L462" s="516"/>
    </row>
    <row r="463" spans="5:12" ht="11.25" x14ac:dyDescent="0.2">
      <c r="E463" s="516"/>
      <c r="F463" s="516"/>
      <c r="G463" s="516"/>
      <c r="H463" s="516"/>
      <c r="I463" s="516"/>
      <c r="J463" s="516"/>
      <c r="K463" s="516"/>
      <c r="L463" s="516"/>
    </row>
    <row r="464" spans="5:12" ht="11.25" x14ac:dyDescent="0.2">
      <c r="E464" s="516"/>
      <c r="F464" s="516"/>
      <c r="G464" s="516"/>
      <c r="H464" s="516"/>
      <c r="I464" s="516"/>
      <c r="J464" s="516"/>
      <c r="K464" s="516"/>
      <c r="L464" s="516"/>
    </row>
    <row r="465" spans="5:12" ht="11.25" x14ac:dyDescent="0.2">
      <c r="E465" s="516"/>
      <c r="F465" s="516"/>
      <c r="G465" s="516"/>
      <c r="H465" s="516"/>
      <c r="I465" s="516"/>
      <c r="J465" s="516"/>
      <c r="K465" s="516"/>
      <c r="L465" s="516"/>
    </row>
    <row r="466" spans="5:12" ht="11.25" x14ac:dyDescent="0.2">
      <c r="E466" s="516"/>
      <c r="F466" s="516"/>
      <c r="G466" s="516"/>
      <c r="H466" s="516"/>
      <c r="I466" s="516"/>
      <c r="J466" s="516"/>
      <c r="K466" s="516"/>
      <c r="L466" s="516"/>
    </row>
    <row r="467" spans="5:12" ht="11.25" x14ac:dyDescent="0.2">
      <c r="E467" s="516"/>
      <c r="F467" s="516"/>
      <c r="G467" s="516"/>
      <c r="H467" s="516"/>
      <c r="I467" s="516"/>
      <c r="J467" s="516"/>
      <c r="K467" s="516"/>
      <c r="L467" s="516"/>
    </row>
    <row r="468" spans="5:12" ht="11.25" x14ac:dyDescent="0.2">
      <c r="E468" s="516"/>
      <c r="F468" s="516"/>
      <c r="G468" s="516"/>
      <c r="H468" s="516"/>
      <c r="I468" s="516"/>
      <c r="J468" s="516"/>
      <c r="K468" s="516"/>
      <c r="L468" s="516"/>
    </row>
    <row r="469" spans="5:12" ht="11.25" x14ac:dyDescent="0.2">
      <c r="E469" s="516"/>
      <c r="F469" s="516"/>
      <c r="G469" s="516"/>
      <c r="H469" s="516"/>
      <c r="I469" s="516"/>
      <c r="J469" s="516"/>
      <c r="K469" s="516"/>
      <c r="L469" s="516"/>
    </row>
    <row r="470" spans="5:12" ht="11.25" x14ac:dyDescent="0.2">
      <c r="E470" s="516"/>
      <c r="F470" s="516"/>
      <c r="G470" s="516"/>
      <c r="H470" s="516"/>
      <c r="I470" s="516"/>
      <c r="J470" s="516"/>
      <c r="K470" s="516"/>
      <c r="L470" s="516"/>
    </row>
    <row r="471" spans="5:12" ht="11.25" x14ac:dyDescent="0.2">
      <c r="E471" s="516"/>
      <c r="F471" s="516"/>
      <c r="G471" s="516"/>
      <c r="H471" s="516"/>
      <c r="I471" s="516"/>
      <c r="J471" s="516"/>
      <c r="K471" s="516"/>
      <c r="L471" s="516"/>
    </row>
    <row r="472" spans="5:12" ht="11.25" x14ac:dyDescent="0.2">
      <c r="E472" s="516"/>
      <c r="F472" s="516"/>
      <c r="G472" s="516"/>
      <c r="H472" s="516"/>
      <c r="I472" s="516"/>
      <c r="J472" s="516"/>
      <c r="K472" s="516"/>
      <c r="L472" s="516"/>
    </row>
    <row r="473" spans="5:12" ht="11.25" x14ac:dyDescent="0.2">
      <c r="E473" s="516"/>
      <c r="F473" s="516"/>
      <c r="G473" s="516"/>
      <c r="H473" s="516"/>
      <c r="I473" s="516"/>
      <c r="J473" s="516"/>
      <c r="K473" s="516"/>
      <c r="L473" s="516"/>
    </row>
    <row r="474" spans="5:12" ht="11.25" x14ac:dyDescent="0.2">
      <c r="E474" s="516"/>
      <c r="F474" s="516"/>
      <c r="G474" s="516"/>
      <c r="H474" s="516"/>
      <c r="I474" s="516"/>
      <c r="J474" s="516"/>
      <c r="K474" s="516"/>
      <c r="L474" s="516"/>
    </row>
    <row r="475" spans="5:12" ht="11.25" x14ac:dyDescent="0.2">
      <c r="E475" s="516"/>
      <c r="F475" s="516"/>
      <c r="G475" s="516"/>
      <c r="H475" s="516"/>
      <c r="I475" s="516"/>
      <c r="J475" s="516"/>
      <c r="K475" s="516"/>
      <c r="L475" s="516"/>
    </row>
    <row r="476" spans="5:12" ht="11.25" x14ac:dyDescent="0.2">
      <c r="E476" s="516"/>
      <c r="F476" s="516"/>
      <c r="G476" s="516"/>
      <c r="H476" s="516"/>
      <c r="I476" s="516"/>
      <c r="J476" s="516"/>
      <c r="K476" s="516"/>
      <c r="L476" s="516"/>
    </row>
    <row r="477" spans="5:12" ht="11.25" x14ac:dyDescent="0.2">
      <c r="E477" s="516"/>
      <c r="F477" s="516"/>
      <c r="G477" s="516"/>
      <c r="H477" s="516"/>
      <c r="I477" s="516"/>
      <c r="J477" s="516"/>
      <c r="K477" s="516"/>
      <c r="L477" s="516"/>
    </row>
    <row r="478" spans="5:12" ht="11.25" x14ac:dyDescent="0.2">
      <c r="E478" s="516"/>
      <c r="F478" s="516"/>
      <c r="G478" s="516"/>
      <c r="H478" s="516"/>
      <c r="I478" s="516"/>
      <c r="J478" s="516"/>
      <c r="K478" s="516"/>
      <c r="L478" s="516"/>
    </row>
    <row r="479" spans="5:12" ht="11.25" x14ac:dyDescent="0.2">
      <c r="E479" s="516"/>
      <c r="F479" s="516"/>
      <c r="G479" s="516"/>
      <c r="H479" s="516"/>
      <c r="I479" s="516"/>
      <c r="J479" s="516"/>
      <c r="K479" s="516"/>
      <c r="L479" s="516"/>
    </row>
    <row r="480" spans="5:12" ht="11.25" x14ac:dyDescent="0.2">
      <c r="E480" s="516"/>
      <c r="F480" s="516"/>
      <c r="G480" s="516"/>
      <c r="H480" s="516"/>
      <c r="I480" s="516"/>
      <c r="J480" s="516"/>
      <c r="K480" s="516"/>
      <c r="L480" s="516"/>
    </row>
    <row r="481" spans="5:12" ht="11.25" x14ac:dyDescent="0.2">
      <c r="E481" s="516"/>
      <c r="F481" s="516"/>
      <c r="G481" s="516"/>
      <c r="H481" s="516"/>
      <c r="I481" s="516"/>
      <c r="J481" s="516"/>
      <c r="K481" s="516"/>
      <c r="L481" s="516"/>
    </row>
    <row r="482" spans="5:12" ht="11.25" x14ac:dyDescent="0.2">
      <c r="E482" s="516"/>
      <c r="F482" s="516"/>
      <c r="G482" s="516"/>
      <c r="H482" s="516"/>
      <c r="I482" s="516"/>
      <c r="J482" s="516"/>
      <c r="K482" s="516"/>
      <c r="L482" s="516"/>
    </row>
    <row r="483" spans="5:12" ht="11.25" x14ac:dyDescent="0.2">
      <c r="E483" s="516"/>
      <c r="F483" s="516"/>
      <c r="G483" s="516"/>
      <c r="H483" s="516"/>
      <c r="I483" s="516"/>
      <c r="J483" s="516"/>
      <c r="K483" s="516"/>
      <c r="L483" s="516"/>
    </row>
    <row r="484" spans="5:12" ht="11.25" x14ac:dyDescent="0.2">
      <c r="E484" s="516"/>
      <c r="F484" s="516"/>
      <c r="G484" s="516"/>
      <c r="H484" s="516"/>
      <c r="I484" s="516"/>
      <c r="J484" s="516"/>
      <c r="K484" s="516"/>
      <c r="L484" s="516"/>
    </row>
    <row r="485" spans="5:12" ht="11.25" x14ac:dyDescent="0.2">
      <c r="E485" s="516"/>
      <c r="F485" s="516"/>
      <c r="G485" s="516"/>
      <c r="H485" s="516"/>
      <c r="I485" s="516"/>
      <c r="J485" s="516"/>
      <c r="K485" s="516"/>
      <c r="L485" s="516"/>
    </row>
    <row r="486" spans="5:12" ht="11.25" x14ac:dyDescent="0.2">
      <c r="E486" s="516"/>
      <c r="F486" s="516"/>
      <c r="G486" s="516"/>
      <c r="H486" s="516"/>
      <c r="I486" s="516"/>
      <c r="J486" s="516"/>
      <c r="K486" s="516"/>
      <c r="L486" s="516"/>
    </row>
    <row r="487" spans="5:12" ht="11.25" x14ac:dyDescent="0.2">
      <c r="E487" s="516"/>
      <c r="F487" s="516"/>
      <c r="G487" s="516"/>
      <c r="H487" s="516"/>
      <c r="I487" s="516"/>
      <c r="J487" s="516"/>
      <c r="K487" s="516"/>
      <c r="L487" s="516"/>
    </row>
    <row r="488" spans="5:12" ht="11.25" x14ac:dyDescent="0.2">
      <c r="E488" s="516"/>
      <c r="F488" s="516"/>
      <c r="G488" s="516"/>
      <c r="H488" s="516"/>
      <c r="I488" s="516"/>
      <c r="J488" s="516"/>
      <c r="K488" s="516"/>
      <c r="L488" s="516"/>
    </row>
    <row r="489" spans="5:12" ht="11.25" x14ac:dyDescent="0.2">
      <c r="E489" s="516"/>
      <c r="F489" s="516"/>
      <c r="G489" s="516"/>
      <c r="H489" s="516"/>
      <c r="I489" s="516"/>
      <c r="J489" s="516"/>
      <c r="K489" s="516"/>
      <c r="L489" s="516"/>
    </row>
    <row r="490" spans="5:12" ht="11.25" x14ac:dyDescent="0.2">
      <c r="E490" s="516"/>
      <c r="F490" s="516"/>
      <c r="G490" s="516"/>
      <c r="H490" s="516"/>
      <c r="I490" s="516"/>
      <c r="J490" s="516"/>
      <c r="K490" s="516"/>
      <c r="L490" s="516"/>
    </row>
    <row r="491" spans="5:12" ht="11.25" x14ac:dyDescent="0.2">
      <c r="E491" s="516"/>
      <c r="F491" s="516"/>
      <c r="G491" s="516"/>
      <c r="H491" s="516"/>
      <c r="I491" s="516"/>
      <c r="J491" s="516"/>
      <c r="K491" s="516"/>
      <c r="L491" s="516"/>
    </row>
    <row r="492" spans="5:12" ht="11.25" x14ac:dyDescent="0.2">
      <c r="E492" s="516"/>
      <c r="F492" s="516"/>
      <c r="G492" s="516"/>
      <c r="H492" s="516"/>
      <c r="I492" s="516"/>
      <c r="J492" s="516"/>
      <c r="K492" s="516"/>
      <c r="L492" s="516"/>
    </row>
    <row r="493" spans="5:12" ht="11.25" x14ac:dyDescent="0.2">
      <c r="E493" s="516"/>
      <c r="F493" s="516"/>
      <c r="G493" s="516"/>
      <c r="H493" s="516"/>
      <c r="I493" s="516"/>
      <c r="J493" s="516"/>
      <c r="K493" s="516"/>
      <c r="L493" s="516"/>
    </row>
    <row r="494" spans="5:12" ht="11.25" x14ac:dyDescent="0.2">
      <c r="E494" s="516"/>
      <c r="F494" s="516"/>
      <c r="G494" s="516"/>
      <c r="H494" s="516"/>
      <c r="I494" s="516"/>
      <c r="J494" s="516"/>
      <c r="K494" s="516"/>
      <c r="L494" s="516"/>
    </row>
    <row r="495" spans="5:12" ht="11.25" x14ac:dyDescent="0.2">
      <c r="E495" s="516"/>
      <c r="F495" s="516"/>
      <c r="G495" s="516"/>
      <c r="H495" s="516"/>
      <c r="I495" s="516"/>
      <c r="J495" s="516"/>
      <c r="K495" s="516"/>
      <c r="L495" s="516"/>
    </row>
    <row r="496" spans="5:12" ht="11.25" x14ac:dyDescent="0.2">
      <c r="E496" s="516"/>
      <c r="F496" s="516"/>
      <c r="G496" s="516"/>
      <c r="H496" s="516"/>
      <c r="I496" s="516"/>
      <c r="J496" s="516"/>
      <c r="K496" s="516"/>
      <c r="L496" s="516"/>
    </row>
    <row r="497" spans="5:12" ht="11.25" x14ac:dyDescent="0.2">
      <c r="E497" s="516"/>
      <c r="F497" s="516"/>
      <c r="G497" s="516"/>
      <c r="H497" s="516"/>
      <c r="I497" s="516"/>
      <c r="J497" s="516"/>
      <c r="K497" s="516"/>
      <c r="L497" s="516"/>
    </row>
    <row r="498" spans="5:12" ht="11.25" x14ac:dyDescent="0.2">
      <c r="E498" s="516"/>
      <c r="F498" s="516"/>
      <c r="G498" s="516"/>
      <c r="H498" s="516"/>
      <c r="I498" s="516"/>
      <c r="J498" s="516"/>
      <c r="K498" s="516"/>
      <c r="L498" s="516"/>
    </row>
    <row r="499" spans="5:12" ht="11.25" x14ac:dyDescent="0.2">
      <c r="E499" s="516"/>
      <c r="F499" s="516"/>
      <c r="G499" s="516"/>
      <c r="H499" s="516"/>
      <c r="I499" s="516"/>
      <c r="J499" s="516"/>
      <c r="K499" s="516"/>
      <c r="L499" s="516"/>
    </row>
    <row r="500" spans="5:12" ht="11.25" x14ac:dyDescent="0.2">
      <c r="E500" s="516"/>
      <c r="F500" s="516"/>
      <c r="G500" s="516"/>
      <c r="H500" s="516"/>
      <c r="I500" s="516"/>
      <c r="J500" s="516"/>
      <c r="K500" s="516"/>
      <c r="L500" s="516"/>
    </row>
    <row r="501" spans="5:12" ht="11.25" x14ac:dyDescent="0.2">
      <c r="E501" s="516"/>
      <c r="F501" s="516"/>
      <c r="G501" s="516"/>
      <c r="H501" s="516"/>
      <c r="I501" s="516"/>
      <c r="J501" s="516"/>
      <c r="K501" s="516"/>
      <c r="L501" s="516"/>
    </row>
    <row r="502" spans="5:12" ht="11.25" x14ac:dyDescent="0.2">
      <c r="E502" s="516"/>
      <c r="F502" s="516"/>
      <c r="G502" s="516"/>
      <c r="H502" s="516"/>
      <c r="I502" s="516"/>
      <c r="J502" s="516"/>
      <c r="K502" s="516"/>
      <c r="L502" s="516"/>
    </row>
    <row r="503" spans="5:12" ht="11.25" x14ac:dyDescent="0.2">
      <c r="E503" s="516"/>
      <c r="F503" s="516"/>
      <c r="G503" s="516"/>
      <c r="H503" s="516"/>
      <c r="I503" s="516"/>
      <c r="J503" s="516"/>
      <c r="K503" s="516"/>
      <c r="L503" s="516"/>
    </row>
    <row r="504" spans="5:12" ht="11.25" x14ac:dyDescent="0.2">
      <c r="E504" s="516"/>
      <c r="F504" s="516"/>
      <c r="G504" s="516"/>
      <c r="H504" s="516"/>
      <c r="I504" s="516"/>
      <c r="J504" s="516"/>
      <c r="K504" s="516"/>
      <c r="L504" s="516"/>
    </row>
    <row r="505" spans="5:12" ht="11.25" x14ac:dyDescent="0.2">
      <c r="E505" s="516"/>
      <c r="F505" s="516"/>
      <c r="G505" s="516"/>
      <c r="H505" s="516"/>
      <c r="I505" s="516"/>
      <c r="J505" s="516"/>
      <c r="K505" s="516"/>
      <c r="L505" s="516"/>
    </row>
    <row r="506" spans="5:12" ht="11.25" x14ac:dyDescent="0.2">
      <c r="E506" s="516"/>
      <c r="F506" s="516"/>
      <c r="G506" s="516"/>
      <c r="H506" s="516"/>
      <c r="I506" s="516"/>
      <c r="J506" s="516"/>
      <c r="K506" s="516"/>
      <c r="L506" s="516"/>
    </row>
    <row r="507" spans="5:12" ht="11.25" x14ac:dyDescent="0.2">
      <c r="E507" s="516"/>
      <c r="F507" s="516"/>
      <c r="G507" s="516"/>
      <c r="H507" s="516"/>
      <c r="I507" s="516"/>
      <c r="J507" s="516"/>
      <c r="K507" s="516"/>
      <c r="L507" s="516"/>
    </row>
    <row r="508" spans="5:12" ht="11.25" x14ac:dyDescent="0.2">
      <c r="E508" s="516"/>
      <c r="F508" s="516"/>
      <c r="G508" s="516"/>
      <c r="H508" s="516"/>
      <c r="I508" s="516"/>
      <c r="J508" s="516"/>
      <c r="K508" s="516"/>
      <c r="L508" s="516"/>
    </row>
    <row r="509" spans="5:12" ht="11.25" x14ac:dyDescent="0.2">
      <c r="E509" s="516"/>
      <c r="F509" s="516"/>
      <c r="G509" s="516"/>
      <c r="H509" s="516"/>
      <c r="I509" s="516"/>
      <c r="J509" s="516"/>
      <c r="K509" s="516"/>
      <c r="L509" s="516"/>
    </row>
    <row r="510" spans="5:12" ht="11.25" x14ac:dyDescent="0.2">
      <c r="E510" s="516"/>
      <c r="F510" s="516"/>
      <c r="G510" s="516"/>
      <c r="H510" s="516"/>
      <c r="I510" s="516"/>
      <c r="J510" s="516"/>
      <c r="K510" s="516"/>
      <c r="L510" s="516"/>
    </row>
    <row r="511" spans="5:12" ht="11.25" x14ac:dyDescent="0.2">
      <c r="E511" s="516"/>
      <c r="F511" s="516"/>
      <c r="G511" s="516"/>
      <c r="H511" s="516"/>
      <c r="I511" s="516"/>
      <c r="J511" s="516"/>
      <c r="K511" s="516"/>
      <c r="L511" s="516"/>
    </row>
    <row r="512" spans="5:12" ht="11.25" x14ac:dyDescent="0.2">
      <c r="E512" s="516"/>
      <c r="F512" s="516"/>
      <c r="G512" s="516"/>
      <c r="H512" s="516"/>
      <c r="I512" s="516"/>
      <c r="J512" s="516"/>
      <c r="K512" s="516"/>
      <c r="L512" s="516"/>
    </row>
    <row r="513" spans="1:12" ht="11.25" x14ac:dyDescent="0.2">
      <c r="E513" s="516"/>
      <c r="F513" s="516"/>
      <c r="G513" s="516"/>
      <c r="H513" s="516"/>
      <c r="I513" s="516"/>
      <c r="J513" s="516"/>
      <c r="K513" s="516"/>
      <c r="L513" s="516"/>
    </row>
    <row r="514" spans="1:12" ht="11.25" x14ac:dyDescent="0.2">
      <c r="E514" s="516"/>
      <c r="F514" s="516"/>
      <c r="G514" s="516"/>
      <c r="H514" s="516"/>
      <c r="I514" s="516"/>
      <c r="J514" s="516"/>
      <c r="K514" s="516"/>
      <c r="L514" s="516"/>
    </row>
    <row r="515" spans="1:12" ht="11.25" x14ac:dyDescent="0.2">
      <c r="E515" s="516"/>
      <c r="F515" s="516"/>
      <c r="G515" s="516"/>
      <c r="H515" s="516"/>
      <c r="I515" s="516"/>
      <c r="J515" s="516"/>
      <c r="K515" s="516"/>
      <c r="L515" s="516"/>
    </row>
    <row r="516" spans="1:12" ht="11.25" x14ac:dyDescent="0.2">
      <c r="E516" s="516"/>
      <c r="F516" s="516"/>
      <c r="G516" s="516"/>
      <c r="H516" s="516"/>
      <c r="I516" s="516"/>
      <c r="J516" s="516"/>
      <c r="K516" s="516"/>
      <c r="L516" s="516"/>
    </row>
    <row r="517" spans="1:12" ht="11.25" x14ac:dyDescent="0.2"/>
    <row r="518" spans="1:12" ht="11.25" x14ac:dyDescent="0.2"/>
    <row r="519" spans="1:12" ht="11.25" x14ac:dyDescent="0.2">
      <c r="A519" s="547"/>
      <c r="E519" s="539">
        <f>+E71-2153958495.83</f>
        <v>22033344274.713348</v>
      </c>
    </row>
    <row r="520" spans="1:12" ht="11.25" x14ac:dyDescent="0.2"/>
    <row r="521" spans="1:12" ht="11.25" x14ac:dyDescent="0.2"/>
    <row r="522" spans="1:12" ht="11.25" x14ac:dyDescent="0.2"/>
    <row r="523" spans="1:12" ht="11.25" x14ac:dyDescent="0.2"/>
    <row r="524" spans="1:12" ht="11.25" x14ac:dyDescent="0.2"/>
    <row r="525" spans="1:12" ht="11.25" x14ac:dyDescent="0.2"/>
    <row r="526" spans="1:12" ht="11.25" x14ac:dyDescent="0.2"/>
    <row r="527" spans="1:12" ht="11.25" x14ac:dyDescent="0.2">
      <c r="E527" s="593"/>
    </row>
    <row r="528" spans="1:12" ht="11.25" x14ac:dyDescent="0.2">
      <c r="E528" s="593"/>
    </row>
    <row r="529" spans="5:5" ht="11.25" x14ac:dyDescent="0.2">
      <c r="E529" s="593"/>
    </row>
    <row r="530" spans="5:5" ht="11.25" x14ac:dyDescent="0.2"/>
    <row r="531" spans="5:5" ht="11.25" x14ac:dyDescent="0.2"/>
    <row r="532" spans="5:5" ht="11.25" x14ac:dyDescent="0.2"/>
    <row r="533" spans="5:5" ht="11.25" x14ac:dyDescent="0.2"/>
    <row r="534" spans="5:5" ht="11.25" x14ac:dyDescent="0.2"/>
    <row r="535" spans="5:5" ht="11.25" x14ac:dyDescent="0.2"/>
    <row r="536" spans="5:5" ht="11.25" x14ac:dyDescent="0.2"/>
    <row r="537" spans="5:5" ht="11.25" x14ac:dyDescent="0.2"/>
    <row r="538" spans="5:5" ht="11.25" x14ac:dyDescent="0.2"/>
    <row r="539" spans="5:5" ht="11.25" x14ac:dyDescent="0.2"/>
    <row r="540" spans="5:5" ht="11.25" x14ac:dyDescent="0.2"/>
    <row r="541" spans="5:5" ht="11.25" x14ac:dyDescent="0.2"/>
    <row r="542" spans="5:5" ht="11.25" x14ac:dyDescent="0.2"/>
    <row r="543" spans="5:5" ht="11.25" x14ac:dyDescent="0.2"/>
    <row r="544" spans="5:5" ht="11.25" x14ac:dyDescent="0.2"/>
    <row r="545" ht="11.25" x14ac:dyDescent="0.2"/>
    <row r="546" ht="11.25" x14ac:dyDescent="0.2"/>
    <row r="547" ht="11.25" x14ac:dyDescent="0.2"/>
    <row r="548" ht="11.25" x14ac:dyDescent="0.2"/>
    <row r="549" ht="11.25" x14ac:dyDescent="0.2"/>
    <row r="550" ht="11.25" x14ac:dyDescent="0.2"/>
    <row r="551" ht="11.25" x14ac:dyDescent="0.2"/>
    <row r="552" ht="11.25" x14ac:dyDescent="0.2"/>
    <row r="553" ht="11.25" x14ac:dyDescent="0.2"/>
    <row r="554" ht="11.25" x14ac:dyDescent="0.2"/>
    <row r="555" ht="11.25" x14ac:dyDescent="0.2"/>
    <row r="556" ht="11.25" x14ac:dyDescent="0.2"/>
    <row r="557" ht="11.25" x14ac:dyDescent="0.2"/>
    <row r="558" ht="11.25" x14ac:dyDescent="0.2"/>
    <row r="559" ht="11.25" x14ac:dyDescent="0.2"/>
    <row r="560" ht="11.25" x14ac:dyDescent="0.2"/>
    <row r="561" ht="11.25" x14ac:dyDescent="0.2"/>
    <row r="562" ht="11.25" x14ac:dyDescent="0.2"/>
    <row r="563" ht="11.25" x14ac:dyDescent="0.2"/>
    <row r="564" ht="11.25" x14ac:dyDescent="0.2"/>
    <row r="565" ht="11.25" x14ac:dyDescent="0.2"/>
    <row r="566" ht="11.25" x14ac:dyDescent="0.2"/>
    <row r="567" ht="11.25" x14ac:dyDescent="0.2"/>
    <row r="568" ht="11.25" x14ac:dyDescent="0.2"/>
    <row r="569" ht="11.25" x14ac:dyDescent="0.2"/>
    <row r="570" ht="11.25" x14ac:dyDescent="0.2"/>
    <row r="571" ht="11.25" x14ac:dyDescent="0.2"/>
    <row r="572" ht="11.25" x14ac:dyDescent="0.2"/>
    <row r="573" ht="11.25" x14ac:dyDescent="0.2"/>
    <row r="574" ht="11.25" x14ac:dyDescent="0.2"/>
    <row r="575" ht="11.25" x14ac:dyDescent="0.2"/>
    <row r="576" ht="11.25" x14ac:dyDescent="0.2"/>
    <row r="577" ht="11.25" x14ac:dyDescent="0.2"/>
    <row r="578" ht="11.25" x14ac:dyDescent="0.2"/>
    <row r="579" ht="11.25" x14ac:dyDescent="0.2"/>
    <row r="580" ht="11.25" x14ac:dyDescent="0.2"/>
    <row r="581" ht="11.25" x14ac:dyDescent="0.2"/>
    <row r="582" ht="11.25" x14ac:dyDescent="0.2"/>
    <row r="583" ht="11.25" x14ac:dyDescent="0.2"/>
  </sheetData>
  <mergeCells count="7">
    <mergeCell ref="I5:I6"/>
    <mergeCell ref="B6:C6"/>
    <mergeCell ref="F86:H86"/>
    <mergeCell ref="E1:G1"/>
    <mergeCell ref="A5:C5"/>
    <mergeCell ref="E5:E6"/>
    <mergeCell ref="G5:G6"/>
  </mergeCells>
  <printOptions horizontalCentered="1"/>
  <pageMargins left="0.25" right="0.2" top="0.25" bottom="0.25" header="0.3" footer="0.3"/>
  <pageSetup paperSize="9" scale="74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R32"/>
  <sheetViews>
    <sheetView view="pageBreakPreview" topLeftCell="D5" zoomScaleSheetLayoutView="100" workbookViewId="0">
      <selection activeCell="L25" sqref="L25"/>
    </sheetView>
  </sheetViews>
  <sheetFormatPr defaultColWidth="9" defaultRowHeight="12" x14ac:dyDescent="0.2"/>
  <cols>
    <col min="1" max="1" width="7.375" style="137" bestFit="1" customWidth="1"/>
    <col min="2" max="2" width="16.5" style="59" bestFit="1" customWidth="1"/>
    <col min="3" max="3" width="14.375" style="60" customWidth="1"/>
    <col min="4" max="4" width="9.375" style="132" customWidth="1"/>
    <col min="5" max="5" width="9.125" style="132" customWidth="1"/>
    <col min="6" max="7" width="8.375" style="132" bestFit="1" customWidth="1"/>
    <col min="8" max="8" width="10.125" style="132" customWidth="1"/>
    <col min="9" max="9" width="6.625" style="59" customWidth="1"/>
    <col min="10" max="10" width="10.5" style="60" bestFit="1" customWidth="1"/>
    <col min="11" max="11" width="7.875" style="60" customWidth="1"/>
    <col min="12" max="12" width="9.75" style="60" bestFit="1" customWidth="1"/>
    <col min="13" max="13" width="8.75" style="60" bestFit="1" customWidth="1"/>
    <col min="14" max="14" width="11.125" style="715" customWidth="1"/>
    <col min="15" max="15" width="14.625" style="305" bestFit="1" customWidth="1"/>
    <col min="16" max="16" width="13.875" style="305" bestFit="1" customWidth="1"/>
    <col min="17" max="17" width="11.125" style="305" bestFit="1" customWidth="1"/>
    <col min="18" max="18" width="13" style="305" customWidth="1"/>
    <col min="19" max="19" width="9.125" style="305" bestFit="1" customWidth="1"/>
    <col min="20" max="16384" width="9" style="305"/>
  </cols>
  <sheetData>
    <row r="1" spans="1:18" s="59" customFormat="1" x14ac:dyDescent="0.2">
      <c r="A1" s="65" t="str">
        <f>'[11]Daily Trade Summary'!B1</f>
        <v>JUBILEE LIFE INSURANCE COMPANY LIMITED</v>
      </c>
      <c r="C1" s="60"/>
      <c r="D1" s="132"/>
      <c r="E1" s="132"/>
      <c r="F1" s="132"/>
      <c r="G1" s="132"/>
      <c r="H1" s="132"/>
      <c r="J1" s="60"/>
      <c r="K1" s="60"/>
      <c r="L1" s="60"/>
      <c r="M1" s="60"/>
      <c r="N1" s="60"/>
      <c r="O1"/>
      <c r="P1"/>
      <c r="Q1"/>
      <c r="R1"/>
    </row>
    <row r="2" spans="1:18" s="59" customFormat="1" x14ac:dyDescent="0.2">
      <c r="A2" s="222" t="s">
        <v>232</v>
      </c>
      <c r="C2" s="60"/>
      <c r="D2" s="132"/>
      <c r="E2" s="132"/>
      <c r="F2" s="132"/>
      <c r="G2" s="132"/>
      <c r="H2" s="132"/>
      <c r="J2" s="60"/>
      <c r="K2" s="60"/>
      <c r="L2" s="60"/>
      <c r="M2" s="60"/>
      <c r="N2" s="60"/>
      <c r="O2"/>
      <c r="P2"/>
      <c r="Q2"/>
      <c r="R2"/>
    </row>
    <row r="3" spans="1:18" s="59" customFormat="1" x14ac:dyDescent="0.2">
      <c r="A3" s="59" t="s">
        <v>33</v>
      </c>
      <c r="B3" s="116">
        <f>+'NAV 22.07.2022'!B6:C6</f>
        <v>44764</v>
      </c>
      <c r="C3" s="60"/>
      <c r="D3" s="132"/>
      <c r="E3" s="132"/>
      <c r="F3" s="132"/>
      <c r="G3" s="132"/>
      <c r="H3" s="132"/>
      <c r="J3" s="1349">
        <v>44561</v>
      </c>
      <c r="K3" s="1350"/>
      <c r="L3" s="141"/>
      <c r="M3" s="60"/>
      <c r="N3" s="60"/>
      <c r="O3"/>
      <c r="P3"/>
      <c r="Q3"/>
      <c r="R3"/>
    </row>
    <row r="4" spans="1:18" s="61" customFormat="1" thickBot="1" x14ac:dyDescent="0.2">
      <c r="C4" s="62"/>
      <c r="D4" s="63"/>
      <c r="E4" s="63"/>
      <c r="F4" s="63"/>
      <c r="G4" s="63"/>
      <c r="H4" s="63"/>
      <c r="J4" s="62"/>
      <c r="K4" s="62"/>
      <c r="L4" s="62"/>
      <c r="M4" s="62"/>
      <c r="N4" s="62"/>
      <c r="O4"/>
      <c r="P4"/>
      <c r="Q4"/>
      <c r="R4" s="463"/>
    </row>
    <row r="5" spans="1:18" s="64" customFormat="1" ht="45.75" thickBot="1" x14ac:dyDescent="0.2">
      <c r="A5" s="1248" t="s">
        <v>92</v>
      </c>
      <c r="B5" s="1248" t="s">
        <v>69</v>
      </c>
      <c r="C5" s="1249" t="s">
        <v>24</v>
      </c>
      <c r="D5" s="1250" t="s">
        <v>31</v>
      </c>
      <c r="E5" s="1250" t="s">
        <v>32</v>
      </c>
      <c r="F5" s="1251" t="s">
        <v>97</v>
      </c>
      <c r="G5" s="1252" t="s">
        <v>19</v>
      </c>
      <c r="H5" s="1253" t="s">
        <v>229</v>
      </c>
      <c r="I5" s="1253" t="s">
        <v>230</v>
      </c>
      <c r="J5" s="1254" t="s">
        <v>227</v>
      </c>
      <c r="K5" s="1253" t="s">
        <v>228</v>
      </c>
      <c r="L5" s="1253" t="s">
        <v>231</v>
      </c>
      <c r="M5" s="1254" t="s">
        <v>18</v>
      </c>
      <c r="N5" s="1254" t="s">
        <v>495</v>
      </c>
      <c r="O5" s="1254" t="s">
        <v>433</v>
      </c>
      <c r="P5" s="1254" t="s">
        <v>434</v>
      </c>
      <c r="Q5" s="1254" t="s">
        <v>496</v>
      </c>
      <c r="R5" s="1254" t="s">
        <v>67</v>
      </c>
    </row>
    <row r="6" spans="1:18" s="157" customFormat="1" ht="11.25" x14ac:dyDescent="0.2">
      <c r="A6" s="445"/>
      <c r="B6" s="454"/>
      <c r="C6" s="455"/>
      <c r="D6" s="456"/>
      <c r="E6" s="456"/>
      <c r="F6" s="457"/>
      <c r="G6" s="458"/>
      <c r="H6" s="459"/>
      <c r="I6" s="460"/>
      <c r="J6" s="455"/>
      <c r="K6" s="455"/>
      <c r="L6" s="461"/>
      <c r="M6" s="156"/>
      <c r="N6" s="455"/>
    </row>
    <row r="7" spans="1:18" s="157" customFormat="1" ht="11.25" x14ac:dyDescent="0.2">
      <c r="A7" s="445"/>
      <c r="B7" s="454"/>
      <c r="C7" s="455"/>
      <c r="D7" s="456"/>
      <c r="E7" s="456"/>
      <c r="F7" s="457"/>
      <c r="G7" s="458"/>
      <c r="H7" s="459"/>
      <c r="I7" s="460"/>
      <c r="J7" s="455"/>
      <c r="K7" s="455"/>
      <c r="L7" s="462"/>
      <c r="M7" s="156"/>
      <c r="N7" s="455"/>
    </row>
    <row r="8" spans="1:18" s="157" customFormat="1" ht="11.25" x14ac:dyDescent="0.2">
      <c r="A8" s="464" t="s">
        <v>406</v>
      </c>
      <c r="B8" s="465"/>
      <c r="C8" s="455"/>
      <c r="D8" s="456"/>
      <c r="E8" s="456"/>
      <c r="F8" s="457"/>
      <c r="G8" s="458"/>
      <c r="H8" s="459"/>
      <c r="I8" s="460"/>
      <c r="J8" s="455"/>
      <c r="K8" s="455"/>
      <c r="L8" s="462"/>
      <c r="M8" s="156"/>
      <c r="N8" s="455"/>
      <c r="R8" s="755"/>
    </row>
    <row r="9" spans="1:18" s="59" customFormat="1" ht="11.25" x14ac:dyDescent="0.2">
      <c r="A9" s="742"/>
      <c r="B9" s="743" t="s">
        <v>683</v>
      </c>
      <c r="C9" s="722"/>
      <c r="D9" s="449"/>
      <c r="E9" s="449"/>
      <c r="F9" s="132"/>
      <c r="G9" s="744"/>
      <c r="H9" s="723"/>
      <c r="I9" s="745"/>
      <c r="J9" s="663"/>
      <c r="K9" s="663"/>
      <c r="L9" s="663">
        <f>654726.59-M9</f>
        <v>774.30732867808547</v>
      </c>
      <c r="M9" s="60">
        <v>653952.28267132188</v>
      </c>
      <c r="N9" s="443"/>
      <c r="O9" s="443"/>
      <c r="R9" s="756"/>
    </row>
    <row r="10" spans="1:18" s="59" customFormat="1" ht="11.25" x14ac:dyDescent="0.2">
      <c r="A10" s="742"/>
      <c r="B10" s="743" t="s">
        <v>867</v>
      </c>
      <c r="C10" s="722"/>
      <c r="D10" s="449"/>
      <c r="E10" s="449"/>
      <c r="F10" s="132"/>
      <c r="G10" s="744"/>
      <c r="H10" s="723"/>
      <c r="I10" s="745"/>
      <c r="J10" s="663"/>
      <c r="K10" s="663"/>
      <c r="L10" s="663">
        <v>1041444.63</v>
      </c>
      <c r="M10" s="60"/>
      <c r="N10" s="443"/>
      <c r="O10" s="443"/>
      <c r="Q10" s="443"/>
      <c r="R10" s="756"/>
    </row>
    <row r="11" spans="1:18" s="59" customFormat="1" ht="11.25" x14ac:dyDescent="0.2">
      <c r="A11" s="742"/>
      <c r="B11" s="743" t="s">
        <v>890</v>
      </c>
      <c r="C11" s="722"/>
      <c r="D11" s="449"/>
      <c r="E11" s="449"/>
      <c r="F11" s="132"/>
      <c r="G11" s="744"/>
      <c r="H11" s="723"/>
      <c r="I11" s="745"/>
      <c r="J11" s="663"/>
      <c r="K11" s="663"/>
      <c r="L11" s="663">
        <v>676956.38</v>
      </c>
      <c r="M11" s="60"/>
      <c r="N11" s="443"/>
      <c r="O11" s="443"/>
      <c r="Q11" s="443"/>
      <c r="R11" s="756"/>
    </row>
    <row r="12" spans="1:18" s="59" customFormat="1" ht="11.25" x14ac:dyDescent="0.2">
      <c r="A12" s="742"/>
      <c r="B12" s="743" t="s">
        <v>926</v>
      </c>
      <c r="C12" s="722"/>
      <c r="D12" s="449"/>
      <c r="E12" s="449"/>
      <c r="F12" s="132"/>
      <c r="G12" s="744"/>
      <c r="H12" s="723"/>
      <c r="I12" s="745"/>
      <c r="J12" s="663"/>
      <c r="K12" s="663"/>
      <c r="L12" s="663">
        <v>476199.96</v>
      </c>
      <c r="M12" s="60"/>
      <c r="N12" s="443"/>
      <c r="O12" s="443"/>
      <c r="Q12" s="443"/>
      <c r="R12" s="756"/>
    </row>
    <row r="13" spans="1:18" s="59" customFormat="1" ht="11.25" x14ac:dyDescent="0.2">
      <c r="A13" s="742"/>
      <c r="B13" s="743" t="s">
        <v>1058</v>
      </c>
      <c r="C13" s="722"/>
      <c r="D13" s="449"/>
      <c r="E13" s="449"/>
      <c r="F13" s="132"/>
      <c r="G13" s="744"/>
      <c r="H13" s="723"/>
      <c r="I13" s="745"/>
      <c r="J13" s="663"/>
      <c r="K13" s="663"/>
      <c r="L13" s="663">
        <v>1151093.6000000001</v>
      </c>
      <c r="M13" s="60"/>
      <c r="N13" s="443"/>
      <c r="O13" s="443"/>
      <c r="Q13" s="443"/>
      <c r="R13" s="756"/>
    </row>
    <row r="14" spans="1:18" s="59" customFormat="1" ht="11.25" x14ac:dyDescent="0.2">
      <c r="A14" s="742"/>
      <c r="B14" s="743" t="s">
        <v>1186</v>
      </c>
      <c r="C14" s="722"/>
      <c r="D14" s="449"/>
      <c r="E14" s="449"/>
      <c r="F14" s="132"/>
      <c r="G14" s="744"/>
      <c r="H14" s="723"/>
      <c r="I14" s="745"/>
      <c r="J14" s="663"/>
      <c r="K14" s="663"/>
      <c r="L14" s="663">
        <v>1213441.52</v>
      </c>
      <c r="M14" s="60"/>
      <c r="N14" s="443"/>
      <c r="O14" s="443"/>
      <c r="Q14" s="443">
        <f>L14</f>
        <v>1213441.52</v>
      </c>
      <c r="R14" s="756"/>
    </row>
    <row r="15" spans="1:18" s="59" customFormat="1" ht="11.25" x14ac:dyDescent="0.2">
      <c r="A15" s="742"/>
      <c r="B15" s="743" t="s">
        <v>1431</v>
      </c>
      <c r="C15" s="722"/>
      <c r="D15" s="449"/>
      <c r="E15" s="449"/>
      <c r="F15" s="132"/>
      <c r="G15" s="744"/>
      <c r="H15" s="723"/>
      <c r="I15" s="745"/>
      <c r="J15" s="663"/>
      <c r="K15" s="663"/>
      <c r="L15" s="663">
        <v>880606.16</v>
      </c>
      <c r="M15" s="60"/>
      <c r="N15" s="443"/>
      <c r="O15" s="443"/>
      <c r="Q15" s="443">
        <f>L15</f>
        <v>880606.16</v>
      </c>
      <c r="R15" s="756"/>
    </row>
    <row r="16" spans="1:18" s="59" customFormat="1" ht="11.25" x14ac:dyDescent="0.2">
      <c r="A16" s="742"/>
      <c r="B16" s="743" t="s">
        <v>520</v>
      </c>
      <c r="C16" s="722"/>
      <c r="D16" s="449"/>
      <c r="E16" s="449"/>
      <c r="F16" s="132"/>
      <c r="G16" s="744"/>
      <c r="H16" s="723">
        <f>+'DPA - HBL'!G28</f>
        <v>15457.962555068494</v>
      </c>
      <c r="I16" s="745"/>
      <c r="J16" s="663">
        <f>+'DPA - HBL'!G30</f>
        <v>1234393.8536734246</v>
      </c>
      <c r="K16" s="663"/>
      <c r="L16" s="663">
        <f>+J16</f>
        <v>1234393.8536734246</v>
      </c>
      <c r="M16" s="60"/>
      <c r="N16" s="443"/>
      <c r="O16" s="443"/>
      <c r="P16" s="916" t="s">
        <v>39</v>
      </c>
      <c r="R16" s="756">
        <v>935304.46462078358</v>
      </c>
    </row>
    <row r="17" spans="1:18" s="59" customFormat="1" ht="11.25" x14ac:dyDescent="0.2">
      <c r="A17" s="742"/>
      <c r="B17" s="743"/>
      <c r="C17" s="722"/>
      <c r="D17" s="449"/>
      <c r="E17" s="449"/>
      <c r="F17" s="132"/>
      <c r="G17" s="744"/>
      <c r="H17" s="723"/>
      <c r="I17" s="745"/>
      <c r="J17" s="663"/>
      <c r="K17" s="663"/>
      <c r="L17" s="663"/>
      <c r="M17" s="60"/>
      <c r="N17" s="443"/>
      <c r="O17" s="443"/>
      <c r="P17" s="916" t="s">
        <v>54</v>
      </c>
      <c r="Q17" s="443">
        <f>+R16-Q15</f>
        <v>54698.304620783543</v>
      </c>
      <c r="R17" s="756"/>
    </row>
    <row r="18" spans="1:18" s="59" customFormat="1" ht="11.25" x14ac:dyDescent="0.2">
      <c r="A18" s="742"/>
      <c r="B18" s="743"/>
      <c r="C18" s="722"/>
      <c r="D18" s="449"/>
      <c r="E18" s="449"/>
      <c r="F18" s="132"/>
      <c r="G18" s="744"/>
      <c r="H18" s="723"/>
      <c r="I18" s="745"/>
      <c r="J18" s="663"/>
      <c r="K18" s="663"/>
      <c r="L18" s="663"/>
      <c r="M18" s="60"/>
      <c r="N18" s="443"/>
      <c r="O18" s="443"/>
      <c r="R18" s="756"/>
    </row>
    <row r="19" spans="1:18" s="157" customFormat="1" ht="11.25" x14ac:dyDescent="0.2">
      <c r="A19" s="464" t="s">
        <v>66</v>
      </c>
      <c r="B19" s="454"/>
      <c r="C19" s="455"/>
      <c r="D19" s="456"/>
      <c r="E19" s="456"/>
      <c r="F19" s="457"/>
      <c r="G19" s="458"/>
      <c r="H19" s="459"/>
      <c r="I19" s="460"/>
      <c r="J19" s="455"/>
      <c r="K19" s="455"/>
      <c r="L19" s="462"/>
      <c r="M19" s="156"/>
      <c r="R19" s="756"/>
    </row>
    <row r="20" spans="1:18" s="339" customFormat="1" x14ac:dyDescent="0.2">
      <c r="A20" s="445"/>
      <c r="B20" s="454"/>
      <c r="C20" s="455"/>
      <c r="D20" s="456"/>
      <c r="E20" s="456"/>
      <c r="F20" s="457"/>
      <c r="G20" s="458"/>
      <c r="H20" s="459"/>
      <c r="I20" s="460"/>
      <c r="J20" s="455"/>
      <c r="K20" s="455"/>
      <c r="L20" s="462"/>
      <c r="M20" s="156"/>
      <c r="P20" s="1027"/>
      <c r="R20" s="756"/>
    </row>
    <row r="21" spans="1:18" s="1278" customFormat="1" x14ac:dyDescent="0.2">
      <c r="A21" s="1265" t="s">
        <v>82</v>
      </c>
      <c r="B21" s="1266" t="s">
        <v>777</v>
      </c>
      <c r="C21" s="1267">
        <v>1370000000</v>
      </c>
      <c r="D21" s="1268">
        <v>44552</v>
      </c>
      <c r="E21" s="1268">
        <v>44572</v>
      </c>
      <c r="F21" s="1269">
        <v>44572</v>
      </c>
      <c r="G21" s="1270">
        <v>0.13</v>
      </c>
      <c r="H21" s="1271">
        <f>C21/365*G21*0</f>
        <v>0</v>
      </c>
      <c r="I21" s="1272">
        <f>+E21-$D$21</f>
        <v>20</v>
      </c>
      <c r="J21" s="1271"/>
      <c r="K21" s="1271">
        <f>+E21-$J$3-1</f>
        <v>10</v>
      </c>
      <c r="L21" s="1271">
        <f t="shared" ref="L21" si="0">(C21*G21)/365*K21</f>
        <v>4879452.0547945201</v>
      </c>
      <c r="M21" s="1273">
        <v>4879452.0547945201</v>
      </c>
      <c r="N21" s="1274"/>
      <c r="O21" s="1274"/>
      <c r="P21" s="1275"/>
      <c r="Q21" s="1276"/>
      <c r="R21" s="1277"/>
    </row>
    <row r="22" spans="1:18" s="1278" customFormat="1" x14ac:dyDescent="0.2">
      <c r="A22" s="1265" t="s">
        <v>82</v>
      </c>
      <c r="B22" s="1266" t="s">
        <v>1171</v>
      </c>
      <c r="C22" s="1267">
        <v>400000000</v>
      </c>
      <c r="D22" s="1268">
        <v>44720</v>
      </c>
      <c r="E22" s="1268">
        <v>44726</v>
      </c>
      <c r="F22" s="1269">
        <v>44749</v>
      </c>
      <c r="G22" s="1270">
        <v>0.17249999999999999</v>
      </c>
      <c r="H22" s="1271">
        <f>C22/365*G22*0</f>
        <v>0</v>
      </c>
      <c r="I22" s="1272">
        <f>+E22-$D$22</f>
        <v>6</v>
      </c>
      <c r="J22" s="1271">
        <f>+C22/365*G22*I22*0</f>
        <v>0</v>
      </c>
      <c r="K22" s="1271">
        <f>+E22-$D$22</f>
        <v>6</v>
      </c>
      <c r="L22" s="1271">
        <f t="shared" ref="L22" si="1">(C22*G22)/365*K22</f>
        <v>1134246.5753424659</v>
      </c>
      <c r="M22" s="1273">
        <v>0</v>
      </c>
      <c r="N22" s="1274"/>
      <c r="O22" s="1316">
        <v>0</v>
      </c>
      <c r="P22" s="1275"/>
      <c r="Q22" s="1276"/>
      <c r="R22" s="1277"/>
    </row>
    <row r="23" spans="1:18" ht="12.75" thickBot="1" x14ac:dyDescent="0.25">
      <c r="C23" s="286">
        <f>SUMIF(A6:A22,"ACTIVE",C6:C22)</f>
        <v>0</v>
      </c>
      <c r="H23" s="286">
        <f>+SUM(H6:H22)</f>
        <v>15457.962555068494</v>
      </c>
      <c r="J23" s="286">
        <f>+SUM(J6:J22)</f>
        <v>1234393.8536734246</v>
      </c>
      <c r="K23" s="154"/>
      <c r="L23" s="286">
        <f>+SUM(L6:L22)</f>
        <v>12688609.041139089</v>
      </c>
      <c r="M23" s="286">
        <f>+SUM(M6:M22)</f>
        <v>5533404.3374658423</v>
      </c>
      <c r="O23" s="657"/>
    </row>
    <row r="24" spans="1:18" ht="12.75" thickTop="1" x14ac:dyDescent="0.2">
      <c r="C24" s="60">
        <v>0</v>
      </c>
      <c r="F24" s="434"/>
      <c r="O24" s="657"/>
    </row>
    <row r="25" spans="1:18" x14ac:dyDescent="0.2">
      <c r="C25" s="60">
        <f>comparison!F18</f>
        <v>0</v>
      </c>
      <c r="E25" s="132" t="s">
        <v>342</v>
      </c>
      <c r="F25" s="287">
        <f>+F24*2</f>
        <v>0</v>
      </c>
      <c r="H25" s="287">
        <f>'NAV 22.07.2022'!E44/3</f>
        <v>5152.6541850228314</v>
      </c>
      <c r="I25" s="916" t="s">
        <v>513</v>
      </c>
      <c r="J25" s="60">
        <f>+comparison!F24</f>
        <v>1234394.3700000001</v>
      </c>
      <c r="K25" s="917" t="s">
        <v>514</v>
      </c>
      <c r="L25" s="60">
        <v>12688609.91</v>
      </c>
      <c r="O25" s="657"/>
    </row>
    <row r="26" spans="1:18" x14ac:dyDescent="0.2">
      <c r="C26" s="297">
        <f>C25-C23</f>
        <v>0</v>
      </c>
      <c r="E26" s="132" t="s">
        <v>25</v>
      </c>
      <c r="H26" s="297">
        <f>H25-H23</f>
        <v>-10305.308370045663</v>
      </c>
      <c r="I26" s="237"/>
      <c r="J26" s="297">
        <f>J25-J23</f>
        <v>0.51632657554000616</v>
      </c>
      <c r="K26" s="236"/>
      <c r="L26" s="297">
        <f>L25-L23</f>
        <v>0.86886091157793999</v>
      </c>
      <c r="M26" s="60">
        <f>+J26-L26</f>
        <v>-0.35253433603793383</v>
      </c>
      <c r="O26" s="657"/>
    </row>
    <row r="27" spans="1:18" x14ac:dyDescent="0.2">
      <c r="H27" s="434"/>
      <c r="O27" s="657"/>
    </row>
    <row r="28" spans="1:18" x14ac:dyDescent="0.2">
      <c r="H28" s="434"/>
    </row>
    <row r="29" spans="1:18" x14ac:dyDescent="0.2">
      <c r="E29" s="132">
        <v>44733</v>
      </c>
      <c r="F29" s="132">
        <v>44763</v>
      </c>
      <c r="H29" s="287">
        <f>+F29-E29</f>
        <v>30</v>
      </c>
      <c r="L29" s="414"/>
      <c r="O29" s="1317"/>
    </row>
    <row r="30" spans="1:18" x14ac:dyDescent="0.2">
      <c r="F30" s="434"/>
      <c r="H30" s="287"/>
    </row>
    <row r="31" spans="1:18" x14ac:dyDescent="0.2">
      <c r="G31" s="287"/>
      <c r="H31" s="434"/>
    </row>
    <row r="32" spans="1:18" x14ac:dyDescent="0.2">
      <c r="C32" s="1121"/>
      <c r="F32" s="434"/>
      <c r="H32" s="287"/>
    </row>
  </sheetData>
  <autoFilter ref="A6:M20"/>
  <mergeCells count="1">
    <mergeCell ref="J3:K3"/>
  </mergeCells>
  <pageMargins left="0.39370078740157499" right="0.196850393700787" top="0.196850393700787" bottom="0.196850393700787" header="0.196850393700787" footer="0.196850393700787"/>
  <pageSetup paperSize="9" scale="80" fitToHeight="0" orientation="portrait" r:id="rId1"/>
  <colBreaks count="1" manualBreakCount="1">
    <brk id="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E38"/>
  <sheetViews>
    <sheetView view="pageBreakPreview" topLeftCell="A7" zoomScaleSheetLayoutView="100" workbookViewId="0"/>
  </sheetViews>
  <sheetFormatPr defaultColWidth="9" defaultRowHeight="11.25" x14ac:dyDescent="0.15"/>
  <cols>
    <col min="1" max="1" width="5.875" style="86" customWidth="1"/>
    <col min="2" max="2" width="7.125" style="86" bestFit="1" customWidth="1"/>
    <col min="3" max="3" width="21.75" style="101" customWidth="1"/>
    <col min="4" max="4" width="6.625" style="86" customWidth="1"/>
    <col min="5" max="6" width="7.5" style="86" bestFit="1" customWidth="1"/>
    <col min="7" max="9" width="7.125" style="86" customWidth="1"/>
    <col min="10" max="10" width="9.375" style="86" customWidth="1"/>
    <col min="11" max="11" width="9.875" style="86" bestFit="1" customWidth="1"/>
    <col min="12" max="12" width="9.375" style="86" customWidth="1"/>
    <col min="13" max="13" width="6.5" style="86" customWidth="1"/>
    <col min="14" max="14" width="9.375" style="86" customWidth="1"/>
    <col min="15" max="15" width="6.125" style="86" customWidth="1"/>
    <col min="16" max="16" width="7.875" style="86" customWidth="1"/>
    <col min="17" max="18" width="6.125" style="86" customWidth="1"/>
    <col min="19" max="19" width="9" style="86" customWidth="1"/>
    <col min="20" max="20" width="8.125" style="86" customWidth="1"/>
    <col min="21" max="21" width="8.375" style="86" customWidth="1"/>
    <col min="22" max="22" width="12" style="86" customWidth="1"/>
    <col min="23" max="23" width="11.875" style="103" bestFit="1" customWidth="1"/>
    <col min="24" max="24" width="9.875" style="86" customWidth="1"/>
    <col min="25" max="25" width="12.875" style="87" customWidth="1"/>
    <col min="26" max="26" width="12" style="87" customWidth="1"/>
    <col min="27" max="29" width="11.375" style="86" bestFit="1" customWidth="1"/>
    <col min="30" max="30" width="21.875" style="86" customWidth="1"/>
    <col min="31" max="31" width="15.5" style="86" customWidth="1"/>
    <col min="32" max="36" width="9" style="86"/>
    <col min="37" max="37" width="10.5" style="86" bestFit="1" customWidth="1"/>
    <col min="38" max="16384" width="9" style="86"/>
  </cols>
  <sheetData>
    <row r="2" spans="1:31" ht="15.75" x14ac:dyDescent="0.15">
      <c r="A2" s="203" t="s">
        <v>192</v>
      </c>
    </row>
    <row r="3" spans="1:31" ht="15.75" x14ac:dyDescent="0.15">
      <c r="A3" s="203" t="s">
        <v>195</v>
      </c>
    </row>
    <row r="4" spans="1:31" ht="15.75" x14ac:dyDescent="0.15">
      <c r="A4" s="203" t="s">
        <v>196</v>
      </c>
    </row>
    <row r="6" spans="1:31" ht="12" thickBot="1" x14ac:dyDescent="0.2">
      <c r="A6" s="195" t="s">
        <v>8</v>
      </c>
      <c r="B6" s="95"/>
      <c r="C6" s="204">
        <f>+PKRV!F4</f>
        <v>44764</v>
      </c>
      <c r="J6" s="205"/>
      <c r="K6" s="205"/>
      <c r="L6" s="205"/>
      <c r="M6" s="205"/>
      <c r="N6" s="205"/>
    </row>
    <row r="7" spans="1:31" ht="12" thickTop="1" x14ac:dyDescent="0.15"/>
    <row r="8" spans="1:31" x14ac:dyDescent="0.15">
      <c r="S8" s="158"/>
      <c r="T8" s="158"/>
      <c r="U8" s="158"/>
      <c r="V8" s="158"/>
    </row>
    <row r="10" spans="1:31" ht="48.75" customHeight="1" x14ac:dyDescent="0.15">
      <c r="A10" s="1" t="s">
        <v>92</v>
      </c>
      <c r="B10" s="19" t="s">
        <v>9</v>
      </c>
      <c r="C10" s="19" t="s">
        <v>10</v>
      </c>
      <c r="D10" s="19" t="s">
        <v>91</v>
      </c>
      <c r="E10" s="19" t="s">
        <v>94</v>
      </c>
      <c r="F10" s="19" t="s">
        <v>95</v>
      </c>
      <c r="G10" s="19" t="s">
        <v>96</v>
      </c>
      <c r="H10" s="19" t="s">
        <v>12</v>
      </c>
      <c r="I10" s="19" t="s">
        <v>11</v>
      </c>
      <c r="J10" s="19" t="s">
        <v>197</v>
      </c>
      <c r="K10" s="19" t="s">
        <v>98</v>
      </c>
      <c r="L10" s="19" t="s">
        <v>198</v>
      </c>
      <c r="M10" s="19" t="s">
        <v>15</v>
      </c>
      <c r="N10" s="2" t="s">
        <v>3</v>
      </c>
      <c r="O10" s="19" t="s">
        <v>203</v>
      </c>
      <c r="P10" s="19" t="s">
        <v>202</v>
      </c>
      <c r="Q10" s="19" t="s">
        <v>13</v>
      </c>
      <c r="R10" s="19" t="s">
        <v>14</v>
      </c>
      <c r="S10" s="3" t="s">
        <v>199</v>
      </c>
      <c r="T10" s="3" t="s">
        <v>320</v>
      </c>
      <c r="U10" s="3" t="s">
        <v>25</v>
      </c>
      <c r="V10" s="3" t="s">
        <v>322</v>
      </c>
      <c r="W10" s="3" t="s">
        <v>323</v>
      </c>
      <c r="X10" s="19" t="s">
        <v>324</v>
      </c>
      <c r="Y10" s="3" t="s">
        <v>325</v>
      </c>
      <c r="Z10" s="3" t="s">
        <v>316</v>
      </c>
      <c r="AA10" s="3" t="s">
        <v>317</v>
      </c>
      <c r="AB10" s="19" t="s">
        <v>318</v>
      </c>
      <c r="AC10" s="19" t="s">
        <v>319</v>
      </c>
      <c r="AE10" s="17"/>
    </row>
    <row r="11" spans="1:31" ht="22.5" x14ac:dyDescent="0.15">
      <c r="A11" s="4" t="s">
        <v>82</v>
      </c>
      <c r="B11" s="4" t="s">
        <v>177</v>
      </c>
      <c r="C11" s="202" t="s">
        <v>182</v>
      </c>
      <c r="D11" s="131" t="s">
        <v>83</v>
      </c>
      <c r="E11" s="196">
        <v>42089</v>
      </c>
      <c r="F11" s="196">
        <v>43185</v>
      </c>
      <c r="G11" s="196">
        <v>42335</v>
      </c>
      <c r="H11" s="4">
        <v>3</v>
      </c>
      <c r="I11" s="197">
        <v>8.7499999999999994E-2</v>
      </c>
      <c r="J11" s="206">
        <v>50000000</v>
      </c>
      <c r="K11" s="89">
        <f>+L11-J11</f>
        <v>2033950</v>
      </c>
      <c r="L11" s="89">
        <v>52033950</v>
      </c>
      <c r="M11" s="201">
        <f>ROUND(104.5426401772,4)</f>
        <v>104.54259999999999</v>
      </c>
      <c r="N11" s="89">
        <f>M11*P11</f>
        <v>52271300</v>
      </c>
      <c r="O11" s="207">
        <f>+L11/P11</f>
        <v>104.06789999999999</v>
      </c>
      <c r="P11" s="198">
        <f>+J11/100</f>
        <v>500000</v>
      </c>
      <c r="Q11" s="199">
        <v>2</v>
      </c>
      <c r="R11" s="200">
        <v>6.3E-2</v>
      </c>
      <c r="S11" s="89">
        <f>+N11-L11</f>
        <v>237350</v>
      </c>
      <c r="T11" s="89">
        <f>N11-L11</f>
        <v>237350</v>
      </c>
      <c r="U11" s="89">
        <f>S11-T11</f>
        <v>0</v>
      </c>
      <c r="V11" s="277">
        <v>42273</v>
      </c>
      <c r="W11" s="277">
        <v>42455</v>
      </c>
      <c r="X11" s="89">
        <f>W11-V11</f>
        <v>182</v>
      </c>
      <c r="Y11" s="89">
        <f>AB11-V11</f>
        <v>181</v>
      </c>
      <c r="Z11" s="89">
        <f>J11*(I11/2)/X11*Y11</f>
        <v>2175480.7692307695</v>
      </c>
      <c r="AA11" s="89">
        <f>N11+Z11</f>
        <v>54446780.769230768</v>
      </c>
      <c r="AB11" s="277">
        <v>42454</v>
      </c>
      <c r="AC11" s="89" t="s">
        <v>321</v>
      </c>
    </row>
    <row r="12" spans="1:31" s="95" customFormat="1" ht="22.5" x14ac:dyDescent="0.15">
      <c r="A12" s="117" t="s">
        <v>82</v>
      </c>
      <c r="B12" s="117" t="s">
        <v>177</v>
      </c>
      <c r="C12" s="121" t="s">
        <v>178</v>
      </c>
      <c r="D12" s="118" t="s">
        <v>105</v>
      </c>
      <c r="E12" s="122">
        <v>42089</v>
      </c>
      <c r="F12" s="122">
        <v>43185</v>
      </c>
      <c r="G12" s="122">
        <v>42296</v>
      </c>
      <c r="H12" s="117">
        <v>8.7499999999999994E-2</v>
      </c>
      <c r="I12" s="123">
        <v>8.7499999999999994E-2</v>
      </c>
      <c r="J12" s="206">
        <v>100000000</v>
      </c>
      <c r="K12" s="89">
        <f>+L12-J12</f>
        <v>3753800</v>
      </c>
      <c r="L12" s="119">
        <v>103753800</v>
      </c>
      <c r="M12" s="120">
        <v>103.7538</v>
      </c>
      <c r="N12" s="89">
        <f>M12*P12</f>
        <v>103753800</v>
      </c>
      <c r="O12" s="207">
        <f>+L12/P12</f>
        <v>103.7538</v>
      </c>
      <c r="P12" s="198">
        <f>+J12/100</f>
        <v>1000000</v>
      </c>
      <c r="Q12" s="126">
        <v>1.85</v>
      </c>
      <c r="R12" s="127">
        <v>6.5604999999999997E-2</v>
      </c>
      <c r="S12" s="89">
        <f>+N12-L12</f>
        <v>0</v>
      </c>
      <c r="T12" s="89">
        <f>N12-L12</f>
        <v>0</v>
      </c>
      <c r="U12" s="89">
        <f>S12-T12</f>
        <v>0</v>
      </c>
      <c r="V12" s="290">
        <v>42455</v>
      </c>
      <c r="W12" s="290">
        <v>42639</v>
      </c>
      <c r="X12" s="89">
        <f>W12-V12</f>
        <v>184</v>
      </c>
      <c r="Y12" s="89">
        <f>AB12-V12</f>
        <v>53</v>
      </c>
      <c r="Z12" s="89">
        <f>J12*(I12/2)/X12*Y12</f>
        <v>1260190.2173913044</v>
      </c>
      <c r="AA12" s="89">
        <f>N12+Z12</f>
        <v>105013990.2173913</v>
      </c>
      <c r="AB12" s="277">
        <v>42508</v>
      </c>
      <c r="AC12" s="89" t="s">
        <v>321</v>
      </c>
    </row>
    <row r="13" spans="1:31" s="95" customFormat="1" x14ac:dyDescent="0.15">
      <c r="A13" s="117"/>
      <c r="B13" s="117"/>
      <c r="C13" s="121"/>
      <c r="D13" s="118"/>
      <c r="E13" s="118"/>
      <c r="F13" s="118"/>
      <c r="G13" s="118"/>
      <c r="H13" s="117"/>
      <c r="I13" s="123"/>
      <c r="J13" s="118"/>
      <c r="K13" s="119"/>
      <c r="L13" s="119"/>
      <c r="M13" s="120"/>
      <c r="N13" s="119"/>
      <c r="O13" s="124"/>
      <c r="P13" s="125"/>
      <c r="Q13" s="126"/>
      <c r="R13" s="127"/>
      <c r="S13" s="119"/>
      <c r="T13" s="119"/>
      <c r="U13" s="119"/>
      <c r="V13" s="119"/>
      <c r="W13" s="130"/>
      <c r="X13" s="130"/>
      <c r="Y13" s="119"/>
      <c r="Z13" s="119"/>
      <c r="AA13" s="128"/>
      <c r="AB13" s="119"/>
      <c r="AC13" s="119"/>
    </row>
    <row r="14" spans="1:31" s="95" customFormat="1" x14ac:dyDescent="0.15">
      <c r="A14" s="117"/>
      <c r="B14" s="117"/>
      <c r="C14" s="121"/>
      <c r="D14" s="118"/>
      <c r="E14" s="118"/>
      <c r="F14" s="118"/>
      <c r="G14" s="118"/>
      <c r="H14" s="117"/>
      <c r="I14" s="123"/>
      <c r="J14" s="118"/>
      <c r="K14" s="119"/>
      <c r="L14" s="119"/>
      <c r="M14" s="120"/>
      <c r="N14" s="119"/>
      <c r="O14" s="124"/>
      <c r="P14" s="125"/>
      <c r="Q14" s="126"/>
      <c r="R14" s="127"/>
      <c r="S14" s="119"/>
      <c r="T14" s="119"/>
      <c r="U14" s="119"/>
      <c r="V14" s="119"/>
      <c r="W14" s="130"/>
      <c r="X14" s="130"/>
      <c r="Y14" s="119"/>
      <c r="Z14" s="119"/>
      <c r="AA14" s="128"/>
      <c r="AB14" s="119"/>
      <c r="AC14" s="119"/>
    </row>
    <row r="15" spans="1:31" s="95" customFormat="1" x14ac:dyDescent="0.15">
      <c r="A15" s="117"/>
      <c r="B15" s="117"/>
      <c r="C15" s="121"/>
      <c r="D15" s="118"/>
      <c r="E15" s="118"/>
      <c r="F15" s="118"/>
      <c r="G15" s="118"/>
      <c r="H15" s="117"/>
      <c r="I15" s="123"/>
      <c r="J15" s="118"/>
      <c r="K15" s="119"/>
      <c r="L15" s="119"/>
      <c r="M15" s="120"/>
      <c r="N15" s="119"/>
      <c r="O15" s="124"/>
      <c r="P15" s="125"/>
      <c r="Q15" s="126"/>
      <c r="R15" s="127"/>
      <c r="S15" s="119"/>
      <c r="T15" s="119"/>
      <c r="U15" s="119"/>
      <c r="V15" s="119"/>
      <c r="W15" s="130"/>
      <c r="X15" s="130"/>
      <c r="Y15" s="119"/>
      <c r="Z15" s="119"/>
      <c r="AA15" s="128"/>
      <c r="AB15" s="119"/>
      <c r="AC15" s="119"/>
    </row>
    <row r="16" spans="1:31" s="100" customFormat="1" x14ac:dyDescent="0.15">
      <c r="A16" s="73"/>
      <c r="B16" s="73"/>
      <c r="C16" s="108"/>
      <c r="D16" s="84"/>
      <c r="E16" s="84"/>
      <c r="F16" s="84"/>
      <c r="G16" s="84"/>
      <c r="H16" s="73"/>
      <c r="I16" s="109"/>
      <c r="J16" s="84"/>
      <c r="K16" s="77"/>
      <c r="L16" s="74"/>
      <c r="M16" s="120"/>
      <c r="N16" s="77"/>
      <c r="O16" s="110"/>
      <c r="P16" s="111"/>
      <c r="Q16" s="76"/>
      <c r="R16" s="75"/>
      <c r="S16" s="77"/>
      <c r="T16" s="77"/>
      <c r="U16" s="77"/>
      <c r="V16" s="77"/>
      <c r="W16" s="85"/>
      <c r="X16" s="112"/>
      <c r="Y16" s="77"/>
      <c r="Z16" s="77"/>
      <c r="AA16" s="77"/>
      <c r="AB16" s="77"/>
      <c r="AC16" s="77"/>
    </row>
    <row r="17" spans="1:29" x14ac:dyDescent="0.15">
      <c r="A17" s="4"/>
      <c r="B17" s="5"/>
      <c r="C17" s="7"/>
      <c r="D17" s="80"/>
      <c r="E17" s="80"/>
      <c r="F17" s="80"/>
      <c r="G17" s="80"/>
      <c r="H17" s="5"/>
      <c r="I17" s="90"/>
      <c r="J17" s="80"/>
      <c r="K17" s="9"/>
      <c r="L17" s="88"/>
      <c r="M17" s="120"/>
      <c r="N17" s="9"/>
      <c r="O17" s="94"/>
      <c r="P17" s="10"/>
      <c r="Q17" s="91"/>
      <c r="R17" s="92"/>
      <c r="S17" s="9"/>
      <c r="T17" s="9"/>
      <c r="U17" s="9"/>
      <c r="V17" s="9"/>
      <c r="W17" s="81"/>
      <c r="X17" s="93"/>
      <c r="Y17" s="9"/>
      <c r="Z17" s="9"/>
      <c r="AA17" s="5"/>
      <c r="AB17" s="5"/>
      <c r="AC17" s="5"/>
    </row>
    <row r="18" spans="1:29" x14ac:dyDescent="0.15">
      <c r="A18" s="4"/>
      <c r="B18" s="5"/>
      <c r="C18" s="7"/>
      <c r="D18" s="80"/>
      <c r="E18" s="80"/>
      <c r="F18" s="80"/>
      <c r="G18" s="80"/>
      <c r="H18" s="80"/>
      <c r="I18" s="90"/>
      <c r="J18" s="80"/>
      <c r="K18" s="9"/>
      <c r="L18" s="88"/>
      <c r="M18" s="120"/>
      <c r="N18" s="9"/>
      <c r="O18" s="94"/>
      <c r="P18" s="10"/>
      <c r="Q18" s="91"/>
      <c r="R18" s="92"/>
      <c r="S18" s="9"/>
      <c r="T18" s="9"/>
      <c r="U18" s="9"/>
      <c r="V18" s="9"/>
      <c r="W18" s="81"/>
      <c r="X18" s="93"/>
      <c r="Y18" s="9"/>
      <c r="Z18" s="9"/>
      <c r="AA18" s="5"/>
      <c r="AB18" s="5"/>
      <c r="AC18" s="5"/>
    </row>
    <row r="19" spans="1:29" s="95" customFormat="1" x14ac:dyDescent="0.15">
      <c r="A19" s="11"/>
      <c r="B19" s="12"/>
      <c r="C19" s="13" t="s">
        <v>204</v>
      </c>
      <c r="D19" s="83"/>
      <c r="E19" s="83"/>
      <c r="F19" s="83"/>
      <c r="G19" s="83"/>
      <c r="H19" s="83"/>
      <c r="I19" s="83"/>
      <c r="J19" s="16">
        <f>SUMIF($A$11:$A$18,"ACTIVE",J11:J18)</f>
        <v>0</v>
      </c>
      <c r="K19" s="16">
        <f>SUMIF($A$11:$A$18,"ACTIVE",K11:K18)</f>
        <v>0</v>
      </c>
      <c r="L19" s="16">
        <f>SUMIF($A$11:$A$18,"ACTIVE",L11:L18)</f>
        <v>0</v>
      </c>
      <c r="M19" s="16"/>
      <c r="N19" s="16">
        <f>SUMIF($A$11:$A$18,"ACTIVE",N11:N18)</f>
        <v>0</v>
      </c>
      <c r="O19" s="96"/>
      <c r="P19" s="97"/>
      <c r="Q19" s="98"/>
      <c r="R19" s="99"/>
      <c r="S19" s="16">
        <f>SUMIF($A$11:$A$18,"ACTIVE",S11:S18)</f>
        <v>0</v>
      </c>
      <c r="T19" s="16">
        <f>SUMIF($A$11:$A$18,"ACTIVE",T11:T18)</f>
        <v>0</v>
      </c>
      <c r="U19" s="16">
        <f>SUMIF($A$11:$A$18,"ACTIVE",U11:U18)</f>
        <v>0</v>
      </c>
      <c r="V19" s="16"/>
      <c r="W19" s="16"/>
      <c r="X19" s="16"/>
      <c r="Y19" s="16"/>
      <c r="Z19" s="16">
        <f>+SUM(Z11:Z18)</f>
        <v>3435670.9866220737</v>
      </c>
      <c r="AA19" s="16">
        <f>+SUM(AA11:AA18)</f>
        <v>159460770.98662207</v>
      </c>
      <c r="AB19" s="16"/>
      <c r="AC19" s="16"/>
    </row>
    <row r="20" spans="1:29" x14ac:dyDescent="0.15">
      <c r="A20" s="6"/>
      <c r="B20" s="8"/>
      <c r="C20" s="102"/>
      <c r="D20" s="8"/>
      <c r="E20" s="8"/>
      <c r="F20" s="8"/>
      <c r="G20" s="8"/>
      <c r="H20" s="8"/>
      <c r="I20" s="8"/>
      <c r="J20" s="8"/>
      <c r="K20" s="8"/>
      <c r="L20" s="8"/>
      <c r="M20" s="134"/>
      <c r="N20" s="133"/>
      <c r="O20" s="8"/>
      <c r="P20" s="8"/>
      <c r="Q20" s="8"/>
      <c r="R20" s="8"/>
      <c r="S20" s="133"/>
      <c r="T20" s="133"/>
      <c r="U20" s="133"/>
      <c r="V20" s="133"/>
      <c r="W20" s="104"/>
      <c r="X20" s="6"/>
      <c r="Y20" s="78"/>
      <c r="Z20" s="78"/>
      <c r="AA20" s="6"/>
      <c r="AB20" s="6"/>
      <c r="AC20" s="6"/>
    </row>
    <row r="21" spans="1:29" s="95" customFormat="1" x14ac:dyDescent="0.15">
      <c r="A21" s="11"/>
      <c r="B21" s="12"/>
      <c r="C21" s="13"/>
      <c r="D21" s="83"/>
      <c r="E21" s="83"/>
      <c r="F21" s="83"/>
      <c r="G21" s="83"/>
      <c r="H21" s="83"/>
      <c r="I21" s="83"/>
      <c r="J21" s="83"/>
      <c r="K21" s="83"/>
      <c r="L21" s="16"/>
      <c r="M21" s="16"/>
      <c r="N21" s="16"/>
      <c r="O21" s="96"/>
      <c r="P21" s="97"/>
      <c r="Q21" s="98"/>
      <c r="R21" s="99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</row>
    <row r="22" spans="1:29" x14ac:dyDescent="0.15">
      <c r="S22" s="136"/>
      <c r="T22" s="136"/>
      <c r="U22" s="136"/>
      <c r="V22" s="136"/>
    </row>
    <row r="23" spans="1:29" s="95" customFormat="1" x14ac:dyDescent="0.15">
      <c r="A23" s="11"/>
      <c r="B23" s="12"/>
      <c r="C23" s="13"/>
      <c r="D23" s="83"/>
      <c r="E23" s="83"/>
      <c r="F23" s="83"/>
      <c r="G23" s="83"/>
      <c r="H23" s="83"/>
      <c r="I23" s="83"/>
      <c r="J23" s="83"/>
      <c r="K23" s="83"/>
      <c r="L23" s="16"/>
      <c r="M23" s="16"/>
      <c r="N23" s="16"/>
      <c r="O23" s="96"/>
      <c r="P23" s="97"/>
      <c r="Q23" s="98"/>
      <c r="R23" s="99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6" spans="1:29" x14ac:dyDescent="0.15">
      <c r="U26" s="212"/>
    </row>
    <row r="27" spans="1:29" x14ac:dyDescent="0.15">
      <c r="J27" s="87"/>
      <c r="L27" s="212"/>
      <c r="N27" s="212"/>
      <c r="S27" s="87"/>
    </row>
    <row r="28" spans="1:29" x14ac:dyDescent="0.15">
      <c r="J28" s="87"/>
      <c r="N28" s="87"/>
      <c r="S28" s="87"/>
      <c r="U28" s="212"/>
    </row>
    <row r="30" spans="1:29" s="87" customFormat="1" x14ac:dyDescent="0.15">
      <c r="C30" s="245"/>
    </row>
    <row r="31" spans="1:29" s="87" customFormat="1" x14ac:dyDescent="0.15">
      <c r="C31" s="245"/>
    </row>
    <row r="32" spans="1:29" s="211" customFormat="1" x14ac:dyDescent="0.15">
      <c r="C32" s="244"/>
    </row>
    <row r="38" spans="3:3" x14ac:dyDescent="0.15">
      <c r="C38" s="129"/>
    </row>
  </sheetData>
  <conditionalFormatting sqref="V10">
    <cfRule type="expression" priority="6">
      <formula>$C$4</formula>
    </cfRule>
  </conditionalFormatting>
  <conditionalFormatting sqref="W10">
    <cfRule type="expression" priority="5">
      <formula>$C$4</formula>
    </cfRule>
  </conditionalFormatting>
  <conditionalFormatting sqref="Y10">
    <cfRule type="expression" priority="4">
      <formula>$C$4</formula>
    </cfRule>
  </conditionalFormatting>
  <conditionalFormatting sqref="Z10">
    <cfRule type="expression" priority="3">
      <formula>$C$4</formula>
    </cfRule>
  </conditionalFormatting>
  <conditionalFormatting sqref="Z10">
    <cfRule type="expression" priority="2">
      <formula>$C$4</formula>
    </cfRule>
  </conditionalFormatting>
  <conditionalFormatting sqref="AA10">
    <cfRule type="expression" priority="1">
      <formula>$C$4</formula>
    </cfRule>
  </conditionalFormatting>
  <pageMargins left="0.19685039370078741" right="0.19685039370078741" top="0.39370078740157483" bottom="0.39370078740157483" header="0.19685039370078741" footer="0.19685039370078741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8" workbookViewId="0">
      <selection activeCell="G28" sqref="G28"/>
    </sheetView>
  </sheetViews>
  <sheetFormatPr defaultRowHeight="11.25" x14ac:dyDescent="0.15"/>
  <cols>
    <col min="1" max="1" width="3.125" customWidth="1"/>
    <col min="2" max="2" width="9.125" bestFit="1" customWidth="1"/>
    <col min="3" max="3" width="9.625" bestFit="1" customWidth="1"/>
    <col min="4" max="4" width="10.125" bestFit="1" customWidth="1"/>
    <col min="5" max="5" width="16.875" style="857" bestFit="1" customWidth="1"/>
    <col min="7" max="7" width="11.75" bestFit="1" customWidth="1"/>
    <col min="8" max="8" width="15.125" bestFit="1" customWidth="1"/>
    <col min="9" max="9" width="17.125" bestFit="1" customWidth="1"/>
    <col min="10" max="10" width="14.125" bestFit="1" customWidth="1"/>
    <col min="11" max="11" width="13.5" bestFit="1" customWidth="1"/>
  </cols>
  <sheetData>
    <row r="1" spans="1:11" x14ac:dyDescent="0.15">
      <c r="A1" s="892" t="str">
        <f>+'[12]TDR accrual'!B1</f>
        <v>JUBILEE LIFE INSURANCE COMPANY LIMITED</v>
      </c>
      <c r="E1"/>
    </row>
    <row r="2" spans="1:11" x14ac:dyDescent="0.15">
      <c r="A2" s="892" t="s">
        <v>521</v>
      </c>
      <c r="E2"/>
    </row>
    <row r="3" spans="1:11" x14ac:dyDescent="0.15">
      <c r="A3" s="983" t="str">
        <f>+'[12]TDR accrual'!B3</f>
        <v>Value date</v>
      </c>
      <c r="C3" s="661">
        <f>+'Equity - CIAP MA'!C3</f>
        <v>44764</v>
      </c>
      <c r="D3" s="661"/>
      <c r="E3"/>
    </row>
    <row r="4" spans="1:11" x14ac:dyDescent="0.15">
      <c r="E4"/>
    </row>
    <row r="5" spans="1:11" x14ac:dyDescent="0.15">
      <c r="C5" s="984" t="s">
        <v>67</v>
      </c>
      <c r="D5" s="984" t="s">
        <v>523</v>
      </c>
      <c r="E5" s="984" t="s">
        <v>522</v>
      </c>
      <c r="F5" s="984" t="s">
        <v>23</v>
      </c>
      <c r="G5" s="984" t="s">
        <v>414</v>
      </c>
    </row>
    <row r="6" spans="1:11" x14ac:dyDescent="0.15">
      <c r="C6" s="1098"/>
      <c r="D6" s="1098"/>
      <c r="E6" s="1098"/>
      <c r="F6" s="1098"/>
      <c r="G6" s="1098"/>
      <c r="I6" s="1221"/>
      <c r="J6" s="892"/>
    </row>
    <row r="7" spans="1:11" ht="15" x14ac:dyDescent="0.25">
      <c r="C7" s="661">
        <v>44743</v>
      </c>
      <c r="D7" s="987">
        <f t="shared" ref="D7" si="0">C7</f>
        <v>44743</v>
      </c>
      <c r="E7" s="1217">
        <v>35181665</v>
      </c>
      <c r="F7" s="985">
        <v>0.1226</v>
      </c>
      <c r="G7" s="857">
        <f t="shared" ref="G7" si="1">+E7*F7/365</f>
        <v>11817.183915068492</v>
      </c>
      <c r="H7" s="858"/>
      <c r="I7" s="1039"/>
      <c r="J7" s="989"/>
      <c r="K7" s="989"/>
    </row>
    <row r="8" spans="1:11" ht="15" x14ac:dyDescent="0.25">
      <c r="C8" s="661">
        <f t="shared" ref="C8:C28" si="2">+C7+1</f>
        <v>44744</v>
      </c>
      <c r="D8" s="987">
        <f t="shared" ref="D8" si="3">C8</f>
        <v>44744</v>
      </c>
      <c r="E8" s="1217">
        <v>35181665</v>
      </c>
      <c r="F8" s="985">
        <v>0.1226</v>
      </c>
      <c r="G8" s="857">
        <f t="shared" ref="G8" si="4">+E8*F8/365</f>
        <v>11817.183915068492</v>
      </c>
      <c r="H8" s="858"/>
      <c r="I8" s="1039"/>
      <c r="J8" s="989"/>
      <c r="K8" s="989"/>
    </row>
    <row r="9" spans="1:11" ht="15" x14ac:dyDescent="0.25">
      <c r="C9" s="661">
        <f t="shared" si="2"/>
        <v>44745</v>
      </c>
      <c r="D9" s="987">
        <f t="shared" ref="D9" si="5">C9</f>
        <v>44745</v>
      </c>
      <c r="E9" s="1217">
        <v>35181665</v>
      </c>
      <c r="F9" s="985">
        <v>0.1226</v>
      </c>
      <c r="G9" s="857">
        <f t="shared" ref="G9" si="6">+E9*F9/365</f>
        <v>11817.183915068492</v>
      </c>
      <c r="H9" s="858"/>
      <c r="I9" s="1039"/>
      <c r="J9" s="989"/>
      <c r="K9" s="989"/>
    </row>
    <row r="10" spans="1:11" ht="15" x14ac:dyDescent="0.25">
      <c r="C10" s="661">
        <f t="shared" si="2"/>
        <v>44746</v>
      </c>
      <c r="D10" s="987">
        <f t="shared" ref="D10" si="7">C10</f>
        <v>44746</v>
      </c>
      <c r="E10" s="1217">
        <v>35181665</v>
      </c>
      <c r="F10" s="985">
        <v>0.1226</v>
      </c>
      <c r="G10" s="857">
        <f t="shared" ref="G10" si="8">+E10*F10/365</f>
        <v>11817.183915068492</v>
      </c>
      <c r="H10" s="858"/>
      <c r="I10" s="1039"/>
      <c r="J10" s="989"/>
      <c r="K10" s="989"/>
    </row>
    <row r="11" spans="1:11" ht="15" x14ac:dyDescent="0.25">
      <c r="C11" s="661">
        <f t="shared" si="2"/>
        <v>44747</v>
      </c>
      <c r="D11" s="987">
        <f t="shared" ref="D11" si="9">C11</f>
        <v>44747</v>
      </c>
      <c r="E11" s="1217">
        <v>102194834</v>
      </c>
      <c r="F11" s="985">
        <v>0.1226</v>
      </c>
      <c r="G11" s="857">
        <f t="shared" ref="G11" si="10">+E11*F11/365</f>
        <v>34326.264790136986</v>
      </c>
      <c r="H11" s="858"/>
      <c r="I11" s="1039"/>
      <c r="J11" s="989"/>
      <c r="K11" s="989"/>
    </row>
    <row r="12" spans="1:11" ht="15" x14ac:dyDescent="0.25">
      <c r="C12" s="661">
        <f t="shared" si="2"/>
        <v>44748</v>
      </c>
      <c r="D12" s="987">
        <f t="shared" ref="D12" si="11">C12</f>
        <v>44748</v>
      </c>
      <c r="E12" s="1217">
        <v>278836244</v>
      </c>
      <c r="F12" s="985">
        <v>0.1226</v>
      </c>
      <c r="G12" s="857">
        <f t="shared" ref="G12" si="12">+E12*F12/365</f>
        <v>93658.420587397253</v>
      </c>
      <c r="H12" s="858"/>
      <c r="I12" s="1039"/>
      <c r="J12" s="989"/>
      <c r="K12" s="989"/>
    </row>
    <row r="13" spans="1:11" ht="15" x14ac:dyDescent="0.25">
      <c r="C13" s="661">
        <f t="shared" si="2"/>
        <v>44749</v>
      </c>
      <c r="D13" s="987">
        <f t="shared" ref="D13" si="13">C13</f>
        <v>44749</v>
      </c>
      <c r="E13" s="1217">
        <v>278619495</v>
      </c>
      <c r="F13" s="985">
        <v>0.1226</v>
      </c>
      <c r="G13" s="857">
        <f t="shared" ref="G13" si="14">+E13*F13/365</f>
        <v>93585.616676712321</v>
      </c>
      <c r="H13" s="858"/>
      <c r="I13" s="1039"/>
      <c r="J13" s="989"/>
      <c r="K13" s="989"/>
    </row>
    <row r="14" spans="1:11" ht="15" x14ac:dyDescent="0.25">
      <c r="C14" s="661">
        <f t="shared" si="2"/>
        <v>44750</v>
      </c>
      <c r="D14" s="987">
        <f t="shared" ref="D14" si="15">C14</f>
        <v>44750</v>
      </c>
      <c r="E14" s="1217">
        <v>305406891</v>
      </c>
      <c r="F14" s="985">
        <v>0.1226</v>
      </c>
      <c r="G14" s="857">
        <f t="shared" ref="G14" si="16">+E14*F14/365</f>
        <v>102583.24612767123</v>
      </c>
      <c r="H14" s="858"/>
      <c r="I14" s="1039"/>
      <c r="J14" s="989"/>
      <c r="K14" s="989"/>
    </row>
    <row r="15" spans="1:11" ht="15" x14ac:dyDescent="0.25">
      <c r="C15" s="661">
        <f t="shared" si="2"/>
        <v>44751</v>
      </c>
      <c r="D15" s="987">
        <f t="shared" ref="D15" si="17">C15</f>
        <v>44751</v>
      </c>
      <c r="E15" s="1217">
        <v>305406891</v>
      </c>
      <c r="F15" s="985">
        <v>0.1226</v>
      </c>
      <c r="G15" s="857">
        <f t="shared" ref="G15" si="18">+E15*F15/365</f>
        <v>102583.24612767123</v>
      </c>
      <c r="H15" s="858"/>
      <c r="I15" s="1039"/>
      <c r="J15" s="989"/>
      <c r="K15" s="989"/>
    </row>
    <row r="16" spans="1:11" ht="15" x14ac:dyDescent="0.25">
      <c r="C16" s="661">
        <f t="shared" si="2"/>
        <v>44752</v>
      </c>
      <c r="D16" s="987">
        <f t="shared" ref="D16" si="19">C16</f>
        <v>44752</v>
      </c>
      <c r="E16" s="1217">
        <v>305406891</v>
      </c>
      <c r="F16" s="985">
        <v>0.1226</v>
      </c>
      <c r="G16" s="857">
        <f t="shared" ref="G16" si="20">+E16*F16/365</f>
        <v>102583.24612767123</v>
      </c>
      <c r="H16" s="858"/>
      <c r="I16" s="1039"/>
      <c r="J16" s="989"/>
      <c r="K16" s="989"/>
    </row>
    <row r="17" spans="3:11" ht="15" x14ac:dyDescent="0.25">
      <c r="C17" s="661">
        <f t="shared" si="2"/>
        <v>44753</v>
      </c>
      <c r="D17" s="987">
        <f t="shared" ref="D17" si="21">C17</f>
        <v>44753</v>
      </c>
      <c r="E17" s="1217">
        <v>305406891</v>
      </c>
      <c r="F17" s="985">
        <v>0.1226</v>
      </c>
      <c r="G17" s="857">
        <f t="shared" ref="G17" si="22">+E17*F17/365</f>
        <v>102583.24612767123</v>
      </c>
      <c r="H17" s="858"/>
      <c r="I17" s="1039"/>
      <c r="J17" s="989"/>
      <c r="K17" s="989"/>
    </row>
    <row r="18" spans="3:11" ht="15" x14ac:dyDescent="0.25">
      <c r="C18" s="661">
        <f t="shared" si="2"/>
        <v>44754</v>
      </c>
      <c r="D18" s="987">
        <f t="shared" ref="D18" si="23">C18</f>
        <v>44754</v>
      </c>
      <c r="E18" s="1217">
        <v>305406891</v>
      </c>
      <c r="F18" s="985">
        <v>0.1226</v>
      </c>
      <c r="G18" s="857">
        <f t="shared" ref="G18" si="24">+E18*F18/365</f>
        <v>102583.24612767123</v>
      </c>
      <c r="H18" s="858"/>
      <c r="I18" s="1039"/>
      <c r="J18" s="989"/>
      <c r="K18" s="989"/>
    </row>
    <row r="19" spans="3:11" ht="15" x14ac:dyDescent="0.25">
      <c r="C19" s="661">
        <f t="shared" si="2"/>
        <v>44755</v>
      </c>
      <c r="D19" s="987">
        <f t="shared" ref="D19" si="25">C19</f>
        <v>44755</v>
      </c>
      <c r="E19" s="1217">
        <v>305406891</v>
      </c>
      <c r="F19" s="985">
        <v>0.1226</v>
      </c>
      <c r="G19" s="857">
        <f t="shared" ref="G19" si="26">+E19*F19/365</f>
        <v>102583.24612767123</v>
      </c>
      <c r="H19" s="858"/>
      <c r="I19" s="1039"/>
      <c r="J19" s="989"/>
      <c r="K19" s="989"/>
    </row>
    <row r="20" spans="3:11" ht="15" x14ac:dyDescent="0.25">
      <c r="C20" s="661">
        <f t="shared" si="2"/>
        <v>44756</v>
      </c>
      <c r="D20" s="987">
        <f t="shared" ref="D20" si="27">C20</f>
        <v>44756</v>
      </c>
      <c r="E20" s="1217">
        <v>292066414</v>
      </c>
      <c r="F20" s="985">
        <v>0.1226</v>
      </c>
      <c r="G20" s="857">
        <f t="shared" ref="G20" si="28">+E20*F20/365</f>
        <v>98102.307825753422</v>
      </c>
      <c r="H20" s="858"/>
      <c r="I20" s="1039"/>
      <c r="J20" s="989"/>
      <c r="K20" s="989"/>
    </row>
    <row r="21" spans="3:11" ht="15" x14ac:dyDescent="0.25">
      <c r="C21" s="661">
        <f t="shared" si="2"/>
        <v>44757</v>
      </c>
      <c r="D21" s="987">
        <f t="shared" ref="D21" si="29">C21</f>
        <v>44757</v>
      </c>
      <c r="E21" s="1217">
        <v>239327738</v>
      </c>
      <c r="F21" s="985">
        <v>0.1226</v>
      </c>
      <c r="G21" s="857">
        <f t="shared" ref="G21" si="30">+E21*F21/365</f>
        <v>80387.892270684941</v>
      </c>
      <c r="H21" s="858"/>
      <c r="I21" s="1039"/>
      <c r="J21" s="989"/>
      <c r="K21" s="989"/>
    </row>
    <row r="22" spans="3:11" ht="15" x14ac:dyDescent="0.25">
      <c r="C22" s="661">
        <f t="shared" si="2"/>
        <v>44758</v>
      </c>
      <c r="D22" s="987">
        <f t="shared" ref="D22" si="31">C22</f>
        <v>44758</v>
      </c>
      <c r="E22" s="1217">
        <v>102292188</v>
      </c>
      <c r="F22" s="985">
        <v>0.1226</v>
      </c>
      <c r="G22" s="857">
        <f t="shared" ref="G22" si="32">+E22*F22/365</f>
        <v>34358.965065205477</v>
      </c>
      <c r="H22" s="858"/>
      <c r="I22" s="1039"/>
      <c r="J22" s="989"/>
      <c r="K22" s="989"/>
    </row>
    <row r="23" spans="3:11" ht="15" x14ac:dyDescent="0.25">
      <c r="C23" s="661">
        <f t="shared" si="2"/>
        <v>44759</v>
      </c>
      <c r="D23" s="987">
        <f t="shared" ref="D23" si="33">C23</f>
        <v>44759</v>
      </c>
      <c r="E23" s="1217">
        <v>102292188</v>
      </c>
      <c r="F23" s="985">
        <v>0.1226</v>
      </c>
      <c r="G23" s="857">
        <f t="shared" ref="G23" si="34">+E23*F23/365</f>
        <v>34358.965065205477</v>
      </c>
      <c r="H23" s="858"/>
      <c r="I23" s="1039"/>
      <c r="J23" s="989"/>
      <c r="K23" s="989"/>
    </row>
    <row r="24" spans="3:11" ht="15" x14ac:dyDescent="0.25">
      <c r="C24" s="661">
        <f t="shared" si="2"/>
        <v>44760</v>
      </c>
      <c r="D24" s="987">
        <f t="shared" ref="D24" si="35">C24</f>
        <v>44760</v>
      </c>
      <c r="E24" s="1217">
        <v>102292188</v>
      </c>
      <c r="F24" s="985">
        <v>0.1226</v>
      </c>
      <c r="G24" s="857">
        <f t="shared" ref="G24" si="36">+E24*F24/365</f>
        <v>34358.965065205477</v>
      </c>
      <c r="H24" s="858"/>
      <c r="I24" s="1039"/>
      <c r="J24" s="989"/>
      <c r="K24" s="989"/>
    </row>
    <row r="25" spans="3:11" ht="15" x14ac:dyDescent="0.25">
      <c r="C25" s="661">
        <f t="shared" si="2"/>
        <v>44761</v>
      </c>
      <c r="D25" s="987">
        <f t="shared" ref="D25" si="37">C25</f>
        <v>44761</v>
      </c>
      <c r="E25" s="1217">
        <v>58111626</v>
      </c>
      <c r="F25" s="985">
        <v>0.1226</v>
      </c>
      <c r="G25" s="857">
        <f t="shared" ref="G25" si="38">+E25*F25/365</f>
        <v>19519.137938630138</v>
      </c>
      <c r="H25" s="858"/>
      <c r="I25" s="1039"/>
      <c r="J25" s="989"/>
      <c r="K25" s="989"/>
    </row>
    <row r="26" spans="3:11" ht="15" x14ac:dyDescent="0.25">
      <c r="C26" s="661">
        <f t="shared" si="2"/>
        <v>44762</v>
      </c>
      <c r="D26" s="987">
        <f t="shared" ref="D26" si="39">C26</f>
        <v>44762</v>
      </c>
      <c r="E26" s="1217">
        <v>49835897</v>
      </c>
      <c r="F26" s="985">
        <v>0.1226</v>
      </c>
      <c r="G26" s="857">
        <f t="shared" ref="G26" si="40">+E26*F26/365</f>
        <v>16739.399923835615</v>
      </c>
      <c r="H26" s="858"/>
      <c r="I26" s="1039"/>
      <c r="J26" s="989"/>
      <c r="K26" s="989"/>
    </row>
    <row r="27" spans="3:11" ht="15" x14ac:dyDescent="0.25">
      <c r="C27" s="661">
        <f t="shared" si="2"/>
        <v>44763</v>
      </c>
      <c r="D27" s="987">
        <f t="shared" ref="D27" si="41">C27</f>
        <v>44763</v>
      </c>
      <c r="E27" s="1217">
        <v>49932189</v>
      </c>
      <c r="F27" s="985">
        <v>0.1226</v>
      </c>
      <c r="G27" s="857">
        <f t="shared" ref="G27" si="42">+E27*F27/365</f>
        <v>16771.743483287672</v>
      </c>
      <c r="H27" s="858"/>
      <c r="I27" s="1039"/>
      <c r="J27" s="989"/>
      <c r="K27" s="989"/>
    </row>
    <row r="28" spans="3:11" ht="15" x14ac:dyDescent="0.25">
      <c r="C28" s="661">
        <f t="shared" si="2"/>
        <v>44764</v>
      </c>
      <c r="D28" s="987">
        <f t="shared" ref="D28" si="43">C28</f>
        <v>44764</v>
      </c>
      <c r="E28" s="1217">
        <v>46020851</v>
      </c>
      <c r="F28" s="985">
        <v>0.1226</v>
      </c>
      <c r="G28" s="857">
        <f t="shared" ref="G28" si="44">+E28*F28/365</f>
        <v>15457.962555068494</v>
      </c>
      <c r="H28" s="858"/>
      <c r="I28" s="1039"/>
      <c r="J28" s="989"/>
      <c r="K28" s="989"/>
    </row>
    <row r="29" spans="3:11" x14ac:dyDescent="0.15">
      <c r="C29" s="661"/>
      <c r="D29" s="987"/>
      <c r="F29" s="985"/>
      <c r="G29" s="857"/>
      <c r="H29" s="1100"/>
      <c r="I29" s="1039"/>
      <c r="J29" s="989"/>
      <c r="K29" s="989"/>
    </row>
    <row r="30" spans="3:11" ht="12" thickBot="1" x14ac:dyDescent="0.2">
      <c r="C30" s="892" t="s">
        <v>402</v>
      </c>
      <c r="D30" s="892"/>
      <c r="E30" s="986">
        <f>SUM(E7:E29)</f>
        <v>3674989858</v>
      </c>
      <c r="G30" s="986">
        <f>SUM(G7:G29)</f>
        <v>1234393.8536734246</v>
      </c>
      <c r="I30" s="1006" t="e">
        <f>189041-#REF!</f>
        <v>#REF!</v>
      </c>
      <c r="J30" s="1006"/>
    </row>
    <row r="31" spans="3:11" x14ac:dyDescent="0.15">
      <c r="I31" s="1212" t="e">
        <f>+I30+#REF!</f>
        <v>#REF!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0"/>
  <sheetViews>
    <sheetView view="pageBreakPreview" zoomScaleSheetLayoutView="100" workbookViewId="0"/>
  </sheetViews>
  <sheetFormatPr defaultColWidth="9" defaultRowHeight="11.25" x14ac:dyDescent="0.15"/>
  <cols>
    <col min="1" max="1" width="7.5" style="86" customWidth="1"/>
    <col min="2" max="2" width="5.75" style="86" customWidth="1"/>
    <col min="3" max="3" width="7.125" style="86" bestFit="1" customWidth="1"/>
    <col min="4" max="4" width="30.5" style="101" customWidth="1"/>
    <col min="5" max="5" width="5.875" style="86" bestFit="1" customWidth="1"/>
    <col min="6" max="7" width="7.5" style="86" customWidth="1"/>
    <col min="8" max="8" width="7.375" style="86" customWidth="1"/>
    <col min="9" max="9" width="5.5" style="86" customWidth="1"/>
    <col min="10" max="10" width="6.375" style="86" customWidth="1"/>
    <col min="11" max="11" width="11.125" style="86" customWidth="1"/>
    <col min="12" max="12" width="10.625" style="86" bestFit="1" customWidth="1"/>
    <col min="13" max="13" width="12.625" style="86" bestFit="1" customWidth="1"/>
    <col min="14" max="14" width="12.5" style="86" bestFit="1" customWidth="1"/>
    <col min="15" max="15" width="11.125" style="86" bestFit="1" customWidth="1"/>
    <col min="16" max="16" width="10.375" style="86" customWidth="1"/>
    <col min="17" max="17" width="10.625" style="86" bestFit="1" customWidth="1"/>
    <col min="18" max="18" width="10.5" style="86" customWidth="1"/>
    <col min="19" max="19" width="6.125" style="86" bestFit="1" customWidth="1"/>
    <col min="20" max="20" width="7.5" style="86" customWidth="1"/>
    <col min="21" max="21" width="9.125" style="86" customWidth="1"/>
    <col min="22" max="22" width="6.625" style="86" customWidth="1"/>
    <col min="23" max="23" width="7.5" style="86" customWidth="1"/>
    <col min="24" max="24" width="9.875" style="86" bestFit="1" customWidth="1"/>
    <col min="25" max="25" width="11.125" style="86" customWidth="1"/>
    <col min="26" max="26" width="9.875" style="87" bestFit="1" customWidth="1"/>
    <col min="27" max="27" width="9.875" style="87" customWidth="1"/>
    <col min="28" max="28" width="15.5" style="87" customWidth="1"/>
    <col min="29" max="31" width="11.375" style="86" bestFit="1" customWidth="1"/>
    <col min="32" max="32" width="8.375" style="86" bestFit="1" customWidth="1"/>
    <col min="33" max="33" width="9.375" style="86" bestFit="1" customWidth="1"/>
    <col min="34" max="37" width="9" style="86"/>
    <col min="38" max="38" width="10.5" style="86" bestFit="1" customWidth="1"/>
    <col min="39" max="16384" width="9" style="86"/>
  </cols>
  <sheetData>
    <row r="2" spans="1:33" ht="15.75" x14ac:dyDescent="0.15">
      <c r="A2" s="203" t="str">
        <f>+'NAV 22.07.2022'!A2</f>
        <v>CAPITAL GROWTH FUND</v>
      </c>
      <c r="B2" s="195"/>
    </row>
    <row r="3" spans="1:33" ht="15.75" x14ac:dyDescent="0.15">
      <c r="A3" s="203" t="s">
        <v>195</v>
      </c>
      <c r="B3" s="195"/>
    </row>
    <row r="4" spans="1:33" ht="15.75" x14ac:dyDescent="0.15">
      <c r="A4" s="203" t="s">
        <v>196</v>
      </c>
      <c r="B4" s="195"/>
    </row>
    <row r="5" spans="1:33" x14ac:dyDescent="0.15">
      <c r="X5" s="87"/>
      <c r="AD5" s="158"/>
    </row>
    <row r="6" spans="1:33" ht="12" thickBot="1" x14ac:dyDescent="0.2">
      <c r="A6" s="195" t="s">
        <v>8</v>
      </c>
      <c r="B6" s="195"/>
      <c r="C6" s="95"/>
      <c r="D6" s="195"/>
      <c r="E6" s="1351">
        <f>+'TDR accrual '!B3</f>
        <v>44764</v>
      </c>
      <c r="F6" s="1351"/>
      <c r="G6" s="1351"/>
      <c r="H6" s="1351"/>
      <c r="I6" s="1351"/>
      <c r="J6" s="1351"/>
      <c r="K6" s="1351"/>
      <c r="L6" s="1351"/>
      <c r="M6" s="1351"/>
      <c r="N6" s="1351"/>
      <c r="O6" s="1351"/>
      <c r="P6" s="1351"/>
      <c r="Q6" s="1352"/>
      <c r="AD6" s="841"/>
    </row>
    <row r="7" spans="1:33" ht="12" thickTop="1" x14ac:dyDescent="0.15">
      <c r="Z7" s="767"/>
      <c r="AA7" s="767"/>
      <c r="AD7" s="841"/>
    </row>
    <row r="8" spans="1:33" x14ac:dyDescent="0.15">
      <c r="Y8" s="841"/>
      <c r="Z8" s="767"/>
      <c r="AA8" s="767"/>
      <c r="AB8" s="768"/>
    </row>
    <row r="9" spans="1:33" x14ac:dyDescent="0.15">
      <c r="M9" s="212"/>
      <c r="N9" s="212"/>
      <c r="Y9" s="212"/>
    </row>
    <row r="10" spans="1:33" ht="54.75" customHeight="1" x14ac:dyDescent="0.15">
      <c r="A10" s="1" t="s">
        <v>92</v>
      </c>
      <c r="B10" s="1" t="s">
        <v>441</v>
      </c>
      <c r="C10" s="19" t="s">
        <v>9</v>
      </c>
      <c r="D10" s="19" t="s">
        <v>10</v>
      </c>
      <c r="E10" s="19" t="s">
        <v>91</v>
      </c>
      <c r="F10" s="19" t="s">
        <v>94</v>
      </c>
      <c r="G10" s="19" t="s">
        <v>95</v>
      </c>
      <c r="H10" s="19" t="s">
        <v>96</v>
      </c>
      <c r="I10" s="19" t="s">
        <v>12</v>
      </c>
      <c r="J10" s="19" t="s">
        <v>11</v>
      </c>
      <c r="K10" s="19" t="s">
        <v>197</v>
      </c>
      <c r="L10" s="19" t="s">
        <v>98</v>
      </c>
      <c r="M10" s="19" t="s">
        <v>442</v>
      </c>
      <c r="N10" s="19" t="s">
        <v>425</v>
      </c>
      <c r="O10" s="19" t="s">
        <v>426</v>
      </c>
      <c r="P10" s="769" t="s">
        <v>15</v>
      </c>
      <c r="Q10" s="2" t="s">
        <v>3</v>
      </c>
      <c r="R10" s="19" t="s">
        <v>443</v>
      </c>
      <c r="S10" s="19" t="s">
        <v>444</v>
      </c>
      <c r="T10" s="19" t="s">
        <v>445</v>
      </c>
      <c r="U10" s="19" t="s">
        <v>446</v>
      </c>
      <c r="V10" s="19" t="s">
        <v>13</v>
      </c>
      <c r="W10" s="19" t="s">
        <v>14</v>
      </c>
      <c r="X10" s="770" t="s">
        <v>199</v>
      </c>
      <c r="Y10" s="770" t="s">
        <v>200</v>
      </c>
      <c r="Z10" s="770" t="s">
        <v>201</v>
      </c>
      <c r="AA10" s="770" t="s">
        <v>511</v>
      </c>
      <c r="AB10" s="19" t="s">
        <v>28</v>
      </c>
      <c r="AC10" s="172" t="s">
        <v>447</v>
      </c>
      <c r="AD10" s="770" t="s">
        <v>482</v>
      </c>
      <c r="AE10" s="770" t="s">
        <v>484</v>
      </c>
      <c r="AF10" s="770" t="s">
        <v>174</v>
      </c>
      <c r="AG10" s="770" t="s">
        <v>428</v>
      </c>
    </row>
    <row r="11" spans="1:33" s="907" customFormat="1" x14ac:dyDescent="0.15">
      <c r="A11" s="895"/>
      <c r="B11" s="895"/>
      <c r="C11" s="895"/>
      <c r="D11" s="896"/>
      <c r="E11" s="897"/>
      <c r="F11" s="898"/>
      <c r="G11" s="898"/>
      <c r="H11" s="898"/>
      <c r="I11" s="895"/>
      <c r="J11" s="899"/>
      <c r="K11" s="900"/>
      <c r="L11" s="900"/>
      <c r="M11" s="900"/>
      <c r="N11" s="900"/>
      <c r="O11" s="900"/>
      <c r="P11" s="901"/>
      <c r="Q11" s="900"/>
      <c r="R11" s="900"/>
      <c r="S11" s="900"/>
      <c r="T11" s="902"/>
      <c r="U11" s="903"/>
      <c r="V11" s="904"/>
      <c r="W11" s="905"/>
      <c r="X11" s="685"/>
      <c r="Y11" s="685"/>
      <c r="Z11" s="900"/>
      <c r="AA11" s="911"/>
      <c r="AB11" s="901"/>
      <c r="AC11" s="906"/>
      <c r="AD11" s="906"/>
      <c r="AE11" s="906"/>
      <c r="AF11" s="895"/>
      <c r="AG11" s="895"/>
    </row>
    <row r="12" spans="1:33" s="907" customFormat="1" x14ac:dyDescent="0.15">
      <c r="A12" s="895"/>
      <c r="B12" s="895"/>
      <c r="C12" s="895"/>
      <c r="D12" s="896"/>
      <c r="E12" s="897"/>
      <c r="F12" s="898"/>
      <c r="G12" s="898"/>
      <c r="H12" s="898"/>
      <c r="I12" s="895"/>
      <c r="J12" s="899"/>
      <c r="K12" s="900"/>
      <c r="L12" s="900"/>
      <c r="M12" s="900"/>
      <c r="N12" s="900"/>
      <c r="O12" s="900"/>
      <c r="P12" s="901"/>
      <c r="Q12" s="900"/>
      <c r="R12" s="900"/>
      <c r="S12" s="900"/>
      <c r="T12" s="902"/>
      <c r="U12" s="903"/>
      <c r="V12" s="904"/>
      <c r="W12" s="905"/>
      <c r="X12" s="685"/>
      <c r="Y12" s="685"/>
      <c r="Z12" s="900"/>
      <c r="AA12" s="911"/>
      <c r="AB12" s="901"/>
      <c r="AC12" s="906"/>
      <c r="AD12" s="906"/>
      <c r="AE12" s="906"/>
      <c r="AF12" s="895"/>
      <c r="AG12" s="895"/>
    </row>
    <row r="13" spans="1:33" s="907" customFormat="1" x14ac:dyDescent="0.15">
      <c r="A13" s="895"/>
      <c r="B13" s="895"/>
      <c r="C13" s="895"/>
      <c r="D13" s="896"/>
      <c r="E13" s="897"/>
      <c r="F13" s="898"/>
      <c r="G13" s="898"/>
      <c r="H13" s="898"/>
      <c r="I13" s="895"/>
      <c r="J13" s="899"/>
      <c r="K13" s="900"/>
      <c r="L13" s="900"/>
      <c r="M13" s="900"/>
      <c r="N13" s="900"/>
      <c r="O13" s="900"/>
      <c r="P13" s="901"/>
      <c r="Q13" s="900"/>
      <c r="R13" s="900"/>
      <c r="S13" s="900"/>
      <c r="T13" s="902"/>
      <c r="U13" s="903"/>
      <c r="V13" s="904"/>
      <c r="W13" s="905"/>
      <c r="X13" s="685"/>
      <c r="Y13" s="685"/>
      <c r="Z13" s="900"/>
      <c r="AA13" s="911"/>
      <c r="AB13" s="901"/>
      <c r="AC13" s="906"/>
      <c r="AD13" s="906"/>
      <c r="AE13" s="906"/>
      <c r="AF13" s="895"/>
      <c r="AG13" s="895"/>
    </row>
    <row r="14" spans="1:33" s="907" customFormat="1" x14ac:dyDescent="0.15">
      <c r="A14" s="895"/>
      <c r="B14" s="895"/>
      <c r="C14" s="895"/>
      <c r="D14" s="896"/>
      <c r="E14" s="897"/>
      <c r="F14" s="898"/>
      <c r="G14" s="898"/>
      <c r="H14" s="898"/>
      <c r="I14" s="895"/>
      <c r="J14" s="899"/>
      <c r="K14" s="900"/>
      <c r="L14" s="900"/>
      <c r="M14" s="900"/>
      <c r="N14" s="900"/>
      <c r="O14" s="900"/>
      <c r="P14" s="901"/>
      <c r="Q14" s="900"/>
      <c r="R14" s="900"/>
      <c r="S14" s="900"/>
      <c r="T14" s="902"/>
      <c r="U14" s="903"/>
      <c r="V14" s="904"/>
      <c r="W14" s="905"/>
      <c r="X14" s="685"/>
      <c r="Y14" s="685"/>
      <c r="Z14" s="900"/>
      <c r="AA14" s="911"/>
      <c r="AB14" s="901"/>
      <c r="AC14" s="906"/>
      <c r="AD14" s="906"/>
      <c r="AE14" s="906"/>
      <c r="AF14" s="895"/>
      <c r="AG14" s="895"/>
    </row>
    <row r="15" spans="1:33" s="907" customFormat="1" x14ac:dyDescent="0.15">
      <c r="A15" s="895"/>
      <c r="B15" s="895"/>
      <c r="C15" s="895"/>
      <c r="D15" s="896"/>
      <c r="E15" s="897"/>
      <c r="F15" s="898"/>
      <c r="G15" s="898"/>
      <c r="H15" s="898"/>
      <c r="I15" s="895"/>
      <c r="J15" s="899"/>
      <c r="K15" s="900"/>
      <c r="L15" s="900"/>
      <c r="M15" s="900"/>
      <c r="N15" s="900"/>
      <c r="O15" s="900"/>
      <c r="P15" s="901"/>
      <c r="Q15" s="900"/>
      <c r="R15" s="900"/>
      <c r="S15" s="900"/>
      <c r="T15" s="902"/>
      <c r="U15" s="903"/>
      <c r="V15" s="904"/>
      <c r="W15" s="905"/>
      <c r="X15" s="685"/>
      <c r="Y15" s="685"/>
      <c r="Z15" s="900"/>
      <c r="AA15" s="911"/>
      <c r="AB15" s="901"/>
      <c r="AC15" s="906"/>
      <c r="AD15" s="906"/>
      <c r="AE15" s="906"/>
      <c r="AF15" s="895"/>
      <c r="AG15" s="895"/>
    </row>
    <row r="16" spans="1:33" x14ac:dyDescent="0.15">
      <c r="A16" s="4"/>
      <c r="B16" s="4"/>
      <c r="C16" s="5"/>
      <c r="D16" s="7"/>
      <c r="E16" s="80"/>
      <c r="F16" s="80"/>
      <c r="G16" s="80"/>
      <c r="H16" s="80"/>
      <c r="I16" s="5"/>
      <c r="J16" s="90"/>
      <c r="K16" s="9"/>
      <c r="L16" s="9"/>
      <c r="M16" s="88"/>
      <c r="N16" s="88"/>
      <c r="O16" s="88"/>
      <c r="P16" s="771"/>
      <c r="Q16" s="9"/>
      <c r="R16" s="5"/>
      <c r="S16" s="5"/>
      <c r="T16" s="94"/>
      <c r="U16" s="10"/>
      <c r="V16" s="91"/>
      <c r="W16" s="92"/>
      <c r="X16" s="9"/>
      <c r="Y16" s="93"/>
      <c r="Z16" s="9"/>
      <c r="AA16" s="9"/>
      <c r="AB16" s="9"/>
      <c r="AC16" s="5"/>
      <c r="AD16" s="5"/>
      <c r="AE16" s="5"/>
      <c r="AF16" s="4"/>
      <c r="AG16" s="4"/>
    </row>
    <row r="17" spans="1:33" x14ac:dyDescent="0.15">
      <c r="A17" s="772"/>
      <c r="B17" s="772"/>
      <c r="C17" s="773"/>
      <c r="D17" s="774" t="s">
        <v>448</v>
      </c>
      <c r="E17" s="775"/>
      <c r="F17" s="775"/>
      <c r="G17" s="775"/>
      <c r="H17" s="775"/>
      <c r="I17" s="773"/>
      <c r="J17" s="776"/>
      <c r="K17" s="777">
        <f>SUMIF($A$11:$A$16,"ACTIVE",K11:K16)</f>
        <v>0</v>
      </c>
      <c r="L17" s="777">
        <f>SUMIF($A$11:$A$16,"ACTIVE",L11:L16)</f>
        <v>0</v>
      </c>
      <c r="M17" s="777">
        <f>SUMIF($A$11:$A$16,"ACTIVE",M11:M16)</f>
        <v>0</v>
      </c>
      <c r="N17" s="777">
        <f>SUMIF($A$11:$A$16,"ACTIVE",N11:N16)</f>
        <v>0</v>
      </c>
      <c r="O17" s="777">
        <f>SUMIF($A$11:$A$16,"ACTIVE",O11:O16)</f>
        <v>0</v>
      </c>
      <c r="P17" s="778"/>
      <c r="Q17" s="777">
        <f>SUMIF($A$11:$A$16,"ACTIVE",Q11:Q16)</f>
        <v>0</v>
      </c>
      <c r="R17" s="773"/>
      <c r="S17" s="777">
        <f>+SUM(S11:S16)</f>
        <v>0</v>
      </c>
      <c r="T17" s="779"/>
      <c r="U17" s="780"/>
      <c r="V17" s="781"/>
      <c r="W17" s="782"/>
      <c r="X17" s="777">
        <f>SUMIF($A$11:$A$16,"ACTIVE",X11:X16)</f>
        <v>0</v>
      </c>
      <c r="Y17" s="777">
        <f>SUMIF($A$11:$A$16,"ACTIVE",Y11:Y16)</f>
        <v>0</v>
      </c>
      <c r="Z17" s="777">
        <f>SUMIF($A$11:$A$16,"ACTIVE",Z11:Z16)</f>
        <v>0</v>
      </c>
      <c r="AA17" s="777"/>
      <c r="AB17" s="777">
        <f>+SUM(AB11:AB16)</f>
        <v>0</v>
      </c>
      <c r="AC17" s="777">
        <f>+SUM(AC11:AC16)</f>
        <v>0</v>
      </c>
      <c r="AD17" s="777">
        <f>+SUM(AD11:AD16)</f>
        <v>0</v>
      </c>
      <c r="AE17" s="777">
        <f>+SUM(AE11:AE16)</f>
        <v>0</v>
      </c>
      <c r="AF17" s="4"/>
      <c r="AG17" s="4"/>
    </row>
    <row r="18" spans="1:33" x14ac:dyDescent="0.15">
      <c r="AC18" s="86" t="s">
        <v>479</v>
      </c>
      <c r="AD18" s="212">
        <f>+AD17</f>
        <v>0</v>
      </c>
    </row>
    <row r="19" spans="1:33" x14ac:dyDescent="0.15">
      <c r="L19" s="212"/>
      <c r="M19" s="87"/>
      <c r="Q19" s="158"/>
      <c r="AC19" s="86" t="s">
        <v>399</v>
      </c>
      <c r="AD19" s="87">
        <f>+'T-Bills'!Z53</f>
        <v>-4919128.5522864228</v>
      </c>
    </row>
    <row r="20" spans="1:33" x14ac:dyDescent="0.15">
      <c r="N20" s="212"/>
      <c r="P20" s="212"/>
      <c r="Q20" s="87"/>
      <c r="AD20" s="212">
        <f>SUM(AD18:AD19)</f>
        <v>-4919128.5522864228</v>
      </c>
    </row>
    <row r="21" spans="1:33" x14ac:dyDescent="0.15"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AB21" s="918" t="s">
        <v>515</v>
      </c>
      <c r="AC21" s="86" t="s">
        <v>342</v>
      </c>
      <c r="AD21" s="212">
        <v>-4919128.1399999997</v>
      </c>
      <c r="AF21" s="212"/>
    </row>
    <row r="22" spans="1:33" x14ac:dyDescent="0.15">
      <c r="I22" s="452"/>
      <c r="J22" s="831"/>
      <c r="K22" s="832"/>
      <c r="L22" s="452"/>
      <c r="O22" s="158"/>
      <c r="P22" s="87"/>
      <c r="X22" s="212"/>
      <c r="Y22"/>
      <c r="Z22"/>
      <c r="AA22"/>
      <c r="AB22"/>
      <c r="AD22" s="212">
        <f>+AD20-AD21</f>
        <v>-0.4122864231467247</v>
      </c>
    </row>
    <row r="23" spans="1:33" x14ac:dyDescent="0.15">
      <c r="I23" s="452"/>
      <c r="J23" s="453"/>
      <c r="K23" s="679"/>
      <c r="L23" s="453"/>
      <c r="Y23"/>
      <c r="Z23"/>
      <c r="AA23"/>
      <c r="AB23"/>
      <c r="AD23" s="87"/>
    </row>
    <row r="24" spans="1:33" x14ac:dyDescent="0.15">
      <c r="J24" s="212"/>
      <c r="K24" s="212"/>
      <c r="L24" s="212"/>
      <c r="Y24"/>
      <c r="Z24"/>
      <c r="AA24"/>
      <c r="AB24"/>
      <c r="AD24" s="87"/>
    </row>
    <row r="25" spans="1:33" x14ac:dyDescent="0.15">
      <c r="Y25"/>
      <c r="Z25"/>
      <c r="AA25"/>
      <c r="AB25"/>
      <c r="AC25" s="86" t="s">
        <v>668</v>
      </c>
      <c r="AD25" s="87">
        <v>-4919128.1399999997</v>
      </c>
    </row>
    <row r="26" spans="1:33" x14ac:dyDescent="0.15">
      <c r="Y26"/>
      <c r="Z26"/>
      <c r="AA26"/>
      <c r="AB26"/>
      <c r="AC26" s="86" t="s">
        <v>669</v>
      </c>
      <c r="AD26" s="212">
        <f>+AD20-AD25</f>
        <v>-0.4122864231467247</v>
      </c>
    </row>
    <row r="27" spans="1:33" x14ac:dyDescent="0.15">
      <c r="Y27"/>
      <c r="Z27"/>
      <c r="AA27"/>
      <c r="AB27"/>
    </row>
    <row r="28" spans="1:33" x14ac:dyDescent="0.15">
      <c r="Y28"/>
      <c r="Z28"/>
      <c r="AA28"/>
      <c r="AB28"/>
    </row>
    <row r="49" spans="10:10" x14ac:dyDescent="0.15">
      <c r="J49" s="158"/>
    </row>
    <row r="50" spans="10:10" x14ac:dyDescent="0.15">
      <c r="J50" s="158"/>
    </row>
  </sheetData>
  <mergeCells count="1">
    <mergeCell ref="E6:Q6"/>
  </mergeCells>
  <conditionalFormatting sqref="R16:S16 R10:S10 R1:R9 R17:R1048576">
    <cfRule type="expression" priority="8">
      <formula>$E$6</formula>
    </cfRule>
  </conditionalFormatting>
  <conditionalFormatting sqref="R11:S12">
    <cfRule type="expression" priority="7">
      <formula>$E$6</formula>
    </cfRule>
  </conditionalFormatting>
  <conditionalFormatting sqref="S13:S15">
    <cfRule type="expression" priority="2">
      <formula>$E$6</formula>
    </cfRule>
  </conditionalFormatting>
  <conditionalFormatting sqref="R13:R15">
    <cfRule type="expression" priority="1">
      <formula>$E$6</formula>
    </cfRule>
  </conditionalFormatting>
  <pageMargins left="9.8425196850393706E-2" right="9.8425196850393706E-2" top="1.1330314960629921" bottom="0.74803149606299213" header="0.19685039370078741" footer="0.19685039370078741"/>
  <pageSetup scale="5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view="pageBreakPreview" topLeftCell="C4" zoomScaleSheetLayoutView="100" workbookViewId="0">
      <selection activeCell="P22" sqref="P22"/>
    </sheetView>
  </sheetViews>
  <sheetFormatPr defaultColWidth="9" defaultRowHeight="11.25" x14ac:dyDescent="0.2"/>
  <cols>
    <col min="1" max="1" width="5.375" style="67" customWidth="1"/>
    <col min="2" max="2" width="29.125" style="67" customWidth="1"/>
    <col min="3" max="3" width="11.5" style="67" customWidth="1"/>
    <col min="4" max="6" width="8.625" style="67" customWidth="1"/>
    <col min="7" max="13" width="8.625" style="138" customWidth="1"/>
    <col min="14" max="14" width="10.75" style="138" customWidth="1"/>
    <col min="15" max="15" width="8.625" style="138" customWidth="1"/>
    <col min="16" max="16" width="12.5" style="67" customWidth="1"/>
    <col min="17" max="16384" width="9" style="67"/>
  </cols>
  <sheetData>
    <row r="1" spans="1:16" ht="15.75" x14ac:dyDescent="0.25">
      <c r="A1" s="783" t="str">
        <f>+PIB!A2</f>
        <v>CAPITAL GROWTH FUND</v>
      </c>
      <c r="M1" s="681" t="s">
        <v>449</v>
      </c>
      <c r="O1" s="1353">
        <v>44561</v>
      </c>
      <c r="P1" s="1354"/>
    </row>
    <row r="2" spans="1:16" ht="12.75" x14ac:dyDescent="0.2">
      <c r="A2" s="220" t="s">
        <v>27</v>
      </c>
    </row>
    <row r="3" spans="1:16" ht="12.75" x14ac:dyDescent="0.2">
      <c r="A3" s="220" t="s">
        <v>225</v>
      </c>
      <c r="M3" s="67"/>
      <c r="N3" s="67"/>
    </row>
    <row r="4" spans="1:16" ht="13.5" thickBot="1" x14ac:dyDescent="0.25">
      <c r="A4" s="220"/>
    </row>
    <row r="5" spans="1:16" ht="12" thickBot="1" x14ac:dyDescent="0.25">
      <c r="B5" s="70" t="s">
        <v>22</v>
      </c>
      <c r="C5" s="139">
        <f>+PIB!E6</f>
        <v>44764</v>
      </c>
      <c r="D5" s="140"/>
      <c r="E5" s="140"/>
      <c r="F5" s="140"/>
    </row>
    <row r="7" spans="1:16" s="70" customFormat="1" ht="50.1" customHeight="1" x14ac:dyDescent="0.15">
      <c r="A7" s="19"/>
      <c r="B7" s="19" t="s">
        <v>26</v>
      </c>
      <c r="C7" s="19" t="s">
        <v>24</v>
      </c>
      <c r="D7" s="19" t="s">
        <v>23</v>
      </c>
      <c r="E7" s="19" t="s">
        <v>374</v>
      </c>
      <c r="F7" s="19" t="s">
        <v>94</v>
      </c>
      <c r="G7" s="19" t="s">
        <v>95</v>
      </c>
      <c r="H7" s="19" t="s">
        <v>21</v>
      </c>
      <c r="I7" s="19" t="s">
        <v>284</v>
      </c>
      <c r="J7" s="19" t="s">
        <v>22</v>
      </c>
      <c r="K7" s="19" t="s">
        <v>285</v>
      </c>
      <c r="L7" s="19" t="s">
        <v>20</v>
      </c>
      <c r="M7" s="19" t="s">
        <v>226</v>
      </c>
      <c r="N7" s="19" t="s">
        <v>450</v>
      </c>
      <c r="O7" s="1" t="s">
        <v>451</v>
      </c>
      <c r="P7" s="1" t="s">
        <v>286</v>
      </c>
    </row>
    <row r="8" spans="1:16" s="70" customFormat="1" x14ac:dyDescent="0.15"/>
    <row r="9" spans="1:16" s="161" customFormat="1" x14ac:dyDescent="0.2">
      <c r="A9" s="784"/>
      <c r="B9" s="785"/>
      <c r="C9" s="786"/>
      <c r="D9" s="787"/>
      <c r="E9" s="788"/>
      <c r="F9" s="788"/>
      <c r="G9" s="788"/>
      <c r="H9" s="789"/>
      <c r="I9" s="789"/>
      <c r="J9" s="789"/>
      <c r="K9" s="790"/>
      <c r="L9" s="791"/>
      <c r="M9" s="792"/>
      <c r="N9" s="792"/>
      <c r="O9" s="793"/>
      <c r="P9" s="791"/>
    </row>
    <row r="10" spans="1:16" s="161" customFormat="1" x14ac:dyDescent="0.2">
      <c r="A10" s="784"/>
      <c r="B10" s="785"/>
      <c r="C10" s="786"/>
      <c r="D10" s="787"/>
      <c r="E10" s="788"/>
      <c r="F10" s="788"/>
      <c r="G10" s="788"/>
      <c r="H10" s="789"/>
      <c r="I10" s="789"/>
      <c r="J10" s="789"/>
      <c r="K10" s="790"/>
      <c r="L10" s="791"/>
      <c r="M10" s="792"/>
      <c r="N10" s="792"/>
      <c r="O10" s="792"/>
      <c r="P10" s="792"/>
    </row>
    <row r="11" spans="1:16" s="161" customFormat="1" x14ac:dyDescent="0.2">
      <c r="A11" s="784"/>
      <c r="B11" s="785"/>
      <c r="C11" s="786"/>
      <c r="D11" s="787"/>
      <c r="E11" s="788"/>
      <c r="F11" s="788"/>
      <c r="G11" s="788"/>
      <c r="H11" s="789"/>
      <c r="I11" s="789"/>
      <c r="J11" s="789"/>
      <c r="K11" s="790"/>
      <c r="L11" s="791"/>
      <c r="M11" s="792"/>
      <c r="N11" s="792"/>
      <c r="O11" s="792"/>
      <c r="P11" s="792"/>
    </row>
    <row r="12" spans="1:16" s="929" customFormat="1" x14ac:dyDescent="0.2">
      <c r="A12" s="921"/>
      <c r="B12" s="922"/>
      <c r="C12" s="923"/>
      <c r="D12" s="924"/>
      <c r="E12" s="925"/>
      <c r="F12" s="925"/>
      <c r="G12" s="925"/>
      <c r="H12" s="926"/>
      <c r="I12" s="926"/>
      <c r="J12" s="926"/>
      <c r="K12" s="927"/>
      <c r="L12" s="791"/>
      <c r="M12" s="928"/>
      <c r="N12" s="928"/>
      <c r="O12" s="792"/>
      <c r="P12" s="928"/>
    </row>
    <row r="13" spans="1:16" s="161" customFormat="1" x14ac:dyDescent="0.2">
      <c r="A13" s="784"/>
      <c r="B13" s="785"/>
      <c r="C13" s="786"/>
      <c r="D13" s="787"/>
      <c r="E13" s="788"/>
      <c r="F13" s="788"/>
      <c r="G13" s="788"/>
      <c r="H13" s="789"/>
      <c r="I13" s="789"/>
      <c r="J13" s="789"/>
      <c r="K13" s="790"/>
      <c r="L13" s="791"/>
      <c r="M13" s="792"/>
      <c r="N13" s="792"/>
      <c r="O13" s="792"/>
      <c r="P13" s="792"/>
    </row>
    <row r="14" spans="1:16" s="929" customFormat="1" x14ac:dyDescent="0.2">
      <c r="A14" s="921"/>
      <c r="B14" s="922"/>
      <c r="C14" s="923"/>
      <c r="D14" s="924"/>
      <c r="E14" s="925"/>
      <c r="F14" s="925"/>
      <c r="G14" s="925"/>
      <c r="H14" s="926"/>
      <c r="I14" s="926"/>
      <c r="J14" s="926"/>
      <c r="K14" s="927"/>
      <c r="L14" s="934"/>
      <c r="M14" s="928"/>
      <c r="N14" s="928"/>
      <c r="O14" s="928"/>
      <c r="P14" s="928"/>
    </row>
    <row r="15" spans="1:16" x14ac:dyDescent="0.2">
      <c r="A15" s="794"/>
      <c r="B15" s="795"/>
      <c r="C15" s="796"/>
      <c r="D15" s="797"/>
      <c r="E15" s="797"/>
      <c r="F15" s="798"/>
      <c r="G15" s="798"/>
      <c r="H15" s="799"/>
      <c r="I15" s="799"/>
      <c r="J15" s="799"/>
      <c r="K15" s="799"/>
      <c r="L15" s="800"/>
      <c r="M15" s="799"/>
      <c r="N15" s="799"/>
      <c r="O15" s="799"/>
      <c r="P15" s="800"/>
    </row>
    <row r="16" spans="1:16" s="146" customFormat="1" ht="12" thickBot="1" x14ac:dyDescent="0.25">
      <c r="A16" s="71"/>
      <c r="B16" s="71"/>
      <c r="C16" s="71"/>
      <c r="D16" s="71"/>
      <c r="E16" s="71"/>
      <c r="F16" s="71"/>
      <c r="G16" s="147"/>
      <c r="H16" s="147"/>
      <c r="I16" s="147"/>
      <c r="J16" s="147"/>
      <c r="K16" s="147"/>
      <c r="L16" s="147"/>
      <c r="M16" s="801">
        <f>SUMIF($A$8:$A$15,"Active",M8:M15)</f>
        <v>0</v>
      </c>
      <c r="N16" s="801">
        <f>SUMIF($A$8:$A$15,"Active",N8:N15)</f>
        <v>0</v>
      </c>
      <c r="O16" s="801"/>
      <c r="P16" s="801">
        <f>SUM(P10:P15)</f>
        <v>0</v>
      </c>
    </row>
    <row r="17" spans="3:16" x14ac:dyDescent="0.2">
      <c r="C17" s="140"/>
      <c r="D17" s="140"/>
      <c r="E17" s="140"/>
      <c r="M17" s="292">
        <v>986301.37</v>
      </c>
      <c r="N17" s="292"/>
      <c r="O17" s="706"/>
      <c r="P17" s="706"/>
    </row>
    <row r="18" spans="3:16" x14ac:dyDescent="0.2">
      <c r="M18" s="248">
        <f>+M16-M17</f>
        <v>-986301.37</v>
      </c>
      <c r="N18" s="292"/>
    </row>
    <row r="19" spans="3:16" x14ac:dyDescent="0.2">
      <c r="N19" s="292"/>
      <c r="O19" s="192" t="s">
        <v>427</v>
      </c>
      <c r="P19" s="149">
        <f>+P16</f>
        <v>0</v>
      </c>
    </row>
    <row r="20" spans="3:16" x14ac:dyDescent="0.2">
      <c r="N20" s="292"/>
      <c r="O20" s="138" t="s">
        <v>399</v>
      </c>
      <c r="P20" s="149">
        <f>+'T-Bills Amortization '!Q85</f>
        <v>233321891.15009713</v>
      </c>
    </row>
    <row r="21" spans="3:16" x14ac:dyDescent="0.2">
      <c r="N21" s="292"/>
      <c r="P21" s="149">
        <f>SUM(P19:P20)</f>
        <v>233321891.15009713</v>
      </c>
    </row>
    <row r="22" spans="3:16" x14ac:dyDescent="0.2">
      <c r="N22" s="138">
        <v>50203020101</v>
      </c>
      <c r="O22" s="802" t="s">
        <v>398</v>
      </c>
      <c r="P22" s="706">
        <v>233321890.19999999</v>
      </c>
    </row>
    <row r="23" spans="3:16" x14ac:dyDescent="0.2">
      <c r="O23" s="138" t="s">
        <v>25</v>
      </c>
      <c r="P23" s="149">
        <f>+P21-P22</f>
        <v>0.95009714365005493</v>
      </c>
    </row>
    <row r="24" spans="3:16" x14ac:dyDescent="0.2">
      <c r="P24" s="145"/>
    </row>
    <row r="48" spans="1:16" s="138" customFormat="1" x14ac:dyDescent="0.2">
      <c r="A48" s="67"/>
      <c r="B48" s="67"/>
      <c r="C48" s="67"/>
      <c r="D48" s="67"/>
      <c r="E48" s="67"/>
      <c r="F48" s="67"/>
      <c r="J48" s="706"/>
      <c r="P48" s="67"/>
    </row>
    <row r="49" spans="1:16" s="138" customFormat="1" x14ac:dyDescent="0.2">
      <c r="A49" s="67"/>
      <c r="B49" s="67"/>
      <c r="C49" s="67"/>
      <c r="D49" s="67"/>
      <c r="E49" s="67"/>
      <c r="F49" s="67"/>
      <c r="J49" s="706"/>
      <c r="P49" s="67"/>
    </row>
    <row r="58" spans="1:16" x14ac:dyDescent="0.2">
      <c r="D58" s="67">
        <f>ROUNDDOWN(D56/0.95,4)+0.00005</f>
        <v>5.0000000000000002E-5</v>
      </c>
    </row>
  </sheetData>
  <mergeCells count="1">
    <mergeCell ref="O1:P1"/>
  </mergeCells>
  <pageMargins left="0.31496062992125984" right="0.11811023622047245" top="0.11811023622047245" bottom="0.11811023622047245" header="0.11811023622047245" footer="0.11811023622047245"/>
  <pageSetup paperSize="9" scale="83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8"/>
  <sheetViews>
    <sheetView view="pageBreakPreview" zoomScaleSheetLayoutView="100" workbookViewId="0">
      <pane xSplit="3" ySplit="6" topLeftCell="P7" activePane="bottomRight" state="frozen"/>
      <selection activeCell="J67" sqref="J67"/>
      <selection pane="topRight" activeCell="J67" sqref="J67"/>
      <selection pane="bottomLeft" activeCell="J67" sqref="J67"/>
      <selection pane="bottomRight" activeCell="Z7" sqref="Z7"/>
    </sheetView>
  </sheetViews>
  <sheetFormatPr defaultRowHeight="12" x14ac:dyDescent="0.2"/>
  <cols>
    <col min="1" max="1" width="4.875" style="803" bestFit="1" customWidth="1"/>
    <col min="2" max="2" width="10.125" style="804" bestFit="1" customWidth="1"/>
    <col min="3" max="3" width="29.5" style="804" customWidth="1"/>
    <col min="4" max="4" width="5" style="804" hidden="1" customWidth="1"/>
    <col min="5" max="5" width="8.125" style="803" bestFit="1" customWidth="1"/>
    <col min="6" max="6" width="5.125" style="805" hidden="1" customWidth="1"/>
    <col min="7" max="7" width="11.75" style="806" customWidth="1"/>
    <col min="8" max="8" width="9.625" style="805" customWidth="1"/>
    <col min="9" max="9" width="7.625" style="803" customWidth="1"/>
    <col min="10" max="10" width="11.75" style="803" customWidth="1"/>
    <col min="11" max="11" width="11.5" style="803" customWidth="1"/>
    <col min="12" max="12" width="7.875" style="807" customWidth="1"/>
    <col min="13" max="13" width="12" style="803" bestFit="1" customWidth="1"/>
    <col min="14" max="14" width="9.625" style="803" customWidth="1"/>
    <col min="15" max="15" width="10.625" style="803" bestFit="1" customWidth="1"/>
    <col min="16" max="16" width="6.125" style="803" bestFit="1" customWidth="1"/>
    <col min="17" max="17" width="10" style="803" bestFit="1" customWidth="1"/>
    <col min="18" max="18" width="10.125" style="803" customWidth="1"/>
    <col min="19" max="19" width="8.125" style="803" customWidth="1"/>
    <col min="20" max="20" width="9.625" style="803" customWidth="1"/>
    <col min="21" max="21" width="14" style="803" bestFit="1" customWidth="1"/>
    <col min="22" max="22" width="6.75" style="803" bestFit="1" customWidth="1"/>
    <col min="23" max="23" width="12.125" style="803" customWidth="1"/>
    <col min="24" max="24" width="14.875" style="803" bestFit="1" customWidth="1"/>
    <col min="25" max="25" width="10.875" style="803" bestFit="1" customWidth="1"/>
    <col min="26" max="26" width="11.625" style="803" bestFit="1" customWidth="1"/>
    <col min="27" max="28" width="13.375" style="803" bestFit="1" customWidth="1"/>
    <col min="29" max="37" width="8" style="803" customWidth="1"/>
    <col min="38" max="38" width="12.375" style="803" bestFit="1" customWidth="1"/>
    <col min="39" max="39" width="9.125" style="803" bestFit="1" customWidth="1"/>
    <col min="40" max="40" width="28.5" style="803" bestFit="1" customWidth="1"/>
    <col min="41" max="41" width="25.125" style="803" bestFit="1" customWidth="1"/>
    <col min="42" max="42" width="10" style="803" bestFit="1" customWidth="1"/>
    <col min="43" max="43" width="9.125" style="803" bestFit="1" customWidth="1"/>
    <col min="44" max="44" width="9.375" style="803" bestFit="1" customWidth="1"/>
    <col min="45" max="256" width="9" style="803"/>
    <col min="257" max="257" width="4.875" style="803" bestFit="1" customWidth="1"/>
    <col min="258" max="258" width="10.125" style="803" bestFit="1" customWidth="1"/>
    <col min="259" max="259" width="56.375" style="803" bestFit="1" customWidth="1"/>
    <col min="260" max="260" width="5" style="803" customWidth="1"/>
    <col min="261" max="261" width="8.125" style="803" bestFit="1" customWidth="1"/>
    <col min="262" max="262" width="12.125" style="803" bestFit="1" customWidth="1"/>
    <col min="263" max="263" width="15.75" style="803" bestFit="1" customWidth="1"/>
    <col min="264" max="264" width="13.5" style="803" bestFit="1" customWidth="1"/>
    <col min="265" max="265" width="12.5" style="803" bestFit="1" customWidth="1"/>
    <col min="266" max="266" width="15" style="803" bestFit="1" customWidth="1"/>
    <col min="267" max="267" width="16.125" style="803" bestFit="1" customWidth="1"/>
    <col min="268" max="268" width="9.125" style="803" customWidth="1"/>
    <col min="269" max="269" width="13.5" style="803" customWidth="1"/>
    <col min="270" max="270" width="11.5" style="803" customWidth="1"/>
    <col min="271" max="271" width="11.875" style="803" bestFit="1" customWidth="1"/>
    <col min="272" max="272" width="8.125" style="803" customWidth="1"/>
    <col min="273" max="273" width="11" style="803" customWidth="1"/>
    <col min="274" max="274" width="20.125" style="803" customWidth="1"/>
    <col min="275" max="275" width="14.75" style="803" customWidth="1"/>
    <col min="276" max="276" width="16" style="803" bestFit="1" customWidth="1"/>
    <col min="277" max="277" width="19.75" style="803" bestFit="1" customWidth="1"/>
    <col min="278" max="278" width="7.625" style="803" bestFit="1" customWidth="1"/>
    <col min="279" max="279" width="12.125" style="803" customWidth="1"/>
    <col min="280" max="280" width="12.375" style="803" bestFit="1" customWidth="1"/>
    <col min="281" max="281" width="8.125" style="803" bestFit="1" customWidth="1"/>
    <col min="282" max="282" width="11.625" style="803" bestFit="1" customWidth="1"/>
    <col min="283" max="284" width="13.375" style="803" bestFit="1" customWidth="1"/>
    <col min="285" max="293" width="8" style="803" customWidth="1"/>
    <col min="294" max="294" width="12.375" style="803" bestFit="1" customWidth="1"/>
    <col min="295" max="295" width="9.125" style="803" bestFit="1" customWidth="1"/>
    <col min="296" max="296" width="28.5" style="803" bestFit="1" customWidth="1"/>
    <col min="297" max="297" width="25.125" style="803" bestFit="1" customWidth="1"/>
    <col min="298" max="298" width="10" style="803" bestFit="1" customWidth="1"/>
    <col min="299" max="299" width="9.125" style="803" bestFit="1" customWidth="1"/>
    <col min="300" max="300" width="9.375" style="803" bestFit="1" customWidth="1"/>
    <col min="301" max="512" width="9" style="803"/>
    <col min="513" max="513" width="4.875" style="803" bestFit="1" customWidth="1"/>
    <col min="514" max="514" width="10.125" style="803" bestFit="1" customWidth="1"/>
    <col min="515" max="515" width="56.375" style="803" bestFit="1" customWidth="1"/>
    <col min="516" max="516" width="5" style="803" customWidth="1"/>
    <col min="517" max="517" width="8.125" style="803" bestFit="1" customWidth="1"/>
    <col min="518" max="518" width="12.125" style="803" bestFit="1" customWidth="1"/>
    <col min="519" max="519" width="15.75" style="803" bestFit="1" customWidth="1"/>
    <col min="520" max="520" width="13.5" style="803" bestFit="1" customWidth="1"/>
    <col min="521" max="521" width="12.5" style="803" bestFit="1" customWidth="1"/>
    <col min="522" max="522" width="15" style="803" bestFit="1" customWidth="1"/>
    <col min="523" max="523" width="16.125" style="803" bestFit="1" customWidth="1"/>
    <col min="524" max="524" width="9.125" style="803" customWidth="1"/>
    <col min="525" max="525" width="13.5" style="803" customWidth="1"/>
    <col min="526" max="526" width="11.5" style="803" customWidth="1"/>
    <col min="527" max="527" width="11.875" style="803" bestFit="1" customWidth="1"/>
    <col min="528" max="528" width="8.125" style="803" customWidth="1"/>
    <col min="529" max="529" width="11" style="803" customWidth="1"/>
    <col min="530" max="530" width="20.125" style="803" customWidth="1"/>
    <col min="531" max="531" width="14.75" style="803" customWidth="1"/>
    <col min="532" max="532" width="16" style="803" bestFit="1" customWidth="1"/>
    <col min="533" max="533" width="19.75" style="803" bestFit="1" customWidth="1"/>
    <col min="534" max="534" width="7.625" style="803" bestFit="1" customWidth="1"/>
    <col min="535" max="535" width="12.125" style="803" customWidth="1"/>
    <col min="536" max="536" width="12.375" style="803" bestFit="1" customWidth="1"/>
    <col min="537" max="537" width="8.125" style="803" bestFit="1" customWidth="1"/>
    <col min="538" max="538" width="11.625" style="803" bestFit="1" customWidth="1"/>
    <col min="539" max="540" width="13.375" style="803" bestFit="1" customWidth="1"/>
    <col min="541" max="549" width="8" style="803" customWidth="1"/>
    <col min="550" max="550" width="12.375" style="803" bestFit="1" customWidth="1"/>
    <col min="551" max="551" width="9.125" style="803" bestFit="1" customWidth="1"/>
    <col min="552" max="552" width="28.5" style="803" bestFit="1" customWidth="1"/>
    <col min="553" max="553" width="25.125" style="803" bestFit="1" customWidth="1"/>
    <col min="554" max="554" width="10" style="803" bestFit="1" customWidth="1"/>
    <col min="555" max="555" width="9.125" style="803" bestFit="1" customWidth="1"/>
    <col min="556" max="556" width="9.375" style="803" bestFit="1" customWidth="1"/>
    <col min="557" max="768" width="9" style="803"/>
    <col min="769" max="769" width="4.875" style="803" bestFit="1" customWidth="1"/>
    <col min="770" max="770" width="10.125" style="803" bestFit="1" customWidth="1"/>
    <col min="771" max="771" width="56.375" style="803" bestFit="1" customWidth="1"/>
    <col min="772" max="772" width="5" style="803" customWidth="1"/>
    <col min="773" max="773" width="8.125" style="803" bestFit="1" customWidth="1"/>
    <col min="774" max="774" width="12.125" style="803" bestFit="1" customWidth="1"/>
    <col min="775" max="775" width="15.75" style="803" bestFit="1" customWidth="1"/>
    <col min="776" max="776" width="13.5" style="803" bestFit="1" customWidth="1"/>
    <col min="777" max="777" width="12.5" style="803" bestFit="1" customWidth="1"/>
    <col min="778" max="778" width="15" style="803" bestFit="1" customWidth="1"/>
    <col min="779" max="779" width="16.125" style="803" bestFit="1" customWidth="1"/>
    <col min="780" max="780" width="9.125" style="803" customWidth="1"/>
    <col min="781" max="781" width="13.5" style="803" customWidth="1"/>
    <col min="782" max="782" width="11.5" style="803" customWidth="1"/>
    <col min="783" max="783" width="11.875" style="803" bestFit="1" customWidth="1"/>
    <col min="784" max="784" width="8.125" style="803" customWidth="1"/>
    <col min="785" max="785" width="11" style="803" customWidth="1"/>
    <col min="786" max="786" width="20.125" style="803" customWidth="1"/>
    <col min="787" max="787" width="14.75" style="803" customWidth="1"/>
    <col min="788" max="788" width="16" style="803" bestFit="1" customWidth="1"/>
    <col min="789" max="789" width="19.75" style="803" bestFit="1" customWidth="1"/>
    <col min="790" max="790" width="7.625" style="803" bestFit="1" customWidth="1"/>
    <col min="791" max="791" width="12.125" style="803" customWidth="1"/>
    <col min="792" max="792" width="12.375" style="803" bestFit="1" customWidth="1"/>
    <col min="793" max="793" width="8.125" style="803" bestFit="1" customWidth="1"/>
    <col min="794" max="794" width="11.625" style="803" bestFit="1" customWidth="1"/>
    <col min="795" max="796" width="13.375" style="803" bestFit="1" customWidth="1"/>
    <col min="797" max="805" width="8" style="803" customWidth="1"/>
    <col min="806" max="806" width="12.375" style="803" bestFit="1" customWidth="1"/>
    <col min="807" max="807" width="9.125" style="803" bestFit="1" customWidth="1"/>
    <col min="808" max="808" width="28.5" style="803" bestFit="1" customWidth="1"/>
    <col min="809" max="809" width="25.125" style="803" bestFit="1" customWidth="1"/>
    <col min="810" max="810" width="10" style="803" bestFit="1" customWidth="1"/>
    <col min="811" max="811" width="9.125" style="803" bestFit="1" customWidth="1"/>
    <col min="812" max="812" width="9.375" style="803" bestFit="1" customWidth="1"/>
    <col min="813" max="1024" width="9" style="803"/>
    <col min="1025" max="1025" width="4.875" style="803" bestFit="1" customWidth="1"/>
    <col min="1026" max="1026" width="10.125" style="803" bestFit="1" customWidth="1"/>
    <col min="1027" max="1027" width="56.375" style="803" bestFit="1" customWidth="1"/>
    <col min="1028" max="1028" width="5" style="803" customWidth="1"/>
    <col min="1029" max="1029" width="8.125" style="803" bestFit="1" customWidth="1"/>
    <col min="1030" max="1030" width="12.125" style="803" bestFit="1" customWidth="1"/>
    <col min="1031" max="1031" width="15.75" style="803" bestFit="1" customWidth="1"/>
    <col min="1032" max="1032" width="13.5" style="803" bestFit="1" customWidth="1"/>
    <col min="1033" max="1033" width="12.5" style="803" bestFit="1" customWidth="1"/>
    <col min="1034" max="1034" width="15" style="803" bestFit="1" customWidth="1"/>
    <col min="1035" max="1035" width="16.125" style="803" bestFit="1" customWidth="1"/>
    <col min="1036" max="1036" width="9.125" style="803" customWidth="1"/>
    <col min="1037" max="1037" width="13.5" style="803" customWidth="1"/>
    <col min="1038" max="1038" width="11.5" style="803" customWidth="1"/>
    <col min="1039" max="1039" width="11.875" style="803" bestFit="1" customWidth="1"/>
    <col min="1040" max="1040" width="8.125" style="803" customWidth="1"/>
    <col min="1041" max="1041" width="11" style="803" customWidth="1"/>
    <col min="1042" max="1042" width="20.125" style="803" customWidth="1"/>
    <col min="1043" max="1043" width="14.75" style="803" customWidth="1"/>
    <col min="1044" max="1044" width="16" style="803" bestFit="1" customWidth="1"/>
    <col min="1045" max="1045" width="19.75" style="803" bestFit="1" customWidth="1"/>
    <col min="1046" max="1046" width="7.625" style="803" bestFit="1" customWidth="1"/>
    <col min="1047" max="1047" width="12.125" style="803" customWidth="1"/>
    <col min="1048" max="1048" width="12.375" style="803" bestFit="1" customWidth="1"/>
    <col min="1049" max="1049" width="8.125" style="803" bestFit="1" customWidth="1"/>
    <col min="1050" max="1050" width="11.625" style="803" bestFit="1" customWidth="1"/>
    <col min="1051" max="1052" width="13.375" style="803" bestFit="1" customWidth="1"/>
    <col min="1053" max="1061" width="8" style="803" customWidth="1"/>
    <col min="1062" max="1062" width="12.375" style="803" bestFit="1" customWidth="1"/>
    <col min="1063" max="1063" width="9.125" style="803" bestFit="1" customWidth="1"/>
    <col min="1064" max="1064" width="28.5" style="803" bestFit="1" customWidth="1"/>
    <col min="1065" max="1065" width="25.125" style="803" bestFit="1" customWidth="1"/>
    <col min="1066" max="1066" width="10" style="803" bestFit="1" customWidth="1"/>
    <col min="1067" max="1067" width="9.125" style="803" bestFit="1" customWidth="1"/>
    <col min="1068" max="1068" width="9.375" style="803" bestFit="1" customWidth="1"/>
    <col min="1069" max="1280" width="9" style="803"/>
    <col min="1281" max="1281" width="4.875" style="803" bestFit="1" customWidth="1"/>
    <col min="1282" max="1282" width="10.125" style="803" bestFit="1" customWidth="1"/>
    <col min="1283" max="1283" width="56.375" style="803" bestFit="1" customWidth="1"/>
    <col min="1284" max="1284" width="5" style="803" customWidth="1"/>
    <col min="1285" max="1285" width="8.125" style="803" bestFit="1" customWidth="1"/>
    <col min="1286" max="1286" width="12.125" style="803" bestFit="1" customWidth="1"/>
    <col min="1287" max="1287" width="15.75" style="803" bestFit="1" customWidth="1"/>
    <col min="1288" max="1288" width="13.5" style="803" bestFit="1" customWidth="1"/>
    <col min="1289" max="1289" width="12.5" style="803" bestFit="1" customWidth="1"/>
    <col min="1290" max="1290" width="15" style="803" bestFit="1" customWidth="1"/>
    <col min="1291" max="1291" width="16.125" style="803" bestFit="1" customWidth="1"/>
    <col min="1292" max="1292" width="9.125" style="803" customWidth="1"/>
    <col min="1293" max="1293" width="13.5" style="803" customWidth="1"/>
    <col min="1294" max="1294" width="11.5" style="803" customWidth="1"/>
    <col min="1295" max="1295" width="11.875" style="803" bestFit="1" customWidth="1"/>
    <col min="1296" max="1296" width="8.125" style="803" customWidth="1"/>
    <col min="1297" max="1297" width="11" style="803" customWidth="1"/>
    <col min="1298" max="1298" width="20.125" style="803" customWidth="1"/>
    <col min="1299" max="1299" width="14.75" style="803" customWidth="1"/>
    <col min="1300" max="1300" width="16" style="803" bestFit="1" customWidth="1"/>
    <col min="1301" max="1301" width="19.75" style="803" bestFit="1" customWidth="1"/>
    <col min="1302" max="1302" width="7.625" style="803" bestFit="1" customWidth="1"/>
    <col min="1303" max="1303" width="12.125" style="803" customWidth="1"/>
    <col min="1304" max="1304" width="12.375" style="803" bestFit="1" customWidth="1"/>
    <col min="1305" max="1305" width="8.125" style="803" bestFit="1" customWidth="1"/>
    <col min="1306" max="1306" width="11.625" style="803" bestFit="1" customWidth="1"/>
    <col min="1307" max="1308" width="13.375" style="803" bestFit="1" customWidth="1"/>
    <col min="1309" max="1317" width="8" style="803" customWidth="1"/>
    <col min="1318" max="1318" width="12.375" style="803" bestFit="1" customWidth="1"/>
    <col min="1319" max="1319" width="9.125" style="803" bestFit="1" customWidth="1"/>
    <col min="1320" max="1320" width="28.5" style="803" bestFit="1" customWidth="1"/>
    <col min="1321" max="1321" width="25.125" style="803" bestFit="1" customWidth="1"/>
    <col min="1322" max="1322" width="10" style="803" bestFit="1" customWidth="1"/>
    <col min="1323" max="1323" width="9.125" style="803" bestFit="1" customWidth="1"/>
    <col min="1324" max="1324" width="9.375" style="803" bestFit="1" customWidth="1"/>
    <col min="1325" max="1536" width="9" style="803"/>
    <col min="1537" max="1537" width="4.875" style="803" bestFit="1" customWidth="1"/>
    <col min="1538" max="1538" width="10.125" style="803" bestFit="1" customWidth="1"/>
    <col min="1539" max="1539" width="56.375" style="803" bestFit="1" customWidth="1"/>
    <col min="1540" max="1540" width="5" style="803" customWidth="1"/>
    <col min="1541" max="1541" width="8.125" style="803" bestFit="1" customWidth="1"/>
    <col min="1542" max="1542" width="12.125" style="803" bestFit="1" customWidth="1"/>
    <col min="1543" max="1543" width="15.75" style="803" bestFit="1" customWidth="1"/>
    <col min="1544" max="1544" width="13.5" style="803" bestFit="1" customWidth="1"/>
    <col min="1545" max="1545" width="12.5" style="803" bestFit="1" customWidth="1"/>
    <col min="1546" max="1546" width="15" style="803" bestFit="1" customWidth="1"/>
    <col min="1547" max="1547" width="16.125" style="803" bestFit="1" customWidth="1"/>
    <col min="1548" max="1548" width="9.125" style="803" customWidth="1"/>
    <col min="1549" max="1549" width="13.5" style="803" customWidth="1"/>
    <col min="1550" max="1550" width="11.5" style="803" customWidth="1"/>
    <col min="1551" max="1551" width="11.875" style="803" bestFit="1" customWidth="1"/>
    <col min="1552" max="1552" width="8.125" style="803" customWidth="1"/>
    <col min="1553" max="1553" width="11" style="803" customWidth="1"/>
    <col min="1554" max="1554" width="20.125" style="803" customWidth="1"/>
    <col min="1555" max="1555" width="14.75" style="803" customWidth="1"/>
    <col min="1556" max="1556" width="16" style="803" bestFit="1" customWidth="1"/>
    <col min="1557" max="1557" width="19.75" style="803" bestFit="1" customWidth="1"/>
    <col min="1558" max="1558" width="7.625" style="803" bestFit="1" customWidth="1"/>
    <col min="1559" max="1559" width="12.125" style="803" customWidth="1"/>
    <col min="1560" max="1560" width="12.375" style="803" bestFit="1" customWidth="1"/>
    <col min="1561" max="1561" width="8.125" style="803" bestFit="1" customWidth="1"/>
    <col min="1562" max="1562" width="11.625" style="803" bestFit="1" customWidth="1"/>
    <col min="1563" max="1564" width="13.375" style="803" bestFit="1" customWidth="1"/>
    <col min="1565" max="1573" width="8" style="803" customWidth="1"/>
    <col min="1574" max="1574" width="12.375" style="803" bestFit="1" customWidth="1"/>
    <col min="1575" max="1575" width="9.125" style="803" bestFit="1" customWidth="1"/>
    <col min="1576" max="1576" width="28.5" style="803" bestFit="1" customWidth="1"/>
    <col min="1577" max="1577" width="25.125" style="803" bestFit="1" customWidth="1"/>
    <col min="1578" max="1578" width="10" style="803" bestFit="1" customWidth="1"/>
    <col min="1579" max="1579" width="9.125" style="803" bestFit="1" customWidth="1"/>
    <col min="1580" max="1580" width="9.375" style="803" bestFit="1" customWidth="1"/>
    <col min="1581" max="1792" width="9" style="803"/>
    <col min="1793" max="1793" width="4.875" style="803" bestFit="1" customWidth="1"/>
    <col min="1794" max="1794" width="10.125" style="803" bestFit="1" customWidth="1"/>
    <col min="1795" max="1795" width="56.375" style="803" bestFit="1" customWidth="1"/>
    <col min="1796" max="1796" width="5" style="803" customWidth="1"/>
    <col min="1797" max="1797" width="8.125" style="803" bestFit="1" customWidth="1"/>
    <col min="1798" max="1798" width="12.125" style="803" bestFit="1" customWidth="1"/>
    <col min="1799" max="1799" width="15.75" style="803" bestFit="1" customWidth="1"/>
    <col min="1800" max="1800" width="13.5" style="803" bestFit="1" customWidth="1"/>
    <col min="1801" max="1801" width="12.5" style="803" bestFit="1" customWidth="1"/>
    <col min="1802" max="1802" width="15" style="803" bestFit="1" customWidth="1"/>
    <col min="1803" max="1803" width="16.125" style="803" bestFit="1" customWidth="1"/>
    <col min="1804" max="1804" width="9.125" style="803" customWidth="1"/>
    <col min="1805" max="1805" width="13.5" style="803" customWidth="1"/>
    <col min="1806" max="1806" width="11.5" style="803" customWidth="1"/>
    <col min="1807" max="1807" width="11.875" style="803" bestFit="1" customWidth="1"/>
    <col min="1808" max="1808" width="8.125" style="803" customWidth="1"/>
    <col min="1809" max="1809" width="11" style="803" customWidth="1"/>
    <col min="1810" max="1810" width="20.125" style="803" customWidth="1"/>
    <col min="1811" max="1811" width="14.75" style="803" customWidth="1"/>
    <col min="1812" max="1812" width="16" style="803" bestFit="1" customWidth="1"/>
    <col min="1813" max="1813" width="19.75" style="803" bestFit="1" customWidth="1"/>
    <col min="1814" max="1814" width="7.625" style="803" bestFit="1" customWidth="1"/>
    <col min="1815" max="1815" width="12.125" style="803" customWidth="1"/>
    <col min="1816" max="1816" width="12.375" style="803" bestFit="1" customWidth="1"/>
    <col min="1817" max="1817" width="8.125" style="803" bestFit="1" customWidth="1"/>
    <col min="1818" max="1818" width="11.625" style="803" bestFit="1" customWidth="1"/>
    <col min="1819" max="1820" width="13.375" style="803" bestFit="1" customWidth="1"/>
    <col min="1821" max="1829" width="8" style="803" customWidth="1"/>
    <col min="1830" max="1830" width="12.375" style="803" bestFit="1" customWidth="1"/>
    <col min="1831" max="1831" width="9.125" style="803" bestFit="1" customWidth="1"/>
    <col min="1832" max="1832" width="28.5" style="803" bestFit="1" customWidth="1"/>
    <col min="1833" max="1833" width="25.125" style="803" bestFit="1" customWidth="1"/>
    <col min="1834" max="1834" width="10" style="803" bestFit="1" customWidth="1"/>
    <col min="1835" max="1835" width="9.125" style="803" bestFit="1" customWidth="1"/>
    <col min="1836" max="1836" width="9.375" style="803" bestFit="1" customWidth="1"/>
    <col min="1837" max="2048" width="9" style="803"/>
    <col min="2049" max="2049" width="4.875" style="803" bestFit="1" customWidth="1"/>
    <col min="2050" max="2050" width="10.125" style="803" bestFit="1" customWidth="1"/>
    <col min="2051" max="2051" width="56.375" style="803" bestFit="1" customWidth="1"/>
    <col min="2052" max="2052" width="5" style="803" customWidth="1"/>
    <col min="2053" max="2053" width="8.125" style="803" bestFit="1" customWidth="1"/>
    <col min="2054" max="2054" width="12.125" style="803" bestFit="1" customWidth="1"/>
    <col min="2055" max="2055" width="15.75" style="803" bestFit="1" customWidth="1"/>
    <col min="2056" max="2056" width="13.5" style="803" bestFit="1" customWidth="1"/>
    <col min="2057" max="2057" width="12.5" style="803" bestFit="1" customWidth="1"/>
    <col min="2058" max="2058" width="15" style="803" bestFit="1" customWidth="1"/>
    <col min="2059" max="2059" width="16.125" style="803" bestFit="1" customWidth="1"/>
    <col min="2060" max="2060" width="9.125" style="803" customWidth="1"/>
    <col min="2061" max="2061" width="13.5" style="803" customWidth="1"/>
    <col min="2062" max="2062" width="11.5" style="803" customWidth="1"/>
    <col min="2063" max="2063" width="11.875" style="803" bestFit="1" customWidth="1"/>
    <col min="2064" max="2064" width="8.125" style="803" customWidth="1"/>
    <col min="2065" max="2065" width="11" style="803" customWidth="1"/>
    <col min="2066" max="2066" width="20.125" style="803" customWidth="1"/>
    <col min="2067" max="2067" width="14.75" style="803" customWidth="1"/>
    <col min="2068" max="2068" width="16" style="803" bestFit="1" customWidth="1"/>
    <col min="2069" max="2069" width="19.75" style="803" bestFit="1" customWidth="1"/>
    <col min="2070" max="2070" width="7.625" style="803" bestFit="1" customWidth="1"/>
    <col min="2071" max="2071" width="12.125" style="803" customWidth="1"/>
    <col min="2072" max="2072" width="12.375" style="803" bestFit="1" customWidth="1"/>
    <col min="2073" max="2073" width="8.125" style="803" bestFit="1" customWidth="1"/>
    <col min="2074" max="2074" width="11.625" style="803" bestFit="1" customWidth="1"/>
    <col min="2075" max="2076" width="13.375" style="803" bestFit="1" customWidth="1"/>
    <col min="2077" max="2085" width="8" style="803" customWidth="1"/>
    <col min="2086" max="2086" width="12.375" style="803" bestFit="1" customWidth="1"/>
    <col min="2087" max="2087" width="9.125" style="803" bestFit="1" customWidth="1"/>
    <col min="2088" max="2088" width="28.5" style="803" bestFit="1" customWidth="1"/>
    <col min="2089" max="2089" width="25.125" style="803" bestFit="1" customWidth="1"/>
    <col min="2090" max="2090" width="10" style="803" bestFit="1" customWidth="1"/>
    <col min="2091" max="2091" width="9.125" style="803" bestFit="1" customWidth="1"/>
    <col min="2092" max="2092" width="9.375" style="803" bestFit="1" customWidth="1"/>
    <col min="2093" max="2304" width="9" style="803"/>
    <col min="2305" max="2305" width="4.875" style="803" bestFit="1" customWidth="1"/>
    <col min="2306" max="2306" width="10.125" style="803" bestFit="1" customWidth="1"/>
    <col min="2307" max="2307" width="56.375" style="803" bestFit="1" customWidth="1"/>
    <col min="2308" max="2308" width="5" style="803" customWidth="1"/>
    <col min="2309" max="2309" width="8.125" style="803" bestFit="1" customWidth="1"/>
    <col min="2310" max="2310" width="12.125" style="803" bestFit="1" customWidth="1"/>
    <col min="2311" max="2311" width="15.75" style="803" bestFit="1" customWidth="1"/>
    <col min="2312" max="2312" width="13.5" style="803" bestFit="1" customWidth="1"/>
    <col min="2313" max="2313" width="12.5" style="803" bestFit="1" customWidth="1"/>
    <col min="2314" max="2314" width="15" style="803" bestFit="1" customWidth="1"/>
    <col min="2315" max="2315" width="16.125" style="803" bestFit="1" customWidth="1"/>
    <col min="2316" max="2316" width="9.125" style="803" customWidth="1"/>
    <col min="2317" max="2317" width="13.5" style="803" customWidth="1"/>
    <col min="2318" max="2318" width="11.5" style="803" customWidth="1"/>
    <col min="2319" max="2319" width="11.875" style="803" bestFit="1" customWidth="1"/>
    <col min="2320" max="2320" width="8.125" style="803" customWidth="1"/>
    <col min="2321" max="2321" width="11" style="803" customWidth="1"/>
    <col min="2322" max="2322" width="20.125" style="803" customWidth="1"/>
    <col min="2323" max="2323" width="14.75" style="803" customWidth="1"/>
    <col min="2324" max="2324" width="16" style="803" bestFit="1" customWidth="1"/>
    <col min="2325" max="2325" width="19.75" style="803" bestFit="1" customWidth="1"/>
    <col min="2326" max="2326" width="7.625" style="803" bestFit="1" customWidth="1"/>
    <col min="2327" max="2327" width="12.125" style="803" customWidth="1"/>
    <col min="2328" max="2328" width="12.375" style="803" bestFit="1" customWidth="1"/>
    <col min="2329" max="2329" width="8.125" style="803" bestFit="1" customWidth="1"/>
    <col min="2330" max="2330" width="11.625" style="803" bestFit="1" customWidth="1"/>
    <col min="2331" max="2332" width="13.375" style="803" bestFit="1" customWidth="1"/>
    <col min="2333" max="2341" width="8" style="803" customWidth="1"/>
    <col min="2342" max="2342" width="12.375" style="803" bestFit="1" customWidth="1"/>
    <col min="2343" max="2343" width="9.125" style="803" bestFit="1" customWidth="1"/>
    <col min="2344" max="2344" width="28.5" style="803" bestFit="1" customWidth="1"/>
    <col min="2345" max="2345" width="25.125" style="803" bestFit="1" customWidth="1"/>
    <col min="2346" max="2346" width="10" style="803" bestFit="1" customWidth="1"/>
    <col min="2347" max="2347" width="9.125" style="803" bestFit="1" customWidth="1"/>
    <col min="2348" max="2348" width="9.375" style="803" bestFit="1" customWidth="1"/>
    <col min="2349" max="2560" width="9" style="803"/>
    <col min="2561" max="2561" width="4.875" style="803" bestFit="1" customWidth="1"/>
    <col min="2562" max="2562" width="10.125" style="803" bestFit="1" customWidth="1"/>
    <col min="2563" max="2563" width="56.375" style="803" bestFit="1" customWidth="1"/>
    <col min="2564" max="2564" width="5" style="803" customWidth="1"/>
    <col min="2565" max="2565" width="8.125" style="803" bestFit="1" customWidth="1"/>
    <col min="2566" max="2566" width="12.125" style="803" bestFit="1" customWidth="1"/>
    <col min="2567" max="2567" width="15.75" style="803" bestFit="1" customWidth="1"/>
    <col min="2568" max="2568" width="13.5" style="803" bestFit="1" customWidth="1"/>
    <col min="2569" max="2569" width="12.5" style="803" bestFit="1" customWidth="1"/>
    <col min="2570" max="2570" width="15" style="803" bestFit="1" customWidth="1"/>
    <col min="2571" max="2571" width="16.125" style="803" bestFit="1" customWidth="1"/>
    <col min="2572" max="2572" width="9.125" style="803" customWidth="1"/>
    <col min="2573" max="2573" width="13.5" style="803" customWidth="1"/>
    <col min="2574" max="2574" width="11.5" style="803" customWidth="1"/>
    <col min="2575" max="2575" width="11.875" style="803" bestFit="1" customWidth="1"/>
    <col min="2576" max="2576" width="8.125" style="803" customWidth="1"/>
    <col min="2577" max="2577" width="11" style="803" customWidth="1"/>
    <col min="2578" max="2578" width="20.125" style="803" customWidth="1"/>
    <col min="2579" max="2579" width="14.75" style="803" customWidth="1"/>
    <col min="2580" max="2580" width="16" style="803" bestFit="1" customWidth="1"/>
    <col min="2581" max="2581" width="19.75" style="803" bestFit="1" customWidth="1"/>
    <col min="2582" max="2582" width="7.625" style="803" bestFit="1" customWidth="1"/>
    <col min="2583" max="2583" width="12.125" style="803" customWidth="1"/>
    <col min="2584" max="2584" width="12.375" style="803" bestFit="1" customWidth="1"/>
    <col min="2585" max="2585" width="8.125" style="803" bestFit="1" customWidth="1"/>
    <col min="2586" max="2586" width="11.625" style="803" bestFit="1" customWidth="1"/>
    <col min="2587" max="2588" width="13.375" style="803" bestFit="1" customWidth="1"/>
    <col min="2589" max="2597" width="8" style="803" customWidth="1"/>
    <col min="2598" max="2598" width="12.375" style="803" bestFit="1" customWidth="1"/>
    <col min="2599" max="2599" width="9.125" style="803" bestFit="1" customWidth="1"/>
    <col min="2600" max="2600" width="28.5" style="803" bestFit="1" customWidth="1"/>
    <col min="2601" max="2601" width="25.125" style="803" bestFit="1" customWidth="1"/>
    <col min="2602" max="2602" width="10" style="803" bestFit="1" customWidth="1"/>
    <col min="2603" max="2603" width="9.125" style="803" bestFit="1" customWidth="1"/>
    <col min="2604" max="2604" width="9.375" style="803" bestFit="1" customWidth="1"/>
    <col min="2605" max="2816" width="9" style="803"/>
    <col min="2817" max="2817" width="4.875" style="803" bestFit="1" customWidth="1"/>
    <col min="2818" max="2818" width="10.125" style="803" bestFit="1" customWidth="1"/>
    <col min="2819" max="2819" width="56.375" style="803" bestFit="1" customWidth="1"/>
    <col min="2820" max="2820" width="5" style="803" customWidth="1"/>
    <col min="2821" max="2821" width="8.125" style="803" bestFit="1" customWidth="1"/>
    <col min="2822" max="2822" width="12.125" style="803" bestFit="1" customWidth="1"/>
    <col min="2823" max="2823" width="15.75" style="803" bestFit="1" customWidth="1"/>
    <col min="2824" max="2824" width="13.5" style="803" bestFit="1" customWidth="1"/>
    <col min="2825" max="2825" width="12.5" style="803" bestFit="1" customWidth="1"/>
    <col min="2826" max="2826" width="15" style="803" bestFit="1" customWidth="1"/>
    <col min="2827" max="2827" width="16.125" style="803" bestFit="1" customWidth="1"/>
    <col min="2828" max="2828" width="9.125" style="803" customWidth="1"/>
    <col min="2829" max="2829" width="13.5" style="803" customWidth="1"/>
    <col min="2830" max="2830" width="11.5" style="803" customWidth="1"/>
    <col min="2831" max="2831" width="11.875" style="803" bestFit="1" customWidth="1"/>
    <col min="2832" max="2832" width="8.125" style="803" customWidth="1"/>
    <col min="2833" max="2833" width="11" style="803" customWidth="1"/>
    <col min="2834" max="2834" width="20.125" style="803" customWidth="1"/>
    <col min="2835" max="2835" width="14.75" style="803" customWidth="1"/>
    <col min="2836" max="2836" width="16" style="803" bestFit="1" customWidth="1"/>
    <col min="2837" max="2837" width="19.75" style="803" bestFit="1" customWidth="1"/>
    <col min="2838" max="2838" width="7.625" style="803" bestFit="1" customWidth="1"/>
    <col min="2839" max="2839" width="12.125" style="803" customWidth="1"/>
    <col min="2840" max="2840" width="12.375" style="803" bestFit="1" customWidth="1"/>
    <col min="2841" max="2841" width="8.125" style="803" bestFit="1" customWidth="1"/>
    <col min="2842" max="2842" width="11.625" style="803" bestFit="1" customWidth="1"/>
    <col min="2843" max="2844" width="13.375" style="803" bestFit="1" customWidth="1"/>
    <col min="2845" max="2853" width="8" style="803" customWidth="1"/>
    <col min="2854" max="2854" width="12.375" style="803" bestFit="1" customWidth="1"/>
    <col min="2855" max="2855" width="9.125" style="803" bestFit="1" customWidth="1"/>
    <col min="2856" max="2856" width="28.5" style="803" bestFit="1" customWidth="1"/>
    <col min="2857" max="2857" width="25.125" style="803" bestFit="1" customWidth="1"/>
    <col min="2858" max="2858" width="10" style="803" bestFit="1" customWidth="1"/>
    <col min="2859" max="2859" width="9.125" style="803" bestFit="1" customWidth="1"/>
    <col min="2860" max="2860" width="9.375" style="803" bestFit="1" customWidth="1"/>
    <col min="2861" max="3072" width="9" style="803"/>
    <col min="3073" max="3073" width="4.875" style="803" bestFit="1" customWidth="1"/>
    <col min="3074" max="3074" width="10.125" style="803" bestFit="1" customWidth="1"/>
    <col min="3075" max="3075" width="56.375" style="803" bestFit="1" customWidth="1"/>
    <col min="3076" max="3076" width="5" style="803" customWidth="1"/>
    <col min="3077" max="3077" width="8.125" style="803" bestFit="1" customWidth="1"/>
    <col min="3078" max="3078" width="12.125" style="803" bestFit="1" customWidth="1"/>
    <col min="3079" max="3079" width="15.75" style="803" bestFit="1" customWidth="1"/>
    <col min="3080" max="3080" width="13.5" style="803" bestFit="1" customWidth="1"/>
    <col min="3081" max="3081" width="12.5" style="803" bestFit="1" customWidth="1"/>
    <col min="3082" max="3082" width="15" style="803" bestFit="1" customWidth="1"/>
    <col min="3083" max="3083" width="16.125" style="803" bestFit="1" customWidth="1"/>
    <col min="3084" max="3084" width="9.125" style="803" customWidth="1"/>
    <col min="3085" max="3085" width="13.5" style="803" customWidth="1"/>
    <col min="3086" max="3086" width="11.5" style="803" customWidth="1"/>
    <col min="3087" max="3087" width="11.875" style="803" bestFit="1" customWidth="1"/>
    <col min="3088" max="3088" width="8.125" style="803" customWidth="1"/>
    <col min="3089" max="3089" width="11" style="803" customWidth="1"/>
    <col min="3090" max="3090" width="20.125" style="803" customWidth="1"/>
    <col min="3091" max="3091" width="14.75" style="803" customWidth="1"/>
    <col min="3092" max="3092" width="16" style="803" bestFit="1" customWidth="1"/>
    <col min="3093" max="3093" width="19.75" style="803" bestFit="1" customWidth="1"/>
    <col min="3094" max="3094" width="7.625" style="803" bestFit="1" customWidth="1"/>
    <col min="3095" max="3095" width="12.125" style="803" customWidth="1"/>
    <col min="3096" max="3096" width="12.375" style="803" bestFit="1" customWidth="1"/>
    <col min="3097" max="3097" width="8.125" style="803" bestFit="1" customWidth="1"/>
    <col min="3098" max="3098" width="11.625" style="803" bestFit="1" customWidth="1"/>
    <col min="3099" max="3100" width="13.375" style="803" bestFit="1" customWidth="1"/>
    <col min="3101" max="3109" width="8" style="803" customWidth="1"/>
    <col min="3110" max="3110" width="12.375" style="803" bestFit="1" customWidth="1"/>
    <col min="3111" max="3111" width="9.125" style="803" bestFit="1" customWidth="1"/>
    <col min="3112" max="3112" width="28.5" style="803" bestFit="1" customWidth="1"/>
    <col min="3113" max="3113" width="25.125" style="803" bestFit="1" customWidth="1"/>
    <col min="3114" max="3114" width="10" style="803" bestFit="1" customWidth="1"/>
    <col min="3115" max="3115" width="9.125" style="803" bestFit="1" customWidth="1"/>
    <col min="3116" max="3116" width="9.375" style="803" bestFit="1" customWidth="1"/>
    <col min="3117" max="3328" width="9" style="803"/>
    <col min="3329" max="3329" width="4.875" style="803" bestFit="1" customWidth="1"/>
    <col min="3330" max="3330" width="10.125" style="803" bestFit="1" customWidth="1"/>
    <col min="3331" max="3331" width="56.375" style="803" bestFit="1" customWidth="1"/>
    <col min="3332" max="3332" width="5" style="803" customWidth="1"/>
    <col min="3333" max="3333" width="8.125" style="803" bestFit="1" customWidth="1"/>
    <col min="3334" max="3334" width="12.125" style="803" bestFit="1" customWidth="1"/>
    <col min="3335" max="3335" width="15.75" style="803" bestFit="1" customWidth="1"/>
    <col min="3336" max="3336" width="13.5" style="803" bestFit="1" customWidth="1"/>
    <col min="3337" max="3337" width="12.5" style="803" bestFit="1" customWidth="1"/>
    <col min="3338" max="3338" width="15" style="803" bestFit="1" customWidth="1"/>
    <col min="3339" max="3339" width="16.125" style="803" bestFit="1" customWidth="1"/>
    <col min="3340" max="3340" width="9.125" style="803" customWidth="1"/>
    <col min="3341" max="3341" width="13.5" style="803" customWidth="1"/>
    <col min="3342" max="3342" width="11.5" style="803" customWidth="1"/>
    <col min="3343" max="3343" width="11.875" style="803" bestFit="1" customWidth="1"/>
    <col min="3344" max="3344" width="8.125" style="803" customWidth="1"/>
    <col min="3345" max="3345" width="11" style="803" customWidth="1"/>
    <col min="3346" max="3346" width="20.125" style="803" customWidth="1"/>
    <col min="3347" max="3347" width="14.75" style="803" customWidth="1"/>
    <col min="3348" max="3348" width="16" style="803" bestFit="1" customWidth="1"/>
    <col min="3349" max="3349" width="19.75" style="803" bestFit="1" customWidth="1"/>
    <col min="3350" max="3350" width="7.625" style="803" bestFit="1" customWidth="1"/>
    <col min="3351" max="3351" width="12.125" style="803" customWidth="1"/>
    <col min="3352" max="3352" width="12.375" style="803" bestFit="1" customWidth="1"/>
    <col min="3353" max="3353" width="8.125" style="803" bestFit="1" customWidth="1"/>
    <col min="3354" max="3354" width="11.625" style="803" bestFit="1" customWidth="1"/>
    <col min="3355" max="3356" width="13.375" style="803" bestFit="1" customWidth="1"/>
    <col min="3357" max="3365" width="8" style="803" customWidth="1"/>
    <col min="3366" max="3366" width="12.375" style="803" bestFit="1" customWidth="1"/>
    <col min="3367" max="3367" width="9.125" style="803" bestFit="1" customWidth="1"/>
    <col min="3368" max="3368" width="28.5" style="803" bestFit="1" customWidth="1"/>
    <col min="3369" max="3369" width="25.125" style="803" bestFit="1" customWidth="1"/>
    <col min="3370" max="3370" width="10" style="803" bestFit="1" customWidth="1"/>
    <col min="3371" max="3371" width="9.125" style="803" bestFit="1" customWidth="1"/>
    <col min="3372" max="3372" width="9.375" style="803" bestFit="1" customWidth="1"/>
    <col min="3373" max="3584" width="9" style="803"/>
    <col min="3585" max="3585" width="4.875" style="803" bestFit="1" customWidth="1"/>
    <col min="3586" max="3586" width="10.125" style="803" bestFit="1" customWidth="1"/>
    <col min="3587" max="3587" width="56.375" style="803" bestFit="1" customWidth="1"/>
    <col min="3588" max="3588" width="5" style="803" customWidth="1"/>
    <col min="3589" max="3589" width="8.125" style="803" bestFit="1" customWidth="1"/>
    <col min="3590" max="3590" width="12.125" style="803" bestFit="1" customWidth="1"/>
    <col min="3591" max="3591" width="15.75" style="803" bestFit="1" customWidth="1"/>
    <col min="3592" max="3592" width="13.5" style="803" bestFit="1" customWidth="1"/>
    <col min="3593" max="3593" width="12.5" style="803" bestFit="1" customWidth="1"/>
    <col min="3594" max="3594" width="15" style="803" bestFit="1" customWidth="1"/>
    <col min="3595" max="3595" width="16.125" style="803" bestFit="1" customWidth="1"/>
    <col min="3596" max="3596" width="9.125" style="803" customWidth="1"/>
    <col min="3597" max="3597" width="13.5" style="803" customWidth="1"/>
    <col min="3598" max="3598" width="11.5" style="803" customWidth="1"/>
    <col min="3599" max="3599" width="11.875" style="803" bestFit="1" customWidth="1"/>
    <col min="3600" max="3600" width="8.125" style="803" customWidth="1"/>
    <col min="3601" max="3601" width="11" style="803" customWidth="1"/>
    <col min="3602" max="3602" width="20.125" style="803" customWidth="1"/>
    <col min="3603" max="3603" width="14.75" style="803" customWidth="1"/>
    <col min="3604" max="3604" width="16" style="803" bestFit="1" customWidth="1"/>
    <col min="3605" max="3605" width="19.75" style="803" bestFit="1" customWidth="1"/>
    <col min="3606" max="3606" width="7.625" style="803" bestFit="1" customWidth="1"/>
    <col min="3607" max="3607" width="12.125" style="803" customWidth="1"/>
    <col min="3608" max="3608" width="12.375" style="803" bestFit="1" customWidth="1"/>
    <col min="3609" max="3609" width="8.125" style="803" bestFit="1" customWidth="1"/>
    <col min="3610" max="3610" width="11.625" style="803" bestFit="1" customWidth="1"/>
    <col min="3611" max="3612" width="13.375" style="803" bestFit="1" customWidth="1"/>
    <col min="3613" max="3621" width="8" style="803" customWidth="1"/>
    <col min="3622" max="3622" width="12.375" style="803" bestFit="1" customWidth="1"/>
    <col min="3623" max="3623" width="9.125" style="803" bestFit="1" customWidth="1"/>
    <col min="3624" max="3624" width="28.5" style="803" bestFit="1" customWidth="1"/>
    <col min="3625" max="3625" width="25.125" style="803" bestFit="1" customWidth="1"/>
    <col min="3626" max="3626" width="10" style="803" bestFit="1" customWidth="1"/>
    <col min="3627" max="3627" width="9.125" style="803" bestFit="1" customWidth="1"/>
    <col min="3628" max="3628" width="9.375" style="803" bestFit="1" customWidth="1"/>
    <col min="3629" max="3840" width="9" style="803"/>
    <col min="3841" max="3841" width="4.875" style="803" bestFit="1" customWidth="1"/>
    <col min="3842" max="3842" width="10.125" style="803" bestFit="1" customWidth="1"/>
    <col min="3843" max="3843" width="56.375" style="803" bestFit="1" customWidth="1"/>
    <col min="3844" max="3844" width="5" style="803" customWidth="1"/>
    <col min="3845" max="3845" width="8.125" style="803" bestFit="1" customWidth="1"/>
    <col min="3846" max="3846" width="12.125" style="803" bestFit="1" customWidth="1"/>
    <col min="3847" max="3847" width="15.75" style="803" bestFit="1" customWidth="1"/>
    <col min="3848" max="3848" width="13.5" style="803" bestFit="1" customWidth="1"/>
    <col min="3849" max="3849" width="12.5" style="803" bestFit="1" customWidth="1"/>
    <col min="3850" max="3850" width="15" style="803" bestFit="1" customWidth="1"/>
    <col min="3851" max="3851" width="16.125" style="803" bestFit="1" customWidth="1"/>
    <col min="3852" max="3852" width="9.125" style="803" customWidth="1"/>
    <col min="3853" max="3853" width="13.5" style="803" customWidth="1"/>
    <col min="3854" max="3854" width="11.5" style="803" customWidth="1"/>
    <col min="3855" max="3855" width="11.875" style="803" bestFit="1" customWidth="1"/>
    <col min="3856" max="3856" width="8.125" style="803" customWidth="1"/>
    <col min="3857" max="3857" width="11" style="803" customWidth="1"/>
    <col min="3858" max="3858" width="20.125" style="803" customWidth="1"/>
    <col min="3859" max="3859" width="14.75" style="803" customWidth="1"/>
    <col min="3860" max="3860" width="16" style="803" bestFit="1" customWidth="1"/>
    <col min="3861" max="3861" width="19.75" style="803" bestFit="1" customWidth="1"/>
    <col min="3862" max="3862" width="7.625" style="803" bestFit="1" customWidth="1"/>
    <col min="3863" max="3863" width="12.125" style="803" customWidth="1"/>
    <col min="3864" max="3864" width="12.375" style="803" bestFit="1" customWidth="1"/>
    <col min="3865" max="3865" width="8.125" style="803" bestFit="1" customWidth="1"/>
    <col min="3866" max="3866" width="11.625" style="803" bestFit="1" customWidth="1"/>
    <col min="3867" max="3868" width="13.375" style="803" bestFit="1" customWidth="1"/>
    <col min="3869" max="3877" width="8" style="803" customWidth="1"/>
    <col min="3878" max="3878" width="12.375" style="803" bestFit="1" customWidth="1"/>
    <col min="3879" max="3879" width="9.125" style="803" bestFit="1" customWidth="1"/>
    <col min="3880" max="3880" width="28.5" style="803" bestFit="1" customWidth="1"/>
    <col min="3881" max="3881" width="25.125" style="803" bestFit="1" customWidth="1"/>
    <col min="3882" max="3882" width="10" style="803" bestFit="1" customWidth="1"/>
    <col min="3883" max="3883" width="9.125" style="803" bestFit="1" customWidth="1"/>
    <col min="3884" max="3884" width="9.375" style="803" bestFit="1" customWidth="1"/>
    <col min="3885" max="4096" width="9" style="803"/>
    <col min="4097" max="4097" width="4.875" style="803" bestFit="1" customWidth="1"/>
    <col min="4098" max="4098" width="10.125" style="803" bestFit="1" customWidth="1"/>
    <col min="4099" max="4099" width="56.375" style="803" bestFit="1" customWidth="1"/>
    <col min="4100" max="4100" width="5" style="803" customWidth="1"/>
    <col min="4101" max="4101" width="8.125" style="803" bestFit="1" customWidth="1"/>
    <col min="4102" max="4102" width="12.125" style="803" bestFit="1" customWidth="1"/>
    <col min="4103" max="4103" width="15.75" style="803" bestFit="1" customWidth="1"/>
    <col min="4104" max="4104" width="13.5" style="803" bestFit="1" customWidth="1"/>
    <col min="4105" max="4105" width="12.5" style="803" bestFit="1" customWidth="1"/>
    <col min="4106" max="4106" width="15" style="803" bestFit="1" customWidth="1"/>
    <col min="4107" max="4107" width="16.125" style="803" bestFit="1" customWidth="1"/>
    <col min="4108" max="4108" width="9.125" style="803" customWidth="1"/>
    <col min="4109" max="4109" width="13.5" style="803" customWidth="1"/>
    <col min="4110" max="4110" width="11.5" style="803" customWidth="1"/>
    <col min="4111" max="4111" width="11.875" style="803" bestFit="1" customWidth="1"/>
    <col min="4112" max="4112" width="8.125" style="803" customWidth="1"/>
    <col min="4113" max="4113" width="11" style="803" customWidth="1"/>
    <col min="4114" max="4114" width="20.125" style="803" customWidth="1"/>
    <col min="4115" max="4115" width="14.75" style="803" customWidth="1"/>
    <col min="4116" max="4116" width="16" style="803" bestFit="1" customWidth="1"/>
    <col min="4117" max="4117" width="19.75" style="803" bestFit="1" customWidth="1"/>
    <col min="4118" max="4118" width="7.625" style="803" bestFit="1" customWidth="1"/>
    <col min="4119" max="4119" width="12.125" style="803" customWidth="1"/>
    <col min="4120" max="4120" width="12.375" style="803" bestFit="1" customWidth="1"/>
    <col min="4121" max="4121" width="8.125" style="803" bestFit="1" customWidth="1"/>
    <col min="4122" max="4122" width="11.625" style="803" bestFit="1" customWidth="1"/>
    <col min="4123" max="4124" width="13.375" style="803" bestFit="1" customWidth="1"/>
    <col min="4125" max="4133" width="8" style="803" customWidth="1"/>
    <col min="4134" max="4134" width="12.375" style="803" bestFit="1" customWidth="1"/>
    <col min="4135" max="4135" width="9.125" style="803" bestFit="1" customWidth="1"/>
    <col min="4136" max="4136" width="28.5" style="803" bestFit="1" customWidth="1"/>
    <col min="4137" max="4137" width="25.125" style="803" bestFit="1" customWidth="1"/>
    <col min="4138" max="4138" width="10" style="803" bestFit="1" customWidth="1"/>
    <col min="4139" max="4139" width="9.125" style="803" bestFit="1" customWidth="1"/>
    <col min="4140" max="4140" width="9.375" style="803" bestFit="1" customWidth="1"/>
    <col min="4141" max="4352" width="9" style="803"/>
    <col min="4353" max="4353" width="4.875" style="803" bestFit="1" customWidth="1"/>
    <col min="4354" max="4354" width="10.125" style="803" bestFit="1" customWidth="1"/>
    <col min="4355" max="4355" width="56.375" style="803" bestFit="1" customWidth="1"/>
    <col min="4356" max="4356" width="5" style="803" customWidth="1"/>
    <col min="4357" max="4357" width="8.125" style="803" bestFit="1" customWidth="1"/>
    <col min="4358" max="4358" width="12.125" style="803" bestFit="1" customWidth="1"/>
    <col min="4359" max="4359" width="15.75" style="803" bestFit="1" customWidth="1"/>
    <col min="4360" max="4360" width="13.5" style="803" bestFit="1" customWidth="1"/>
    <col min="4361" max="4361" width="12.5" style="803" bestFit="1" customWidth="1"/>
    <col min="4362" max="4362" width="15" style="803" bestFit="1" customWidth="1"/>
    <col min="4363" max="4363" width="16.125" style="803" bestFit="1" customWidth="1"/>
    <col min="4364" max="4364" width="9.125" style="803" customWidth="1"/>
    <col min="4365" max="4365" width="13.5" style="803" customWidth="1"/>
    <col min="4366" max="4366" width="11.5" style="803" customWidth="1"/>
    <col min="4367" max="4367" width="11.875" style="803" bestFit="1" customWidth="1"/>
    <col min="4368" max="4368" width="8.125" style="803" customWidth="1"/>
    <col min="4369" max="4369" width="11" style="803" customWidth="1"/>
    <col min="4370" max="4370" width="20.125" style="803" customWidth="1"/>
    <col min="4371" max="4371" width="14.75" style="803" customWidth="1"/>
    <col min="4372" max="4372" width="16" style="803" bestFit="1" customWidth="1"/>
    <col min="4373" max="4373" width="19.75" style="803" bestFit="1" customWidth="1"/>
    <col min="4374" max="4374" width="7.625" style="803" bestFit="1" customWidth="1"/>
    <col min="4375" max="4375" width="12.125" style="803" customWidth="1"/>
    <col min="4376" max="4376" width="12.375" style="803" bestFit="1" customWidth="1"/>
    <col min="4377" max="4377" width="8.125" style="803" bestFit="1" customWidth="1"/>
    <col min="4378" max="4378" width="11.625" style="803" bestFit="1" customWidth="1"/>
    <col min="4379" max="4380" width="13.375" style="803" bestFit="1" customWidth="1"/>
    <col min="4381" max="4389" width="8" style="803" customWidth="1"/>
    <col min="4390" max="4390" width="12.375" style="803" bestFit="1" customWidth="1"/>
    <col min="4391" max="4391" width="9.125" style="803" bestFit="1" customWidth="1"/>
    <col min="4392" max="4392" width="28.5" style="803" bestFit="1" customWidth="1"/>
    <col min="4393" max="4393" width="25.125" style="803" bestFit="1" customWidth="1"/>
    <col min="4394" max="4394" width="10" style="803" bestFit="1" customWidth="1"/>
    <col min="4395" max="4395" width="9.125" style="803" bestFit="1" customWidth="1"/>
    <col min="4396" max="4396" width="9.375" style="803" bestFit="1" customWidth="1"/>
    <col min="4397" max="4608" width="9" style="803"/>
    <col min="4609" max="4609" width="4.875" style="803" bestFit="1" customWidth="1"/>
    <col min="4610" max="4610" width="10.125" style="803" bestFit="1" customWidth="1"/>
    <col min="4611" max="4611" width="56.375" style="803" bestFit="1" customWidth="1"/>
    <col min="4612" max="4612" width="5" style="803" customWidth="1"/>
    <col min="4613" max="4613" width="8.125" style="803" bestFit="1" customWidth="1"/>
    <col min="4614" max="4614" width="12.125" style="803" bestFit="1" customWidth="1"/>
    <col min="4615" max="4615" width="15.75" style="803" bestFit="1" customWidth="1"/>
    <col min="4616" max="4616" width="13.5" style="803" bestFit="1" customWidth="1"/>
    <col min="4617" max="4617" width="12.5" style="803" bestFit="1" customWidth="1"/>
    <col min="4618" max="4618" width="15" style="803" bestFit="1" customWidth="1"/>
    <col min="4619" max="4619" width="16.125" style="803" bestFit="1" customWidth="1"/>
    <col min="4620" max="4620" width="9.125" style="803" customWidth="1"/>
    <col min="4621" max="4621" width="13.5" style="803" customWidth="1"/>
    <col min="4622" max="4622" width="11.5" style="803" customWidth="1"/>
    <col min="4623" max="4623" width="11.875" style="803" bestFit="1" customWidth="1"/>
    <col min="4624" max="4624" width="8.125" style="803" customWidth="1"/>
    <col min="4625" max="4625" width="11" style="803" customWidth="1"/>
    <col min="4626" max="4626" width="20.125" style="803" customWidth="1"/>
    <col min="4627" max="4627" width="14.75" style="803" customWidth="1"/>
    <col min="4628" max="4628" width="16" style="803" bestFit="1" customWidth="1"/>
    <col min="4629" max="4629" width="19.75" style="803" bestFit="1" customWidth="1"/>
    <col min="4630" max="4630" width="7.625" style="803" bestFit="1" customWidth="1"/>
    <col min="4631" max="4631" width="12.125" style="803" customWidth="1"/>
    <col min="4632" max="4632" width="12.375" style="803" bestFit="1" customWidth="1"/>
    <col min="4633" max="4633" width="8.125" style="803" bestFit="1" customWidth="1"/>
    <col min="4634" max="4634" width="11.625" style="803" bestFit="1" customWidth="1"/>
    <col min="4635" max="4636" width="13.375" style="803" bestFit="1" customWidth="1"/>
    <col min="4637" max="4645" width="8" style="803" customWidth="1"/>
    <col min="4646" max="4646" width="12.375" style="803" bestFit="1" customWidth="1"/>
    <col min="4647" max="4647" width="9.125" style="803" bestFit="1" customWidth="1"/>
    <col min="4648" max="4648" width="28.5" style="803" bestFit="1" customWidth="1"/>
    <col min="4649" max="4649" width="25.125" style="803" bestFit="1" customWidth="1"/>
    <col min="4650" max="4650" width="10" style="803" bestFit="1" customWidth="1"/>
    <col min="4651" max="4651" width="9.125" style="803" bestFit="1" customWidth="1"/>
    <col min="4652" max="4652" width="9.375" style="803" bestFit="1" customWidth="1"/>
    <col min="4653" max="4864" width="9" style="803"/>
    <col min="4865" max="4865" width="4.875" style="803" bestFit="1" customWidth="1"/>
    <col min="4866" max="4866" width="10.125" style="803" bestFit="1" customWidth="1"/>
    <col min="4867" max="4867" width="56.375" style="803" bestFit="1" customWidth="1"/>
    <col min="4868" max="4868" width="5" style="803" customWidth="1"/>
    <col min="4869" max="4869" width="8.125" style="803" bestFit="1" customWidth="1"/>
    <col min="4870" max="4870" width="12.125" style="803" bestFit="1" customWidth="1"/>
    <col min="4871" max="4871" width="15.75" style="803" bestFit="1" customWidth="1"/>
    <col min="4872" max="4872" width="13.5" style="803" bestFit="1" customWidth="1"/>
    <col min="4873" max="4873" width="12.5" style="803" bestFit="1" customWidth="1"/>
    <col min="4874" max="4874" width="15" style="803" bestFit="1" customWidth="1"/>
    <col min="4875" max="4875" width="16.125" style="803" bestFit="1" customWidth="1"/>
    <col min="4876" max="4876" width="9.125" style="803" customWidth="1"/>
    <col min="4877" max="4877" width="13.5" style="803" customWidth="1"/>
    <col min="4878" max="4878" width="11.5" style="803" customWidth="1"/>
    <col min="4879" max="4879" width="11.875" style="803" bestFit="1" customWidth="1"/>
    <col min="4880" max="4880" width="8.125" style="803" customWidth="1"/>
    <col min="4881" max="4881" width="11" style="803" customWidth="1"/>
    <col min="4882" max="4882" width="20.125" style="803" customWidth="1"/>
    <col min="4883" max="4883" width="14.75" style="803" customWidth="1"/>
    <col min="4884" max="4884" width="16" style="803" bestFit="1" customWidth="1"/>
    <col min="4885" max="4885" width="19.75" style="803" bestFit="1" customWidth="1"/>
    <col min="4886" max="4886" width="7.625" style="803" bestFit="1" customWidth="1"/>
    <col min="4887" max="4887" width="12.125" style="803" customWidth="1"/>
    <col min="4888" max="4888" width="12.375" style="803" bestFit="1" customWidth="1"/>
    <col min="4889" max="4889" width="8.125" style="803" bestFit="1" customWidth="1"/>
    <col min="4890" max="4890" width="11.625" style="803" bestFit="1" customWidth="1"/>
    <col min="4891" max="4892" width="13.375" style="803" bestFit="1" customWidth="1"/>
    <col min="4893" max="4901" width="8" style="803" customWidth="1"/>
    <col min="4902" max="4902" width="12.375" style="803" bestFit="1" customWidth="1"/>
    <col min="4903" max="4903" width="9.125" style="803" bestFit="1" customWidth="1"/>
    <col min="4904" max="4904" width="28.5" style="803" bestFit="1" customWidth="1"/>
    <col min="4905" max="4905" width="25.125" style="803" bestFit="1" customWidth="1"/>
    <col min="4906" max="4906" width="10" style="803" bestFit="1" customWidth="1"/>
    <col min="4907" max="4907" width="9.125" style="803" bestFit="1" customWidth="1"/>
    <col min="4908" max="4908" width="9.375" style="803" bestFit="1" customWidth="1"/>
    <col min="4909" max="5120" width="9" style="803"/>
    <col min="5121" max="5121" width="4.875" style="803" bestFit="1" customWidth="1"/>
    <col min="5122" max="5122" width="10.125" style="803" bestFit="1" customWidth="1"/>
    <col min="5123" max="5123" width="56.375" style="803" bestFit="1" customWidth="1"/>
    <col min="5124" max="5124" width="5" style="803" customWidth="1"/>
    <col min="5125" max="5125" width="8.125" style="803" bestFit="1" customWidth="1"/>
    <col min="5126" max="5126" width="12.125" style="803" bestFit="1" customWidth="1"/>
    <col min="5127" max="5127" width="15.75" style="803" bestFit="1" customWidth="1"/>
    <col min="5128" max="5128" width="13.5" style="803" bestFit="1" customWidth="1"/>
    <col min="5129" max="5129" width="12.5" style="803" bestFit="1" customWidth="1"/>
    <col min="5130" max="5130" width="15" style="803" bestFit="1" customWidth="1"/>
    <col min="5131" max="5131" width="16.125" style="803" bestFit="1" customWidth="1"/>
    <col min="5132" max="5132" width="9.125" style="803" customWidth="1"/>
    <col min="5133" max="5133" width="13.5" style="803" customWidth="1"/>
    <col min="5134" max="5134" width="11.5" style="803" customWidth="1"/>
    <col min="5135" max="5135" width="11.875" style="803" bestFit="1" customWidth="1"/>
    <col min="5136" max="5136" width="8.125" style="803" customWidth="1"/>
    <col min="5137" max="5137" width="11" style="803" customWidth="1"/>
    <col min="5138" max="5138" width="20.125" style="803" customWidth="1"/>
    <col min="5139" max="5139" width="14.75" style="803" customWidth="1"/>
    <col min="5140" max="5140" width="16" style="803" bestFit="1" customWidth="1"/>
    <col min="5141" max="5141" width="19.75" style="803" bestFit="1" customWidth="1"/>
    <col min="5142" max="5142" width="7.625" style="803" bestFit="1" customWidth="1"/>
    <col min="5143" max="5143" width="12.125" style="803" customWidth="1"/>
    <col min="5144" max="5144" width="12.375" style="803" bestFit="1" customWidth="1"/>
    <col min="5145" max="5145" width="8.125" style="803" bestFit="1" customWidth="1"/>
    <col min="5146" max="5146" width="11.625" style="803" bestFit="1" customWidth="1"/>
    <col min="5147" max="5148" width="13.375" style="803" bestFit="1" customWidth="1"/>
    <col min="5149" max="5157" width="8" style="803" customWidth="1"/>
    <col min="5158" max="5158" width="12.375" style="803" bestFit="1" customWidth="1"/>
    <col min="5159" max="5159" width="9.125" style="803" bestFit="1" customWidth="1"/>
    <col min="5160" max="5160" width="28.5" style="803" bestFit="1" customWidth="1"/>
    <col min="5161" max="5161" width="25.125" style="803" bestFit="1" customWidth="1"/>
    <col min="5162" max="5162" width="10" style="803" bestFit="1" customWidth="1"/>
    <col min="5163" max="5163" width="9.125" style="803" bestFit="1" customWidth="1"/>
    <col min="5164" max="5164" width="9.375" style="803" bestFit="1" customWidth="1"/>
    <col min="5165" max="5376" width="9" style="803"/>
    <col min="5377" max="5377" width="4.875" style="803" bestFit="1" customWidth="1"/>
    <col min="5378" max="5378" width="10.125" style="803" bestFit="1" customWidth="1"/>
    <col min="5379" max="5379" width="56.375" style="803" bestFit="1" customWidth="1"/>
    <col min="5380" max="5380" width="5" style="803" customWidth="1"/>
    <col min="5381" max="5381" width="8.125" style="803" bestFit="1" customWidth="1"/>
    <col min="5382" max="5382" width="12.125" style="803" bestFit="1" customWidth="1"/>
    <col min="5383" max="5383" width="15.75" style="803" bestFit="1" customWidth="1"/>
    <col min="5384" max="5384" width="13.5" style="803" bestFit="1" customWidth="1"/>
    <col min="5385" max="5385" width="12.5" style="803" bestFit="1" customWidth="1"/>
    <col min="5386" max="5386" width="15" style="803" bestFit="1" customWidth="1"/>
    <col min="5387" max="5387" width="16.125" style="803" bestFit="1" customWidth="1"/>
    <col min="5388" max="5388" width="9.125" style="803" customWidth="1"/>
    <col min="5389" max="5389" width="13.5" style="803" customWidth="1"/>
    <col min="5390" max="5390" width="11.5" style="803" customWidth="1"/>
    <col min="5391" max="5391" width="11.875" style="803" bestFit="1" customWidth="1"/>
    <col min="5392" max="5392" width="8.125" style="803" customWidth="1"/>
    <col min="5393" max="5393" width="11" style="803" customWidth="1"/>
    <col min="5394" max="5394" width="20.125" style="803" customWidth="1"/>
    <col min="5395" max="5395" width="14.75" style="803" customWidth="1"/>
    <col min="5396" max="5396" width="16" style="803" bestFit="1" customWidth="1"/>
    <col min="5397" max="5397" width="19.75" style="803" bestFit="1" customWidth="1"/>
    <col min="5398" max="5398" width="7.625" style="803" bestFit="1" customWidth="1"/>
    <col min="5399" max="5399" width="12.125" style="803" customWidth="1"/>
    <col min="5400" max="5400" width="12.375" style="803" bestFit="1" customWidth="1"/>
    <col min="5401" max="5401" width="8.125" style="803" bestFit="1" customWidth="1"/>
    <col min="5402" max="5402" width="11.625" style="803" bestFit="1" customWidth="1"/>
    <col min="5403" max="5404" width="13.375" style="803" bestFit="1" customWidth="1"/>
    <col min="5405" max="5413" width="8" style="803" customWidth="1"/>
    <col min="5414" max="5414" width="12.375" style="803" bestFit="1" customWidth="1"/>
    <col min="5415" max="5415" width="9.125" style="803" bestFit="1" customWidth="1"/>
    <col min="5416" max="5416" width="28.5" style="803" bestFit="1" customWidth="1"/>
    <col min="5417" max="5417" width="25.125" style="803" bestFit="1" customWidth="1"/>
    <col min="5418" max="5418" width="10" style="803" bestFit="1" customWidth="1"/>
    <col min="5419" max="5419" width="9.125" style="803" bestFit="1" customWidth="1"/>
    <col min="5420" max="5420" width="9.375" style="803" bestFit="1" customWidth="1"/>
    <col min="5421" max="5632" width="9" style="803"/>
    <col min="5633" max="5633" width="4.875" style="803" bestFit="1" customWidth="1"/>
    <col min="5634" max="5634" width="10.125" style="803" bestFit="1" customWidth="1"/>
    <col min="5635" max="5635" width="56.375" style="803" bestFit="1" customWidth="1"/>
    <col min="5636" max="5636" width="5" style="803" customWidth="1"/>
    <col min="5637" max="5637" width="8.125" style="803" bestFit="1" customWidth="1"/>
    <col min="5638" max="5638" width="12.125" style="803" bestFit="1" customWidth="1"/>
    <col min="5639" max="5639" width="15.75" style="803" bestFit="1" customWidth="1"/>
    <col min="5640" max="5640" width="13.5" style="803" bestFit="1" customWidth="1"/>
    <col min="5641" max="5641" width="12.5" style="803" bestFit="1" customWidth="1"/>
    <col min="5642" max="5642" width="15" style="803" bestFit="1" customWidth="1"/>
    <col min="5643" max="5643" width="16.125" style="803" bestFit="1" customWidth="1"/>
    <col min="5644" max="5644" width="9.125" style="803" customWidth="1"/>
    <col min="5645" max="5645" width="13.5" style="803" customWidth="1"/>
    <col min="5646" max="5646" width="11.5" style="803" customWidth="1"/>
    <col min="5647" max="5647" width="11.875" style="803" bestFit="1" customWidth="1"/>
    <col min="5648" max="5648" width="8.125" style="803" customWidth="1"/>
    <col min="5649" max="5649" width="11" style="803" customWidth="1"/>
    <col min="5650" max="5650" width="20.125" style="803" customWidth="1"/>
    <col min="5651" max="5651" width="14.75" style="803" customWidth="1"/>
    <col min="5652" max="5652" width="16" style="803" bestFit="1" customWidth="1"/>
    <col min="5653" max="5653" width="19.75" style="803" bestFit="1" customWidth="1"/>
    <col min="5654" max="5654" width="7.625" style="803" bestFit="1" customWidth="1"/>
    <col min="5655" max="5655" width="12.125" style="803" customWidth="1"/>
    <col min="5656" max="5656" width="12.375" style="803" bestFit="1" customWidth="1"/>
    <col min="5657" max="5657" width="8.125" style="803" bestFit="1" customWidth="1"/>
    <col min="5658" max="5658" width="11.625" style="803" bestFit="1" customWidth="1"/>
    <col min="5659" max="5660" width="13.375" style="803" bestFit="1" customWidth="1"/>
    <col min="5661" max="5669" width="8" style="803" customWidth="1"/>
    <col min="5670" max="5670" width="12.375" style="803" bestFit="1" customWidth="1"/>
    <col min="5671" max="5671" width="9.125" style="803" bestFit="1" customWidth="1"/>
    <col min="5672" max="5672" width="28.5" style="803" bestFit="1" customWidth="1"/>
    <col min="5673" max="5673" width="25.125" style="803" bestFit="1" customWidth="1"/>
    <col min="5674" max="5674" width="10" style="803" bestFit="1" customWidth="1"/>
    <col min="5675" max="5675" width="9.125" style="803" bestFit="1" customWidth="1"/>
    <col min="5676" max="5676" width="9.375" style="803" bestFit="1" customWidth="1"/>
    <col min="5677" max="5888" width="9" style="803"/>
    <col min="5889" max="5889" width="4.875" style="803" bestFit="1" customWidth="1"/>
    <col min="5890" max="5890" width="10.125" style="803" bestFit="1" customWidth="1"/>
    <col min="5891" max="5891" width="56.375" style="803" bestFit="1" customWidth="1"/>
    <col min="5892" max="5892" width="5" style="803" customWidth="1"/>
    <col min="5893" max="5893" width="8.125" style="803" bestFit="1" customWidth="1"/>
    <col min="5894" max="5894" width="12.125" style="803" bestFit="1" customWidth="1"/>
    <col min="5895" max="5895" width="15.75" style="803" bestFit="1" customWidth="1"/>
    <col min="5896" max="5896" width="13.5" style="803" bestFit="1" customWidth="1"/>
    <col min="5897" max="5897" width="12.5" style="803" bestFit="1" customWidth="1"/>
    <col min="5898" max="5898" width="15" style="803" bestFit="1" customWidth="1"/>
    <col min="5899" max="5899" width="16.125" style="803" bestFit="1" customWidth="1"/>
    <col min="5900" max="5900" width="9.125" style="803" customWidth="1"/>
    <col min="5901" max="5901" width="13.5" style="803" customWidth="1"/>
    <col min="5902" max="5902" width="11.5" style="803" customWidth="1"/>
    <col min="5903" max="5903" width="11.875" style="803" bestFit="1" customWidth="1"/>
    <col min="5904" max="5904" width="8.125" style="803" customWidth="1"/>
    <col min="5905" max="5905" width="11" style="803" customWidth="1"/>
    <col min="5906" max="5906" width="20.125" style="803" customWidth="1"/>
    <col min="5907" max="5907" width="14.75" style="803" customWidth="1"/>
    <col min="5908" max="5908" width="16" style="803" bestFit="1" customWidth="1"/>
    <col min="5909" max="5909" width="19.75" style="803" bestFit="1" customWidth="1"/>
    <col min="5910" max="5910" width="7.625" style="803" bestFit="1" customWidth="1"/>
    <col min="5911" max="5911" width="12.125" style="803" customWidth="1"/>
    <col min="5912" max="5912" width="12.375" style="803" bestFit="1" customWidth="1"/>
    <col min="5913" max="5913" width="8.125" style="803" bestFit="1" customWidth="1"/>
    <col min="5914" max="5914" width="11.625" style="803" bestFit="1" customWidth="1"/>
    <col min="5915" max="5916" width="13.375" style="803" bestFit="1" customWidth="1"/>
    <col min="5917" max="5925" width="8" style="803" customWidth="1"/>
    <col min="5926" max="5926" width="12.375" style="803" bestFit="1" customWidth="1"/>
    <col min="5927" max="5927" width="9.125" style="803" bestFit="1" customWidth="1"/>
    <col min="5928" max="5928" width="28.5" style="803" bestFit="1" customWidth="1"/>
    <col min="5929" max="5929" width="25.125" style="803" bestFit="1" customWidth="1"/>
    <col min="5930" max="5930" width="10" style="803" bestFit="1" customWidth="1"/>
    <col min="5931" max="5931" width="9.125" style="803" bestFit="1" customWidth="1"/>
    <col min="5932" max="5932" width="9.375" style="803" bestFit="1" customWidth="1"/>
    <col min="5933" max="6144" width="9" style="803"/>
    <col min="6145" max="6145" width="4.875" style="803" bestFit="1" customWidth="1"/>
    <col min="6146" max="6146" width="10.125" style="803" bestFit="1" customWidth="1"/>
    <col min="6147" max="6147" width="56.375" style="803" bestFit="1" customWidth="1"/>
    <col min="6148" max="6148" width="5" style="803" customWidth="1"/>
    <col min="6149" max="6149" width="8.125" style="803" bestFit="1" customWidth="1"/>
    <col min="6150" max="6150" width="12.125" style="803" bestFit="1" customWidth="1"/>
    <col min="6151" max="6151" width="15.75" style="803" bestFit="1" customWidth="1"/>
    <col min="6152" max="6152" width="13.5" style="803" bestFit="1" customWidth="1"/>
    <col min="6153" max="6153" width="12.5" style="803" bestFit="1" customWidth="1"/>
    <col min="6154" max="6154" width="15" style="803" bestFit="1" customWidth="1"/>
    <col min="6155" max="6155" width="16.125" style="803" bestFit="1" customWidth="1"/>
    <col min="6156" max="6156" width="9.125" style="803" customWidth="1"/>
    <col min="6157" max="6157" width="13.5" style="803" customWidth="1"/>
    <col min="6158" max="6158" width="11.5" style="803" customWidth="1"/>
    <col min="6159" max="6159" width="11.875" style="803" bestFit="1" customWidth="1"/>
    <col min="6160" max="6160" width="8.125" style="803" customWidth="1"/>
    <col min="6161" max="6161" width="11" style="803" customWidth="1"/>
    <col min="6162" max="6162" width="20.125" style="803" customWidth="1"/>
    <col min="6163" max="6163" width="14.75" style="803" customWidth="1"/>
    <col min="6164" max="6164" width="16" style="803" bestFit="1" customWidth="1"/>
    <col min="6165" max="6165" width="19.75" style="803" bestFit="1" customWidth="1"/>
    <col min="6166" max="6166" width="7.625" style="803" bestFit="1" customWidth="1"/>
    <col min="6167" max="6167" width="12.125" style="803" customWidth="1"/>
    <col min="6168" max="6168" width="12.375" style="803" bestFit="1" customWidth="1"/>
    <col min="6169" max="6169" width="8.125" style="803" bestFit="1" customWidth="1"/>
    <col min="6170" max="6170" width="11.625" style="803" bestFit="1" customWidth="1"/>
    <col min="6171" max="6172" width="13.375" style="803" bestFit="1" customWidth="1"/>
    <col min="6173" max="6181" width="8" style="803" customWidth="1"/>
    <col min="6182" max="6182" width="12.375" style="803" bestFit="1" customWidth="1"/>
    <col min="6183" max="6183" width="9.125" style="803" bestFit="1" customWidth="1"/>
    <col min="6184" max="6184" width="28.5" style="803" bestFit="1" customWidth="1"/>
    <col min="6185" max="6185" width="25.125" style="803" bestFit="1" customWidth="1"/>
    <col min="6186" max="6186" width="10" style="803" bestFit="1" customWidth="1"/>
    <col min="6187" max="6187" width="9.125" style="803" bestFit="1" customWidth="1"/>
    <col min="6188" max="6188" width="9.375" style="803" bestFit="1" customWidth="1"/>
    <col min="6189" max="6400" width="9" style="803"/>
    <col min="6401" max="6401" width="4.875" style="803" bestFit="1" customWidth="1"/>
    <col min="6402" max="6402" width="10.125" style="803" bestFit="1" customWidth="1"/>
    <col min="6403" max="6403" width="56.375" style="803" bestFit="1" customWidth="1"/>
    <col min="6404" max="6404" width="5" style="803" customWidth="1"/>
    <col min="6405" max="6405" width="8.125" style="803" bestFit="1" customWidth="1"/>
    <col min="6406" max="6406" width="12.125" style="803" bestFit="1" customWidth="1"/>
    <col min="6407" max="6407" width="15.75" style="803" bestFit="1" customWidth="1"/>
    <col min="6408" max="6408" width="13.5" style="803" bestFit="1" customWidth="1"/>
    <col min="6409" max="6409" width="12.5" style="803" bestFit="1" customWidth="1"/>
    <col min="6410" max="6410" width="15" style="803" bestFit="1" customWidth="1"/>
    <col min="6411" max="6411" width="16.125" style="803" bestFit="1" customWidth="1"/>
    <col min="6412" max="6412" width="9.125" style="803" customWidth="1"/>
    <col min="6413" max="6413" width="13.5" style="803" customWidth="1"/>
    <col min="6414" max="6414" width="11.5" style="803" customWidth="1"/>
    <col min="6415" max="6415" width="11.875" style="803" bestFit="1" customWidth="1"/>
    <col min="6416" max="6416" width="8.125" style="803" customWidth="1"/>
    <col min="6417" max="6417" width="11" style="803" customWidth="1"/>
    <col min="6418" max="6418" width="20.125" style="803" customWidth="1"/>
    <col min="6419" max="6419" width="14.75" style="803" customWidth="1"/>
    <col min="6420" max="6420" width="16" style="803" bestFit="1" customWidth="1"/>
    <col min="6421" max="6421" width="19.75" style="803" bestFit="1" customWidth="1"/>
    <col min="6422" max="6422" width="7.625" style="803" bestFit="1" customWidth="1"/>
    <col min="6423" max="6423" width="12.125" style="803" customWidth="1"/>
    <col min="6424" max="6424" width="12.375" style="803" bestFit="1" customWidth="1"/>
    <col min="6425" max="6425" width="8.125" style="803" bestFit="1" customWidth="1"/>
    <col min="6426" max="6426" width="11.625" style="803" bestFit="1" customWidth="1"/>
    <col min="6427" max="6428" width="13.375" style="803" bestFit="1" customWidth="1"/>
    <col min="6429" max="6437" width="8" style="803" customWidth="1"/>
    <col min="6438" max="6438" width="12.375" style="803" bestFit="1" customWidth="1"/>
    <col min="6439" max="6439" width="9.125" style="803" bestFit="1" customWidth="1"/>
    <col min="6440" max="6440" width="28.5" style="803" bestFit="1" customWidth="1"/>
    <col min="6441" max="6441" width="25.125" style="803" bestFit="1" customWidth="1"/>
    <col min="6442" max="6442" width="10" style="803" bestFit="1" customWidth="1"/>
    <col min="6443" max="6443" width="9.125" style="803" bestFit="1" customWidth="1"/>
    <col min="6444" max="6444" width="9.375" style="803" bestFit="1" customWidth="1"/>
    <col min="6445" max="6656" width="9" style="803"/>
    <col min="6657" max="6657" width="4.875" style="803" bestFit="1" customWidth="1"/>
    <col min="6658" max="6658" width="10.125" style="803" bestFit="1" customWidth="1"/>
    <col min="6659" max="6659" width="56.375" style="803" bestFit="1" customWidth="1"/>
    <col min="6660" max="6660" width="5" style="803" customWidth="1"/>
    <col min="6661" max="6661" width="8.125" style="803" bestFit="1" customWidth="1"/>
    <col min="6662" max="6662" width="12.125" style="803" bestFit="1" customWidth="1"/>
    <col min="6663" max="6663" width="15.75" style="803" bestFit="1" customWidth="1"/>
    <col min="6664" max="6664" width="13.5" style="803" bestFit="1" customWidth="1"/>
    <col min="6665" max="6665" width="12.5" style="803" bestFit="1" customWidth="1"/>
    <col min="6666" max="6666" width="15" style="803" bestFit="1" customWidth="1"/>
    <col min="6667" max="6667" width="16.125" style="803" bestFit="1" customWidth="1"/>
    <col min="6668" max="6668" width="9.125" style="803" customWidth="1"/>
    <col min="6669" max="6669" width="13.5" style="803" customWidth="1"/>
    <col min="6670" max="6670" width="11.5" style="803" customWidth="1"/>
    <col min="6671" max="6671" width="11.875" style="803" bestFit="1" customWidth="1"/>
    <col min="6672" max="6672" width="8.125" style="803" customWidth="1"/>
    <col min="6673" max="6673" width="11" style="803" customWidth="1"/>
    <col min="6674" max="6674" width="20.125" style="803" customWidth="1"/>
    <col min="6675" max="6675" width="14.75" style="803" customWidth="1"/>
    <col min="6676" max="6676" width="16" style="803" bestFit="1" customWidth="1"/>
    <col min="6677" max="6677" width="19.75" style="803" bestFit="1" customWidth="1"/>
    <col min="6678" max="6678" width="7.625" style="803" bestFit="1" customWidth="1"/>
    <col min="6679" max="6679" width="12.125" style="803" customWidth="1"/>
    <col min="6680" max="6680" width="12.375" style="803" bestFit="1" customWidth="1"/>
    <col min="6681" max="6681" width="8.125" style="803" bestFit="1" customWidth="1"/>
    <col min="6682" max="6682" width="11.625" style="803" bestFit="1" customWidth="1"/>
    <col min="6683" max="6684" width="13.375" style="803" bestFit="1" customWidth="1"/>
    <col min="6685" max="6693" width="8" style="803" customWidth="1"/>
    <col min="6694" max="6694" width="12.375" style="803" bestFit="1" customWidth="1"/>
    <col min="6695" max="6695" width="9.125" style="803" bestFit="1" customWidth="1"/>
    <col min="6696" max="6696" width="28.5" style="803" bestFit="1" customWidth="1"/>
    <col min="6697" max="6697" width="25.125" style="803" bestFit="1" customWidth="1"/>
    <col min="6698" max="6698" width="10" style="803" bestFit="1" customWidth="1"/>
    <col min="6699" max="6699" width="9.125" style="803" bestFit="1" customWidth="1"/>
    <col min="6700" max="6700" width="9.375" style="803" bestFit="1" customWidth="1"/>
    <col min="6701" max="6912" width="9" style="803"/>
    <col min="6913" max="6913" width="4.875" style="803" bestFit="1" customWidth="1"/>
    <col min="6914" max="6914" width="10.125" style="803" bestFit="1" customWidth="1"/>
    <col min="6915" max="6915" width="56.375" style="803" bestFit="1" customWidth="1"/>
    <col min="6916" max="6916" width="5" style="803" customWidth="1"/>
    <col min="6917" max="6917" width="8.125" style="803" bestFit="1" customWidth="1"/>
    <col min="6918" max="6918" width="12.125" style="803" bestFit="1" customWidth="1"/>
    <col min="6919" max="6919" width="15.75" style="803" bestFit="1" customWidth="1"/>
    <col min="6920" max="6920" width="13.5" style="803" bestFit="1" customWidth="1"/>
    <col min="6921" max="6921" width="12.5" style="803" bestFit="1" customWidth="1"/>
    <col min="6922" max="6922" width="15" style="803" bestFit="1" customWidth="1"/>
    <col min="6923" max="6923" width="16.125" style="803" bestFit="1" customWidth="1"/>
    <col min="6924" max="6924" width="9.125" style="803" customWidth="1"/>
    <col min="6925" max="6925" width="13.5" style="803" customWidth="1"/>
    <col min="6926" max="6926" width="11.5" style="803" customWidth="1"/>
    <col min="6927" max="6927" width="11.875" style="803" bestFit="1" customWidth="1"/>
    <col min="6928" max="6928" width="8.125" style="803" customWidth="1"/>
    <col min="6929" max="6929" width="11" style="803" customWidth="1"/>
    <col min="6930" max="6930" width="20.125" style="803" customWidth="1"/>
    <col min="6931" max="6931" width="14.75" style="803" customWidth="1"/>
    <col min="6932" max="6932" width="16" style="803" bestFit="1" customWidth="1"/>
    <col min="6933" max="6933" width="19.75" style="803" bestFit="1" customWidth="1"/>
    <col min="6934" max="6934" width="7.625" style="803" bestFit="1" customWidth="1"/>
    <col min="6935" max="6935" width="12.125" style="803" customWidth="1"/>
    <col min="6936" max="6936" width="12.375" style="803" bestFit="1" customWidth="1"/>
    <col min="6937" max="6937" width="8.125" style="803" bestFit="1" customWidth="1"/>
    <col min="6938" max="6938" width="11.625" style="803" bestFit="1" customWidth="1"/>
    <col min="6939" max="6940" width="13.375" style="803" bestFit="1" customWidth="1"/>
    <col min="6941" max="6949" width="8" style="803" customWidth="1"/>
    <col min="6950" max="6950" width="12.375" style="803" bestFit="1" customWidth="1"/>
    <col min="6951" max="6951" width="9.125" style="803" bestFit="1" customWidth="1"/>
    <col min="6952" max="6952" width="28.5" style="803" bestFit="1" customWidth="1"/>
    <col min="6953" max="6953" width="25.125" style="803" bestFit="1" customWidth="1"/>
    <col min="6954" max="6954" width="10" style="803" bestFit="1" customWidth="1"/>
    <col min="6955" max="6955" width="9.125" style="803" bestFit="1" customWidth="1"/>
    <col min="6956" max="6956" width="9.375" style="803" bestFit="1" customWidth="1"/>
    <col min="6957" max="7168" width="9" style="803"/>
    <col min="7169" max="7169" width="4.875" style="803" bestFit="1" customWidth="1"/>
    <col min="7170" max="7170" width="10.125" style="803" bestFit="1" customWidth="1"/>
    <col min="7171" max="7171" width="56.375" style="803" bestFit="1" customWidth="1"/>
    <col min="7172" max="7172" width="5" style="803" customWidth="1"/>
    <col min="7173" max="7173" width="8.125" style="803" bestFit="1" customWidth="1"/>
    <col min="7174" max="7174" width="12.125" style="803" bestFit="1" customWidth="1"/>
    <col min="7175" max="7175" width="15.75" style="803" bestFit="1" customWidth="1"/>
    <col min="7176" max="7176" width="13.5" style="803" bestFit="1" customWidth="1"/>
    <col min="7177" max="7177" width="12.5" style="803" bestFit="1" customWidth="1"/>
    <col min="7178" max="7178" width="15" style="803" bestFit="1" customWidth="1"/>
    <col min="7179" max="7179" width="16.125" style="803" bestFit="1" customWidth="1"/>
    <col min="7180" max="7180" width="9.125" style="803" customWidth="1"/>
    <col min="7181" max="7181" width="13.5" style="803" customWidth="1"/>
    <col min="7182" max="7182" width="11.5" style="803" customWidth="1"/>
    <col min="7183" max="7183" width="11.875" style="803" bestFit="1" customWidth="1"/>
    <col min="7184" max="7184" width="8.125" style="803" customWidth="1"/>
    <col min="7185" max="7185" width="11" style="803" customWidth="1"/>
    <col min="7186" max="7186" width="20.125" style="803" customWidth="1"/>
    <col min="7187" max="7187" width="14.75" style="803" customWidth="1"/>
    <col min="7188" max="7188" width="16" style="803" bestFit="1" customWidth="1"/>
    <col min="7189" max="7189" width="19.75" style="803" bestFit="1" customWidth="1"/>
    <col min="7190" max="7190" width="7.625" style="803" bestFit="1" customWidth="1"/>
    <col min="7191" max="7191" width="12.125" style="803" customWidth="1"/>
    <col min="7192" max="7192" width="12.375" style="803" bestFit="1" customWidth="1"/>
    <col min="7193" max="7193" width="8.125" style="803" bestFit="1" customWidth="1"/>
    <col min="7194" max="7194" width="11.625" style="803" bestFit="1" customWidth="1"/>
    <col min="7195" max="7196" width="13.375" style="803" bestFit="1" customWidth="1"/>
    <col min="7197" max="7205" width="8" style="803" customWidth="1"/>
    <col min="7206" max="7206" width="12.375" style="803" bestFit="1" customWidth="1"/>
    <col min="7207" max="7207" width="9.125" style="803" bestFit="1" customWidth="1"/>
    <col min="7208" max="7208" width="28.5" style="803" bestFit="1" customWidth="1"/>
    <col min="7209" max="7209" width="25.125" style="803" bestFit="1" customWidth="1"/>
    <col min="7210" max="7210" width="10" style="803" bestFit="1" customWidth="1"/>
    <col min="7211" max="7211" width="9.125" style="803" bestFit="1" customWidth="1"/>
    <col min="7212" max="7212" width="9.375" style="803" bestFit="1" customWidth="1"/>
    <col min="7213" max="7424" width="9" style="803"/>
    <col min="7425" max="7425" width="4.875" style="803" bestFit="1" customWidth="1"/>
    <col min="7426" max="7426" width="10.125" style="803" bestFit="1" customWidth="1"/>
    <col min="7427" max="7427" width="56.375" style="803" bestFit="1" customWidth="1"/>
    <col min="7428" max="7428" width="5" style="803" customWidth="1"/>
    <col min="7429" max="7429" width="8.125" style="803" bestFit="1" customWidth="1"/>
    <col min="7430" max="7430" width="12.125" style="803" bestFit="1" customWidth="1"/>
    <col min="7431" max="7431" width="15.75" style="803" bestFit="1" customWidth="1"/>
    <col min="7432" max="7432" width="13.5" style="803" bestFit="1" customWidth="1"/>
    <col min="7433" max="7433" width="12.5" style="803" bestFit="1" customWidth="1"/>
    <col min="7434" max="7434" width="15" style="803" bestFit="1" customWidth="1"/>
    <col min="7435" max="7435" width="16.125" style="803" bestFit="1" customWidth="1"/>
    <col min="7436" max="7436" width="9.125" style="803" customWidth="1"/>
    <col min="7437" max="7437" width="13.5" style="803" customWidth="1"/>
    <col min="7438" max="7438" width="11.5" style="803" customWidth="1"/>
    <col min="7439" max="7439" width="11.875" style="803" bestFit="1" customWidth="1"/>
    <col min="7440" max="7440" width="8.125" style="803" customWidth="1"/>
    <col min="7441" max="7441" width="11" style="803" customWidth="1"/>
    <col min="7442" max="7442" width="20.125" style="803" customWidth="1"/>
    <col min="7443" max="7443" width="14.75" style="803" customWidth="1"/>
    <col min="7444" max="7444" width="16" style="803" bestFit="1" customWidth="1"/>
    <col min="7445" max="7445" width="19.75" style="803" bestFit="1" customWidth="1"/>
    <col min="7446" max="7446" width="7.625" style="803" bestFit="1" customWidth="1"/>
    <col min="7447" max="7447" width="12.125" style="803" customWidth="1"/>
    <col min="7448" max="7448" width="12.375" style="803" bestFit="1" customWidth="1"/>
    <col min="7449" max="7449" width="8.125" style="803" bestFit="1" customWidth="1"/>
    <col min="7450" max="7450" width="11.625" style="803" bestFit="1" customWidth="1"/>
    <col min="7451" max="7452" width="13.375" style="803" bestFit="1" customWidth="1"/>
    <col min="7453" max="7461" width="8" style="803" customWidth="1"/>
    <col min="7462" max="7462" width="12.375" style="803" bestFit="1" customWidth="1"/>
    <col min="7463" max="7463" width="9.125" style="803" bestFit="1" customWidth="1"/>
    <col min="7464" max="7464" width="28.5" style="803" bestFit="1" customWidth="1"/>
    <col min="7465" max="7465" width="25.125" style="803" bestFit="1" customWidth="1"/>
    <col min="7466" max="7466" width="10" style="803" bestFit="1" customWidth="1"/>
    <col min="7467" max="7467" width="9.125" style="803" bestFit="1" customWidth="1"/>
    <col min="7468" max="7468" width="9.375" style="803" bestFit="1" customWidth="1"/>
    <col min="7469" max="7680" width="9" style="803"/>
    <col min="7681" max="7681" width="4.875" style="803" bestFit="1" customWidth="1"/>
    <col min="7682" max="7682" width="10.125" style="803" bestFit="1" customWidth="1"/>
    <col min="7683" max="7683" width="56.375" style="803" bestFit="1" customWidth="1"/>
    <col min="7684" max="7684" width="5" style="803" customWidth="1"/>
    <col min="7685" max="7685" width="8.125" style="803" bestFit="1" customWidth="1"/>
    <col min="7686" max="7686" width="12.125" style="803" bestFit="1" customWidth="1"/>
    <col min="7687" max="7687" width="15.75" style="803" bestFit="1" customWidth="1"/>
    <col min="7688" max="7688" width="13.5" style="803" bestFit="1" customWidth="1"/>
    <col min="7689" max="7689" width="12.5" style="803" bestFit="1" customWidth="1"/>
    <col min="7690" max="7690" width="15" style="803" bestFit="1" customWidth="1"/>
    <col min="7691" max="7691" width="16.125" style="803" bestFit="1" customWidth="1"/>
    <col min="7692" max="7692" width="9.125" style="803" customWidth="1"/>
    <col min="7693" max="7693" width="13.5" style="803" customWidth="1"/>
    <col min="7694" max="7694" width="11.5" style="803" customWidth="1"/>
    <col min="7695" max="7695" width="11.875" style="803" bestFit="1" customWidth="1"/>
    <col min="7696" max="7696" width="8.125" style="803" customWidth="1"/>
    <col min="7697" max="7697" width="11" style="803" customWidth="1"/>
    <col min="7698" max="7698" width="20.125" style="803" customWidth="1"/>
    <col min="7699" max="7699" width="14.75" style="803" customWidth="1"/>
    <col min="7700" max="7700" width="16" style="803" bestFit="1" customWidth="1"/>
    <col min="7701" max="7701" width="19.75" style="803" bestFit="1" customWidth="1"/>
    <col min="7702" max="7702" width="7.625" style="803" bestFit="1" customWidth="1"/>
    <col min="7703" max="7703" width="12.125" style="803" customWidth="1"/>
    <col min="7704" max="7704" width="12.375" style="803" bestFit="1" customWidth="1"/>
    <col min="7705" max="7705" width="8.125" style="803" bestFit="1" customWidth="1"/>
    <col min="7706" max="7706" width="11.625" style="803" bestFit="1" customWidth="1"/>
    <col min="7707" max="7708" width="13.375" style="803" bestFit="1" customWidth="1"/>
    <col min="7709" max="7717" width="8" style="803" customWidth="1"/>
    <col min="7718" max="7718" width="12.375" style="803" bestFit="1" customWidth="1"/>
    <col min="7719" max="7719" width="9.125" style="803" bestFit="1" customWidth="1"/>
    <col min="7720" max="7720" width="28.5" style="803" bestFit="1" customWidth="1"/>
    <col min="7721" max="7721" width="25.125" style="803" bestFit="1" customWidth="1"/>
    <col min="7722" max="7722" width="10" style="803" bestFit="1" customWidth="1"/>
    <col min="7723" max="7723" width="9.125" style="803" bestFit="1" customWidth="1"/>
    <col min="7724" max="7724" width="9.375" style="803" bestFit="1" customWidth="1"/>
    <col min="7725" max="7936" width="9" style="803"/>
    <col min="7937" max="7937" width="4.875" style="803" bestFit="1" customWidth="1"/>
    <col min="7938" max="7938" width="10.125" style="803" bestFit="1" customWidth="1"/>
    <col min="7939" max="7939" width="56.375" style="803" bestFit="1" customWidth="1"/>
    <col min="7940" max="7940" width="5" style="803" customWidth="1"/>
    <col min="7941" max="7941" width="8.125" style="803" bestFit="1" customWidth="1"/>
    <col min="7942" max="7942" width="12.125" style="803" bestFit="1" customWidth="1"/>
    <col min="7943" max="7943" width="15.75" style="803" bestFit="1" customWidth="1"/>
    <col min="7944" max="7944" width="13.5" style="803" bestFit="1" customWidth="1"/>
    <col min="7945" max="7945" width="12.5" style="803" bestFit="1" customWidth="1"/>
    <col min="7946" max="7946" width="15" style="803" bestFit="1" customWidth="1"/>
    <col min="7947" max="7947" width="16.125" style="803" bestFit="1" customWidth="1"/>
    <col min="7948" max="7948" width="9.125" style="803" customWidth="1"/>
    <col min="7949" max="7949" width="13.5" style="803" customWidth="1"/>
    <col min="7950" max="7950" width="11.5" style="803" customWidth="1"/>
    <col min="7951" max="7951" width="11.875" style="803" bestFit="1" customWidth="1"/>
    <col min="7952" max="7952" width="8.125" style="803" customWidth="1"/>
    <col min="7953" max="7953" width="11" style="803" customWidth="1"/>
    <col min="7954" max="7954" width="20.125" style="803" customWidth="1"/>
    <col min="7955" max="7955" width="14.75" style="803" customWidth="1"/>
    <col min="7956" max="7956" width="16" style="803" bestFit="1" customWidth="1"/>
    <col min="7957" max="7957" width="19.75" style="803" bestFit="1" customWidth="1"/>
    <col min="7958" max="7958" width="7.625" style="803" bestFit="1" customWidth="1"/>
    <col min="7959" max="7959" width="12.125" style="803" customWidth="1"/>
    <col min="7960" max="7960" width="12.375" style="803" bestFit="1" customWidth="1"/>
    <col min="7961" max="7961" width="8.125" style="803" bestFit="1" customWidth="1"/>
    <col min="7962" max="7962" width="11.625" style="803" bestFit="1" customWidth="1"/>
    <col min="7963" max="7964" width="13.375" style="803" bestFit="1" customWidth="1"/>
    <col min="7965" max="7973" width="8" style="803" customWidth="1"/>
    <col min="7974" max="7974" width="12.375" style="803" bestFit="1" customWidth="1"/>
    <col min="7975" max="7975" width="9.125" style="803" bestFit="1" customWidth="1"/>
    <col min="7976" max="7976" width="28.5" style="803" bestFit="1" customWidth="1"/>
    <col min="7977" max="7977" width="25.125" style="803" bestFit="1" customWidth="1"/>
    <col min="7978" max="7978" width="10" style="803" bestFit="1" customWidth="1"/>
    <col min="7979" max="7979" width="9.125" style="803" bestFit="1" customWidth="1"/>
    <col min="7980" max="7980" width="9.375" style="803" bestFit="1" customWidth="1"/>
    <col min="7981" max="8192" width="9" style="803"/>
    <col min="8193" max="8193" width="4.875" style="803" bestFit="1" customWidth="1"/>
    <col min="8194" max="8194" width="10.125" style="803" bestFit="1" customWidth="1"/>
    <col min="8195" max="8195" width="56.375" style="803" bestFit="1" customWidth="1"/>
    <col min="8196" max="8196" width="5" style="803" customWidth="1"/>
    <col min="8197" max="8197" width="8.125" style="803" bestFit="1" customWidth="1"/>
    <col min="8198" max="8198" width="12.125" style="803" bestFit="1" customWidth="1"/>
    <col min="8199" max="8199" width="15.75" style="803" bestFit="1" customWidth="1"/>
    <col min="8200" max="8200" width="13.5" style="803" bestFit="1" customWidth="1"/>
    <col min="8201" max="8201" width="12.5" style="803" bestFit="1" customWidth="1"/>
    <col min="8202" max="8202" width="15" style="803" bestFit="1" customWidth="1"/>
    <col min="8203" max="8203" width="16.125" style="803" bestFit="1" customWidth="1"/>
    <col min="8204" max="8204" width="9.125" style="803" customWidth="1"/>
    <col min="8205" max="8205" width="13.5" style="803" customWidth="1"/>
    <col min="8206" max="8206" width="11.5" style="803" customWidth="1"/>
    <col min="8207" max="8207" width="11.875" style="803" bestFit="1" customWidth="1"/>
    <col min="8208" max="8208" width="8.125" style="803" customWidth="1"/>
    <col min="8209" max="8209" width="11" style="803" customWidth="1"/>
    <col min="8210" max="8210" width="20.125" style="803" customWidth="1"/>
    <col min="8211" max="8211" width="14.75" style="803" customWidth="1"/>
    <col min="8212" max="8212" width="16" style="803" bestFit="1" customWidth="1"/>
    <col min="8213" max="8213" width="19.75" style="803" bestFit="1" customWidth="1"/>
    <col min="8214" max="8214" width="7.625" style="803" bestFit="1" customWidth="1"/>
    <col min="8215" max="8215" width="12.125" style="803" customWidth="1"/>
    <col min="8216" max="8216" width="12.375" style="803" bestFit="1" customWidth="1"/>
    <col min="8217" max="8217" width="8.125" style="803" bestFit="1" customWidth="1"/>
    <col min="8218" max="8218" width="11.625" style="803" bestFit="1" customWidth="1"/>
    <col min="8219" max="8220" width="13.375" style="803" bestFit="1" customWidth="1"/>
    <col min="8221" max="8229" width="8" style="803" customWidth="1"/>
    <col min="8230" max="8230" width="12.375" style="803" bestFit="1" customWidth="1"/>
    <col min="8231" max="8231" width="9.125" style="803" bestFit="1" customWidth="1"/>
    <col min="8232" max="8232" width="28.5" style="803" bestFit="1" customWidth="1"/>
    <col min="8233" max="8233" width="25.125" style="803" bestFit="1" customWidth="1"/>
    <col min="8234" max="8234" width="10" style="803" bestFit="1" customWidth="1"/>
    <col min="8235" max="8235" width="9.125" style="803" bestFit="1" customWidth="1"/>
    <col min="8236" max="8236" width="9.375" style="803" bestFit="1" customWidth="1"/>
    <col min="8237" max="8448" width="9" style="803"/>
    <col min="8449" max="8449" width="4.875" style="803" bestFit="1" customWidth="1"/>
    <col min="8450" max="8450" width="10.125" style="803" bestFit="1" customWidth="1"/>
    <col min="8451" max="8451" width="56.375" style="803" bestFit="1" customWidth="1"/>
    <col min="8452" max="8452" width="5" style="803" customWidth="1"/>
    <col min="8453" max="8453" width="8.125" style="803" bestFit="1" customWidth="1"/>
    <col min="8454" max="8454" width="12.125" style="803" bestFit="1" customWidth="1"/>
    <col min="8455" max="8455" width="15.75" style="803" bestFit="1" customWidth="1"/>
    <col min="8456" max="8456" width="13.5" style="803" bestFit="1" customWidth="1"/>
    <col min="8457" max="8457" width="12.5" style="803" bestFit="1" customWidth="1"/>
    <col min="8458" max="8458" width="15" style="803" bestFit="1" customWidth="1"/>
    <col min="8459" max="8459" width="16.125" style="803" bestFit="1" customWidth="1"/>
    <col min="8460" max="8460" width="9.125" style="803" customWidth="1"/>
    <col min="8461" max="8461" width="13.5" style="803" customWidth="1"/>
    <col min="8462" max="8462" width="11.5" style="803" customWidth="1"/>
    <col min="8463" max="8463" width="11.875" style="803" bestFit="1" customWidth="1"/>
    <col min="8464" max="8464" width="8.125" style="803" customWidth="1"/>
    <col min="8465" max="8465" width="11" style="803" customWidth="1"/>
    <col min="8466" max="8466" width="20.125" style="803" customWidth="1"/>
    <col min="8467" max="8467" width="14.75" style="803" customWidth="1"/>
    <col min="8468" max="8468" width="16" style="803" bestFit="1" customWidth="1"/>
    <col min="8469" max="8469" width="19.75" style="803" bestFit="1" customWidth="1"/>
    <col min="8470" max="8470" width="7.625" style="803" bestFit="1" customWidth="1"/>
    <col min="8471" max="8471" width="12.125" style="803" customWidth="1"/>
    <col min="8472" max="8472" width="12.375" style="803" bestFit="1" customWidth="1"/>
    <col min="8473" max="8473" width="8.125" style="803" bestFit="1" customWidth="1"/>
    <col min="8474" max="8474" width="11.625" style="803" bestFit="1" customWidth="1"/>
    <col min="8475" max="8476" width="13.375" style="803" bestFit="1" customWidth="1"/>
    <col min="8477" max="8485" width="8" style="803" customWidth="1"/>
    <col min="8486" max="8486" width="12.375" style="803" bestFit="1" customWidth="1"/>
    <col min="8487" max="8487" width="9.125" style="803" bestFit="1" customWidth="1"/>
    <col min="8488" max="8488" width="28.5" style="803" bestFit="1" customWidth="1"/>
    <col min="8489" max="8489" width="25.125" style="803" bestFit="1" customWidth="1"/>
    <col min="8490" max="8490" width="10" style="803" bestFit="1" customWidth="1"/>
    <col min="8491" max="8491" width="9.125" style="803" bestFit="1" customWidth="1"/>
    <col min="8492" max="8492" width="9.375" style="803" bestFit="1" customWidth="1"/>
    <col min="8493" max="8704" width="9" style="803"/>
    <col min="8705" max="8705" width="4.875" style="803" bestFit="1" customWidth="1"/>
    <col min="8706" max="8706" width="10.125" style="803" bestFit="1" customWidth="1"/>
    <col min="8707" max="8707" width="56.375" style="803" bestFit="1" customWidth="1"/>
    <col min="8708" max="8708" width="5" style="803" customWidth="1"/>
    <col min="8709" max="8709" width="8.125" style="803" bestFit="1" customWidth="1"/>
    <col min="8710" max="8710" width="12.125" style="803" bestFit="1" customWidth="1"/>
    <col min="8711" max="8711" width="15.75" style="803" bestFit="1" customWidth="1"/>
    <col min="8712" max="8712" width="13.5" style="803" bestFit="1" customWidth="1"/>
    <col min="8713" max="8713" width="12.5" style="803" bestFit="1" customWidth="1"/>
    <col min="8714" max="8714" width="15" style="803" bestFit="1" customWidth="1"/>
    <col min="8715" max="8715" width="16.125" style="803" bestFit="1" customWidth="1"/>
    <col min="8716" max="8716" width="9.125" style="803" customWidth="1"/>
    <col min="8717" max="8717" width="13.5" style="803" customWidth="1"/>
    <col min="8718" max="8718" width="11.5" style="803" customWidth="1"/>
    <col min="8719" max="8719" width="11.875" style="803" bestFit="1" customWidth="1"/>
    <col min="8720" max="8720" width="8.125" style="803" customWidth="1"/>
    <col min="8721" max="8721" width="11" style="803" customWidth="1"/>
    <col min="8722" max="8722" width="20.125" style="803" customWidth="1"/>
    <col min="8723" max="8723" width="14.75" style="803" customWidth="1"/>
    <col min="8724" max="8724" width="16" style="803" bestFit="1" customWidth="1"/>
    <col min="8725" max="8725" width="19.75" style="803" bestFit="1" customWidth="1"/>
    <col min="8726" max="8726" width="7.625" style="803" bestFit="1" customWidth="1"/>
    <col min="8727" max="8727" width="12.125" style="803" customWidth="1"/>
    <col min="8728" max="8728" width="12.375" style="803" bestFit="1" customWidth="1"/>
    <col min="8729" max="8729" width="8.125" style="803" bestFit="1" customWidth="1"/>
    <col min="8730" max="8730" width="11.625" style="803" bestFit="1" customWidth="1"/>
    <col min="8731" max="8732" width="13.375" style="803" bestFit="1" customWidth="1"/>
    <col min="8733" max="8741" width="8" style="803" customWidth="1"/>
    <col min="8742" max="8742" width="12.375" style="803" bestFit="1" customWidth="1"/>
    <col min="8743" max="8743" width="9.125" style="803" bestFit="1" customWidth="1"/>
    <col min="8744" max="8744" width="28.5" style="803" bestFit="1" customWidth="1"/>
    <col min="8745" max="8745" width="25.125" style="803" bestFit="1" customWidth="1"/>
    <col min="8746" max="8746" width="10" style="803" bestFit="1" customWidth="1"/>
    <col min="8747" max="8747" width="9.125" style="803" bestFit="1" customWidth="1"/>
    <col min="8748" max="8748" width="9.375" style="803" bestFit="1" customWidth="1"/>
    <col min="8749" max="8960" width="9" style="803"/>
    <col min="8961" max="8961" width="4.875" style="803" bestFit="1" customWidth="1"/>
    <col min="8962" max="8962" width="10.125" style="803" bestFit="1" customWidth="1"/>
    <col min="8963" max="8963" width="56.375" style="803" bestFit="1" customWidth="1"/>
    <col min="8964" max="8964" width="5" style="803" customWidth="1"/>
    <col min="8965" max="8965" width="8.125" style="803" bestFit="1" customWidth="1"/>
    <col min="8966" max="8966" width="12.125" style="803" bestFit="1" customWidth="1"/>
    <col min="8967" max="8967" width="15.75" style="803" bestFit="1" customWidth="1"/>
    <col min="8968" max="8968" width="13.5" style="803" bestFit="1" customWidth="1"/>
    <col min="8969" max="8969" width="12.5" style="803" bestFit="1" customWidth="1"/>
    <col min="8970" max="8970" width="15" style="803" bestFit="1" customWidth="1"/>
    <col min="8971" max="8971" width="16.125" style="803" bestFit="1" customWidth="1"/>
    <col min="8972" max="8972" width="9.125" style="803" customWidth="1"/>
    <col min="8973" max="8973" width="13.5" style="803" customWidth="1"/>
    <col min="8974" max="8974" width="11.5" style="803" customWidth="1"/>
    <col min="8975" max="8975" width="11.875" style="803" bestFit="1" customWidth="1"/>
    <col min="8976" max="8976" width="8.125" style="803" customWidth="1"/>
    <col min="8977" max="8977" width="11" style="803" customWidth="1"/>
    <col min="8978" max="8978" width="20.125" style="803" customWidth="1"/>
    <col min="8979" max="8979" width="14.75" style="803" customWidth="1"/>
    <col min="8980" max="8980" width="16" style="803" bestFit="1" customWidth="1"/>
    <col min="8981" max="8981" width="19.75" style="803" bestFit="1" customWidth="1"/>
    <col min="8982" max="8982" width="7.625" style="803" bestFit="1" customWidth="1"/>
    <col min="8983" max="8983" width="12.125" style="803" customWidth="1"/>
    <col min="8984" max="8984" width="12.375" style="803" bestFit="1" customWidth="1"/>
    <col min="8985" max="8985" width="8.125" style="803" bestFit="1" customWidth="1"/>
    <col min="8986" max="8986" width="11.625" style="803" bestFit="1" customWidth="1"/>
    <col min="8987" max="8988" width="13.375" style="803" bestFit="1" customWidth="1"/>
    <col min="8989" max="8997" width="8" style="803" customWidth="1"/>
    <col min="8998" max="8998" width="12.375" style="803" bestFit="1" customWidth="1"/>
    <col min="8999" max="8999" width="9.125" style="803" bestFit="1" customWidth="1"/>
    <col min="9000" max="9000" width="28.5" style="803" bestFit="1" customWidth="1"/>
    <col min="9001" max="9001" width="25.125" style="803" bestFit="1" customWidth="1"/>
    <col min="9002" max="9002" width="10" style="803" bestFit="1" customWidth="1"/>
    <col min="9003" max="9003" width="9.125" style="803" bestFit="1" customWidth="1"/>
    <col min="9004" max="9004" width="9.375" style="803" bestFit="1" customWidth="1"/>
    <col min="9005" max="9216" width="9" style="803"/>
    <col min="9217" max="9217" width="4.875" style="803" bestFit="1" customWidth="1"/>
    <col min="9218" max="9218" width="10.125" style="803" bestFit="1" customWidth="1"/>
    <col min="9219" max="9219" width="56.375" style="803" bestFit="1" customWidth="1"/>
    <col min="9220" max="9220" width="5" style="803" customWidth="1"/>
    <col min="9221" max="9221" width="8.125" style="803" bestFit="1" customWidth="1"/>
    <col min="9222" max="9222" width="12.125" style="803" bestFit="1" customWidth="1"/>
    <col min="9223" max="9223" width="15.75" style="803" bestFit="1" customWidth="1"/>
    <col min="9224" max="9224" width="13.5" style="803" bestFit="1" customWidth="1"/>
    <col min="9225" max="9225" width="12.5" style="803" bestFit="1" customWidth="1"/>
    <col min="9226" max="9226" width="15" style="803" bestFit="1" customWidth="1"/>
    <col min="9227" max="9227" width="16.125" style="803" bestFit="1" customWidth="1"/>
    <col min="9228" max="9228" width="9.125" style="803" customWidth="1"/>
    <col min="9229" max="9229" width="13.5" style="803" customWidth="1"/>
    <col min="9230" max="9230" width="11.5" style="803" customWidth="1"/>
    <col min="9231" max="9231" width="11.875" style="803" bestFit="1" customWidth="1"/>
    <col min="9232" max="9232" width="8.125" style="803" customWidth="1"/>
    <col min="9233" max="9233" width="11" style="803" customWidth="1"/>
    <col min="9234" max="9234" width="20.125" style="803" customWidth="1"/>
    <col min="9235" max="9235" width="14.75" style="803" customWidth="1"/>
    <col min="9236" max="9236" width="16" style="803" bestFit="1" customWidth="1"/>
    <col min="9237" max="9237" width="19.75" style="803" bestFit="1" customWidth="1"/>
    <col min="9238" max="9238" width="7.625" style="803" bestFit="1" customWidth="1"/>
    <col min="9239" max="9239" width="12.125" style="803" customWidth="1"/>
    <col min="9240" max="9240" width="12.375" style="803" bestFit="1" customWidth="1"/>
    <col min="9241" max="9241" width="8.125" style="803" bestFit="1" customWidth="1"/>
    <col min="9242" max="9242" width="11.625" style="803" bestFit="1" customWidth="1"/>
    <col min="9243" max="9244" width="13.375" style="803" bestFit="1" customWidth="1"/>
    <col min="9245" max="9253" width="8" style="803" customWidth="1"/>
    <col min="9254" max="9254" width="12.375" style="803" bestFit="1" customWidth="1"/>
    <col min="9255" max="9255" width="9.125" style="803" bestFit="1" customWidth="1"/>
    <col min="9256" max="9256" width="28.5" style="803" bestFit="1" customWidth="1"/>
    <col min="9257" max="9257" width="25.125" style="803" bestFit="1" customWidth="1"/>
    <col min="9258" max="9258" width="10" style="803" bestFit="1" customWidth="1"/>
    <col min="9259" max="9259" width="9.125" style="803" bestFit="1" customWidth="1"/>
    <col min="9260" max="9260" width="9.375" style="803" bestFit="1" customWidth="1"/>
    <col min="9261" max="9472" width="9" style="803"/>
    <col min="9473" max="9473" width="4.875" style="803" bestFit="1" customWidth="1"/>
    <col min="9474" max="9474" width="10.125" style="803" bestFit="1" customWidth="1"/>
    <col min="9475" max="9475" width="56.375" style="803" bestFit="1" customWidth="1"/>
    <col min="9476" max="9476" width="5" style="803" customWidth="1"/>
    <col min="9477" max="9477" width="8.125" style="803" bestFit="1" customWidth="1"/>
    <col min="9478" max="9478" width="12.125" style="803" bestFit="1" customWidth="1"/>
    <col min="9479" max="9479" width="15.75" style="803" bestFit="1" customWidth="1"/>
    <col min="9480" max="9480" width="13.5" style="803" bestFit="1" customWidth="1"/>
    <col min="9481" max="9481" width="12.5" style="803" bestFit="1" customWidth="1"/>
    <col min="9482" max="9482" width="15" style="803" bestFit="1" customWidth="1"/>
    <col min="9483" max="9483" width="16.125" style="803" bestFit="1" customWidth="1"/>
    <col min="9484" max="9484" width="9.125" style="803" customWidth="1"/>
    <col min="9485" max="9485" width="13.5" style="803" customWidth="1"/>
    <col min="9486" max="9486" width="11.5" style="803" customWidth="1"/>
    <col min="9487" max="9487" width="11.875" style="803" bestFit="1" customWidth="1"/>
    <col min="9488" max="9488" width="8.125" style="803" customWidth="1"/>
    <col min="9489" max="9489" width="11" style="803" customWidth="1"/>
    <col min="9490" max="9490" width="20.125" style="803" customWidth="1"/>
    <col min="9491" max="9491" width="14.75" style="803" customWidth="1"/>
    <col min="9492" max="9492" width="16" style="803" bestFit="1" customWidth="1"/>
    <col min="9493" max="9493" width="19.75" style="803" bestFit="1" customWidth="1"/>
    <col min="9494" max="9494" width="7.625" style="803" bestFit="1" customWidth="1"/>
    <col min="9495" max="9495" width="12.125" style="803" customWidth="1"/>
    <col min="9496" max="9496" width="12.375" style="803" bestFit="1" customWidth="1"/>
    <col min="9497" max="9497" width="8.125" style="803" bestFit="1" customWidth="1"/>
    <col min="9498" max="9498" width="11.625" style="803" bestFit="1" customWidth="1"/>
    <col min="9499" max="9500" width="13.375" style="803" bestFit="1" customWidth="1"/>
    <col min="9501" max="9509" width="8" style="803" customWidth="1"/>
    <col min="9510" max="9510" width="12.375" style="803" bestFit="1" customWidth="1"/>
    <col min="9511" max="9511" width="9.125" style="803" bestFit="1" customWidth="1"/>
    <col min="9512" max="9512" width="28.5" style="803" bestFit="1" customWidth="1"/>
    <col min="9513" max="9513" width="25.125" style="803" bestFit="1" customWidth="1"/>
    <col min="9514" max="9514" width="10" style="803" bestFit="1" customWidth="1"/>
    <col min="9515" max="9515" width="9.125" style="803" bestFit="1" customWidth="1"/>
    <col min="9516" max="9516" width="9.375" style="803" bestFit="1" customWidth="1"/>
    <col min="9517" max="9728" width="9" style="803"/>
    <col min="9729" max="9729" width="4.875" style="803" bestFit="1" customWidth="1"/>
    <col min="9730" max="9730" width="10.125" style="803" bestFit="1" customWidth="1"/>
    <col min="9731" max="9731" width="56.375" style="803" bestFit="1" customWidth="1"/>
    <col min="9732" max="9732" width="5" style="803" customWidth="1"/>
    <col min="9733" max="9733" width="8.125" style="803" bestFit="1" customWidth="1"/>
    <col min="9734" max="9734" width="12.125" style="803" bestFit="1" customWidth="1"/>
    <col min="9735" max="9735" width="15.75" style="803" bestFit="1" customWidth="1"/>
    <col min="9736" max="9736" width="13.5" style="803" bestFit="1" customWidth="1"/>
    <col min="9737" max="9737" width="12.5" style="803" bestFit="1" customWidth="1"/>
    <col min="9738" max="9738" width="15" style="803" bestFit="1" customWidth="1"/>
    <col min="9739" max="9739" width="16.125" style="803" bestFit="1" customWidth="1"/>
    <col min="9740" max="9740" width="9.125" style="803" customWidth="1"/>
    <col min="9741" max="9741" width="13.5" style="803" customWidth="1"/>
    <col min="9742" max="9742" width="11.5" style="803" customWidth="1"/>
    <col min="9743" max="9743" width="11.875" style="803" bestFit="1" customWidth="1"/>
    <col min="9744" max="9744" width="8.125" style="803" customWidth="1"/>
    <col min="9745" max="9745" width="11" style="803" customWidth="1"/>
    <col min="9746" max="9746" width="20.125" style="803" customWidth="1"/>
    <col min="9747" max="9747" width="14.75" style="803" customWidth="1"/>
    <col min="9748" max="9748" width="16" style="803" bestFit="1" customWidth="1"/>
    <col min="9749" max="9749" width="19.75" style="803" bestFit="1" customWidth="1"/>
    <col min="9750" max="9750" width="7.625" style="803" bestFit="1" customWidth="1"/>
    <col min="9751" max="9751" width="12.125" style="803" customWidth="1"/>
    <col min="9752" max="9752" width="12.375" style="803" bestFit="1" customWidth="1"/>
    <col min="9753" max="9753" width="8.125" style="803" bestFit="1" customWidth="1"/>
    <col min="9754" max="9754" width="11.625" style="803" bestFit="1" customWidth="1"/>
    <col min="9755" max="9756" width="13.375" style="803" bestFit="1" customWidth="1"/>
    <col min="9757" max="9765" width="8" style="803" customWidth="1"/>
    <col min="9766" max="9766" width="12.375" style="803" bestFit="1" customWidth="1"/>
    <col min="9767" max="9767" width="9.125" style="803" bestFit="1" customWidth="1"/>
    <col min="9768" max="9768" width="28.5" style="803" bestFit="1" customWidth="1"/>
    <col min="9769" max="9769" width="25.125" style="803" bestFit="1" customWidth="1"/>
    <col min="9770" max="9770" width="10" style="803" bestFit="1" customWidth="1"/>
    <col min="9771" max="9771" width="9.125" style="803" bestFit="1" customWidth="1"/>
    <col min="9772" max="9772" width="9.375" style="803" bestFit="1" customWidth="1"/>
    <col min="9773" max="9984" width="9" style="803"/>
    <col min="9985" max="9985" width="4.875" style="803" bestFit="1" customWidth="1"/>
    <col min="9986" max="9986" width="10.125" style="803" bestFit="1" customWidth="1"/>
    <col min="9987" max="9987" width="56.375" style="803" bestFit="1" customWidth="1"/>
    <col min="9988" max="9988" width="5" style="803" customWidth="1"/>
    <col min="9989" max="9989" width="8.125" style="803" bestFit="1" customWidth="1"/>
    <col min="9990" max="9990" width="12.125" style="803" bestFit="1" customWidth="1"/>
    <col min="9991" max="9991" width="15.75" style="803" bestFit="1" customWidth="1"/>
    <col min="9992" max="9992" width="13.5" style="803" bestFit="1" customWidth="1"/>
    <col min="9993" max="9993" width="12.5" style="803" bestFit="1" customWidth="1"/>
    <col min="9994" max="9994" width="15" style="803" bestFit="1" customWidth="1"/>
    <col min="9995" max="9995" width="16.125" style="803" bestFit="1" customWidth="1"/>
    <col min="9996" max="9996" width="9.125" style="803" customWidth="1"/>
    <col min="9997" max="9997" width="13.5" style="803" customWidth="1"/>
    <col min="9998" max="9998" width="11.5" style="803" customWidth="1"/>
    <col min="9999" max="9999" width="11.875" style="803" bestFit="1" customWidth="1"/>
    <col min="10000" max="10000" width="8.125" style="803" customWidth="1"/>
    <col min="10001" max="10001" width="11" style="803" customWidth="1"/>
    <col min="10002" max="10002" width="20.125" style="803" customWidth="1"/>
    <col min="10003" max="10003" width="14.75" style="803" customWidth="1"/>
    <col min="10004" max="10004" width="16" style="803" bestFit="1" customWidth="1"/>
    <col min="10005" max="10005" width="19.75" style="803" bestFit="1" customWidth="1"/>
    <col min="10006" max="10006" width="7.625" style="803" bestFit="1" customWidth="1"/>
    <col min="10007" max="10007" width="12.125" style="803" customWidth="1"/>
    <col min="10008" max="10008" width="12.375" style="803" bestFit="1" customWidth="1"/>
    <col min="10009" max="10009" width="8.125" style="803" bestFit="1" customWidth="1"/>
    <col min="10010" max="10010" width="11.625" style="803" bestFit="1" customWidth="1"/>
    <col min="10011" max="10012" width="13.375" style="803" bestFit="1" customWidth="1"/>
    <col min="10013" max="10021" width="8" style="803" customWidth="1"/>
    <col min="10022" max="10022" width="12.375" style="803" bestFit="1" customWidth="1"/>
    <col min="10023" max="10023" width="9.125" style="803" bestFit="1" customWidth="1"/>
    <col min="10024" max="10024" width="28.5" style="803" bestFit="1" customWidth="1"/>
    <col min="10025" max="10025" width="25.125" style="803" bestFit="1" customWidth="1"/>
    <col min="10026" max="10026" width="10" style="803" bestFit="1" customWidth="1"/>
    <col min="10027" max="10027" width="9.125" style="803" bestFit="1" customWidth="1"/>
    <col min="10028" max="10028" width="9.375" style="803" bestFit="1" customWidth="1"/>
    <col min="10029" max="10240" width="9" style="803"/>
    <col min="10241" max="10241" width="4.875" style="803" bestFit="1" customWidth="1"/>
    <col min="10242" max="10242" width="10.125" style="803" bestFit="1" customWidth="1"/>
    <col min="10243" max="10243" width="56.375" style="803" bestFit="1" customWidth="1"/>
    <col min="10244" max="10244" width="5" style="803" customWidth="1"/>
    <col min="10245" max="10245" width="8.125" style="803" bestFit="1" customWidth="1"/>
    <col min="10246" max="10246" width="12.125" style="803" bestFit="1" customWidth="1"/>
    <col min="10247" max="10247" width="15.75" style="803" bestFit="1" customWidth="1"/>
    <col min="10248" max="10248" width="13.5" style="803" bestFit="1" customWidth="1"/>
    <col min="10249" max="10249" width="12.5" style="803" bestFit="1" customWidth="1"/>
    <col min="10250" max="10250" width="15" style="803" bestFit="1" customWidth="1"/>
    <col min="10251" max="10251" width="16.125" style="803" bestFit="1" customWidth="1"/>
    <col min="10252" max="10252" width="9.125" style="803" customWidth="1"/>
    <col min="10253" max="10253" width="13.5" style="803" customWidth="1"/>
    <col min="10254" max="10254" width="11.5" style="803" customWidth="1"/>
    <col min="10255" max="10255" width="11.875" style="803" bestFit="1" customWidth="1"/>
    <col min="10256" max="10256" width="8.125" style="803" customWidth="1"/>
    <col min="10257" max="10257" width="11" style="803" customWidth="1"/>
    <col min="10258" max="10258" width="20.125" style="803" customWidth="1"/>
    <col min="10259" max="10259" width="14.75" style="803" customWidth="1"/>
    <col min="10260" max="10260" width="16" style="803" bestFit="1" customWidth="1"/>
    <col min="10261" max="10261" width="19.75" style="803" bestFit="1" customWidth="1"/>
    <col min="10262" max="10262" width="7.625" style="803" bestFit="1" customWidth="1"/>
    <col min="10263" max="10263" width="12.125" style="803" customWidth="1"/>
    <col min="10264" max="10264" width="12.375" style="803" bestFit="1" customWidth="1"/>
    <col min="10265" max="10265" width="8.125" style="803" bestFit="1" customWidth="1"/>
    <col min="10266" max="10266" width="11.625" style="803" bestFit="1" customWidth="1"/>
    <col min="10267" max="10268" width="13.375" style="803" bestFit="1" customWidth="1"/>
    <col min="10269" max="10277" width="8" style="803" customWidth="1"/>
    <col min="10278" max="10278" width="12.375" style="803" bestFit="1" customWidth="1"/>
    <col min="10279" max="10279" width="9.125" style="803" bestFit="1" customWidth="1"/>
    <col min="10280" max="10280" width="28.5" style="803" bestFit="1" customWidth="1"/>
    <col min="10281" max="10281" width="25.125" style="803" bestFit="1" customWidth="1"/>
    <col min="10282" max="10282" width="10" style="803" bestFit="1" customWidth="1"/>
    <col min="10283" max="10283" width="9.125" style="803" bestFit="1" customWidth="1"/>
    <col min="10284" max="10284" width="9.375" style="803" bestFit="1" customWidth="1"/>
    <col min="10285" max="10496" width="9" style="803"/>
    <col min="10497" max="10497" width="4.875" style="803" bestFit="1" customWidth="1"/>
    <col min="10498" max="10498" width="10.125" style="803" bestFit="1" customWidth="1"/>
    <col min="10499" max="10499" width="56.375" style="803" bestFit="1" customWidth="1"/>
    <col min="10500" max="10500" width="5" style="803" customWidth="1"/>
    <col min="10501" max="10501" width="8.125" style="803" bestFit="1" customWidth="1"/>
    <col min="10502" max="10502" width="12.125" style="803" bestFit="1" customWidth="1"/>
    <col min="10503" max="10503" width="15.75" style="803" bestFit="1" customWidth="1"/>
    <col min="10504" max="10504" width="13.5" style="803" bestFit="1" customWidth="1"/>
    <col min="10505" max="10505" width="12.5" style="803" bestFit="1" customWidth="1"/>
    <col min="10506" max="10506" width="15" style="803" bestFit="1" customWidth="1"/>
    <col min="10507" max="10507" width="16.125" style="803" bestFit="1" customWidth="1"/>
    <col min="10508" max="10508" width="9.125" style="803" customWidth="1"/>
    <col min="10509" max="10509" width="13.5" style="803" customWidth="1"/>
    <col min="10510" max="10510" width="11.5" style="803" customWidth="1"/>
    <col min="10511" max="10511" width="11.875" style="803" bestFit="1" customWidth="1"/>
    <col min="10512" max="10512" width="8.125" style="803" customWidth="1"/>
    <col min="10513" max="10513" width="11" style="803" customWidth="1"/>
    <col min="10514" max="10514" width="20.125" style="803" customWidth="1"/>
    <col min="10515" max="10515" width="14.75" style="803" customWidth="1"/>
    <col min="10516" max="10516" width="16" style="803" bestFit="1" customWidth="1"/>
    <col min="10517" max="10517" width="19.75" style="803" bestFit="1" customWidth="1"/>
    <col min="10518" max="10518" width="7.625" style="803" bestFit="1" customWidth="1"/>
    <col min="10519" max="10519" width="12.125" style="803" customWidth="1"/>
    <col min="10520" max="10520" width="12.375" style="803" bestFit="1" customWidth="1"/>
    <col min="10521" max="10521" width="8.125" style="803" bestFit="1" customWidth="1"/>
    <col min="10522" max="10522" width="11.625" style="803" bestFit="1" customWidth="1"/>
    <col min="10523" max="10524" width="13.375" style="803" bestFit="1" customWidth="1"/>
    <col min="10525" max="10533" width="8" style="803" customWidth="1"/>
    <col min="10534" max="10534" width="12.375" style="803" bestFit="1" customWidth="1"/>
    <col min="10535" max="10535" width="9.125" style="803" bestFit="1" customWidth="1"/>
    <col min="10536" max="10536" width="28.5" style="803" bestFit="1" customWidth="1"/>
    <col min="10537" max="10537" width="25.125" style="803" bestFit="1" customWidth="1"/>
    <col min="10538" max="10538" width="10" style="803" bestFit="1" customWidth="1"/>
    <col min="10539" max="10539" width="9.125" style="803" bestFit="1" customWidth="1"/>
    <col min="10540" max="10540" width="9.375" style="803" bestFit="1" customWidth="1"/>
    <col min="10541" max="10752" width="9" style="803"/>
    <col min="10753" max="10753" width="4.875" style="803" bestFit="1" customWidth="1"/>
    <col min="10754" max="10754" width="10.125" style="803" bestFit="1" customWidth="1"/>
    <col min="10755" max="10755" width="56.375" style="803" bestFit="1" customWidth="1"/>
    <col min="10756" max="10756" width="5" style="803" customWidth="1"/>
    <col min="10757" max="10757" width="8.125" style="803" bestFit="1" customWidth="1"/>
    <col min="10758" max="10758" width="12.125" style="803" bestFit="1" customWidth="1"/>
    <col min="10759" max="10759" width="15.75" style="803" bestFit="1" customWidth="1"/>
    <col min="10760" max="10760" width="13.5" style="803" bestFit="1" customWidth="1"/>
    <col min="10761" max="10761" width="12.5" style="803" bestFit="1" customWidth="1"/>
    <col min="10762" max="10762" width="15" style="803" bestFit="1" customWidth="1"/>
    <col min="10763" max="10763" width="16.125" style="803" bestFit="1" customWidth="1"/>
    <col min="10764" max="10764" width="9.125" style="803" customWidth="1"/>
    <col min="10765" max="10765" width="13.5" style="803" customWidth="1"/>
    <col min="10766" max="10766" width="11.5" style="803" customWidth="1"/>
    <col min="10767" max="10767" width="11.875" style="803" bestFit="1" customWidth="1"/>
    <col min="10768" max="10768" width="8.125" style="803" customWidth="1"/>
    <col min="10769" max="10769" width="11" style="803" customWidth="1"/>
    <col min="10770" max="10770" width="20.125" style="803" customWidth="1"/>
    <col min="10771" max="10771" width="14.75" style="803" customWidth="1"/>
    <col min="10772" max="10772" width="16" style="803" bestFit="1" customWidth="1"/>
    <col min="10773" max="10773" width="19.75" style="803" bestFit="1" customWidth="1"/>
    <col min="10774" max="10774" width="7.625" style="803" bestFit="1" customWidth="1"/>
    <col min="10775" max="10775" width="12.125" style="803" customWidth="1"/>
    <col min="10776" max="10776" width="12.375" style="803" bestFit="1" customWidth="1"/>
    <col min="10777" max="10777" width="8.125" style="803" bestFit="1" customWidth="1"/>
    <col min="10778" max="10778" width="11.625" style="803" bestFit="1" customWidth="1"/>
    <col min="10779" max="10780" width="13.375" style="803" bestFit="1" customWidth="1"/>
    <col min="10781" max="10789" width="8" style="803" customWidth="1"/>
    <col min="10790" max="10790" width="12.375" style="803" bestFit="1" customWidth="1"/>
    <col min="10791" max="10791" width="9.125" style="803" bestFit="1" customWidth="1"/>
    <col min="10792" max="10792" width="28.5" style="803" bestFit="1" customWidth="1"/>
    <col min="10793" max="10793" width="25.125" style="803" bestFit="1" customWidth="1"/>
    <col min="10794" max="10794" width="10" style="803" bestFit="1" customWidth="1"/>
    <col min="10795" max="10795" width="9.125" style="803" bestFit="1" customWidth="1"/>
    <col min="10796" max="10796" width="9.375" style="803" bestFit="1" customWidth="1"/>
    <col min="10797" max="11008" width="9" style="803"/>
    <col min="11009" max="11009" width="4.875" style="803" bestFit="1" customWidth="1"/>
    <col min="11010" max="11010" width="10.125" style="803" bestFit="1" customWidth="1"/>
    <col min="11011" max="11011" width="56.375" style="803" bestFit="1" customWidth="1"/>
    <col min="11012" max="11012" width="5" style="803" customWidth="1"/>
    <col min="11013" max="11013" width="8.125" style="803" bestFit="1" customWidth="1"/>
    <col min="11014" max="11014" width="12.125" style="803" bestFit="1" customWidth="1"/>
    <col min="11015" max="11015" width="15.75" style="803" bestFit="1" customWidth="1"/>
    <col min="11016" max="11016" width="13.5" style="803" bestFit="1" customWidth="1"/>
    <col min="11017" max="11017" width="12.5" style="803" bestFit="1" customWidth="1"/>
    <col min="11018" max="11018" width="15" style="803" bestFit="1" customWidth="1"/>
    <col min="11019" max="11019" width="16.125" style="803" bestFit="1" customWidth="1"/>
    <col min="11020" max="11020" width="9.125" style="803" customWidth="1"/>
    <col min="11021" max="11021" width="13.5" style="803" customWidth="1"/>
    <col min="11022" max="11022" width="11.5" style="803" customWidth="1"/>
    <col min="11023" max="11023" width="11.875" style="803" bestFit="1" customWidth="1"/>
    <col min="11024" max="11024" width="8.125" style="803" customWidth="1"/>
    <col min="11025" max="11025" width="11" style="803" customWidth="1"/>
    <col min="11026" max="11026" width="20.125" style="803" customWidth="1"/>
    <col min="11027" max="11027" width="14.75" style="803" customWidth="1"/>
    <col min="11028" max="11028" width="16" style="803" bestFit="1" customWidth="1"/>
    <col min="11029" max="11029" width="19.75" style="803" bestFit="1" customWidth="1"/>
    <col min="11030" max="11030" width="7.625" style="803" bestFit="1" customWidth="1"/>
    <col min="11031" max="11031" width="12.125" style="803" customWidth="1"/>
    <col min="11032" max="11032" width="12.375" style="803" bestFit="1" customWidth="1"/>
    <col min="11033" max="11033" width="8.125" style="803" bestFit="1" customWidth="1"/>
    <col min="11034" max="11034" width="11.625" style="803" bestFit="1" customWidth="1"/>
    <col min="11035" max="11036" width="13.375" style="803" bestFit="1" customWidth="1"/>
    <col min="11037" max="11045" width="8" style="803" customWidth="1"/>
    <col min="11046" max="11046" width="12.375" style="803" bestFit="1" customWidth="1"/>
    <col min="11047" max="11047" width="9.125" style="803" bestFit="1" customWidth="1"/>
    <col min="11048" max="11048" width="28.5" style="803" bestFit="1" customWidth="1"/>
    <col min="11049" max="11049" width="25.125" style="803" bestFit="1" customWidth="1"/>
    <col min="11050" max="11050" width="10" style="803" bestFit="1" customWidth="1"/>
    <col min="11051" max="11051" width="9.125" style="803" bestFit="1" customWidth="1"/>
    <col min="11052" max="11052" width="9.375" style="803" bestFit="1" customWidth="1"/>
    <col min="11053" max="11264" width="9" style="803"/>
    <col min="11265" max="11265" width="4.875" style="803" bestFit="1" customWidth="1"/>
    <col min="11266" max="11266" width="10.125" style="803" bestFit="1" customWidth="1"/>
    <col min="11267" max="11267" width="56.375" style="803" bestFit="1" customWidth="1"/>
    <col min="11268" max="11268" width="5" style="803" customWidth="1"/>
    <col min="11269" max="11269" width="8.125" style="803" bestFit="1" customWidth="1"/>
    <col min="11270" max="11270" width="12.125" style="803" bestFit="1" customWidth="1"/>
    <col min="11271" max="11271" width="15.75" style="803" bestFit="1" customWidth="1"/>
    <col min="11272" max="11272" width="13.5" style="803" bestFit="1" customWidth="1"/>
    <col min="11273" max="11273" width="12.5" style="803" bestFit="1" customWidth="1"/>
    <col min="11274" max="11274" width="15" style="803" bestFit="1" customWidth="1"/>
    <col min="11275" max="11275" width="16.125" style="803" bestFit="1" customWidth="1"/>
    <col min="11276" max="11276" width="9.125" style="803" customWidth="1"/>
    <col min="11277" max="11277" width="13.5" style="803" customWidth="1"/>
    <col min="11278" max="11278" width="11.5" style="803" customWidth="1"/>
    <col min="11279" max="11279" width="11.875" style="803" bestFit="1" customWidth="1"/>
    <col min="11280" max="11280" width="8.125" style="803" customWidth="1"/>
    <col min="11281" max="11281" width="11" style="803" customWidth="1"/>
    <col min="11282" max="11282" width="20.125" style="803" customWidth="1"/>
    <col min="11283" max="11283" width="14.75" style="803" customWidth="1"/>
    <col min="11284" max="11284" width="16" style="803" bestFit="1" customWidth="1"/>
    <col min="11285" max="11285" width="19.75" style="803" bestFit="1" customWidth="1"/>
    <col min="11286" max="11286" width="7.625" style="803" bestFit="1" customWidth="1"/>
    <col min="11287" max="11287" width="12.125" style="803" customWidth="1"/>
    <col min="11288" max="11288" width="12.375" style="803" bestFit="1" customWidth="1"/>
    <col min="11289" max="11289" width="8.125" style="803" bestFit="1" customWidth="1"/>
    <col min="11290" max="11290" width="11.625" style="803" bestFit="1" customWidth="1"/>
    <col min="11291" max="11292" width="13.375" style="803" bestFit="1" customWidth="1"/>
    <col min="11293" max="11301" width="8" style="803" customWidth="1"/>
    <col min="11302" max="11302" width="12.375" style="803" bestFit="1" customWidth="1"/>
    <col min="11303" max="11303" width="9.125" style="803" bestFit="1" customWidth="1"/>
    <col min="11304" max="11304" width="28.5" style="803" bestFit="1" customWidth="1"/>
    <col min="11305" max="11305" width="25.125" style="803" bestFit="1" customWidth="1"/>
    <col min="11306" max="11306" width="10" style="803" bestFit="1" customWidth="1"/>
    <col min="11307" max="11307" width="9.125" style="803" bestFit="1" customWidth="1"/>
    <col min="11308" max="11308" width="9.375" style="803" bestFit="1" customWidth="1"/>
    <col min="11309" max="11520" width="9" style="803"/>
    <col min="11521" max="11521" width="4.875" style="803" bestFit="1" customWidth="1"/>
    <col min="11522" max="11522" width="10.125" style="803" bestFit="1" customWidth="1"/>
    <col min="11523" max="11523" width="56.375" style="803" bestFit="1" customWidth="1"/>
    <col min="11524" max="11524" width="5" style="803" customWidth="1"/>
    <col min="11525" max="11525" width="8.125" style="803" bestFit="1" customWidth="1"/>
    <col min="11526" max="11526" width="12.125" style="803" bestFit="1" customWidth="1"/>
    <col min="11527" max="11527" width="15.75" style="803" bestFit="1" customWidth="1"/>
    <col min="11528" max="11528" width="13.5" style="803" bestFit="1" customWidth="1"/>
    <col min="11529" max="11529" width="12.5" style="803" bestFit="1" customWidth="1"/>
    <col min="11530" max="11530" width="15" style="803" bestFit="1" customWidth="1"/>
    <col min="11531" max="11531" width="16.125" style="803" bestFit="1" customWidth="1"/>
    <col min="11532" max="11532" width="9.125" style="803" customWidth="1"/>
    <col min="11533" max="11533" width="13.5" style="803" customWidth="1"/>
    <col min="11534" max="11534" width="11.5" style="803" customWidth="1"/>
    <col min="11535" max="11535" width="11.875" style="803" bestFit="1" customWidth="1"/>
    <col min="11536" max="11536" width="8.125" style="803" customWidth="1"/>
    <col min="11537" max="11537" width="11" style="803" customWidth="1"/>
    <col min="11538" max="11538" width="20.125" style="803" customWidth="1"/>
    <col min="11539" max="11539" width="14.75" style="803" customWidth="1"/>
    <col min="11540" max="11540" width="16" style="803" bestFit="1" customWidth="1"/>
    <col min="11541" max="11541" width="19.75" style="803" bestFit="1" customWidth="1"/>
    <col min="11542" max="11542" width="7.625" style="803" bestFit="1" customWidth="1"/>
    <col min="11543" max="11543" width="12.125" style="803" customWidth="1"/>
    <col min="11544" max="11544" width="12.375" style="803" bestFit="1" customWidth="1"/>
    <col min="11545" max="11545" width="8.125" style="803" bestFit="1" customWidth="1"/>
    <col min="11546" max="11546" width="11.625" style="803" bestFit="1" customWidth="1"/>
    <col min="11547" max="11548" width="13.375" style="803" bestFit="1" customWidth="1"/>
    <col min="11549" max="11557" width="8" style="803" customWidth="1"/>
    <col min="11558" max="11558" width="12.375" style="803" bestFit="1" customWidth="1"/>
    <col min="11559" max="11559" width="9.125" style="803" bestFit="1" customWidth="1"/>
    <col min="11560" max="11560" width="28.5" style="803" bestFit="1" customWidth="1"/>
    <col min="11561" max="11561" width="25.125" style="803" bestFit="1" customWidth="1"/>
    <col min="11562" max="11562" width="10" style="803" bestFit="1" customWidth="1"/>
    <col min="11563" max="11563" width="9.125" style="803" bestFit="1" customWidth="1"/>
    <col min="11564" max="11564" width="9.375" style="803" bestFit="1" customWidth="1"/>
    <col min="11565" max="11776" width="9" style="803"/>
    <col min="11777" max="11777" width="4.875" style="803" bestFit="1" customWidth="1"/>
    <col min="11778" max="11778" width="10.125" style="803" bestFit="1" customWidth="1"/>
    <col min="11779" max="11779" width="56.375" style="803" bestFit="1" customWidth="1"/>
    <col min="11780" max="11780" width="5" style="803" customWidth="1"/>
    <col min="11781" max="11781" width="8.125" style="803" bestFit="1" customWidth="1"/>
    <col min="11782" max="11782" width="12.125" style="803" bestFit="1" customWidth="1"/>
    <col min="11783" max="11783" width="15.75" style="803" bestFit="1" customWidth="1"/>
    <col min="11784" max="11784" width="13.5" style="803" bestFit="1" customWidth="1"/>
    <col min="11785" max="11785" width="12.5" style="803" bestFit="1" customWidth="1"/>
    <col min="11786" max="11786" width="15" style="803" bestFit="1" customWidth="1"/>
    <col min="11787" max="11787" width="16.125" style="803" bestFit="1" customWidth="1"/>
    <col min="11788" max="11788" width="9.125" style="803" customWidth="1"/>
    <col min="11789" max="11789" width="13.5" style="803" customWidth="1"/>
    <col min="11790" max="11790" width="11.5" style="803" customWidth="1"/>
    <col min="11791" max="11791" width="11.875" style="803" bestFit="1" customWidth="1"/>
    <col min="11792" max="11792" width="8.125" style="803" customWidth="1"/>
    <col min="11793" max="11793" width="11" style="803" customWidth="1"/>
    <col min="11794" max="11794" width="20.125" style="803" customWidth="1"/>
    <col min="11795" max="11795" width="14.75" style="803" customWidth="1"/>
    <col min="11796" max="11796" width="16" style="803" bestFit="1" customWidth="1"/>
    <col min="11797" max="11797" width="19.75" style="803" bestFit="1" customWidth="1"/>
    <col min="11798" max="11798" width="7.625" style="803" bestFit="1" customWidth="1"/>
    <col min="11799" max="11799" width="12.125" style="803" customWidth="1"/>
    <col min="11800" max="11800" width="12.375" style="803" bestFit="1" customWidth="1"/>
    <col min="11801" max="11801" width="8.125" style="803" bestFit="1" customWidth="1"/>
    <col min="11802" max="11802" width="11.625" style="803" bestFit="1" customWidth="1"/>
    <col min="11803" max="11804" width="13.375" style="803" bestFit="1" customWidth="1"/>
    <col min="11805" max="11813" width="8" style="803" customWidth="1"/>
    <col min="11814" max="11814" width="12.375" style="803" bestFit="1" customWidth="1"/>
    <col min="11815" max="11815" width="9.125" style="803" bestFit="1" customWidth="1"/>
    <col min="11816" max="11816" width="28.5" style="803" bestFit="1" customWidth="1"/>
    <col min="11817" max="11817" width="25.125" style="803" bestFit="1" customWidth="1"/>
    <col min="11818" max="11818" width="10" style="803" bestFit="1" customWidth="1"/>
    <col min="11819" max="11819" width="9.125" style="803" bestFit="1" customWidth="1"/>
    <col min="11820" max="11820" width="9.375" style="803" bestFit="1" customWidth="1"/>
    <col min="11821" max="12032" width="9" style="803"/>
    <col min="12033" max="12033" width="4.875" style="803" bestFit="1" customWidth="1"/>
    <col min="12034" max="12034" width="10.125" style="803" bestFit="1" customWidth="1"/>
    <col min="12035" max="12035" width="56.375" style="803" bestFit="1" customWidth="1"/>
    <col min="12036" max="12036" width="5" style="803" customWidth="1"/>
    <col min="12037" max="12037" width="8.125" style="803" bestFit="1" customWidth="1"/>
    <col min="12038" max="12038" width="12.125" style="803" bestFit="1" customWidth="1"/>
    <col min="12039" max="12039" width="15.75" style="803" bestFit="1" customWidth="1"/>
    <col min="12040" max="12040" width="13.5" style="803" bestFit="1" customWidth="1"/>
    <col min="12041" max="12041" width="12.5" style="803" bestFit="1" customWidth="1"/>
    <col min="12042" max="12042" width="15" style="803" bestFit="1" customWidth="1"/>
    <col min="12043" max="12043" width="16.125" style="803" bestFit="1" customWidth="1"/>
    <col min="12044" max="12044" width="9.125" style="803" customWidth="1"/>
    <col min="12045" max="12045" width="13.5" style="803" customWidth="1"/>
    <col min="12046" max="12046" width="11.5" style="803" customWidth="1"/>
    <col min="12047" max="12047" width="11.875" style="803" bestFit="1" customWidth="1"/>
    <col min="12048" max="12048" width="8.125" style="803" customWidth="1"/>
    <col min="12049" max="12049" width="11" style="803" customWidth="1"/>
    <col min="12050" max="12050" width="20.125" style="803" customWidth="1"/>
    <col min="12051" max="12051" width="14.75" style="803" customWidth="1"/>
    <col min="12052" max="12052" width="16" style="803" bestFit="1" customWidth="1"/>
    <col min="12053" max="12053" width="19.75" style="803" bestFit="1" customWidth="1"/>
    <col min="12054" max="12054" width="7.625" style="803" bestFit="1" customWidth="1"/>
    <col min="12055" max="12055" width="12.125" style="803" customWidth="1"/>
    <col min="12056" max="12056" width="12.375" style="803" bestFit="1" customWidth="1"/>
    <col min="12057" max="12057" width="8.125" style="803" bestFit="1" customWidth="1"/>
    <col min="12058" max="12058" width="11.625" style="803" bestFit="1" customWidth="1"/>
    <col min="12059" max="12060" width="13.375" style="803" bestFit="1" customWidth="1"/>
    <col min="12061" max="12069" width="8" style="803" customWidth="1"/>
    <col min="12070" max="12070" width="12.375" style="803" bestFit="1" customWidth="1"/>
    <col min="12071" max="12071" width="9.125" style="803" bestFit="1" customWidth="1"/>
    <col min="12072" max="12072" width="28.5" style="803" bestFit="1" customWidth="1"/>
    <col min="12073" max="12073" width="25.125" style="803" bestFit="1" customWidth="1"/>
    <col min="12074" max="12074" width="10" style="803" bestFit="1" customWidth="1"/>
    <col min="12075" max="12075" width="9.125" style="803" bestFit="1" customWidth="1"/>
    <col min="12076" max="12076" width="9.375" style="803" bestFit="1" customWidth="1"/>
    <col min="12077" max="12288" width="9" style="803"/>
    <col min="12289" max="12289" width="4.875" style="803" bestFit="1" customWidth="1"/>
    <col min="12290" max="12290" width="10.125" style="803" bestFit="1" customWidth="1"/>
    <col min="12291" max="12291" width="56.375" style="803" bestFit="1" customWidth="1"/>
    <col min="12292" max="12292" width="5" style="803" customWidth="1"/>
    <col min="12293" max="12293" width="8.125" style="803" bestFit="1" customWidth="1"/>
    <col min="12294" max="12294" width="12.125" style="803" bestFit="1" customWidth="1"/>
    <col min="12295" max="12295" width="15.75" style="803" bestFit="1" customWidth="1"/>
    <col min="12296" max="12296" width="13.5" style="803" bestFit="1" customWidth="1"/>
    <col min="12297" max="12297" width="12.5" style="803" bestFit="1" customWidth="1"/>
    <col min="12298" max="12298" width="15" style="803" bestFit="1" customWidth="1"/>
    <col min="12299" max="12299" width="16.125" style="803" bestFit="1" customWidth="1"/>
    <col min="12300" max="12300" width="9.125" style="803" customWidth="1"/>
    <col min="12301" max="12301" width="13.5" style="803" customWidth="1"/>
    <col min="12302" max="12302" width="11.5" style="803" customWidth="1"/>
    <col min="12303" max="12303" width="11.875" style="803" bestFit="1" customWidth="1"/>
    <col min="12304" max="12304" width="8.125" style="803" customWidth="1"/>
    <col min="12305" max="12305" width="11" style="803" customWidth="1"/>
    <col min="12306" max="12306" width="20.125" style="803" customWidth="1"/>
    <col min="12307" max="12307" width="14.75" style="803" customWidth="1"/>
    <col min="12308" max="12308" width="16" style="803" bestFit="1" customWidth="1"/>
    <col min="12309" max="12309" width="19.75" style="803" bestFit="1" customWidth="1"/>
    <col min="12310" max="12310" width="7.625" style="803" bestFit="1" customWidth="1"/>
    <col min="12311" max="12311" width="12.125" style="803" customWidth="1"/>
    <col min="12312" max="12312" width="12.375" style="803" bestFit="1" customWidth="1"/>
    <col min="12313" max="12313" width="8.125" style="803" bestFit="1" customWidth="1"/>
    <col min="12314" max="12314" width="11.625" style="803" bestFit="1" customWidth="1"/>
    <col min="12315" max="12316" width="13.375" style="803" bestFit="1" customWidth="1"/>
    <col min="12317" max="12325" width="8" style="803" customWidth="1"/>
    <col min="12326" max="12326" width="12.375" style="803" bestFit="1" customWidth="1"/>
    <col min="12327" max="12327" width="9.125" style="803" bestFit="1" customWidth="1"/>
    <col min="12328" max="12328" width="28.5" style="803" bestFit="1" customWidth="1"/>
    <col min="12329" max="12329" width="25.125" style="803" bestFit="1" customWidth="1"/>
    <col min="12330" max="12330" width="10" style="803" bestFit="1" customWidth="1"/>
    <col min="12331" max="12331" width="9.125" style="803" bestFit="1" customWidth="1"/>
    <col min="12332" max="12332" width="9.375" style="803" bestFit="1" customWidth="1"/>
    <col min="12333" max="12544" width="9" style="803"/>
    <col min="12545" max="12545" width="4.875" style="803" bestFit="1" customWidth="1"/>
    <col min="12546" max="12546" width="10.125" style="803" bestFit="1" customWidth="1"/>
    <col min="12547" max="12547" width="56.375" style="803" bestFit="1" customWidth="1"/>
    <col min="12548" max="12548" width="5" style="803" customWidth="1"/>
    <col min="12549" max="12549" width="8.125" style="803" bestFit="1" customWidth="1"/>
    <col min="12550" max="12550" width="12.125" style="803" bestFit="1" customWidth="1"/>
    <col min="12551" max="12551" width="15.75" style="803" bestFit="1" customWidth="1"/>
    <col min="12552" max="12552" width="13.5" style="803" bestFit="1" customWidth="1"/>
    <col min="12553" max="12553" width="12.5" style="803" bestFit="1" customWidth="1"/>
    <col min="12554" max="12554" width="15" style="803" bestFit="1" customWidth="1"/>
    <col min="12555" max="12555" width="16.125" style="803" bestFit="1" customWidth="1"/>
    <col min="12556" max="12556" width="9.125" style="803" customWidth="1"/>
    <col min="12557" max="12557" width="13.5" style="803" customWidth="1"/>
    <col min="12558" max="12558" width="11.5" style="803" customWidth="1"/>
    <col min="12559" max="12559" width="11.875" style="803" bestFit="1" customWidth="1"/>
    <col min="12560" max="12560" width="8.125" style="803" customWidth="1"/>
    <col min="12561" max="12561" width="11" style="803" customWidth="1"/>
    <col min="12562" max="12562" width="20.125" style="803" customWidth="1"/>
    <col min="12563" max="12563" width="14.75" style="803" customWidth="1"/>
    <col min="12564" max="12564" width="16" style="803" bestFit="1" customWidth="1"/>
    <col min="12565" max="12565" width="19.75" style="803" bestFit="1" customWidth="1"/>
    <col min="12566" max="12566" width="7.625" style="803" bestFit="1" customWidth="1"/>
    <col min="12567" max="12567" width="12.125" style="803" customWidth="1"/>
    <col min="12568" max="12568" width="12.375" style="803" bestFit="1" customWidth="1"/>
    <col min="12569" max="12569" width="8.125" style="803" bestFit="1" customWidth="1"/>
    <col min="12570" max="12570" width="11.625" style="803" bestFit="1" customWidth="1"/>
    <col min="12571" max="12572" width="13.375" style="803" bestFit="1" customWidth="1"/>
    <col min="12573" max="12581" width="8" style="803" customWidth="1"/>
    <col min="12582" max="12582" width="12.375" style="803" bestFit="1" customWidth="1"/>
    <col min="12583" max="12583" width="9.125" style="803" bestFit="1" customWidth="1"/>
    <col min="12584" max="12584" width="28.5" style="803" bestFit="1" customWidth="1"/>
    <col min="12585" max="12585" width="25.125" style="803" bestFit="1" customWidth="1"/>
    <col min="12586" max="12586" width="10" style="803" bestFit="1" customWidth="1"/>
    <col min="12587" max="12587" width="9.125" style="803" bestFit="1" customWidth="1"/>
    <col min="12588" max="12588" width="9.375" style="803" bestFit="1" customWidth="1"/>
    <col min="12589" max="12800" width="9" style="803"/>
    <col min="12801" max="12801" width="4.875" style="803" bestFit="1" customWidth="1"/>
    <col min="12802" max="12802" width="10.125" style="803" bestFit="1" customWidth="1"/>
    <col min="12803" max="12803" width="56.375" style="803" bestFit="1" customWidth="1"/>
    <col min="12804" max="12804" width="5" style="803" customWidth="1"/>
    <col min="12805" max="12805" width="8.125" style="803" bestFit="1" customWidth="1"/>
    <col min="12806" max="12806" width="12.125" style="803" bestFit="1" customWidth="1"/>
    <col min="12807" max="12807" width="15.75" style="803" bestFit="1" customWidth="1"/>
    <col min="12808" max="12808" width="13.5" style="803" bestFit="1" customWidth="1"/>
    <col min="12809" max="12809" width="12.5" style="803" bestFit="1" customWidth="1"/>
    <col min="12810" max="12810" width="15" style="803" bestFit="1" customWidth="1"/>
    <col min="12811" max="12811" width="16.125" style="803" bestFit="1" customWidth="1"/>
    <col min="12812" max="12812" width="9.125" style="803" customWidth="1"/>
    <col min="12813" max="12813" width="13.5" style="803" customWidth="1"/>
    <col min="12814" max="12814" width="11.5" style="803" customWidth="1"/>
    <col min="12815" max="12815" width="11.875" style="803" bestFit="1" customWidth="1"/>
    <col min="12816" max="12816" width="8.125" style="803" customWidth="1"/>
    <col min="12817" max="12817" width="11" style="803" customWidth="1"/>
    <col min="12818" max="12818" width="20.125" style="803" customWidth="1"/>
    <col min="12819" max="12819" width="14.75" style="803" customWidth="1"/>
    <col min="12820" max="12820" width="16" style="803" bestFit="1" customWidth="1"/>
    <col min="12821" max="12821" width="19.75" style="803" bestFit="1" customWidth="1"/>
    <col min="12822" max="12822" width="7.625" style="803" bestFit="1" customWidth="1"/>
    <col min="12823" max="12823" width="12.125" style="803" customWidth="1"/>
    <col min="12824" max="12824" width="12.375" style="803" bestFit="1" customWidth="1"/>
    <col min="12825" max="12825" width="8.125" style="803" bestFit="1" customWidth="1"/>
    <col min="12826" max="12826" width="11.625" style="803" bestFit="1" customWidth="1"/>
    <col min="12827" max="12828" width="13.375" style="803" bestFit="1" customWidth="1"/>
    <col min="12829" max="12837" width="8" style="803" customWidth="1"/>
    <col min="12838" max="12838" width="12.375" style="803" bestFit="1" customWidth="1"/>
    <col min="12839" max="12839" width="9.125" style="803" bestFit="1" customWidth="1"/>
    <col min="12840" max="12840" width="28.5" style="803" bestFit="1" customWidth="1"/>
    <col min="12841" max="12841" width="25.125" style="803" bestFit="1" customWidth="1"/>
    <col min="12842" max="12842" width="10" style="803" bestFit="1" customWidth="1"/>
    <col min="12843" max="12843" width="9.125" style="803" bestFit="1" customWidth="1"/>
    <col min="12844" max="12844" width="9.375" style="803" bestFit="1" customWidth="1"/>
    <col min="12845" max="13056" width="9" style="803"/>
    <col min="13057" max="13057" width="4.875" style="803" bestFit="1" customWidth="1"/>
    <col min="13058" max="13058" width="10.125" style="803" bestFit="1" customWidth="1"/>
    <col min="13059" max="13059" width="56.375" style="803" bestFit="1" customWidth="1"/>
    <col min="13060" max="13060" width="5" style="803" customWidth="1"/>
    <col min="13061" max="13061" width="8.125" style="803" bestFit="1" customWidth="1"/>
    <col min="13062" max="13062" width="12.125" style="803" bestFit="1" customWidth="1"/>
    <col min="13063" max="13063" width="15.75" style="803" bestFit="1" customWidth="1"/>
    <col min="13064" max="13064" width="13.5" style="803" bestFit="1" customWidth="1"/>
    <col min="13065" max="13065" width="12.5" style="803" bestFit="1" customWidth="1"/>
    <col min="13066" max="13066" width="15" style="803" bestFit="1" customWidth="1"/>
    <col min="13067" max="13067" width="16.125" style="803" bestFit="1" customWidth="1"/>
    <col min="13068" max="13068" width="9.125" style="803" customWidth="1"/>
    <col min="13069" max="13069" width="13.5" style="803" customWidth="1"/>
    <col min="13070" max="13070" width="11.5" style="803" customWidth="1"/>
    <col min="13071" max="13071" width="11.875" style="803" bestFit="1" customWidth="1"/>
    <col min="13072" max="13072" width="8.125" style="803" customWidth="1"/>
    <col min="13073" max="13073" width="11" style="803" customWidth="1"/>
    <col min="13074" max="13074" width="20.125" style="803" customWidth="1"/>
    <col min="13075" max="13075" width="14.75" style="803" customWidth="1"/>
    <col min="13076" max="13076" width="16" style="803" bestFit="1" customWidth="1"/>
    <col min="13077" max="13077" width="19.75" style="803" bestFit="1" customWidth="1"/>
    <col min="13078" max="13078" width="7.625" style="803" bestFit="1" customWidth="1"/>
    <col min="13079" max="13079" width="12.125" style="803" customWidth="1"/>
    <col min="13080" max="13080" width="12.375" style="803" bestFit="1" customWidth="1"/>
    <col min="13081" max="13081" width="8.125" style="803" bestFit="1" customWidth="1"/>
    <col min="13082" max="13082" width="11.625" style="803" bestFit="1" customWidth="1"/>
    <col min="13083" max="13084" width="13.375" style="803" bestFit="1" customWidth="1"/>
    <col min="13085" max="13093" width="8" style="803" customWidth="1"/>
    <col min="13094" max="13094" width="12.375" style="803" bestFit="1" customWidth="1"/>
    <col min="13095" max="13095" width="9.125" style="803" bestFit="1" customWidth="1"/>
    <col min="13096" max="13096" width="28.5" style="803" bestFit="1" customWidth="1"/>
    <col min="13097" max="13097" width="25.125" style="803" bestFit="1" customWidth="1"/>
    <col min="13098" max="13098" width="10" style="803" bestFit="1" customWidth="1"/>
    <col min="13099" max="13099" width="9.125" style="803" bestFit="1" customWidth="1"/>
    <col min="13100" max="13100" width="9.375" style="803" bestFit="1" customWidth="1"/>
    <col min="13101" max="13312" width="9" style="803"/>
    <col min="13313" max="13313" width="4.875" style="803" bestFit="1" customWidth="1"/>
    <col min="13314" max="13314" width="10.125" style="803" bestFit="1" customWidth="1"/>
    <col min="13315" max="13315" width="56.375" style="803" bestFit="1" customWidth="1"/>
    <col min="13316" max="13316" width="5" style="803" customWidth="1"/>
    <col min="13317" max="13317" width="8.125" style="803" bestFit="1" customWidth="1"/>
    <col min="13318" max="13318" width="12.125" style="803" bestFit="1" customWidth="1"/>
    <col min="13319" max="13319" width="15.75" style="803" bestFit="1" customWidth="1"/>
    <col min="13320" max="13320" width="13.5" style="803" bestFit="1" customWidth="1"/>
    <col min="13321" max="13321" width="12.5" style="803" bestFit="1" customWidth="1"/>
    <col min="13322" max="13322" width="15" style="803" bestFit="1" customWidth="1"/>
    <col min="13323" max="13323" width="16.125" style="803" bestFit="1" customWidth="1"/>
    <col min="13324" max="13324" width="9.125" style="803" customWidth="1"/>
    <col min="13325" max="13325" width="13.5" style="803" customWidth="1"/>
    <col min="13326" max="13326" width="11.5" style="803" customWidth="1"/>
    <col min="13327" max="13327" width="11.875" style="803" bestFit="1" customWidth="1"/>
    <col min="13328" max="13328" width="8.125" style="803" customWidth="1"/>
    <col min="13329" max="13329" width="11" style="803" customWidth="1"/>
    <col min="13330" max="13330" width="20.125" style="803" customWidth="1"/>
    <col min="13331" max="13331" width="14.75" style="803" customWidth="1"/>
    <col min="13332" max="13332" width="16" style="803" bestFit="1" customWidth="1"/>
    <col min="13333" max="13333" width="19.75" style="803" bestFit="1" customWidth="1"/>
    <col min="13334" max="13334" width="7.625" style="803" bestFit="1" customWidth="1"/>
    <col min="13335" max="13335" width="12.125" style="803" customWidth="1"/>
    <col min="13336" max="13336" width="12.375" style="803" bestFit="1" customWidth="1"/>
    <col min="13337" max="13337" width="8.125" style="803" bestFit="1" customWidth="1"/>
    <col min="13338" max="13338" width="11.625" style="803" bestFit="1" customWidth="1"/>
    <col min="13339" max="13340" width="13.375" style="803" bestFit="1" customWidth="1"/>
    <col min="13341" max="13349" width="8" style="803" customWidth="1"/>
    <col min="13350" max="13350" width="12.375" style="803" bestFit="1" customWidth="1"/>
    <col min="13351" max="13351" width="9.125" style="803" bestFit="1" customWidth="1"/>
    <col min="13352" max="13352" width="28.5" style="803" bestFit="1" customWidth="1"/>
    <col min="13353" max="13353" width="25.125" style="803" bestFit="1" customWidth="1"/>
    <col min="13354" max="13354" width="10" style="803" bestFit="1" customWidth="1"/>
    <col min="13355" max="13355" width="9.125" style="803" bestFit="1" customWidth="1"/>
    <col min="13356" max="13356" width="9.375" style="803" bestFit="1" customWidth="1"/>
    <col min="13357" max="13568" width="9" style="803"/>
    <col min="13569" max="13569" width="4.875" style="803" bestFit="1" customWidth="1"/>
    <col min="13570" max="13570" width="10.125" style="803" bestFit="1" customWidth="1"/>
    <col min="13571" max="13571" width="56.375" style="803" bestFit="1" customWidth="1"/>
    <col min="13572" max="13572" width="5" style="803" customWidth="1"/>
    <col min="13573" max="13573" width="8.125" style="803" bestFit="1" customWidth="1"/>
    <col min="13574" max="13574" width="12.125" style="803" bestFit="1" customWidth="1"/>
    <col min="13575" max="13575" width="15.75" style="803" bestFit="1" customWidth="1"/>
    <col min="13576" max="13576" width="13.5" style="803" bestFit="1" customWidth="1"/>
    <col min="13577" max="13577" width="12.5" style="803" bestFit="1" customWidth="1"/>
    <col min="13578" max="13578" width="15" style="803" bestFit="1" customWidth="1"/>
    <col min="13579" max="13579" width="16.125" style="803" bestFit="1" customWidth="1"/>
    <col min="13580" max="13580" width="9.125" style="803" customWidth="1"/>
    <col min="13581" max="13581" width="13.5" style="803" customWidth="1"/>
    <col min="13582" max="13582" width="11.5" style="803" customWidth="1"/>
    <col min="13583" max="13583" width="11.875" style="803" bestFit="1" customWidth="1"/>
    <col min="13584" max="13584" width="8.125" style="803" customWidth="1"/>
    <col min="13585" max="13585" width="11" style="803" customWidth="1"/>
    <col min="13586" max="13586" width="20.125" style="803" customWidth="1"/>
    <col min="13587" max="13587" width="14.75" style="803" customWidth="1"/>
    <col min="13588" max="13588" width="16" style="803" bestFit="1" customWidth="1"/>
    <col min="13589" max="13589" width="19.75" style="803" bestFit="1" customWidth="1"/>
    <col min="13590" max="13590" width="7.625" style="803" bestFit="1" customWidth="1"/>
    <col min="13591" max="13591" width="12.125" style="803" customWidth="1"/>
    <col min="13592" max="13592" width="12.375" style="803" bestFit="1" customWidth="1"/>
    <col min="13593" max="13593" width="8.125" style="803" bestFit="1" customWidth="1"/>
    <col min="13594" max="13594" width="11.625" style="803" bestFit="1" customWidth="1"/>
    <col min="13595" max="13596" width="13.375" style="803" bestFit="1" customWidth="1"/>
    <col min="13597" max="13605" width="8" style="803" customWidth="1"/>
    <col min="13606" max="13606" width="12.375" style="803" bestFit="1" customWidth="1"/>
    <col min="13607" max="13607" width="9.125" style="803" bestFit="1" customWidth="1"/>
    <col min="13608" max="13608" width="28.5" style="803" bestFit="1" customWidth="1"/>
    <col min="13609" max="13609" width="25.125" style="803" bestFit="1" customWidth="1"/>
    <col min="13610" max="13610" width="10" style="803" bestFit="1" customWidth="1"/>
    <col min="13611" max="13611" width="9.125" style="803" bestFit="1" customWidth="1"/>
    <col min="13612" max="13612" width="9.375" style="803" bestFit="1" customWidth="1"/>
    <col min="13613" max="13824" width="9" style="803"/>
    <col min="13825" max="13825" width="4.875" style="803" bestFit="1" customWidth="1"/>
    <col min="13826" max="13826" width="10.125" style="803" bestFit="1" customWidth="1"/>
    <col min="13827" max="13827" width="56.375" style="803" bestFit="1" customWidth="1"/>
    <col min="13828" max="13828" width="5" style="803" customWidth="1"/>
    <col min="13829" max="13829" width="8.125" style="803" bestFit="1" customWidth="1"/>
    <col min="13830" max="13830" width="12.125" style="803" bestFit="1" customWidth="1"/>
    <col min="13831" max="13831" width="15.75" style="803" bestFit="1" customWidth="1"/>
    <col min="13832" max="13832" width="13.5" style="803" bestFit="1" customWidth="1"/>
    <col min="13833" max="13833" width="12.5" style="803" bestFit="1" customWidth="1"/>
    <col min="13834" max="13834" width="15" style="803" bestFit="1" customWidth="1"/>
    <col min="13835" max="13835" width="16.125" style="803" bestFit="1" customWidth="1"/>
    <col min="13836" max="13836" width="9.125" style="803" customWidth="1"/>
    <col min="13837" max="13837" width="13.5" style="803" customWidth="1"/>
    <col min="13838" max="13838" width="11.5" style="803" customWidth="1"/>
    <col min="13839" max="13839" width="11.875" style="803" bestFit="1" customWidth="1"/>
    <col min="13840" max="13840" width="8.125" style="803" customWidth="1"/>
    <col min="13841" max="13841" width="11" style="803" customWidth="1"/>
    <col min="13842" max="13842" width="20.125" style="803" customWidth="1"/>
    <col min="13843" max="13843" width="14.75" style="803" customWidth="1"/>
    <col min="13844" max="13844" width="16" style="803" bestFit="1" customWidth="1"/>
    <col min="13845" max="13845" width="19.75" style="803" bestFit="1" customWidth="1"/>
    <col min="13846" max="13846" width="7.625" style="803" bestFit="1" customWidth="1"/>
    <col min="13847" max="13847" width="12.125" style="803" customWidth="1"/>
    <col min="13848" max="13848" width="12.375" style="803" bestFit="1" customWidth="1"/>
    <col min="13849" max="13849" width="8.125" style="803" bestFit="1" customWidth="1"/>
    <col min="13850" max="13850" width="11.625" style="803" bestFit="1" customWidth="1"/>
    <col min="13851" max="13852" width="13.375" style="803" bestFit="1" customWidth="1"/>
    <col min="13853" max="13861" width="8" style="803" customWidth="1"/>
    <col min="13862" max="13862" width="12.375" style="803" bestFit="1" customWidth="1"/>
    <col min="13863" max="13863" width="9.125" style="803" bestFit="1" customWidth="1"/>
    <col min="13864" max="13864" width="28.5" style="803" bestFit="1" customWidth="1"/>
    <col min="13865" max="13865" width="25.125" style="803" bestFit="1" customWidth="1"/>
    <col min="13866" max="13866" width="10" style="803" bestFit="1" customWidth="1"/>
    <col min="13867" max="13867" width="9.125" style="803" bestFit="1" customWidth="1"/>
    <col min="13868" max="13868" width="9.375" style="803" bestFit="1" customWidth="1"/>
    <col min="13869" max="14080" width="9" style="803"/>
    <col min="14081" max="14081" width="4.875" style="803" bestFit="1" customWidth="1"/>
    <col min="14082" max="14082" width="10.125" style="803" bestFit="1" customWidth="1"/>
    <col min="14083" max="14083" width="56.375" style="803" bestFit="1" customWidth="1"/>
    <col min="14084" max="14084" width="5" style="803" customWidth="1"/>
    <col min="14085" max="14085" width="8.125" style="803" bestFit="1" customWidth="1"/>
    <col min="14086" max="14086" width="12.125" style="803" bestFit="1" customWidth="1"/>
    <col min="14087" max="14087" width="15.75" style="803" bestFit="1" customWidth="1"/>
    <col min="14088" max="14088" width="13.5" style="803" bestFit="1" customWidth="1"/>
    <col min="14089" max="14089" width="12.5" style="803" bestFit="1" customWidth="1"/>
    <col min="14090" max="14090" width="15" style="803" bestFit="1" customWidth="1"/>
    <col min="14091" max="14091" width="16.125" style="803" bestFit="1" customWidth="1"/>
    <col min="14092" max="14092" width="9.125" style="803" customWidth="1"/>
    <col min="14093" max="14093" width="13.5" style="803" customWidth="1"/>
    <col min="14094" max="14094" width="11.5" style="803" customWidth="1"/>
    <col min="14095" max="14095" width="11.875" style="803" bestFit="1" customWidth="1"/>
    <col min="14096" max="14096" width="8.125" style="803" customWidth="1"/>
    <col min="14097" max="14097" width="11" style="803" customWidth="1"/>
    <col min="14098" max="14098" width="20.125" style="803" customWidth="1"/>
    <col min="14099" max="14099" width="14.75" style="803" customWidth="1"/>
    <col min="14100" max="14100" width="16" style="803" bestFit="1" customWidth="1"/>
    <col min="14101" max="14101" width="19.75" style="803" bestFit="1" customWidth="1"/>
    <col min="14102" max="14102" width="7.625" style="803" bestFit="1" customWidth="1"/>
    <col min="14103" max="14103" width="12.125" style="803" customWidth="1"/>
    <col min="14104" max="14104" width="12.375" style="803" bestFit="1" customWidth="1"/>
    <col min="14105" max="14105" width="8.125" style="803" bestFit="1" customWidth="1"/>
    <col min="14106" max="14106" width="11.625" style="803" bestFit="1" customWidth="1"/>
    <col min="14107" max="14108" width="13.375" style="803" bestFit="1" customWidth="1"/>
    <col min="14109" max="14117" width="8" style="803" customWidth="1"/>
    <col min="14118" max="14118" width="12.375" style="803" bestFit="1" customWidth="1"/>
    <col min="14119" max="14119" width="9.125" style="803" bestFit="1" customWidth="1"/>
    <col min="14120" max="14120" width="28.5" style="803" bestFit="1" customWidth="1"/>
    <col min="14121" max="14121" width="25.125" style="803" bestFit="1" customWidth="1"/>
    <col min="14122" max="14122" width="10" style="803" bestFit="1" customWidth="1"/>
    <col min="14123" max="14123" width="9.125" style="803" bestFit="1" customWidth="1"/>
    <col min="14124" max="14124" width="9.375" style="803" bestFit="1" customWidth="1"/>
    <col min="14125" max="14336" width="9" style="803"/>
    <col min="14337" max="14337" width="4.875" style="803" bestFit="1" customWidth="1"/>
    <col min="14338" max="14338" width="10.125" style="803" bestFit="1" customWidth="1"/>
    <col min="14339" max="14339" width="56.375" style="803" bestFit="1" customWidth="1"/>
    <col min="14340" max="14340" width="5" style="803" customWidth="1"/>
    <col min="14341" max="14341" width="8.125" style="803" bestFit="1" customWidth="1"/>
    <col min="14342" max="14342" width="12.125" style="803" bestFit="1" customWidth="1"/>
    <col min="14343" max="14343" width="15.75" style="803" bestFit="1" customWidth="1"/>
    <col min="14344" max="14344" width="13.5" style="803" bestFit="1" customWidth="1"/>
    <col min="14345" max="14345" width="12.5" style="803" bestFit="1" customWidth="1"/>
    <col min="14346" max="14346" width="15" style="803" bestFit="1" customWidth="1"/>
    <col min="14347" max="14347" width="16.125" style="803" bestFit="1" customWidth="1"/>
    <col min="14348" max="14348" width="9.125" style="803" customWidth="1"/>
    <col min="14349" max="14349" width="13.5" style="803" customWidth="1"/>
    <col min="14350" max="14350" width="11.5" style="803" customWidth="1"/>
    <col min="14351" max="14351" width="11.875" style="803" bestFit="1" customWidth="1"/>
    <col min="14352" max="14352" width="8.125" style="803" customWidth="1"/>
    <col min="14353" max="14353" width="11" style="803" customWidth="1"/>
    <col min="14354" max="14354" width="20.125" style="803" customWidth="1"/>
    <col min="14355" max="14355" width="14.75" style="803" customWidth="1"/>
    <col min="14356" max="14356" width="16" style="803" bestFit="1" customWidth="1"/>
    <col min="14357" max="14357" width="19.75" style="803" bestFit="1" customWidth="1"/>
    <col min="14358" max="14358" width="7.625" style="803" bestFit="1" customWidth="1"/>
    <col min="14359" max="14359" width="12.125" style="803" customWidth="1"/>
    <col min="14360" max="14360" width="12.375" style="803" bestFit="1" customWidth="1"/>
    <col min="14361" max="14361" width="8.125" style="803" bestFit="1" customWidth="1"/>
    <col min="14362" max="14362" width="11.625" style="803" bestFit="1" customWidth="1"/>
    <col min="14363" max="14364" width="13.375" style="803" bestFit="1" customWidth="1"/>
    <col min="14365" max="14373" width="8" style="803" customWidth="1"/>
    <col min="14374" max="14374" width="12.375" style="803" bestFit="1" customWidth="1"/>
    <col min="14375" max="14375" width="9.125" style="803" bestFit="1" customWidth="1"/>
    <col min="14376" max="14376" width="28.5" style="803" bestFit="1" customWidth="1"/>
    <col min="14377" max="14377" width="25.125" style="803" bestFit="1" customWidth="1"/>
    <col min="14378" max="14378" width="10" style="803" bestFit="1" customWidth="1"/>
    <col min="14379" max="14379" width="9.125" style="803" bestFit="1" customWidth="1"/>
    <col min="14380" max="14380" width="9.375" style="803" bestFit="1" customWidth="1"/>
    <col min="14381" max="14592" width="9" style="803"/>
    <col min="14593" max="14593" width="4.875" style="803" bestFit="1" customWidth="1"/>
    <col min="14594" max="14594" width="10.125" style="803" bestFit="1" customWidth="1"/>
    <col min="14595" max="14595" width="56.375" style="803" bestFit="1" customWidth="1"/>
    <col min="14596" max="14596" width="5" style="803" customWidth="1"/>
    <col min="14597" max="14597" width="8.125" style="803" bestFit="1" customWidth="1"/>
    <col min="14598" max="14598" width="12.125" style="803" bestFit="1" customWidth="1"/>
    <col min="14599" max="14599" width="15.75" style="803" bestFit="1" customWidth="1"/>
    <col min="14600" max="14600" width="13.5" style="803" bestFit="1" customWidth="1"/>
    <col min="14601" max="14601" width="12.5" style="803" bestFit="1" customWidth="1"/>
    <col min="14602" max="14602" width="15" style="803" bestFit="1" customWidth="1"/>
    <col min="14603" max="14603" width="16.125" style="803" bestFit="1" customWidth="1"/>
    <col min="14604" max="14604" width="9.125" style="803" customWidth="1"/>
    <col min="14605" max="14605" width="13.5" style="803" customWidth="1"/>
    <col min="14606" max="14606" width="11.5" style="803" customWidth="1"/>
    <col min="14607" max="14607" width="11.875" style="803" bestFit="1" customWidth="1"/>
    <col min="14608" max="14608" width="8.125" style="803" customWidth="1"/>
    <col min="14609" max="14609" width="11" style="803" customWidth="1"/>
    <col min="14610" max="14610" width="20.125" style="803" customWidth="1"/>
    <col min="14611" max="14611" width="14.75" style="803" customWidth="1"/>
    <col min="14612" max="14612" width="16" style="803" bestFit="1" customWidth="1"/>
    <col min="14613" max="14613" width="19.75" style="803" bestFit="1" customWidth="1"/>
    <col min="14614" max="14614" width="7.625" style="803" bestFit="1" customWidth="1"/>
    <col min="14615" max="14615" width="12.125" style="803" customWidth="1"/>
    <col min="14616" max="14616" width="12.375" style="803" bestFit="1" customWidth="1"/>
    <col min="14617" max="14617" width="8.125" style="803" bestFit="1" customWidth="1"/>
    <col min="14618" max="14618" width="11.625" style="803" bestFit="1" customWidth="1"/>
    <col min="14619" max="14620" width="13.375" style="803" bestFit="1" customWidth="1"/>
    <col min="14621" max="14629" width="8" style="803" customWidth="1"/>
    <col min="14630" max="14630" width="12.375" style="803" bestFit="1" customWidth="1"/>
    <col min="14631" max="14631" width="9.125" style="803" bestFit="1" customWidth="1"/>
    <col min="14632" max="14632" width="28.5" style="803" bestFit="1" customWidth="1"/>
    <col min="14633" max="14633" width="25.125" style="803" bestFit="1" customWidth="1"/>
    <col min="14634" max="14634" width="10" style="803" bestFit="1" customWidth="1"/>
    <col min="14635" max="14635" width="9.125" style="803" bestFit="1" customWidth="1"/>
    <col min="14636" max="14636" width="9.375" style="803" bestFit="1" customWidth="1"/>
    <col min="14637" max="14848" width="9" style="803"/>
    <col min="14849" max="14849" width="4.875" style="803" bestFit="1" customWidth="1"/>
    <col min="14850" max="14850" width="10.125" style="803" bestFit="1" customWidth="1"/>
    <col min="14851" max="14851" width="56.375" style="803" bestFit="1" customWidth="1"/>
    <col min="14852" max="14852" width="5" style="803" customWidth="1"/>
    <col min="14853" max="14853" width="8.125" style="803" bestFit="1" customWidth="1"/>
    <col min="14854" max="14854" width="12.125" style="803" bestFit="1" customWidth="1"/>
    <col min="14855" max="14855" width="15.75" style="803" bestFit="1" customWidth="1"/>
    <col min="14856" max="14856" width="13.5" style="803" bestFit="1" customWidth="1"/>
    <col min="14857" max="14857" width="12.5" style="803" bestFit="1" customWidth="1"/>
    <col min="14858" max="14858" width="15" style="803" bestFit="1" customWidth="1"/>
    <col min="14859" max="14859" width="16.125" style="803" bestFit="1" customWidth="1"/>
    <col min="14860" max="14860" width="9.125" style="803" customWidth="1"/>
    <col min="14861" max="14861" width="13.5" style="803" customWidth="1"/>
    <col min="14862" max="14862" width="11.5" style="803" customWidth="1"/>
    <col min="14863" max="14863" width="11.875" style="803" bestFit="1" customWidth="1"/>
    <col min="14864" max="14864" width="8.125" style="803" customWidth="1"/>
    <col min="14865" max="14865" width="11" style="803" customWidth="1"/>
    <col min="14866" max="14866" width="20.125" style="803" customWidth="1"/>
    <col min="14867" max="14867" width="14.75" style="803" customWidth="1"/>
    <col min="14868" max="14868" width="16" style="803" bestFit="1" customWidth="1"/>
    <col min="14869" max="14869" width="19.75" style="803" bestFit="1" customWidth="1"/>
    <col min="14870" max="14870" width="7.625" style="803" bestFit="1" customWidth="1"/>
    <col min="14871" max="14871" width="12.125" style="803" customWidth="1"/>
    <col min="14872" max="14872" width="12.375" style="803" bestFit="1" customWidth="1"/>
    <col min="14873" max="14873" width="8.125" style="803" bestFit="1" customWidth="1"/>
    <col min="14874" max="14874" width="11.625" style="803" bestFit="1" customWidth="1"/>
    <col min="14875" max="14876" width="13.375" style="803" bestFit="1" customWidth="1"/>
    <col min="14877" max="14885" width="8" style="803" customWidth="1"/>
    <col min="14886" max="14886" width="12.375" style="803" bestFit="1" customWidth="1"/>
    <col min="14887" max="14887" width="9.125" style="803" bestFit="1" customWidth="1"/>
    <col min="14888" max="14888" width="28.5" style="803" bestFit="1" customWidth="1"/>
    <col min="14889" max="14889" width="25.125" style="803" bestFit="1" customWidth="1"/>
    <col min="14890" max="14890" width="10" style="803" bestFit="1" customWidth="1"/>
    <col min="14891" max="14891" width="9.125" style="803" bestFit="1" customWidth="1"/>
    <col min="14892" max="14892" width="9.375" style="803" bestFit="1" customWidth="1"/>
    <col min="14893" max="15104" width="9" style="803"/>
    <col min="15105" max="15105" width="4.875" style="803" bestFit="1" customWidth="1"/>
    <col min="15106" max="15106" width="10.125" style="803" bestFit="1" customWidth="1"/>
    <col min="15107" max="15107" width="56.375" style="803" bestFit="1" customWidth="1"/>
    <col min="15108" max="15108" width="5" style="803" customWidth="1"/>
    <col min="15109" max="15109" width="8.125" style="803" bestFit="1" customWidth="1"/>
    <col min="15110" max="15110" width="12.125" style="803" bestFit="1" customWidth="1"/>
    <col min="15111" max="15111" width="15.75" style="803" bestFit="1" customWidth="1"/>
    <col min="15112" max="15112" width="13.5" style="803" bestFit="1" customWidth="1"/>
    <col min="15113" max="15113" width="12.5" style="803" bestFit="1" customWidth="1"/>
    <col min="15114" max="15114" width="15" style="803" bestFit="1" customWidth="1"/>
    <col min="15115" max="15115" width="16.125" style="803" bestFit="1" customWidth="1"/>
    <col min="15116" max="15116" width="9.125" style="803" customWidth="1"/>
    <col min="15117" max="15117" width="13.5" style="803" customWidth="1"/>
    <col min="15118" max="15118" width="11.5" style="803" customWidth="1"/>
    <col min="15119" max="15119" width="11.875" style="803" bestFit="1" customWidth="1"/>
    <col min="15120" max="15120" width="8.125" style="803" customWidth="1"/>
    <col min="15121" max="15121" width="11" style="803" customWidth="1"/>
    <col min="15122" max="15122" width="20.125" style="803" customWidth="1"/>
    <col min="15123" max="15123" width="14.75" style="803" customWidth="1"/>
    <col min="15124" max="15124" width="16" style="803" bestFit="1" customWidth="1"/>
    <col min="15125" max="15125" width="19.75" style="803" bestFit="1" customWidth="1"/>
    <col min="15126" max="15126" width="7.625" style="803" bestFit="1" customWidth="1"/>
    <col min="15127" max="15127" width="12.125" style="803" customWidth="1"/>
    <col min="15128" max="15128" width="12.375" style="803" bestFit="1" customWidth="1"/>
    <col min="15129" max="15129" width="8.125" style="803" bestFit="1" customWidth="1"/>
    <col min="15130" max="15130" width="11.625" style="803" bestFit="1" customWidth="1"/>
    <col min="15131" max="15132" width="13.375" style="803" bestFit="1" customWidth="1"/>
    <col min="15133" max="15141" width="8" style="803" customWidth="1"/>
    <col min="15142" max="15142" width="12.375" style="803" bestFit="1" customWidth="1"/>
    <col min="15143" max="15143" width="9.125" style="803" bestFit="1" customWidth="1"/>
    <col min="15144" max="15144" width="28.5" style="803" bestFit="1" customWidth="1"/>
    <col min="15145" max="15145" width="25.125" style="803" bestFit="1" customWidth="1"/>
    <col min="15146" max="15146" width="10" style="803" bestFit="1" customWidth="1"/>
    <col min="15147" max="15147" width="9.125" style="803" bestFit="1" customWidth="1"/>
    <col min="15148" max="15148" width="9.375" style="803" bestFit="1" customWidth="1"/>
    <col min="15149" max="15360" width="9" style="803"/>
    <col min="15361" max="15361" width="4.875" style="803" bestFit="1" customWidth="1"/>
    <col min="15362" max="15362" width="10.125" style="803" bestFit="1" customWidth="1"/>
    <col min="15363" max="15363" width="56.375" style="803" bestFit="1" customWidth="1"/>
    <col min="15364" max="15364" width="5" style="803" customWidth="1"/>
    <col min="15365" max="15365" width="8.125" style="803" bestFit="1" customWidth="1"/>
    <col min="15366" max="15366" width="12.125" style="803" bestFit="1" customWidth="1"/>
    <col min="15367" max="15367" width="15.75" style="803" bestFit="1" customWidth="1"/>
    <col min="15368" max="15368" width="13.5" style="803" bestFit="1" customWidth="1"/>
    <col min="15369" max="15369" width="12.5" style="803" bestFit="1" customWidth="1"/>
    <col min="15370" max="15370" width="15" style="803" bestFit="1" customWidth="1"/>
    <col min="15371" max="15371" width="16.125" style="803" bestFit="1" customWidth="1"/>
    <col min="15372" max="15372" width="9.125" style="803" customWidth="1"/>
    <col min="15373" max="15373" width="13.5" style="803" customWidth="1"/>
    <col min="15374" max="15374" width="11.5" style="803" customWidth="1"/>
    <col min="15375" max="15375" width="11.875" style="803" bestFit="1" customWidth="1"/>
    <col min="15376" max="15376" width="8.125" style="803" customWidth="1"/>
    <col min="15377" max="15377" width="11" style="803" customWidth="1"/>
    <col min="15378" max="15378" width="20.125" style="803" customWidth="1"/>
    <col min="15379" max="15379" width="14.75" style="803" customWidth="1"/>
    <col min="15380" max="15380" width="16" style="803" bestFit="1" customWidth="1"/>
    <col min="15381" max="15381" width="19.75" style="803" bestFit="1" customWidth="1"/>
    <col min="15382" max="15382" width="7.625" style="803" bestFit="1" customWidth="1"/>
    <col min="15383" max="15383" width="12.125" style="803" customWidth="1"/>
    <col min="15384" max="15384" width="12.375" style="803" bestFit="1" customWidth="1"/>
    <col min="15385" max="15385" width="8.125" style="803" bestFit="1" customWidth="1"/>
    <col min="15386" max="15386" width="11.625" style="803" bestFit="1" customWidth="1"/>
    <col min="15387" max="15388" width="13.375" style="803" bestFit="1" customWidth="1"/>
    <col min="15389" max="15397" width="8" style="803" customWidth="1"/>
    <col min="15398" max="15398" width="12.375" style="803" bestFit="1" customWidth="1"/>
    <col min="15399" max="15399" width="9.125" style="803" bestFit="1" customWidth="1"/>
    <col min="15400" max="15400" width="28.5" style="803" bestFit="1" customWidth="1"/>
    <col min="15401" max="15401" width="25.125" style="803" bestFit="1" customWidth="1"/>
    <col min="15402" max="15402" width="10" style="803" bestFit="1" customWidth="1"/>
    <col min="15403" max="15403" width="9.125" style="803" bestFit="1" customWidth="1"/>
    <col min="15404" max="15404" width="9.375" style="803" bestFit="1" customWidth="1"/>
    <col min="15405" max="15616" width="9" style="803"/>
    <col min="15617" max="15617" width="4.875" style="803" bestFit="1" customWidth="1"/>
    <col min="15618" max="15618" width="10.125" style="803" bestFit="1" customWidth="1"/>
    <col min="15619" max="15619" width="56.375" style="803" bestFit="1" customWidth="1"/>
    <col min="15620" max="15620" width="5" style="803" customWidth="1"/>
    <col min="15621" max="15621" width="8.125" style="803" bestFit="1" customWidth="1"/>
    <col min="15622" max="15622" width="12.125" style="803" bestFit="1" customWidth="1"/>
    <col min="15623" max="15623" width="15.75" style="803" bestFit="1" customWidth="1"/>
    <col min="15624" max="15624" width="13.5" style="803" bestFit="1" customWidth="1"/>
    <col min="15625" max="15625" width="12.5" style="803" bestFit="1" customWidth="1"/>
    <col min="15626" max="15626" width="15" style="803" bestFit="1" customWidth="1"/>
    <col min="15627" max="15627" width="16.125" style="803" bestFit="1" customWidth="1"/>
    <col min="15628" max="15628" width="9.125" style="803" customWidth="1"/>
    <col min="15629" max="15629" width="13.5" style="803" customWidth="1"/>
    <col min="15630" max="15630" width="11.5" style="803" customWidth="1"/>
    <col min="15631" max="15631" width="11.875" style="803" bestFit="1" customWidth="1"/>
    <col min="15632" max="15632" width="8.125" style="803" customWidth="1"/>
    <col min="15633" max="15633" width="11" style="803" customWidth="1"/>
    <col min="15634" max="15634" width="20.125" style="803" customWidth="1"/>
    <col min="15635" max="15635" width="14.75" style="803" customWidth="1"/>
    <col min="15636" max="15636" width="16" style="803" bestFit="1" customWidth="1"/>
    <col min="15637" max="15637" width="19.75" style="803" bestFit="1" customWidth="1"/>
    <col min="15638" max="15638" width="7.625" style="803" bestFit="1" customWidth="1"/>
    <col min="15639" max="15639" width="12.125" style="803" customWidth="1"/>
    <col min="15640" max="15640" width="12.375" style="803" bestFit="1" customWidth="1"/>
    <col min="15641" max="15641" width="8.125" style="803" bestFit="1" customWidth="1"/>
    <col min="15642" max="15642" width="11.625" style="803" bestFit="1" customWidth="1"/>
    <col min="15643" max="15644" width="13.375" style="803" bestFit="1" customWidth="1"/>
    <col min="15645" max="15653" width="8" style="803" customWidth="1"/>
    <col min="15654" max="15654" width="12.375" style="803" bestFit="1" customWidth="1"/>
    <col min="15655" max="15655" width="9.125" style="803" bestFit="1" customWidth="1"/>
    <col min="15656" max="15656" width="28.5" style="803" bestFit="1" customWidth="1"/>
    <col min="15657" max="15657" width="25.125" style="803" bestFit="1" customWidth="1"/>
    <col min="15658" max="15658" width="10" style="803" bestFit="1" customWidth="1"/>
    <col min="15659" max="15659" width="9.125" style="803" bestFit="1" customWidth="1"/>
    <col min="15660" max="15660" width="9.375" style="803" bestFit="1" customWidth="1"/>
    <col min="15661" max="15872" width="9" style="803"/>
    <col min="15873" max="15873" width="4.875" style="803" bestFit="1" customWidth="1"/>
    <col min="15874" max="15874" width="10.125" style="803" bestFit="1" customWidth="1"/>
    <col min="15875" max="15875" width="56.375" style="803" bestFit="1" customWidth="1"/>
    <col min="15876" max="15876" width="5" style="803" customWidth="1"/>
    <col min="15877" max="15877" width="8.125" style="803" bestFit="1" customWidth="1"/>
    <col min="15878" max="15878" width="12.125" style="803" bestFit="1" customWidth="1"/>
    <col min="15879" max="15879" width="15.75" style="803" bestFit="1" customWidth="1"/>
    <col min="15880" max="15880" width="13.5" style="803" bestFit="1" customWidth="1"/>
    <col min="15881" max="15881" width="12.5" style="803" bestFit="1" customWidth="1"/>
    <col min="15882" max="15882" width="15" style="803" bestFit="1" customWidth="1"/>
    <col min="15883" max="15883" width="16.125" style="803" bestFit="1" customWidth="1"/>
    <col min="15884" max="15884" width="9.125" style="803" customWidth="1"/>
    <col min="15885" max="15885" width="13.5" style="803" customWidth="1"/>
    <col min="15886" max="15886" width="11.5" style="803" customWidth="1"/>
    <col min="15887" max="15887" width="11.875" style="803" bestFit="1" customWidth="1"/>
    <col min="15888" max="15888" width="8.125" style="803" customWidth="1"/>
    <col min="15889" max="15889" width="11" style="803" customWidth="1"/>
    <col min="15890" max="15890" width="20.125" style="803" customWidth="1"/>
    <col min="15891" max="15891" width="14.75" style="803" customWidth="1"/>
    <col min="15892" max="15892" width="16" style="803" bestFit="1" customWidth="1"/>
    <col min="15893" max="15893" width="19.75" style="803" bestFit="1" customWidth="1"/>
    <col min="15894" max="15894" width="7.625" style="803" bestFit="1" customWidth="1"/>
    <col min="15895" max="15895" width="12.125" style="803" customWidth="1"/>
    <col min="15896" max="15896" width="12.375" style="803" bestFit="1" customWidth="1"/>
    <col min="15897" max="15897" width="8.125" style="803" bestFit="1" customWidth="1"/>
    <col min="15898" max="15898" width="11.625" style="803" bestFit="1" customWidth="1"/>
    <col min="15899" max="15900" width="13.375" style="803" bestFit="1" customWidth="1"/>
    <col min="15901" max="15909" width="8" style="803" customWidth="1"/>
    <col min="15910" max="15910" width="12.375" style="803" bestFit="1" customWidth="1"/>
    <col min="15911" max="15911" width="9.125" style="803" bestFit="1" customWidth="1"/>
    <col min="15912" max="15912" width="28.5" style="803" bestFit="1" customWidth="1"/>
    <col min="15913" max="15913" width="25.125" style="803" bestFit="1" customWidth="1"/>
    <col min="15914" max="15914" width="10" style="803" bestFit="1" customWidth="1"/>
    <col min="15915" max="15915" width="9.125" style="803" bestFit="1" customWidth="1"/>
    <col min="15916" max="15916" width="9.375" style="803" bestFit="1" customWidth="1"/>
    <col min="15917" max="16128" width="9" style="803"/>
    <col min="16129" max="16129" width="4.875" style="803" bestFit="1" customWidth="1"/>
    <col min="16130" max="16130" width="10.125" style="803" bestFit="1" customWidth="1"/>
    <col min="16131" max="16131" width="56.375" style="803" bestFit="1" customWidth="1"/>
    <col min="16132" max="16132" width="5" style="803" customWidth="1"/>
    <col min="16133" max="16133" width="8.125" style="803" bestFit="1" customWidth="1"/>
    <col min="16134" max="16134" width="12.125" style="803" bestFit="1" customWidth="1"/>
    <col min="16135" max="16135" width="15.75" style="803" bestFit="1" customWidth="1"/>
    <col min="16136" max="16136" width="13.5" style="803" bestFit="1" customWidth="1"/>
    <col min="16137" max="16137" width="12.5" style="803" bestFit="1" customWidth="1"/>
    <col min="16138" max="16138" width="15" style="803" bestFit="1" customWidth="1"/>
    <col min="16139" max="16139" width="16.125" style="803" bestFit="1" customWidth="1"/>
    <col min="16140" max="16140" width="9.125" style="803" customWidth="1"/>
    <col min="16141" max="16141" width="13.5" style="803" customWidth="1"/>
    <col min="16142" max="16142" width="11.5" style="803" customWidth="1"/>
    <col min="16143" max="16143" width="11.875" style="803" bestFit="1" customWidth="1"/>
    <col min="16144" max="16144" width="8.125" style="803" customWidth="1"/>
    <col min="16145" max="16145" width="11" style="803" customWidth="1"/>
    <col min="16146" max="16146" width="20.125" style="803" customWidth="1"/>
    <col min="16147" max="16147" width="14.75" style="803" customWidth="1"/>
    <col min="16148" max="16148" width="16" style="803" bestFit="1" customWidth="1"/>
    <col min="16149" max="16149" width="19.75" style="803" bestFit="1" customWidth="1"/>
    <col min="16150" max="16150" width="7.625" style="803" bestFit="1" customWidth="1"/>
    <col min="16151" max="16151" width="12.125" style="803" customWidth="1"/>
    <col min="16152" max="16152" width="12.375" style="803" bestFit="1" customWidth="1"/>
    <col min="16153" max="16153" width="8.125" style="803" bestFit="1" customWidth="1"/>
    <col min="16154" max="16154" width="11.625" style="803" bestFit="1" customWidth="1"/>
    <col min="16155" max="16156" width="13.375" style="803" bestFit="1" customWidth="1"/>
    <col min="16157" max="16165" width="8" style="803" customWidth="1"/>
    <col min="16166" max="16166" width="12.375" style="803" bestFit="1" customWidth="1"/>
    <col min="16167" max="16167" width="9.125" style="803" bestFit="1" customWidth="1"/>
    <col min="16168" max="16168" width="28.5" style="803" bestFit="1" customWidth="1"/>
    <col min="16169" max="16169" width="25.125" style="803" bestFit="1" customWidth="1"/>
    <col min="16170" max="16170" width="10" style="803" bestFit="1" customWidth="1"/>
    <col min="16171" max="16171" width="9.125" style="803" bestFit="1" customWidth="1"/>
    <col min="16172" max="16172" width="9.375" style="803" bestFit="1" customWidth="1"/>
    <col min="16173" max="16384" width="9" style="803"/>
  </cols>
  <sheetData>
    <row r="1" spans="1:43" x14ac:dyDescent="0.2">
      <c r="B1" s="1357" t="s">
        <v>452</v>
      </c>
      <c r="C1" s="1357"/>
    </row>
    <row r="2" spans="1:43" x14ac:dyDescent="0.2">
      <c r="B2" s="808" t="s">
        <v>453</v>
      </c>
      <c r="C2" s="808"/>
      <c r="F2" s="803"/>
      <c r="G2" s="803"/>
      <c r="L2" s="914">
        <f>+N8-M8</f>
        <v>0</v>
      </c>
      <c r="M2" s="912">
        <v>43727</v>
      </c>
      <c r="N2" s="913"/>
    </row>
    <row r="3" spans="1:43" x14ac:dyDescent="0.2">
      <c r="B3" s="805" t="s">
        <v>454</v>
      </c>
      <c r="C3" s="809">
        <f>+PIB!E6</f>
        <v>44764</v>
      </c>
      <c r="L3" s="914"/>
      <c r="M3" s="915"/>
    </row>
    <row r="4" spans="1:43" ht="12.75" thickBot="1" x14ac:dyDescent="0.25"/>
    <row r="5" spans="1:43" ht="15" customHeight="1" x14ac:dyDescent="0.2">
      <c r="A5" s="1355" t="s">
        <v>455</v>
      </c>
      <c r="B5" s="1360" t="s">
        <v>456</v>
      </c>
      <c r="C5" s="1360" t="s">
        <v>457</v>
      </c>
      <c r="D5" s="1360" t="s">
        <v>458</v>
      </c>
      <c r="E5" s="1360" t="s">
        <v>459</v>
      </c>
      <c r="F5" s="1355" t="s">
        <v>460</v>
      </c>
      <c r="G5" s="1358" t="s">
        <v>197</v>
      </c>
      <c r="H5" s="1355" t="s">
        <v>461</v>
      </c>
      <c r="I5" s="1355" t="s">
        <v>462</v>
      </c>
      <c r="J5" s="1355" t="s">
        <v>463</v>
      </c>
      <c r="K5" s="1355" t="s">
        <v>464</v>
      </c>
      <c r="L5" s="1355" t="s">
        <v>465</v>
      </c>
      <c r="M5" s="1355" t="s">
        <v>466</v>
      </c>
      <c r="N5" s="1355" t="s">
        <v>467</v>
      </c>
      <c r="O5" s="1355" t="s">
        <v>468</v>
      </c>
      <c r="P5" s="1355" t="s">
        <v>469</v>
      </c>
      <c r="Q5" s="1355" t="s">
        <v>11</v>
      </c>
      <c r="R5" s="1360" t="s">
        <v>470</v>
      </c>
      <c r="S5" s="810"/>
      <c r="T5" s="1362" t="s">
        <v>471</v>
      </c>
      <c r="U5" s="1362" t="s">
        <v>472</v>
      </c>
      <c r="V5" s="1362" t="s">
        <v>473</v>
      </c>
      <c r="W5" s="1362" t="s">
        <v>487</v>
      </c>
      <c r="X5" s="1360" t="s">
        <v>488</v>
      </c>
    </row>
    <row r="6" spans="1:43" ht="20.25" customHeight="1" thickBot="1" x14ac:dyDescent="0.25">
      <c r="A6" s="1356"/>
      <c r="B6" s="1361"/>
      <c r="C6" s="1361"/>
      <c r="D6" s="1361"/>
      <c r="E6" s="1361"/>
      <c r="F6" s="1356"/>
      <c r="G6" s="1359"/>
      <c r="H6" s="1356"/>
      <c r="I6" s="1356"/>
      <c r="J6" s="1356"/>
      <c r="K6" s="1356"/>
      <c r="L6" s="1356"/>
      <c r="M6" s="1356"/>
      <c r="N6" s="1356"/>
      <c r="O6" s="1356"/>
      <c r="P6" s="1356"/>
      <c r="Q6" s="1356" t="s">
        <v>474</v>
      </c>
      <c r="R6" s="1361"/>
      <c r="S6" s="811"/>
      <c r="T6" s="1363"/>
      <c r="U6" s="1363"/>
      <c r="V6" s="1363"/>
      <c r="W6" s="1363"/>
      <c r="X6" s="1361"/>
      <c r="AN6" s="803" t="s">
        <v>475</v>
      </c>
      <c r="AO6" s="803" t="s">
        <v>476</v>
      </c>
      <c r="AP6" s="803" t="s">
        <v>477</v>
      </c>
      <c r="AQ6" s="803" t="s">
        <v>478</v>
      </c>
    </row>
    <row r="7" spans="1:43" x14ac:dyDescent="0.2">
      <c r="A7" s="812"/>
      <c r="B7" s="813"/>
      <c r="C7" s="813"/>
      <c r="D7" s="813"/>
      <c r="E7" s="812"/>
      <c r="F7" s="812"/>
      <c r="G7" s="814"/>
      <c r="H7" s="812"/>
      <c r="I7" s="812"/>
      <c r="J7" s="812"/>
      <c r="K7" s="812"/>
      <c r="L7" s="812"/>
      <c r="M7" s="812"/>
      <c r="N7" s="812"/>
      <c r="O7" s="812"/>
      <c r="P7" s="812"/>
      <c r="Q7" s="812"/>
      <c r="R7" s="812"/>
      <c r="T7" s="815"/>
    </row>
    <row r="8" spans="1:43" s="950" customFormat="1" x14ac:dyDescent="0.2">
      <c r="A8" s="935"/>
      <c r="B8" s="936"/>
      <c r="C8" s="936"/>
      <c r="D8" s="936"/>
      <c r="E8" s="936"/>
      <c r="F8" s="937"/>
      <c r="G8" s="938"/>
      <c r="H8" s="938"/>
      <c r="I8" s="939"/>
      <c r="J8" s="938"/>
      <c r="K8" s="938"/>
      <c r="L8" s="940"/>
      <c r="M8" s="940"/>
      <c r="N8" s="940"/>
      <c r="O8" s="941"/>
      <c r="P8" s="942"/>
      <c r="Q8" s="942"/>
      <c r="R8" s="943"/>
      <c r="S8" s="944"/>
      <c r="T8" s="945"/>
      <c r="U8" s="946"/>
      <c r="V8" s="947"/>
      <c r="W8" s="949"/>
      <c r="X8" s="949"/>
      <c r="Y8" s="949"/>
      <c r="Z8" s="951"/>
    </row>
    <row r="9" spans="1:43" s="950" customFormat="1" x14ac:dyDescent="0.2">
      <c r="A9" s="935"/>
      <c r="B9" s="936"/>
      <c r="C9" s="936"/>
      <c r="D9" s="936"/>
      <c r="E9" s="936"/>
      <c r="F9" s="937"/>
      <c r="G9" s="938"/>
      <c r="H9" s="938"/>
      <c r="I9" s="939"/>
      <c r="J9" s="938"/>
      <c r="K9" s="938"/>
      <c r="L9" s="940"/>
      <c r="M9" s="940"/>
      <c r="N9" s="940"/>
      <c r="O9" s="941"/>
      <c r="P9" s="942"/>
      <c r="Q9" s="942"/>
      <c r="R9" s="943"/>
      <c r="S9" s="944"/>
      <c r="T9" s="945"/>
      <c r="U9" s="946"/>
      <c r="V9" s="947"/>
      <c r="W9" s="949"/>
      <c r="X9" s="949"/>
    </row>
    <row r="10" spans="1:43" s="965" customFormat="1" x14ac:dyDescent="0.2">
      <c r="A10" s="952"/>
      <c r="B10" s="953"/>
      <c r="C10" s="953"/>
      <c r="D10" s="953"/>
      <c r="E10" s="953"/>
      <c r="F10" s="954"/>
      <c r="G10" s="955"/>
      <c r="H10" s="955"/>
      <c r="I10" s="956"/>
      <c r="J10" s="955"/>
      <c r="K10" s="955"/>
      <c r="L10" s="957"/>
      <c r="M10" s="957"/>
      <c r="N10" s="957"/>
      <c r="O10" s="958"/>
      <c r="P10" s="959"/>
      <c r="Q10" s="959"/>
      <c r="R10" s="960"/>
      <c r="S10" s="961"/>
      <c r="T10" s="962"/>
      <c r="U10" s="963"/>
      <c r="V10" s="964"/>
      <c r="W10" s="948"/>
      <c r="X10" s="948"/>
    </row>
    <row r="11" spans="1:43" s="982" customFormat="1" x14ac:dyDescent="0.2">
      <c r="A11" s="967"/>
      <c r="B11" s="968"/>
      <c r="C11" s="969"/>
      <c r="D11" s="969"/>
      <c r="E11" s="969"/>
      <c r="F11" s="970"/>
      <c r="G11" s="971"/>
      <c r="H11" s="971"/>
      <c r="I11" s="972"/>
      <c r="J11" s="971"/>
      <c r="K11" s="971"/>
      <c r="L11" s="973"/>
      <c r="M11" s="973"/>
      <c r="N11" s="973"/>
      <c r="O11" s="974"/>
      <c r="P11" s="975"/>
      <c r="Q11" s="975"/>
      <c r="R11" s="976"/>
      <c r="S11" s="977"/>
      <c r="T11" s="978"/>
      <c r="U11" s="979"/>
      <c r="V11" s="980"/>
      <c r="W11" s="930"/>
      <c r="X11" s="981"/>
    </row>
    <row r="12" spans="1:43" s="950" customFormat="1" x14ac:dyDescent="0.2">
      <c r="A12" s="935"/>
      <c r="B12" s="936"/>
      <c r="C12" s="936"/>
      <c r="D12" s="936"/>
      <c r="E12" s="936"/>
      <c r="F12" s="937"/>
      <c r="G12" s="938"/>
      <c r="H12" s="938"/>
      <c r="I12" s="939"/>
      <c r="J12" s="938"/>
      <c r="K12" s="938"/>
      <c r="L12" s="940"/>
      <c r="M12" s="940"/>
      <c r="N12" s="940"/>
      <c r="O12" s="941"/>
      <c r="P12" s="942"/>
      <c r="Q12" s="942"/>
      <c r="R12" s="943"/>
      <c r="S12" s="944"/>
      <c r="T12" s="945"/>
      <c r="U12" s="946"/>
      <c r="V12" s="947"/>
      <c r="W12" s="948"/>
      <c r="X12" s="949"/>
    </row>
    <row r="13" spans="1:43" x14ac:dyDescent="0.2">
      <c r="A13" s="815"/>
      <c r="B13" s="816"/>
      <c r="C13" s="816"/>
      <c r="D13" s="816"/>
      <c r="E13" s="815"/>
      <c r="F13" s="827"/>
      <c r="G13" s="817"/>
      <c r="H13" s="817"/>
      <c r="I13" s="818"/>
      <c r="J13" s="817"/>
      <c r="K13" s="817"/>
      <c r="L13" s="819"/>
      <c r="M13" s="819"/>
      <c r="N13" s="819"/>
      <c r="O13" s="820"/>
      <c r="P13" s="821"/>
      <c r="Q13" s="821"/>
      <c r="R13" s="822"/>
      <c r="S13" s="823"/>
      <c r="T13" s="824"/>
      <c r="U13" s="825"/>
      <c r="V13" s="826"/>
    </row>
    <row r="14" spans="1:43" ht="12.75" thickBot="1" x14ac:dyDescent="0.25">
      <c r="G14" s="828">
        <f>SUM(G8:G13)</f>
        <v>0</v>
      </c>
      <c r="H14" s="828">
        <f>SUM(H8:H13)</f>
        <v>0</v>
      </c>
      <c r="I14" s="828"/>
      <c r="J14" s="828">
        <f>SUM(J8:J13)</f>
        <v>0</v>
      </c>
      <c r="K14" s="828">
        <f>SUM(K8:K13)-K9</f>
        <v>0</v>
      </c>
      <c r="P14" s="828"/>
      <c r="R14" s="828"/>
      <c r="S14" s="828"/>
      <c r="T14" s="861">
        <f>SUM(T8:T13)</f>
        <v>0</v>
      </c>
      <c r="U14" s="861">
        <f>SUM(U8:U13)</f>
        <v>0</v>
      </c>
      <c r="V14" s="861">
        <f>SUBTOTAL(9,V8:V13)</f>
        <v>0</v>
      </c>
      <c r="W14" s="861">
        <f>SUBTOTAL(9,W8:W13)</f>
        <v>0</v>
      </c>
      <c r="X14" s="861">
        <f>SUBTOTAL(9,X8:X13)</f>
        <v>0</v>
      </c>
      <c r="Z14" s="806"/>
    </row>
    <row r="15" spans="1:43" ht="12.75" thickTop="1" x14ac:dyDescent="0.2">
      <c r="K15" s="908">
        <v>226082000</v>
      </c>
      <c r="T15" s="829"/>
      <c r="W15" s="919" t="s">
        <v>516</v>
      </c>
      <c r="X15" s="860">
        <v>0</v>
      </c>
    </row>
    <row r="16" spans="1:43" x14ac:dyDescent="0.2">
      <c r="K16" s="829">
        <f>+K15+K14</f>
        <v>226082000</v>
      </c>
      <c r="T16" s="846"/>
      <c r="X16" s="860">
        <f>+X14-X15</f>
        <v>0</v>
      </c>
    </row>
    <row r="17" spans="7:21" x14ac:dyDescent="0.2">
      <c r="J17" s="829"/>
      <c r="K17" s="829">
        <f>+T9+W8</f>
        <v>0</v>
      </c>
      <c r="T17" s="838"/>
      <c r="U17" s="838"/>
    </row>
    <row r="18" spans="7:21" x14ac:dyDescent="0.2">
      <c r="G18" s="830"/>
      <c r="K18" s="829">
        <f>+K17-K16</f>
        <v>-226082000</v>
      </c>
    </row>
  </sheetData>
  <autoFilter ref="A7:V8"/>
  <mergeCells count="24">
    <mergeCell ref="O5:O6"/>
    <mergeCell ref="P5:P6"/>
    <mergeCell ref="W5:W6"/>
    <mergeCell ref="X5:X6"/>
    <mergeCell ref="R5:R6"/>
    <mergeCell ref="T5:T6"/>
    <mergeCell ref="U5:U6"/>
    <mergeCell ref="V5:V6"/>
    <mergeCell ref="Q5:Q6"/>
    <mergeCell ref="A5:A6"/>
    <mergeCell ref="B5:B6"/>
    <mergeCell ref="C5:C6"/>
    <mergeCell ref="D5:D6"/>
    <mergeCell ref="E5:E6"/>
    <mergeCell ref="L5:L6"/>
    <mergeCell ref="M5:M6"/>
    <mergeCell ref="N5:N6"/>
    <mergeCell ref="K5:K6"/>
    <mergeCell ref="B1:C1"/>
    <mergeCell ref="F5:F6"/>
    <mergeCell ref="G5:G6"/>
    <mergeCell ref="H5:H6"/>
    <mergeCell ref="I5:I6"/>
    <mergeCell ref="J5:J6"/>
  </mergeCells>
  <pageMargins left="0.33" right="0.23" top="0.3" bottom="0.17" header="0.3" footer="0.19"/>
  <pageSetup paperSize="9" scale="6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58"/>
  <sheetViews>
    <sheetView view="pageBreakPreview" topLeftCell="K27" zoomScaleNormal="115" zoomScaleSheetLayoutView="100" workbookViewId="0">
      <selection activeCell="T54" sqref="T54"/>
    </sheetView>
  </sheetViews>
  <sheetFormatPr defaultColWidth="9" defaultRowHeight="11.25" x14ac:dyDescent="0.15"/>
  <cols>
    <col min="1" max="1" width="7.125" style="86" customWidth="1"/>
    <col min="2" max="2" width="22.625" style="195" bestFit="1" customWidth="1"/>
    <col min="3" max="3" width="6.625" style="86" customWidth="1"/>
    <col min="4" max="4" width="12" style="86" customWidth="1"/>
    <col min="5" max="5" width="8.375" style="86" customWidth="1"/>
    <col min="6" max="7" width="11.375" style="86" customWidth="1"/>
    <col min="8" max="8" width="8" style="86" customWidth="1"/>
    <col min="9" max="9" width="7.5" style="86" bestFit="1" customWidth="1"/>
    <col min="10" max="10" width="7.5" style="86" customWidth="1"/>
    <col min="11" max="11" width="9.5" style="86" bestFit="1" customWidth="1"/>
    <col min="12" max="12" width="7.125" style="86" customWidth="1"/>
    <col min="13" max="13" width="11.5" style="86" customWidth="1"/>
    <col min="14" max="14" width="9.5" style="86" customWidth="1"/>
    <col min="15" max="15" width="11.25" style="86" bestFit="1" customWidth="1"/>
    <col min="16" max="16" width="15.5" style="86" bestFit="1" customWidth="1"/>
    <col min="17" max="17" width="7.125" style="86" bestFit="1" customWidth="1"/>
    <col min="18" max="18" width="11.25" style="86" bestFit="1" customWidth="1"/>
    <col min="19" max="19" width="11.5" style="86" bestFit="1" customWidth="1"/>
    <col min="20" max="20" width="9.125" style="86" bestFit="1" customWidth="1"/>
    <col min="21" max="24" width="9" style="86" customWidth="1"/>
    <col min="25" max="25" width="11.75" style="86" bestFit="1" customWidth="1"/>
    <col min="26" max="28" width="9" style="86" customWidth="1"/>
    <col min="29" max="30" width="9" style="86"/>
    <col min="31" max="31" width="10.5" style="86" bestFit="1" customWidth="1"/>
    <col min="32" max="16384" width="9" style="86"/>
  </cols>
  <sheetData>
    <row r="2" spans="1:28" ht="12.75" x14ac:dyDescent="0.15">
      <c r="A2" s="209" t="str">
        <f>+'NAV 22.07.2022'!A2</f>
        <v>CAPITAL GROWTH FUND</v>
      </c>
    </row>
    <row r="3" spans="1:28" x14ac:dyDescent="0.15">
      <c r="A3" s="195" t="s">
        <v>205</v>
      </c>
    </row>
    <row r="4" spans="1:28" x14ac:dyDescent="0.15">
      <c r="A4" s="195" t="s">
        <v>224</v>
      </c>
    </row>
    <row r="5" spans="1:28" x14ac:dyDescent="0.15">
      <c r="A5" s="195" t="s">
        <v>8</v>
      </c>
      <c r="C5" s="1364">
        <f>'NAV 22.07.2022'!B6</f>
        <v>44764</v>
      </c>
      <c r="D5" s="1364"/>
      <c r="M5" s="205"/>
      <c r="N5" s="205"/>
      <c r="O5" s="205"/>
      <c r="P5" s="205"/>
      <c r="Q5" s="205"/>
      <c r="R5" s="208"/>
    </row>
    <row r="8" spans="1:28" x14ac:dyDescent="0.15">
      <c r="A8" s="6"/>
      <c r="B8" s="441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s="14" customFormat="1" ht="33.75" x14ac:dyDescent="0.15">
      <c r="A9" s="1372" t="s">
        <v>92</v>
      </c>
      <c r="B9" s="1365" t="s">
        <v>10</v>
      </c>
      <c r="C9" s="1365" t="s">
        <v>91</v>
      </c>
      <c r="D9" s="1367" t="s">
        <v>4</v>
      </c>
      <c r="E9" s="1367" t="s">
        <v>6</v>
      </c>
      <c r="F9" s="1367" t="s">
        <v>7</v>
      </c>
      <c r="G9" s="1367" t="s">
        <v>5</v>
      </c>
      <c r="H9" s="1367" t="s">
        <v>218</v>
      </c>
      <c r="I9" s="1367" t="s">
        <v>16</v>
      </c>
      <c r="J9" s="1367" t="s">
        <v>17</v>
      </c>
      <c r="K9" s="1367" t="s">
        <v>339</v>
      </c>
      <c r="L9" s="1369" t="s">
        <v>2</v>
      </c>
      <c r="M9" s="1370"/>
      <c r="N9" s="1365" t="s">
        <v>216</v>
      </c>
      <c r="O9" s="1365" t="s">
        <v>219</v>
      </c>
      <c r="P9" s="1365" t="s">
        <v>425</v>
      </c>
      <c r="Q9" s="1369" t="s">
        <v>217</v>
      </c>
      <c r="R9" s="1371"/>
      <c r="S9" s="1370"/>
      <c r="T9" s="1365" t="s">
        <v>221</v>
      </c>
      <c r="U9" s="1365" t="s">
        <v>222</v>
      </c>
      <c r="V9" s="886" t="s">
        <v>502</v>
      </c>
      <c r="W9" s="886" t="s">
        <v>446</v>
      </c>
      <c r="X9" s="886" t="s">
        <v>445</v>
      </c>
      <c r="Y9" s="886" t="s">
        <v>32</v>
      </c>
      <c r="Z9" s="886" t="s">
        <v>844</v>
      </c>
      <c r="AA9" s="886" t="s">
        <v>174</v>
      </c>
      <c r="AB9" s="886" t="s">
        <v>428</v>
      </c>
    </row>
    <row r="10" spans="1:28" s="14" customFormat="1" x14ac:dyDescent="0.15">
      <c r="A10" s="1373"/>
      <c r="B10" s="1366"/>
      <c r="C10" s="1366"/>
      <c r="D10" s="1368"/>
      <c r="E10" s="1368"/>
      <c r="F10" s="1368"/>
      <c r="G10" s="1368"/>
      <c r="H10" s="1368"/>
      <c r="I10" s="1368"/>
      <c r="J10" s="1368"/>
      <c r="K10" s="1368"/>
      <c r="L10" s="210" t="s">
        <v>19</v>
      </c>
      <c r="M10" s="3" t="s">
        <v>206</v>
      </c>
      <c r="N10" s="1366"/>
      <c r="O10" s="1366"/>
      <c r="P10" s="1366"/>
      <c r="Q10" s="210" t="s">
        <v>19</v>
      </c>
      <c r="R10" s="3" t="s">
        <v>206</v>
      </c>
      <c r="S10" s="3" t="s">
        <v>220</v>
      </c>
      <c r="T10" s="1366"/>
      <c r="U10" s="1366"/>
      <c r="V10" s="887"/>
      <c r="W10" s="887"/>
      <c r="X10" s="887"/>
      <c r="Y10" s="887"/>
      <c r="Z10" s="887"/>
      <c r="AA10" s="887"/>
      <c r="AB10" s="887"/>
    </row>
    <row r="11" spans="1:28" s="100" customFormat="1" x14ac:dyDescent="0.15">
      <c r="A11" s="298"/>
      <c r="B11" s="299"/>
      <c r="C11" s="84"/>
      <c r="D11" s="77"/>
      <c r="E11" s="300"/>
      <c r="F11" s="300"/>
      <c r="G11" s="73"/>
      <c r="H11" s="301"/>
      <c r="I11" s="302"/>
      <c r="J11" s="301"/>
      <c r="K11" s="75"/>
      <c r="L11" s="301"/>
      <c r="M11" s="77"/>
      <c r="N11" s="77"/>
      <c r="O11" s="303"/>
      <c r="P11" s="303"/>
      <c r="Q11" s="76"/>
      <c r="R11" s="77"/>
      <c r="S11" s="111"/>
      <c r="T11" s="111"/>
      <c r="U11" s="304"/>
      <c r="V11" s="304"/>
      <c r="W11" s="304"/>
      <c r="X11" s="304"/>
      <c r="Y11" s="304"/>
      <c r="Z11" s="304"/>
      <c r="AA11" s="304"/>
      <c r="AB11" s="304"/>
    </row>
    <row r="12" spans="1:28" s="686" customFormat="1" x14ac:dyDescent="0.15">
      <c r="A12" s="1279" t="s">
        <v>82</v>
      </c>
      <c r="B12" s="1280" t="s">
        <v>784</v>
      </c>
      <c r="C12" s="1281" t="s">
        <v>83</v>
      </c>
      <c r="D12" s="685">
        <v>20000000</v>
      </c>
      <c r="E12" s="1282">
        <v>44404</v>
      </c>
      <c r="F12" s="1282">
        <v>44574</v>
      </c>
      <c r="G12" s="1279" t="s">
        <v>721</v>
      </c>
      <c r="H12" s="1283">
        <f>(F12-$V$12)</f>
        <v>2</v>
      </c>
      <c r="I12" s="1284">
        <v>7.4815000000000006E-2</v>
      </c>
      <c r="J12" s="1283">
        <f t="shared" ref="J12" si="0">H12/365</f>
        <v>5.4794520547945206E-3</v>
      </c>
      <c r="K12" s="905">
        <v>9.8799999999999999E-2</v>
      </c>
      <c r="L12" s="1283">
        <f t="shared" ref="L12" si="1">+M12/D12*100</f>
        <v>96.632800000000003</v>
      </c>
      <c r="M12" s="1285">
        <v>19326560</v>
      </c>
      <c r="N12" s="1285">
        <f>+'T-Bills Amortization '!Q53+'T-Bills Amortization '!O53</f>
        <v>665517.17647058819</v>
      </c>
      <c r="O12" s="1285">
        <f t="shared" ref="O12" si="2">+M12+N12</f>
        <v>19992077.176470589</v>
      </c>
      <c r="P12" s="1285">
        <v>19928560</v>
      </c>
      <c r="Q12" s="904">
        <f t="shared" ref="Q12" si="3">ROUND(100/(1+(H12*K12)/365),4)</f>
        <v>99.945899999999995</v>
      </c>
      <c r="R12" s="685">
        <f t="shared" ref="R12" si="4">ROUND((Q12*D12)/100,2)</f>
        <v>19989180</v>
      </c>
      <c r="S12" s="1286">
        <f>+R12-P12-'T-Bills Amortization '!Q53</f>
        <v>17044.470588235294</v>
      </c>
      <c r="T12" s="1286">
        <v>17044.470588235294</v>
      </c>
      <c r="U12" s="1286">
        <f>+S12-T12</f>
        <v>0</v>
      </c>
      <c r="V12" s="1287">
        <v>44572</v>
      </c>
      <c r="W12" s="1286">
        <f t="shared" ref="W12:W21" si="5">D12/100</f>
        <v>200000</v>
      </c>
      <c r="X12" s="1288">
        <f t="shared" ref="X12:X21" si="6">Q12</f>
        <v>99.945899999999995</v>
      </c>
      <c r="Y12" s="1286" t="s">
        <v>105</v>
      </c>
      <c r="Z12" s="1286">
        <f t="shared" ref="Z12:Z21" si="7">S12</f>
        <v>17044.470588235294</v>
      </c>
      <c r="AA12" s="1286"/>
      <c r="AB12" s="1286"/>
    </row>
    <row r="13" spans="1:28" s="686" customFormat="1" x14ac:dyDescent="0.15">
      <c r="A13" s="1279" t="s">
        <v>82</v>
      </c>
      <c r="B13" s="1280" t="s">
        <v>785</v>
      </c>
      <c r="C13" s="1281" t="s">
        <v>83</v>
      </c>
      <c r="D13" s="685">
        <v>110000000</v>
      </c>
      <c r="E13" s="1282">
        <v>44407</v>
      </c>
      <c r="F13" s="1282">
        <v>44588</v>
      </c>
      <c r="G13" s="1279" t="s">
        <v>721</v>
      </c>
      <c r="H13" s="1283">
        <f>(F13-$V$13)</f>
        <v>13</v>
      </c>
      <c r="I13" s="1284">
        <v>7.4700000000000003E-2</v>
      </c>
      <c r="J13" s="1283">
        <f t="shared" ref="J13" si="8">H13/365</f>
        <v>3.5616438356164383E-2</v>
      </c>
      <c r="K13" s="905">
        <v>9.8199999999999996E-2</v>
      </c>
      <c r="L13" s="1283">
        <f t="shared" ref="L13" si="9">+M13/D13*100</f>
        <v>96.427999999999997</v>
      </c>
      <c r="M13" s="1285">
        <v>106070800</v>
      </c>
      <c r="N13" s="1285">
        <f>+'T-Bills Amortization '!Q55+'T-Bills Amortization '!O55</f>
        <v>3646992.2651933702</v>
      </c>
      <c r="O13" s="1285">
        <f t="shared" ref="O13" si="10">+M13+N13</f>
        <v>109717792.26519337</v>
      </c>
      <c r="P13" s="1285">
        <v>109182040</v>
      </c>
      <c r="Q13" s="904">
        <f t="shared" ref="Q13" si="11">ROUND(100/(1+(H13*K13)/365),4)</f>
        <v>99.651499999999999</v>
      </c>
      <c r="R13" s="685">
        <f t="shared" ref="R13" si="12">ROUND((Q13*D13)/100,2)</f>
        <v>109616650</v>
      </c>
      <c r="S13" s="1286">
        <f>+R13-P13-'T-Bills Amortization '!Q55</f>
        <v>130693.97790055245</v>
      </c>
      <c r="T13" s="1286">
        <v>130693.97790055245</v>
      </c>
      <c r="U13" s="1286">
        <f t="shared" ref="U13" si="13">+S13-T13</f>
        <v>0</v>
      </c>
      <c r="V13" s="1287">
        <v>44575</v>
      </c>
      <c r="W13" s="1286">
        <f t="shared" si="5"/>
        <v>1100000</v>
      </c>
      <c r="X13" s="1289">
        <f t="shared" si="6"/>
        <v>99.651499999999999</v>
      </c>
      <c r="Y13" s="1286" t="s">
        <v>104</v>
      </c>
      <c r="Z13" s="1286">
        <f t="shared" si="7"/>
        <v>130693.97790055245</v>
      </c>
      <c r="AA13" s="1286" t="s">
        <v>856</v>
      </c>
      <c r="AB13" s="1286">
        <v>4315</v>
      </c>
    </row>
    <row r="14" spans="1:28" s="686" customFormat="1" x14ac:dyDescent="0.15">
      <c r="A14" s="1279" t="s">
        <v>82</v>
      </c>
      <c r="B14" s="1280" t="s">
        <v>785</v>
      </c>
      <c r="C14" s="1281" t="s">
        <v>83</v>
      </c>
      <c r="D14" s="685">
        <v>25000000</v>
      </c>
      <c r="E14" s="1282">
        <v>44417</v>
      </c>
      <c r="F14" s="1282">
        <v>44588</v>
      </c>
      <c r="G14" s="1279" t="s">
        <v>721</v>
      </c>
      <c r="H14" s="1283">
        <f>(F14-$V$14)</f>
        <v>13</v>
      </c>
      <c r="I14" s="1284">
        <v>7.4649999999999994E-2</v>
      </c>
      <c r="J14" s="1283">
        <f t="shared" ref="J14" si="14">H14/365</f>
        <v>3.5616438356164383E-2</v>
      </c>
      <c r="K14" s="905">
        <v>9.8199999999999996E-2</v>
      </c>
      <c r="L14" s="1283">
        <f t="shared" ref="L14" si="15">+M14/D14*100</f>
        <v>96.620899999999992</v>
      </c>
      <c r="M14" s="1285">
        <v>24155225</v>
      </c>
      <c r="N14" s="1285">
        <f>+'T-Bills Amortization '!Q56+'T-Bills Amortization '!O56</f>
        <v>780552.33918128652</v>
      </c>
      <c r="O14" s="1285">
        <f t="shared" ref="O14" si="16">+M14+N14</f>
        <v>24935777.339181285</v>
      </c>
      <c r="P14" s="1285">
        <v>24814100</v>
      </c>
      <c r="Q14" s="904">
        <f t="shared" ref="Q14" si="17">ROUND(100/(1+(H14*K14)/365),4)</f>
        <v>99.651499999999999</v>
      </c>
      <c r="R14" s="685">
        <f t="shared" ref="R14" si="18">ROUND((Q14*D14)/100,2)</f>
        <v>24912875</v>
      </c>
      <c r="S14" s="1286">
        <f>+R14-P14-'T-Bills Amortization '!Q56</f>
        <v>29612.134502923975</v>
      </c>
      <c r="T14" s="1286">
        <v>29612.134502923975</v>
      </c>
      <c r="U14" s="1286">
        <f t="shared" ref="U14" si="19">+S14-T14</f>
        <v>0</v>
      </c>
      <c r="V14" s="1287">
        <v>44575</v>
      </c>
      <c r="W14" s="1286">
        <f t="shared" si="5"/>
        <v>250000</v>
      </c>
      <c r="X14" s="1289">
        <f t="shared" si="6"/>
        <v>99.651499999999999</v>
      </c>
      <c r="Y14" s="1286" t="s">
        <v>104</v>
      </c>
      <c r="Z14" s="1286">
        <f t="shared" si="7"/>
        <v>29612.134502923975</v>
      </c>
      <c r="AA14" s="1286"/>
      <c r="AB14" s="1286"/>
    </row>
    <row r="15" spans="1:28" s="686" customFormat="1" x14ac:dyDescent="0.15">
      <c r="A15" s="1279" t="s">
        <v>82</v>
      </c>
      <c r="B15" s="1280" t="s">
        <v>785</v>
      </c>
      <c r="C15" s="1281" t="s">
        <v>158</v>
      </c>
      <c r="D15" s="685">
        <v>450000000</v>
      </c>
      <c r="E15" s="1282">
        <v>44419</v>
      </c>
      <c r="F15" s="1282">
        <v>44588</v>
      </c>
      <c r="G15" s="1279" t="s">
        <v>721</v>
      </c>
      <c r="H15" s="1283">
        <f>(F15-$V$15)</f>
        <v>13</v>
      </c>
      <c r="I15" s="1284">
        <v>7.4499999999999997E-2</v>
      </c>
      <c r="J15" s="1283">
        <f t="shared" ref="J15" si="20">H15/365</f>
        <v>3.5616438356164383E-2</v>
      </c>
      <c r="K15" s="905">
        <v>9.8199999999999996E-2</v>
      </c>
      <c r="L15" s="1283">
        <f t="shared" ref="L15" si="21">+M15/D15*100</f>
        <v>96.665599999999998</v>
      </c>
      <c r="M15" s="1285">
        <v>434995200</v>
      </c>
      <c r="N15" s="1285">
        <f>+'T-Bills Amortization '!Q57+'T-Bills Amortization '!O57</f>
        <v>13850584.615384616</v>
      </c>
      <c r="O15" s="1285">
        <f t="shared" ref="O15" si="22">+M15+N15</f>
        <v>448845784.61538464</v>
      </c>
      <c r="P15" s="1285">
        <v>446653800</v>
      </c>
      <c r="Q15" s="904">
        <f t="shared" ref="Q15" si="23">ROUND(100/(1+(H15*K15)/365),4)</f>
        <v>99.651499999999999</v>
      </c>
      <c r="R15" s="685">
        <f t="shared" ref="R15" si="24">ROUND((Q15*D15)/100,2)</f>
        <v>448431750</v>
      </c>
      <c r="S15" s="1286">
        <f>+R15-P15-'T-Bills Amortization '!Q57</f>
        <v>534948.81656804727</v>
      </c>
      <c r="T15" s="1286">
        <v>534948.81656804727</v>
      </c>
      <c r="U15" s="1286">
        <f t="shared" ref="U15" si="25">+S15-T15</f>
        <v>0</v>
      </c>
      <c r="V15" s="1287">
        <v>44575</v>
      </c>
      <c r="W15" s="1286">
        <f t="shared" si="5"/>
        <v>4500000</v>
      </c>
      <c r="X15" s="1289">
        <f t="shared" si="6"/>
        <v>99.651499999999999</v>
      </c>
      <c r="Y15" s="1286" t="s">
        <v>104</v>
      </c>
      <c r="Z15" s="1286">
        <f t="shared" si="7"/>
        <v>534948.81656804727</v>
      </c>
      <c r="AA15" s="1286"/>
      <c r="AB15" s="1286"/>
    </row>
    <row r="16" spans="1:28" s="686" customFormat="1" x14ac:dyDescent="0.15">
      <c r="A16" s="1279" t="s">
        <v>82</v>
      </c>
      <c r="B16" s="1280" t="s">
        <v>785</v>
      </c>
      <c r="C16" s="1281" t="s">
        <v>83</v>
      </c>
      <c r="D16" s="685">
        <v>130000000</v>
      </c>
      <c r="E16" s="1282">
        <v>44421</v>
      </c>
      <c r="F16" s="1282">
        <v>44588</v>
      </c>
      <c r="G16" s="1279" t="s">
        <v>721</v>
      </c>
      <c r="H16" s="1283">
        <f>(F16-$V$16)</f>
        <v>13</v>
      </c>
      <c r="I16" s="1284">
        <v>7.4024999999999994E-2</v>
      </c>
      <c r="J16" s="1283">
        <f t="shared" ref="J16" si="26">H16/365</f>
        <v>3.5616438356164383E-2</v>
      </c>
      <c r="K16" s="905">
        <v>9.8199999999999996E-2</v>
      </c>
      <c r="L16" s="1283">
        <f t="shared" ref="L16" si="27">+M16/D16*100</f>
        <v>96.724100000000007</v>
      </c>
      <c r="M16" s="1285">
        <v>125741330.00000001</v>
      </c>
      <c r="N16" s="1285">
        <f>+'T-Bills Amortization '!Q58+'T-Bills Amortization '!O58</f>
        <v>3927156.766467052</v>
      </c>
      <c r="O16" s="1285">
        <f t="shared" ref="O16" si="28">+M16+N16</f>
        <v>129668486.76646706</v>
      </c>
      <c r="P16" s="1285">
        <v>129033320</v>
      </c>
      <c r="Q16" s="904">
        <f t="shared" ref="Q16" si="29">ROUND(100/(1+(H16*K16)/365),4)</f>
        <v>99.651499999999999</v>
      </c>
      <c r="R16" s="685">
        <f t="shared" ref="R16" si="30">ROUND((Q16*D16)/100,2)</f>
        <v>129546950</v>
      </c>
      <c r="S16" s="1286">
        <f>+R16-P16-'T-Bills Amortization '!Q58</f>
        <v>156615.74850299524</v>
      </c>
      <c r="T16" s="1286">
        <v>156615.74850299524</v>
      </c>
      <c r="U16" s="1286">
        <f t="shared" ref="U16" si="31">+S16-T16</f>
        <v>0</v>
      </c>
      <c r="V16" s="1287">
        <v>44575</v>
      </c>
      <c r="W16" s="1286">
        <f t="shared" si="5"/>
        <v>1300000</v>
      </c>
      <c r="X16" s="1289">
        <f t="shared" si="6"/>
        <v>99.651499999999999</v>
      </c>
      <c r="Y16" s="1286" t="s">
        <v>104</v>
      </c>
      <c r="Z16" s="1286">
        <f t="shared" si="7"/>
        <v>156615.74850299524</v>
      </c>
      <c r="AA16" s="1286"/>
      <c r="AB16" s="1286"/>
    </row>
    <row r="17" spans="1:28" s="686" customFormat="1" x14ac:dyDescent="0.15">
      <c r="A17" s="1279" t="s">
        <v>82</v>
      </c>
      <c r="B17" s="1280" t="s">
        <v>788</v>
      </c>
      <c r="C17" s="1281" t="s">
        <v>83</v>
      </c>
      <c r="D17" s="685">
        <v>465000000</v>
      </c>
      <c r="E17" s="1282">
        <v>44434</v>
      </c>
      <c r="F17" s="1282">
        <v>44616</v>
      </c>
      <c r="G17" s="1279" t="s">
        <v>721</v>
      </c>
      <c r="H17" s="1283">
        <f>(F17-$V$17)</f>
        <v>14</v>
      </c>
      <c r="I17" s="1284">
        <v>7.3855000000000004E-2</v>
      </c>
      <c r="J17" s="1283">
        <f t="shared" ref="J17" si="32">H17/365</f>
        <v>3.8356164383561646E-2</v>
      </c>
      <c r="K17" s="905">
        <v>9.9000000000000005E-2</v>
      </c>
      <c r="L17" s="1283">
        <f t="shared" ref="L17" si="33">+M17/D17*100</f>
        <v>96.4482</v>
      </c>
      <c r="M17" s="1285">
        <v>448484130</v>
      </c>
      <c r="N17" s="1285">
        <f>+'T-Bills Amortization '!Q62+'T-Bills Amortization '!O62</f>
        <v>15245418.461538464</v>
      </c>
      <c r="O17" s="1285">
        <f t="shared" ref="O17" si="34">+M17+N17</f>
        <v>463729548.46153843</v>
      </c>
      <c r="P17" s="1285">
        <v>457939905</v>
      </c>
      <c r="Q17" s="904">
        <f t="shared" ref="Q17" si="35">ROUND(100/(1+(H17*K17)/365),4)</f>
        <v>99.621700000000004</v>
      </c>
      <c r="R17" s="685">
        <f t="shared" ref="R17" si="36">ROUND((Q17*D17)/100,2)</f>
        <v>463240905</v>
      </c>
      <c r="S17" s="1286">
        <f>+R17-P17-'T-Bills Amortization '!Q62</f>
        <v>1580391.923076923</v>
      </c>
      <c r="T17" s="1286">
        <v>1580391.923076923</v>
      </c>
      <c r="U17" s="1286">
        <f t="shared" ref="U17" si="37">+S17-T17</f>
        <v>0</v>
      </c>
      <c r="V17" s="1287">
        <v>44602</v>
      </c>
      <c r="W17" s="1286">
        <f t="shared" si="5"/>
        <v>4650000</v>
      </c>
      <c r="X17" s="1304">
        <f t="shared" si="6"/>
        <v>99.621700000000004</v>
      </c>
      <c r="Y17" s="1286" t="s">
        <v>871</v>
      </c>
      <c r="Z17" s="1286">
        <f t="shared" si="7"/>
        <v>1580391.923076923</v>
      </c>
      <c r="AA17" s="1286"/>
      <c r="AB17" s="1286"/>
    </row>
    <row r="18" spans="1:28" s="686" customFormat="1" x14ac:dyDescent="0.15">
      <c r="A18" s="1279" t="s">
        <v>82</v>
      </c>
      <c r="B18" s="1280" t="s">
        <v>788</v>
      </c>
      <c r="C18" s="1281" t="s">
        <v>83</v>
      </c>
      <c r="D18" s="685">
        <v>100000000</v>
      </c>
      <c r="E18" s="1282">
        <v>44435</v>
      </c>
      <c r="F18" s="1282">
        <v>44616</v>
      </c>
      <c r="G18" s="1279" t="s">
        <v>721</v>
      </c>
      <c r="H18" s="1283">
        <f>(F18-$V$18)</f>
        <v>14</v>
      </c>
      <c r="I18" s="1284">
        <v>7.3999999999999996E-2</v>
      </c>
      <c r="J18" s="1283">
        <f t="shared" ref="J18" si="38">H18/365</f>
        <v>3.8356164383561646E-2</v>
      </c>
      <c r="K18" s="905">
        <v>9.9000000000000005E-2</v>
      </c>
      <c r="L18" s="1283">
        <f t="shared" ref="L18" si="39">+M18/D18*100</f>
        <v>96.460300000000004</v>
      </c>
      <c r="M18" s="1285">
        <v>96460300</v>
      </c>
      <c r="N18" s="1285">
        <f>+'T-Bills Amortization '!Q63+'T-Bills Amortization '!O63</f>
        <v>3265911.0497237565</v>
      </c>
      <c r="O18" s="1285">
        <f t="shared" ref="O18" si="40">+M18+N18</f>
        <v>99726211.049723759</v>
      </c>
      <c r="P18" s="1285">
        <v>98481700</v>
      </c>
      <c r="Q18" s="904">
        <f t="shared" ref="Q18" si="41">ROUND(100/(1+(H18*K18)/365),4)</f>
        <v>99.621700000000004</v>
      </c>
      <c r="R18" s="685">
        <f t="shared" ref="R18" si="42">ROUND((Q18*D18)/100,2)</f>
        <v>99621700</v>
      </c>
      <c r="S18" s="1286">
        <f>+R18-P18-'T-Bills Amortization '!Q63</f>
        <v>338189.50276243105</v>
      </c>
      <c r="T18" s="1286">
        <v>338189.50276243105</v>
      </c>
      <c r="U18" s="1286">
        <f t="shared" ref="U18" si="43">+S18-T18</f>
        <v>0</v>
      </c>
      <c r="V18" s="1287">
        <v>44602</v>
      </c>
      <c r="W18" s="1286">
        <f t="shared" si="5"/>
        <v>1000000</v>
      </c>
      <c r="X18" s="1304">
        <f t="shared" si="6"/>
        <v>99.621700000000004</v>
      </c>
      <c r="Y18" s="1286" t="s">
        <v>871</v>
      </c>
      <c r="Z18" s="1286">
        <f t="shared" si="7"/>
        <v>338189.50276243105</v>
      </c>
      <c r="AA18" s="1286"/>
      <c r="AB18" s="1286"/>
    </row>
    <row r="19" spans="1:28" s="686" customFormat="1" x14ac:dyDescent="0.15">
      <c r="A19" s="1279" t="s">
        <v>82</v>
      </c>
      <c r="B19" s="1280" t="s">
        <v>784</v>
      </c>
      <c r="C19" s="1281" t="s">
        <v>83</v>
      </c>
      <c r="D19" s="685">
        <v>65000000</v>
      </c>
      <c r="E19" s="1282">
        <v>44461</v>
      </c>
      <c r="F19" s="1282">
        <v>44574</v>
      </c>
      <c r="G19" s="1279" t="s">
        <v>721</v>
      </c>
      <c r="H19" s="1283">
        <f>(F19-$V$19)</f>
        <v>2</v>
      </c>
      <c r="I19" s="1284">
        <v>7.4550907652605636E-2</v>
      </c>
      <c r="J19" s="1283">
        <f t="shared" ref="J19:J22" si="44">H19/365</f>
        <v>5.4794520547945206E-3</v>
      </c>
      <c r="K19" s="905">
        <v>9.8799999999999999E-2</v>
      </c>
      <c r="L19" s="1283">
        <f t="shared" ref="L19:L22" si="45">+M19/D19*100</f>
        <v>97.705200000000005</v>
      </c>
      <c r="M19" s="1285">
        <v>63508380</v>
      </c>
      <c r="N19" s="1285">
        <f>+'T-Bills Amortization '!Q54+'T-Bills Amortization '!O54</f>
        <v>1465219.646017699</v>
      </c>
      <c r="O19" s="1285">
        <f t="shared" ref="O19:O22" si="46">+M19+N19</f>
        <v>64973599.6460177</v>
      </c>
      <c r="P19" s="1285">
        <v>64767820</v>
      </c>
      <c r="Q19" s="904">
        <f t="shared" ref="Q19:Q22" si="47">ROUND(100/(1+(H19*K19)/365),4)</f>
        <v>99.945899999999995</v>
      </c>
      <c r="R19" s="685">
        <f t="shared" ref="R19:R22" si="48">ROUND((Q19*D19)/100,2)</f>
        <v>64964835</v>
      </c>
      <c r="S19" s="1286">
        <f>+R19-P19-'T-Bills Amortization '!Q54</f>
        <v>51813.053097345139</v>
      </c>
      <c r="T19" s="1286">
        <v>51813.053097345139</v>
      </c>
      <c r="U19" s="1286">
        <f t="shared" ref="U19:U22" si="49">+S19-T19</f>
        <v>0</v>
      </c>
      <c r="V19" s="1287">
        <v>44572</v>
      </c>
      <c r="W19" s="1286">
        <f t="shared" si="5"/>
        <v>650000</v>
      </c>
      <c r="X19" s="1288">
        <f t="shared" si="6"/>
        <v>99.945899999999995</v>
      </c>
      <c r="Y19" s="1286" t="s">
        <v>105</v>
      </c>
      <c r="Z19" s="1286">
        <f t="shared" si="7"/>
        <v>51813.053097345139</v>
      </c>
      <c r="AA19" s="1286"/>
      <c r="AB19" s="1286"/>
    </row>
    <row r="20" spans="1:28" s="686" customFormat="1" x14ac:dyDescent="0.15">
      <c r="A20" s="1279" t="s">
        <v>82</v>
      </c>
      <c r="B20" s="1280" t="s">
        <v>791</v>
      </c>
      <c r="C20" s="1281" t="s">
        <v>83</v>
      </c>
      <c r="D20" s="685">
        <v>60000000</v>
      </c>
      <c r="E20" s="1282">
        <v>44462</v>
      </c>
      <c r="F20" s="1282">
        <v>44588</v>
      </c>
      <c r="G20" s="1279" t="s">
        <v>721</v>
      </c>
      <c r="H20" s="1283">
        <f>(F20-$V$20)</f>
        <v>13</v>
      </c>
      <c r="I20" s="1284">
        <v>7.459997194550802E-2</v>
      </c>
      <c r="J20" s="1283">
        <f t="shared" si="44"/>
        <v>3.5616438356164383E-2</v>
      </c>
      <c r="K20" s="905">
        <v>9.8199999999999996E-2</v>
      </c>
      <c r="L20" s="1283">
        <f t="shared" si="45"/>
        <v>97.385900000000007</v>
      </c>
      <c r="M20" s="1285">
        <v>58431540</v>
      </c>
      <c r="N20" s="1285">
        <f>+'T-Bills Amortization '!Q59+'T-Bills Amortization '!O59</f>
        <v>1406634.7619047619</v>
      </c>
      <c r="O20" s="1285">
        <f t="shared" si="46"/>
        <v>59838174.761904761</v>
      </c>
      <c r="P20" s="1285">
        <v>59553840</v>
      </c>
      <c r="Q20" s="904">
        <f t="shared" si="47"/>
        <v>99.651499999999999</v>
      </c>
      <c r="R20" s="685">
        <f t="shared" si="48"/>
        <v>59790900</v>
      </c>
      <c r="S20" s="1286">
        <f>+R20-P20-'T-Bills Amortization '!Q59</f>
        <v>62786.666666666657</v>
      </c>
      <c r="T20" s="1286">
        <v>62786.666666666657</v>
      </c>
      <c r="U20" s="1286">
        <f t="shared" si="49"/>
        <v>0</v>
      </c>
      <c r="V20" s="1287">
        <v>44575</v>
      </c>
      <c r="W20" s="1286">
        <f t="shared" si="5"/>
        <v>600000</v>
      </c>
      <c r="X20" s="1289">
        <f t="shared" si="6"/>
        <v>99.651499999999999</v>
      </c>
      <c r="Y20" s="1286" t="s">
        <v>104</v>
      </c>
      <c r="Z20" s="1286">
        <f t="shared" si="7"/>
        <v>62786.666666666657</v>
      </c>
      <c r="AA20" s="1286"/>
      <c r="AB20" s="1286"/>
    </row>
    <row r="21" spans="1:28" s="686" customFormat="1" x14ac:dyDescent="0.15">
      <c r="A21" s="1279" t="s">
        <v>82</v>
      </c>
      <c r="B21" s="1280" t="s">
        <v>792</v>
      </c>
      <c r="C21" s="1281" t="s">
        <v>83</v>
      </c>
      <c r="D21" s="685">
        <v>26000000</v>
      </c>
      <c r="E21" s="1282">
        <v>44467</v>
      </c>
      <c r="F21" s="1282">
        <v>44630</v>
      </c>
      <c r="G21" s="1279" t="s">
        <v>721</v>
      </c>
      <c r="H21" s="1283">
        <f>(F21-$V$21)</f>
        <v>1</v>
      </c>
      <c r="I21" s="1284">
        <v>7.4700000000000003E-2</v>
      </c>
      <c r="J21" s="1283">
        <f t="shared" si="44"/>
        <v>2.7397260273972603E-3</v>
      </c>
      <c r="K21" s="905">
        <v>0.10100000000000001</v>
      </c>
      <c r="L21" s="1283">
        <f t="shared" si="45"/>
        <v>96.577799999999996</v>
      </c>
      <c r="M21" s="1285">
        <v>25110228</v>
      </c>
      <c r="N21" s="1285">
        <f>+'T-Bills Amortization '!Q65+'T-Bills Amortization '!O65</f>
        <v>884313.27607361972</v>
      </c>
      <c r="O21" s="1285">
        <f t="shared" si="46"/>
        <v>25994541.27607362</v>
      </c>
      <c r="P21" s="1285">
        <v>25504362</v>
      </c>
      <c r="Q21" s="904">
        <f t="shared" si="47"/>
        <v>99.972300000000004</v>
      </c>
      <c r="R21" s="685">
        <f t="shared" si="48"/>
        <v>25992798</v>
      </c>
      <c r="S21" s="1286">
        <f>+R21-P21-'T-Bills Amortization '!Q65</f>
        <v>117242.77300613496</v>
      </c>
      <c r="T21" s="1286">
        <v>117242.77300613496</v>
      </c>
      <c r="U21" s="1286">
        <f>+S21-T21</f>
        <v>0</v>
      </c>
      <c r="V21" s="1287">
        <v>44629</v>
      </c>
      <c r="W21" s="1286">
        <f t="shared" si="5"/>
        <v>260000</v>
      </c>
      <c r="X21" s="1289">
        <f t="shared" si="6"/>
        <v>99.972300000000004</v>
      </c>
      <c r="Y21" s="1286" t="s">
        <v>104</v>
      </c>
      <c r="Z21" s="1286">
        <f t="shared" si="7"/>
        <v>117242.77300613496</v>
      </c>
      <c r="AA21" s="1286"/>
      <c r="AB21" s="1286"/>
    </row>
    <row r="22" spans="1:28" s="686" customFormat="1" x14ac:dyDescent="0.15">
      <c r="A22" s="1279" t="s">
        <v>82</v>
      </c>
      <c r="B22" s="1280" t="s">
        <v>791</v>
      </c>
      <c r="C22" s="1281" t="s">
        <v>83</v>
      </c>
      <c r="D22" s="685">
        <v>411000000</v>
      </c>
      <c r="E22" s="1282">
        <v>44469</v>
      </c>
      <c r="F22" s="1282">
        <v>44588</v>
      </c>
      <c r="G22" s="1279" t="s">
        <v>721</v>
      </c>
      <c r="H22" s="1283">
        <f>(F22-$V$22)</f>
        <v>13</v>
      </c>
      <c r="I22" s="1284">
        <v>7.459997194550802E-2</v>
      </c>
      <c r="J22" s="1283">
        <f t="shared" si="44"/>
        <v>3.5616438356164383E-2</v>
      </c>
      <c r="K22" s="905">
        <v>9.8199999999999996E-2</v>
      </c>
      <c r="L22" s="1283">
        <f t="shared" si="45"/>
        <v>97.537199999999999</v>
      </c>
      <c r="M22" s="1285">
        <v>400877892</v>
      </c>
      <c r="N22" s="1285">
        <f>+'T-Bills Amortization '!Q60+'T-Bills Amortization '!O60</f>
        <v>9016331.4957983196</v>
      </c>
      <c r="O22" s="1285">
        <f t="shared" si="46"/>
        <v>409894223.49579835</v>
      </c>
      <c r="P22" s="1285">
        <v>407943804</v>
      </c>
      <c r="Q22" s="904">
        <f t="shared" si="47"/>
        <v>99.651499999999999</v>
      </c>
      <c r="R22" s="685">
        <f t="shared" si="48"/>
        <v>409567665</v>
      </c>
      <c r="S22" s="1286">
        <f>+R22-P22-'T-Bills Amortization '!Q60</f>
        <v>433024.76470588217</v>
      </c>
      <c r="T22" s="1286">
        <v>433024.76470588217</v>
      </c>
      <c r="U22" s="1286">
        <f t="shared" si="49"/>
        <v>0</v>
      </c>
      <c r="V22" s="1287">
        <v>44575</v>
      </c>
      <c r="W22" s="1286">
        <f>D22/100</f>
        <v>4110000</v>
      </c>
      <c r="X22" s="1289">
        <f>Q22</f>
        <v>99.651499999999999</v>
      </c>
      <c r="Y22" s="1286" t="s">
        <v>104</v>
      </c>
      <c r="Z22" s="1286">
        <f>S22</f>
        <v>433024.76470588217</v>
      </c>
      <c r="AA22" s="1286"/>
      <c r="AB22" s="1286"/>
    </row>
    <row r="23" spans="1:28" s="686" customFormat="1" x14ac:dyDescent="0.15">
      <c r="A23" s="1279" t="s">
        <v>82</v>
      </c>
      <c r="B23" s="1280" t="s">
        <v>791</v>
      </c>
      <c r="C23" s="1281" t="s">
        <v>83</v>
      </c>
      <c r="D23" s="685">
        <v>100000000</v>
      </c>
      <c r="E23" s="1282">
        <v>44560</v>
      </c>
      <c r="F23" s="1282">
        <v>44588</v>
      </c>
      <c r="G23" s="1279" t="s">
        <v>721</v>
      </c>
      <c r="H23" s="1283">
        <f>(F23-$V$23)</f>
        <v>13</v>
      </c>
      <c r="I23" s="1284">
        <v>0.10126666669999999</v>
      </c>
      <c r="J23" s="1283">
        <f t="shared" ref="J23" si="50">H23/365</f>
        <v>3.5616438356164383E-2</v>
      </c>
      <c r="K23" s="905">
        <v>9.8199999999999996E-2</v>
      </c>
      <c r="L23" s="1283">
        <f t="shared" ref="L23" si="51">+M23/D23*100</f>
        <v>99.229100000000003</v>
      </c>
      <c r="M23" s="1285">
        <v>99229100</v>
      </c>
      <c r="N23" s="1285">
        <f>+'T-Bills Amortization '!Q61+'T-Bills Amortization '!O61</f>
        <v>412982.14285714284</v>
      </c>
      <c r="O23" s="1285">
        <f t="shared" ref="O23" si="52">+M23+N23</f>
        <v>99642082.142857149</v>
      </c>
      <c r="P23" s="1285">
        <v>99256400</v>
      </c>
      <c r="Q23" s="904">
        <f t="shared" ref="Q23" si="53">ROUND(100/(1+(H23*K23)/365),4)</f>
        <v>99.651499999999999</v>
      </c>
      <c r="R23" s="685">
        <f t="shared" ref="R23" si="54">ROUND((Q23*D23)/100,2)</f>
        <v>99651500</v>
      </c>
      <c r="S23" s="1286">
        <f>+R23-P23-'T-Bills Amortization '!Q61</f>
        <v>9650</v>
      </c>
      <c r="T23" s="1286">
        <v>9650</v>
      </c>
      <c r="U23" s="1286">
        <f t="shared" ref="U23" si="55">+S23-T23</f>
        <v>0</v>
      </c>
      <c r="V23" s="1287">
        <v>44575</v>
      </c>
      <c r="W23" s="1286">
        <f>D23/100</f>
        <v>1000000</v>
      </c>
      <c r="X23" s="1289">
        <f>Q23</f>
        <v>99.651499999999999</v>
      </c>
      <c r="Y23" s="1286" t="s">
        <v>104</v>
      </c>
      <c r="Z23" s="1286">
        <f>S23</f>
        <v>9650</v>
      </c>
      <c r="AA23" s="1286"/>
      <c r="AB23" s="1286"/>
    </row>
    <row r="24" spans="1:28" s="686" customFormat="1" x14ac:dyDescent="0.15">
      <c r="A24" s="1279" t="s">
        <v>82</v>
      </c>
      <c r="B24" s="1280" t="s">
        <v>851</v>
      </c>
      <c r="C24" s="1281" t="s">
        <v>83</v>
      </c>
      <c r="D24" s="685">
        <v>1130000000</v>
      </c>
      <c r="E24" s="1282">
        <v>44572</v>
      </c>
      <c r="F24" s="1282">
        <v>44644</v>
      </c>
      <c r="G24" s="1279" t="s">
        <v>850</v>
      </c>
      <c r="H24" s="1283">
        <f>(F24-$V$24)</f>
        <v>6</v>
      </c>
      <c r="I24" s="1284">
        <v>0.1032</v>
      </c>
      <c r="J24" s="1283">
        <f t="shared" ref="J24" si="56">H24/365</f>
        <v>1.643835616438356E-2</v>
      </c>
      <c r="K24" s="905">
        <v>0.1004</v>
      </c>
      <c r="L24" s="1283">
        <f t="shared" ref="L24" si="57">+M24/D24*100</f>
        <v>98.004899999999992</v>
      </c>
      <c r="M24" s="1285">
        <f>1254462720/1280*1130</f>
        <v>1107455370</v>
      </c>
      <c r="N24" s="1285">
        <f>+'T-Bills Amortization '!Q66+'T-Bills Amortization '!O66</f>
        <v>20665910.833333336</v>
      </c>
      <c r="O24" s="1285">
        <f t="shared" ref="O24" si="58">+M24+N24</f>
        <v>1128121280.8333333</v>
      </c>
      <c r="P24" s="1285">
        <f>1254462720/1280*1130</f>
        <v>1107455370</v>
      </c>
      <c r="Q24" s="904">
        <f t="shared" ref="Q24" si="59">ROUND(100/(1+(H24*K24)/365),4)</f>
        <v>99.8352</v>
      </c>
      <c r="R24" s="685">
        <f t="shared" ref="R24" si="60">ROUND((Q24*D24)/100,2)</f>
        <v>1128137760</v>
      </c>
      <c r="S24" s="1286">
        <f>+R24-P24-'T-Bills Amortization '!Q66</f>
        <v>16479.166666664183</v>
      </c>
      <c r="T24" s="1286">
        <v>16479.166666664183</v>
      </c>
      <c r="U24" s="1286">
        <f t="shared" ref="U24" si="61">+S24-T24</f>
        <v>0</v>
      </c>
      <c r="V24" s="1287">
        <v>44638</v>
      </c>
      <c r="W24" s="1286">
        <f>D24/100</f>
        <v>11300000</v>
      </c>
      <c r="X24" s="1289">
        <f>Q24</f>
        <v>99.8352</v>
      </c>
      <c r="Y24" s="1286" t="s">
        <v>107</v>
      </c>
      <c r="Z24" s="1286">
        <f>S24</f>
        <v>16479.166666664183</v>
      </c>
      <c r="AA24" s="1286"/>
      <c r="AB24" s="1286"/>
    </row>
    <row r="25" spans="1:28" s="686" customFormat="1" x14ac:dyDescent="0.15">
      <c r="A25" s="1279" t="s">
        <v>82</v>
      </c>
      <c r="B25" s="1280" t="s">
        <v>851</v>
      </c>
      <c r="C25" s="1281" t="s">
        <v>83</v>
      </c>
      <c r="D25" s="685">
        <v>150000000</v>
      </c>
      <c r="E25" s="1282">
        <v>44572</v>
      </c>
      <c r="F25" s="1282">
        <v>44644</v>
      </c>
      <c r="G25" s="1279" t="s">
        <v>850</v>
      </c>
      <c r="H25" s="1283">
        <f>(F25-$V$25)</f>
        <v>28</v>
      </c>
      <c r="I25" s="1284">
        <v>0.1032</v>
      </c>
      <c r="J25" s="1283">
        <f t="shared" ref="J25" si="62">H25/365</f>
        <v>7.6712328767123292E-2</v>
      </c>
      <c r="K25" s="905">
        <v>0.1008866667</v>
      </c>
      <c r="L25" s="1283">
        <f t="shared" ref="L25" si="63">+M25/D25*100</f>
        <v>98.004899999999992</v>
      </c>
      <c r="M25" s="1285">
        <f>1254462720/1280*150</f>
        <v>147007350</v>
      </c>
      <c r="N25" s="1285">
        <f>+'T-Bills Amortization '!Q64+'T-Bills Amortization '!O64</f>
        <v>1828841.6666666667</v>
      </c>
      <c r="O25" s="1285">
        <f t="shared" ref="O25" si="64">+M25+N25</f>
        <v>148836191.66666666</v>
      </c>
      <c r="P25" s="1285">
        <f>1254462720/1280*150</f>
        <v>147007350</v>
      </c>
      <c r="Q25" s="904">
        <f t="shared" ref="Q25" si="65">ROUND(100/(1+(H25*K25)/365),4)</f>
        <v>99.231999999999999</v>
      </c>
      <c r="R25" s="685">
        <f t="shared" ref="R25" si="66">ROUND((Q25*D25)/100,2)</f>
        <v>148848000</v>
      </c>
      <c r="S25" s="1286">
        <f>+R25-P25-'T-Bills Amortization '!Q64</f>
        <v>11808.333333333256</v>
      </c>
      <c r="T25" s="1286">
        <v>11808.333333333256</v>
      </c>
      <c r="U25" s="1286">
        <f t="shared" ref="U25" si="67">+S25-T25</f>
        <v>0</v>
      </c>
      <c r="V25" s="1287">
        <v>44616</v>
      </c>
      <c r="W25" s="1286">
        <f>D25/100</f>
        <v>1500000</v>
      </c>
      <c r="X25" s="1289">
        <f>Q25</f>
        <v>99.231999999999999</v>
      </c>
      <c r="Y25" s="1286" t="s">
        <v>759</v>
      </c>
      <c r="Z25" s="1286">
        <f>S25</f>
        <v>11808.333333333256</v>
      </c>
      <c r="AA25" s="1286"/>
      <c r="AB25" s="1286"/>
    </row>
    <row r="26" spans="1:28" s="686" customFormat="1" x14ac:dyDescent="0.15">
      <c r="A26" s="1279" t="s">
        <v>82</v>
      </c>
      <c r="B26" s="1280" t="s">
        <v>855</v>
      </c>
      <c r="C26" s="1281" t="s">
        <v>83</v>
      </c>
      <c r="D26" s="685">
        <v>1286000000</v>
      </c>
      <c r="E26" s="1282">
        <v>44575</v>
      </c>
      <c r="F26" s="1282">
        <v>44658</v>
      </c>
      <c r="G26" s="1279" t="s">
        <v>850</v>
      </c>
      <c r="H26" s="1283">
        <f>(F26-$V$26)</f>
        <v>6</v>
      </c>
      <c r="I26" s="1284">
        <v>0.10299999999999999</v>
      </c>
      <c r="J26" s="1283">
        <f t="shared" ref="J26" si="68">H26/365</f>
        <v>1.643835616438356E-2</v>
      </c>
      <c r="K26" s="905">
        <v>9.9000000000000005E-2</v>
      </c>
      <c r="L26" s="1283">
        <f t="shared" ref="L26" si="69">+M26/D26*100</f>
        <v>97.711399999999998</v>
      </c>
      <c r="M26" s="1285">
        <v>1256568604</v>
      </c>
      <c r="N26" s="1285">
        <f>+'T-Bills Amortization '!Q68+'T-Bills Amortization '!O68</f>
        <v>27303825.204819277</v>
      </c>
      <c r="O26" s="1285">
        <f t="shared" ref="O26" si="70">+M26+N26</f>
        <v>1283872429.2048192</v>
      </c>
      <c r="P26" s="1285">
        <v>1256568604</v>
      </c>
      <c r="Q26" s="904">
        <f t="shared" ref="Q26" si="71">ROUND(100/(1+(H26*K26)/365),4)</f>
        <v>99.837500000000006</v>
      </c>
      <c r="R26" s="685">
        <f t="shared" ref="R26" si="72">ROUND((Q26*D26)/100,2)</f>
        <v>1283910250</v>
      </c>
      <c r="S26" s="1286">
        <f>+R26-P26-'T-Bills Amortization '!Q68</f>
        <v>37820.795180723071</v>
      </c>
      <c r="T26" s="1286">
        <v>37820.795180723071</v>
      </c>
      <c r="U26" s="1286">
        <f t="shared" ref="U26" si="73">+S26-T26</f>
        <v>0</v>
      </c>
      <c r="V26" s="1287">
        <v>44652</v>
      </c>
      <c r="W26" s="1286">
        <f>D26/100</f>
        <v>12860000</v>
      </c>
      <c r="X26" s="1289">
        <f>Q26</f>
        <v>99.837500000000006</v>
      </c>
      <c r="Y26" s="1286" t="s">
        <v>107</v>
      </c>
      <c r="Z26" s="1286">
        <f>S26</f>
        <v>37820.795180723071</v>
      </c>
      <c r="AA26" s="1286"/>
      <c r="AB26" s="1286"/>
    </row>
    <row r="27" spans="1:28" s="686" customFormat="1" x14ac:dyDescent="0.15">
      <c r="A27" s="1279" t="s">
        <v>82</v>
      </c>
      <c r="B27" s="1280" t="s">
        <v>855</v>
      </c>
      <c r="C27" s="1281" t="s">
        <v>83</v>
      </c>
      <c r="D27" s="685">
        <v>26000000</v>
      </c>
      <c r="E27" s="1282">
        <v>44580</v>
      </c>
      <c r="F27" s="1282">
        <v>44658</v>
      </c>
      <c r="G27" s="1279" t="s">
        <v>850</v>
      </c>
      <c r="H27" s="1283">
        <f>(F27-$V$27)</f>
        <v>6</v>
      </c>
      <c r="I27" s="1284">
        <v>0.10199999999999999</v>
      </c>
      <c r="J27" s="1283">
        <f t="shared" ref="J27" si="74">H27/365</f>
        <v>1.643835616438356E-2</v>
      </c>
      <c r="K27" s="905">
        <v>9.9000000000000005E-2</v>
      </c>
      <c r="L27" s="1283">
        <f t="shared" ref="L27" si="75">+M27/D27*100</f>
        <v>97.866799999999998</v>
      </c>
      <c r="M27" s="1285">
        <v>25445368</v>
      </c>
      <c r="N27" s="1285">
        <f>+'T-Bills Amortization '!Q69+'T-Bills Amortization '!O69</f>
        <v>511968</v>
      </c>
      <c r="O27" s="1285">
        <f t="shared" ref="O27" si="76">+M27+N27</f>
        <v>25957336</v>
      </c>
      <c r="P27" s="1285">
        <v>25445368</v>
      </c>
      <c r="Q27" s="904">
        <f t="shared" ref="Q27" si="77">ROUND(100/(1+(H27*K27)/365),4)</f>
        <v>99.837500000000006</v>
      </c>
      <c r="R27" s="685">
        <f t="shared" ref="R27" si="78">ROUND((Q27*D27)/100,2)</f>
        <v>25957750</v>
      </c>
      <c r="S27" s="1286">
        <f>+R27-P27-'T-Bills Amortization '!Q69</f>
        <v>414</v>
      </c>
      <c r="T27" s="1286">
        <v>414</v>
      </c>
      <c r="U27" s="1286">
        <f t="shared" ref="U27" si="79">+S27-T27</f>
        <v>0</v>
      </c>
      <c r="V27" s="1287">
        <v>44652</v>
      </c>
      <c r="W27" s="1286">
        <f t="shared" ref="W27:W29" si="80">D27/100</f>
        <v>260000</v>
      </c>
      <c r="X27" s="1289">
        <f t="shared" ref="X27:X29" si="81">Q27</f>
        <v>99.837500000000006</v>
      </c>
      <c r="Y27" s="1286" t="s">
        <v>107</v>
      </c>
      <c r="Z27" s="1286">
        <f t="shared" ref="Z27:Z29" si="82">S27</f>
        <v>414</v>
      </c>
      <c r="AA27" s="1286"/>
      <c r="AB27" s="1286"/>
    </row>
    <row r="28" spans="1:28" s="686" customFormat="1" x14ac:dyDescent="0.15">
      <c r="A28" s="1279" t="s">
        <v>82</v>
      </c>
      <c r="B28" s="1280" t="s">
        <v>855</v>
      </c>
      <c r="C28" s="1281" t="s">
        <v>83</v>
      </c>
      <c r="D28" s="685">
        <v>200000000</v>
      </c>
      <c r="E28" s="1282">
        <v>44585</v>
      </c>
      <c r="F28" s="1282">
        <v>44658</v>
      </c>
      <c r="G28" s="1279" t="s">
        <v>850</v>
      </c>
      <c r="H28" s="1283">
        <f>(F28-$V$28)</f>
        <v>6</v>
      </c>
      <c r="I28" s="1284">
        <v>0.1018</v>
      </c>
      <c r="J28" s="1283">
        <f t="shared" ref="J28" si="83">H28/365</f>
        <v>1.643835616438356E-2</v>
      </c>
      <c r="K28" s="905">
        <v>9.9000000000000005E-2</v>
      </c>
      <c r="L28" s="1283">
        <f t="shared" ref="L28" si="84">+M28/D28*100</f>
        <v>98.004400000000004</v>
      </c>
      <c r="M28" s="1285">
        <v>196008800</v>
      </c>
      <c r="N28" s="1285">
        <f>+'T-Bills Amortization '!Q70+'T-Bills Amortization '!O70</f>
        <v>3663156.1643835618</v>
      </c>
      <c r="O28" s="1285">
        <f t="shared" ref="O28" si="85">+M28+N28</f>
        <v>199671956.16438356</v>
      </c>
      <c r="P28" s="1285">
        <v>196008800</v>
      </c>
      <c r="Q28" s="904">
        <f t="shared" ref="Q28" si="86">ROUND(100/(1+(H28*K28)/365),4)</f>
        <v>99.837500000000006</v>
      </c>
      <c r="R28" s="685">
        <f t="shared" ref="R28" si="87">ROUND((Q28*D28)/100,2)</f>
        <v>199675000</v>
      </c>
      <c r="S28" s="1286">
        <f>+R28-P28-'T-Bills Amortization '!Q70</f>
        <v>3043.8356164381839</v>
      </c>
      <c r="T28" s="1286">
        <v>3043.8356164381839</v>
      </c>
      <c r="U28" s="1286">
        <f t="shared" ref="U28" si="88">+S28-T28</f>
        <v>0</v>
      </c>
      <c r="V28" s="1287">
        <v>44652</v>
      </c>
      <c r="W28" s="1286">
        <f t="shared" si="80"/>
        <v>2000000</v>
      </c>
      <c r="X28" s="1289">
        <f t="shared" si="81"/>
        <v>99.837500000000006</v>
      </c>
      <c r="Y28" s="1286" t="s">
        <v>107</v>
      </c>
      <c r="Z28" s="1286">
        <f t="shared" si="82"/>
        <v>3043.8356164381839</v>
      </c>
      <c r="AA28" s="1286"/>
      <c r="AB28" s="1286"/>
    </row>
    <row r="29" spans="1:28" s="686" customFormat="1" x14ac:dyDescent="0.15">
      <c r="A29" s="1279" t="s">
        <v>82</v>
      </c>
      <c r="B29" s="1280" t="s">
        <v>862</v>
      </c>
      <c r="C29" s="1281" t="s">
        <v>83</v>
      </c>
      <c r="D29" s="685">
        <v>50000000</v>
      </c>
      <c r="E29" s="1282">
        <v>44588</v>
      </c>
      <c r="F29" s="1282">
        <v>44672</v>
      </c>
      <c r="G29" s="1279" t="s">
        <v>850</v>
      </c>
      <c r="H29" s="1283">
        <f>(F29-$V$29)</f>
        <v>2</v>
      </c>
      <c r="I29" s="1284">
        <v>0.101997</v>
      </c>
      <c r="J29" s="1283">
        <f t="shared" ref="J29" si="89">H29/365</f>
        <v>5.4794520547945206E-3</v>
      </c>
      <c r="K29" s="905">
        <v>0.12</v>
      </c>
      <c r="L29" s="1283">
        <f t="shared" ref="L29" si="90">+M29/D29*100</f>
        <v>97.706499999999991</v>
      </c>
      <c r="M29" s="1285">
        <v>48853250</v>
      </c>
      <c r="N29" s="1285">
        <f>+'T-Bills Amortization '!Q72+'T-Bills Amortization '!O72</f>
        <v>1119446.4285714286</v>
      </c>
      <c r="O29" s="1285">
        <f t="shared" ref="O29" si="91">+M29+N29</f>
        <v>49972696.428571425</v>
      </c>
      <c r="P29" s="1285">
        <v>48853250</v>
      </c>
      <c r="Q29" s="904">
        <f t="shared" ref="Q29" si="92">ROUND(100/(1+(H29*K29)/365),4)</f>
        <v>99.934299999999993</v>
      </c>
      <c r="R29" s="685">
        <f t="shared" ref="R29" si="93">ROUND((Q29*D29)/100,2)</f>
        <v>49967150</v>
      </c>
      <c r="S29" s="1286">
        <f>+R29-P29-'T-Bills Amortization '!Q72</f>
        <v>-5546.428571428638</v>
      </c>
      <c r="T29" s="1286">
        <v>-5546.428571428638</v>
      </c>
      <c r="U29" s="1286">
        <f t="shared" ref="U29" si="94">+S29-T29</f>
        <v>0</v>
      </c>
      <c r="V29" s="1287">
        <v>44670</v>
      </c>
      <c r="W29" s="1286">
        <f t="shared" si="80"/>
        <v>500000</v>
      </c>
      <c r="X29" s="1289">
        <f t="shared" si="81"/>
        <v>99.934299999999993</v>
      </c>
      <c r="Y29" s="1286" t="s">
        <v>83</v>
      </c>
      <c r="Z29" s="1286">
        <f t="shared" si="82"/>
        <v>-5546.428571428638</v>
      </c>
      <c r="AA29" s="1286"/>
      <c r="AB29" s="1286"/>
    </row>
    <row r="30" spans="1:28" s="686" customFormat="1" x14ac:dyDescent="0.15">
      <c r="A30" s="1279" t="s">
        <v>82</v>
      </c>
      <c r="B30" s="1280" t="s">
        <v>873</v>
      </c>
      <c r="C30" s="1281" t="s">
        <v>83</v>
      </c>
      <c r="D30" s="685">
        <v>565000000</v>
      </c>
      <c r="E30" s="1282">
        <v>44602</v>
      </c>
      <c r="F30" s="1282">
        <v>44679</v>
      </c>
      <c r="G30" s="1279" t="s">
        <v>850</v>
      </c>
      <c r="H30" s="1283">
        <f>(F30-$V$30)</f>
        <v>6</v>
      </c>
      <c r="I30" s="1284">
        <v>0.102799</v>
      </c>
      <c r="J30" s="1283">
        <f t="shared" ref="J30" si="95">H30/365</f>
        <v>1.643835616438356E-2</v>
      </c>
      <c r="K30" s="905">
        <v>0.123</v>
      </c>
      <c r="L30" s="1283">
        <f t="shared" ref="L30" si="96">+M30/D30*100</f>
        <v>97.877400000000009</v>
      </c>
      <c r="M30" s="1285">
        <v>553007310</v>
      </c>
      <c r="N30" s="1285">
        <f>+'T-Bills Amortization '!Q74+'T-Bills Amortization '!O74</f>
        <v>11058194.675324675</v>
      </c>
      <c r="O30" s="1285">
        <f t="shared" ref="O30" si="97">+M30+N30</f>
        <v>564065504.67532468</v>
      </c>
      <c r="P30" s="1285">
        <v>553007310</v>
      </c>
      <c r="Q30" s="904">
        <f t="shared" ref="Q30" si="98">ROUND(100/(1+(H30*K30)/365),4)</f>
        <v>99.798199999999994</v>
      </c>
      <c r="R30" s="685">
        <f t="shared" ref="R30" si="99">ROUND((Q30*D30)/100,2)</f>
        <v>563859830</v>
      </c>
      <c r="S30" s="1286">
        <f>+R30-P30-'T-Bills Amortization '!Q74</f>
        <v>-205674.6753246747</v>
      </c>
      <c r="T30" s="1286">
        <v>-205674.6753246747</v>
      </c>
      <c r="U30" s="1286">
        <f t="shared" ref="U30" si="100">+S30-T30</f>
        <v>0</v>
      </c>
      <c r="V30" s="1287">
        <v>44673</v>
      </c>
      <c r="W30" s="1286">
        <f t="shared" ref="W30" si="101">D30/100</f>
        <v>5650000</v>
      </c>
      <c r="X30" s="1289">
        <f t="shared" ref="X30" si="102">Q30</f>
        <v>99.798199999999994</v>
      </c>
      <c r="Y30" s="1286" t="s">
        <v>105</v>
      </c>
      <c r="Z30" s="1286">
        <f t="shared" ref="Z30" si="103">S30</f>
        <v>-205674.6753246747</v>
      </c>
      <c r="AA30" s="1286"/>
      <c r="AB30" s="1286"/>
    </row>
    <row r="31" spans="1:28" s="686" customFormat="1" x14ac:dyDescent="0.15">
      <c r="A31" s="1279" t="s">
        <v>82</v>
      </c>
      <c r="B31" s="1280" t="s">
        <v>873</v>
      </c>
      <c r="C31" s="1281" t="s">
        <v>83</v>
      </c>
      <c r="D31" s="685">
        <v>127000000</v>
      </c>
      <c r="E31" s="1282">
        <v>44614</v>
      </c>
      <c r="F31" s="1282">
        <v>44679</v>
      </c>
      <c r="G31" s="1279" t="s">
        <v>850</v>
      </c>
      <c r="H31" s="1283">
        <f>(F31-$V$31)</f>
        <v>6</v>
      </c>
      <c r="I31" s="1284">
        <v>0.1031</v>
      </c>
      <c r="J31" s="1283">
        <f t="shared" ref="J31" si="104">H31/365</f>
        <v>1.643835616438356E-2</v>
      </c>
      <c r="K31" s="905">
        <v>0.123</v>
      </c>
      <c r="L31" s="1283">
        <f t="shared" ref="L31" si="105">+M31/D31*100</f>
        <v>98.19710000000002</v>
      </c>
      <c r="M31" s="1285">
        <v>124710317.00000001</v>
      </c>
      <c r="N31" s="1285">
        <f>+'T-Bills Amortization '!Q75+'T-Bills Amortization '!O75</f>
        <v>2078327.6461538326</v>
      </c>
      <c r="O31" s="1285">
        <f t="shared" ref="O31" si="106">+M31+N31</f>
        <v>126788644.64615385</v>
      </c>
      <c r="P31" s="1285">
        <v>124710317.00000001</v>
      </c>
      <c r="Q31" s="904">
        <f t="shared" ref="Q31" si="107">ROUND(100/(1+(H31*K31)/365),4)</f>
        <v>99.798199999999994</v>
      </c>
      <c r="R31" s="685">
        <f t="shared" ref="R31" si="108">ROUND((Q31*D31)/100,2)</f>
        <v>126743714</v>
      </c>
      <c r="S31" s="1286">
        <f>+R31-P31-'T-Bills Amortization '!Q75</f>
        <v>-44930.646153847454</v>
      </c>
      <c r="T31" s="1286">
        <v>-44930.646153847454</v>
      </c>
      <c r="U31" s="1286">
        <f t="shared" ref="U31" si="109">+S31-T31</f>
        <v>0</v>
      </c>
      <c r="V31" s="1287">
        <v>44673</v>
      </c>
      <c r="W31" s="1286">
        <f t="shared" ref="W31" si="110">D31/100</f>
        <v>1270000</v>
      </c>
      <c r="X31" s="1289">
        <f t="shared" ref="X31" si="111">Q31</f>
        <v>99.798199999999994</v>
      </c>
      <c r="Y31" s="1286" t="s">
        <v>105</v>
      </c>
      <c r="Z31" s="1286">
        <f t="shared" ref="Z31" si="112">S31</f>
        <v>-44930.646153847454</v>
      </c>
      <c r="AA31" s="1286"/>
      <c r="AB31" s="1286"/>
    </row>
    <row r="32" spans="1:28" s="686" customFormat="1" x14ac:dyDescent="0.15">
      <c r="A32" s="1279" t="s">
        <v>82</v>
      </c>
      <c r="B32" s="1280" t="s">
        <v>862</v>
      </c>
      <c r="C32" s="1281" t="s">
        <v>83</v>
      </c>
      <c r="D32" s="685">
        <v>73200000</v>
      </c>
      <c r="E32" s="1282">
        <v>44620</v>
      </c>
      <c r="F32" s="1282">
        <v>44672</v>
      </c>
      <c r="G32" s="1279" t="s">
        <v>850</v>
      </c>
      <c r="H32" s="1283">
        <f>(F32-$V$32)</f>
        <v>2</v>
      </c>
      <c r="I32" s="1284">
        <v>0.10337333329999999</v>
      </c>
      <c r="J32" s="1283">
        <f t="shared" ref="J32" si="113">H32/365</f>
        <v>5.4794520547945206E-3</v>
      </c>
      <c r="K32" s="905">
        <v>0.12</v>
      </c>
      <c r="L32" s="1283">
        <f t="shared" ref="L32" si="114">+M32/D32*100</f>
        <v>98.548699999999982</v>
      </c>
      <c r="M32" s="1285">
        <v>72137648.399999991</v>
      </c>
      <c r="N32" s="1285">
        <f>+'T-Bills Amortization '!Q73+'T-Bills Amortization '!O73</f>
        <v>1021491.9230769317</v>
      </c>
      <c r="O32" s="1285">
        <f t="shared" ref="O32" si="115">+M32+N32</f>
        <v>73159140.323076919</v>
      </c>
      <c r="P32" s="1285">
        <v>72137648.399999991</v>
      </c>
      <c r="Q32" s="904">
        <f t="shared" ref="Q32" si="116">ROUND(100/(1+(H32*K32)/365),4)</f>
        <v>99.934299999999993</v>
      </c>
      <c r="R32" s="685">
        <f t="shared" ref="R32" si="117">ROUND((Q32*D32)/100,2)</f>
        <v>73151907.599999994</v>
      </c>
      <c r="S32" s="1286">
        <f>+R32-P32-'T-Bills Amortization '!Q73</f>
        <v>-7232.7230769287562</v>
      </c>
      <c r="T32" s="1286">
        <v>-7232.7230769287562</v>
      </c>
      <c r="U32" s="1286">
        <f t="shared" ref="U32" si="118">+S32-T32</f>
        <v>0</v>
      </c>
      <c r="V32" s="1287">
        <v>44670</v>
      </c>
      <c r="W32" s="1286">
        <f t="shared" ref="W32" si="119">D32/100</f>
        <v>732000</v>
      </c>
      <c r="X32" s="1289">
        <f t="shared" ref="X32" si="120">Q32</f>
        <v>99.934299999999993</v>
      </c>
      <c r="Y32" s="1286" t="s">
        <v>83</v>
      </c>
      <c r="Z32" s="1286">
        <f t="shared" ref="Z32" si="121">S32</f>
        <v>-7232.7230769287562</v>
      </c>
      <c r="AA32" s="1286"/>
      <c r="AB32" s="1286"/>
    </row>
    <row r="33" spans="1:28" s="686" customFormat="1" x14ac:dyDescent="0.15">
      <c r="A33" s="1279" t="s">
        <v>82</v>
      </c>
      <c r="B33" s="1280" t="s">
        <v>891</v>
      </c>
      <c r="C33" s="1281" t="s">
        <v>104</v>
      </c>
      <c r="D33" s="685">
        <v>23000000</v>
      </c>
      <c r="E33" s="1282">
        <v>44629</v>
      </c>
      <c r="F33" s="1282">
        <v>44714</v>
      </c>
      <c r="G33" s="1279" t="s">
        <v>721</v>
      </c>
      <c r="H33" s="1283">
        <f>(F33-$V$33)</f>
        <v>35</v>
      </c>
      <c r="I33" s="1284">
        <v>0.10780000000000001</v>
      </c>
      <c r="J33" s="1283">
        <f t="shared" ref="J33" si="122">H33/365</f>
        <v>9.5890410958904104E-2</v>
      </c>
      <c r="K33" s="905">
        <v>0.13250000000000001</v>
      </c>
      <c r="L33" s="1283">
        <v>97.551100000000005</v>
      </c>
      <c r="M33" s="1285">
        <v>22436753</v>
      </c>
      <c r="N33" s="1285">
        <f>+'T-Bills Amortization '!Q77+'T-Bills Amortization '!O77</f>
        <v>331321.76470588235</v>
      </c>
      <c r="O33" s="1285">
        <f t="shared" ref="O33" si="123">+M33+N33</f>
        <v>22768074.764705881</v>
      </c>
      <c r="P33" s="1285">
        <v>22436753</v>
      </c>
      <c r="Q33" s="904">
        <f t="shared" ref="Q33" si="124">ROUND(100/(1+(H33*K33)/365),4)</f>
        <v>98.745400000000004</v>
      </c>
      <c r="R33" s="685">
        <f t="shared" ref="R33" si="125">ROUND((Q33*D33)/100,2)</f>
        <v>22711442</v>
      </c>
      <c r="S33" s="1286">
        <f>+R33-P33-'T-Bills Amortization '!Q77</f>
        <v>-56632.76470588235</v>
      </c>
      <c r="T33" s="1286">
        <v>-56632.76470588235</v>
      </c>
      <c r="U33" s="1286">
        <f t="shared" ref="U33" si="126">+S33-T33</f>
        <v>0</v>
      </c>
      <c r="V33" s="1287">
        <v>44679</v>
      </c>
      <c r="W33" s="1286">
        <f t="shared" ref="W33" si="127">D33/100</f>
        <v>230000</v>
      </c>
      <c r="X33" s="1289">
        <f t="shared" ref="X33" si="128">Q33</f>
        <v>98.745400000000004</v>
      </c>
      <c r="Y33" s="1286" t="s">
        <v>871</v>
      </c>
      <c r="Z33" s="1286">
        <f t="shared" ref="Z33" si="129">S33</f>
        <v>-56632.76470588235</v>
      </c>
      <c r="AA33" s="1286"/>
      <c r="AB33" s="1286"/>
    </row>
    <row r="34" spans="1:28" s="686" customFormat="1" x14ac:dyDescent="0.15">
      <c r="A34" s="1279" t="s">
        <v>82</v>
      </c>
      <c r="B34" s="1280" t="s">
        <v>855</v>
      </c>
      <c r="C34" s="1281" t="s">
        <v>104</v>
      </c>
      <c r="D34" s="685">
        <v>1000000000</v>
      </c>
      <c r="E34" s="1282">
        <v>44638</v>
      </c>
      <c r="F34" s="1282">
        <v>44658</v>
      </c>
      <c r="G34" s="1279" t="s">
        <v>850</v>
      </c>
      <c r="H34" s="1283">
        <f>(F34-$V$34)</f>
        <v>7</v>
      </c>
      <c r="I34" s="1284">
        <v>0.10249999999999999</v>
      </c>
      <c r="J34" s="1283">
        <f t="shared" ref="J34" si="130">H34/365</f>
        <v>1.9178082191780823E-2</v>
      </c>
      <c r="K34" s="905">
        <v>0.105</v>
      </c>
      <c r="L34" s="1283">
        <v>99.441500000000005</v>
      </c>
      <c r="M34" s="1285">
        <f>1123688950/1130*1000</f>
        <v>994415000</v>
      </c>
      <c r="N34" s="1285">
        <f>+'T-Bills Amortization '!Q67+'T-Bills Amortization '!O67</f>
        <v>3630250</v>
      </c>
      <c r="O34" s="1285">
        <f t="shared" ref="O34" si="131">+M34+N34</f>
        <v>998045250</v>
      </c>
      <c r="P34" s="1285">
        <f>1123688950/1130*1000</f>
        <v>994415000</v>
      </c>
      <c r="Q34" s="904">
        <f t="shared" ref="Q34" si="132">ROUND(100/(1+(H34*K34)/365),4)</f>
        <v>99.799000000000007</v>
      </c>
      <c r="R34" s="685">
        <f t="shared" ref="R34" si="133">ROUND((Q34*D34)/100,2)</f>
        <v>997990000</v>
      </c>
      <c r="S34" s="1286">
        <f>+R34-P34-'T-Bills Amortization '!Q67</f>
        <v>-55250</v>
      </c>
      <c r="T34" s="1286">
        <v>-55250</v>
      </c>
      <c r="U34" s="1286">
        <f t="shared" ref="U34" si="134">+S34-T34</f>
        <v>0</v>
      </c>
      <c r="V34" s="1287">
        <v>44651</v>
      </c>
      <c r="W34" s="1286">
        <f>D34/100</f>
        <v>10000000</v>
      </c>
      <c r="X34" s="1289">
        <f>Q34</f>
        <v>99.799000000000007</v>
      </c>
      <c r="Y34" s="1286" t="s">
        <v>158</v>
      </c>
      <c r="Z34" s="1286">
        <f>S34</f>
        <v>-55250</v>
      </c>
      <c r="AA34" s="1286"/>
      <c r="AB34" s="1286"/>
    </row>
    <row r="35" spans="1:28" s="686" customFormat="1" x14ac:dyDescent="0.15">
      <c r="A35" s="1279" t="s">
        <v>82</v>
      </c>
      <c r="B35" s="1280" t="s">
        <v>855</v>
      </c>
      <c r="C35" s="1281" t="s">
        <v>104</v>
      </c>
      <c r="D35" s="685">
        <v>130000000</v>
      </c>
      <c r="E35" s="1282">
        <v>44638</v>
      </c>
      <c r="F35" s="1282">
        <v>44658</v>
      </c>
      <c r="G35" s="1279" t="s">
        <v>850</v>
      </c>
      <c r="H35" s="1283">
        <f>(F35-$V$35)</f>
        <v>6</v>
      </c>
      <c r="I35" s="1284">
        <v>0.10249999999999999</v>
      </c>
      <c r="J35" s="1283">
        <f t="shared" ref="J35" si="135">H35/365</f>
        <v>1.643835616438356E-2</v>
      </c>
      <c r="K35" s="905">
        <v>9.9000000000000005E-2</v>
      </c>
      <c r="L35" s="1283">
        <v>99.441500000000005</v>
      </c>
      <c r="M35" s="1285">
        <f>1123688950/1130*130</f>
        <v>129273950</v>
      </c>
      <c r="N35" s="1285">
        <f>+'T-Bills Amortization '!Q71+'T-Bills Amortization '!O71</f>
        <v>508235</v>
      </c>
      <c r="O35" s="1285">
        <f t="shared" ref="O35" si="136">+M35+N35</f>
        <v>129782185</v>
      </c>
      <c r="P35" s="1285">
        <f>1123688950/1130*130</f>
        <v>129273950</v>
      </c>
      <c r="Q35" s="904">
        <f t="shared" ref="Q35" si="137">ROUND(100/(1+(H35*K35)/365),4)</f>
        <v>99.837500000000006</v>
      </c>
      <c r="R35" s="685">
        <f t="shared" ref="R35" si="138">ROUND((Q35*D35)/100,2)</f>
        <v>129788750</v>
      </c>
      <c r="S35" s="1286">
        <f>+R35-P35-'T-Bills Amortization '!Q71</f>
        <v>6565</v>
      </c>
      <c r="T35" s="1286">
        <v>6565</v>
      </c>
      <c r="U35" s="1286">
        <f t="shared" ref="U35" si="139">+S35-T35</f>
        <v>0</v>
      </c>
      <c r="V35" s="1287">
        <v>44652</v>
      </c>
      <c r="W35" s="1286">
        <f>D35/100</f>
        <v>1300000</v>
      </c>
      <c r="X35" s="1289">
        <f>Q35</f>
        <v>99.837500000000006</v>
      </c>
      <c r="Y35" s="1286" t="s">
        <v>871</v>
      </c>
      <c r="Z35" s="1286">
        <f>S35</f>
        <v>6565</v>
      </c>
      <c r="AA35" s="1286"/>
      <c r="AB35" s="1286"/>
    </row>
    <row r="36" spans="1:28" s="686" customFormat="1" x14ac:dyDescent="0.15">
      <c r="A36" s="1279" t="s">
        <v>82</v>
      </c>
      <c r="B36" s="1280" t="s">
        <v>891</v>
      </c>
      <c r="C36" s="1281" t="s">
        <v>104</v>
      </c>
      <c r="D36" s="685">
        <v>1090000000</v>
      </c>
      <c r="E36" s="1282">
        <v>44651</v>
      </c>
      <c r="F36" s="1282">
        <v>44714</v>
      </c>
      <c r="G36" s="1279" t="s">
        <v>850</v>
      </c>
      <c r="H36" s="1283">
        <f>(F36-$V$36)</f>
        <v>35</v>
      </c>
      <c r="I36" s="1284">
        <v>0.11600000000000001</v>
      </c>
      <c r="J36" s="1283">
        <f t="shared" ref="J36" si="140">H36/365</f>
        <v>9.5890410958904104E-2</v>
      </c>
      <c r="K36" s="905">
        <v>0.13250000000000001</v>
      </c>
      <c r="L36" s="1283">
        <v>98.037099999999995</v>
      </c>
      <c r="M36" s="1285">
        <f t="shared" ref="M36:M43" si="141">+D36*L36/100</f>
        <v>1068604390</v>
      </c>
      <c r="N36" s="1285">
        <f>+'T-Bills Amortization '!Q78+'T-Bills Amortization '!O78</f>
        <v>9509160</v>
      </c>
      <c r="O36" s="1285">
        <f t="shared" ref="O36" si="142">+M36+N36</f>
        <v>1078113550</v>
      </c>
      <c r="P36" s="1285">
        <v>1068604390</v>
      </c>
      <c r="Q36" s="904">
        <f t="shared" ref="Q36" si="143">ROUND(100/(1+(H36*K36)/365),4)</f>
        <v>98.745400000000004</v>
      </c>
      <c r="R36" s="685">
        <f t="shared" ref="R36" si="144">ROUND((Q36*D36)/100,2)</f>
        <v>1076324860</v>
      </c>
      <c r="S36" s="1286">
        <f>+R36-P36-'T-Bills Amortization '!Q78</f>
        <v>-1788690</v>
      </c>
      <c r="T36" s="1286">
        <v>-1788690</v>
      </c>
      <c r="U36" s="1286">
        <f t="shared" ref="U36" si="145">+S36-T36</f>
        <v>0</v>
      </c>
      <c r="V36" s="1287">
        <v>44679</v>
      </c>
      <c r="W36" s="1286">
        <f>D36/100</f>
        <v>10900000</v>
      </c>
      <c r="X36" s="1289">
        <f>Q36</f>
        <v>98.745400000000004</v>
      </c>
      <c r="Y36" s="1286" t="s">
        <v>871</v>
      </c>
      <c r="Z36" s="1286">
        <f>S36</f>
        <v>-1788690</v>
      </c>
      <c r="AA36" s="1286"/>
      <c r="AB36" s="1286"/>
    </row>
    <row r="37" spans="1:28" s="686" customFormat="1" x14ac:dyDescent="0.15">
      <c r="A37" s="1279" t="s">
        <v>82</v>
      </c>
      <c r="B37" s="1280" t="s">
        <v>873</v>
      </c>
      <c r="C37" s="1281" t="s">
        <v>104</v>
      </c>
      <c r="D37" s="685">
        <v>1642000000</v>
      </c>
      <c r="E37" s="1282">
        <v>44652</v>
      </c>
      <c r="F37" s="1282">
        <v>44679</v>
      </c>
      <c r="G37" s="1279" t="s">
        <v>850</v>
      </c>
      <c r="H37" s="1283">
        <f>(F37-$V$37)</f>
        <v>6</v>
      </c>
      <c r="I37" s="1284">
        <v>0.10630000000000001</v>
      </c>
      <c r="J37" s="1283">
        <f t="shared" ref="J37" si="146">H37/365</f>
        <v>1.643835616438356E-2</v>
      </c>
      <c r="K37" s="905">
        <v>0.123</v>
      </c>
      <c r="L37" s="1283">
        <v>99.219800000000006</v>
      </c>
      <c r="M37" s="1285">
        <f t="shared" si="141"/>
        <v>1629189116</v>
      </c>
      <c r="N37" s="1285">
        <f>+'T-Bills Amortization '!Q76+'T-Bills Amortization '!O76</f>
        <v>9964020.8888888881</v>
      </c>
      <c r="O37" s="1285">
        <f t="shared" ref="O37" si="147">+M37+N37</f>
        <v>1639153136.8888888</v>
      </c>
      <c r="P37" s="1285">
        <v>1629189116</v>
      </c>
      <c r="Q37" s="904">
        <f t="shared" ref="Q37" si="148">ROUND(100/(1+(H37*K37)/365),4)</f>
        <v>99.798199999999994</v>
      </c>
      <c r="R37" s="685">
        <f t="shared" ref="R37" si="149">ROUND((Q37*D37)/100,2)</f>
        <v>1638686444</v>
      </c>
      <c r="S37" s="1286">
        <f>+R37-P37-'T-Bills Amortization '!Q76</f>
        <v>-466692.88888888806</v>
      </c>
      <c r="T37" s="1286">
        <v>-466692.88888888806</v>
      </c>
      <c r="U37" s="1286">
        <f t="shared" ref="U37" si="150">+S37-T37</f>
        <v>0</v>
      </c>
      <c r="V37" s="1287">
        <v>44673</v>
      </c>
      <c r="W37" s="1286">
        <f>D37/100</f>
        <v>16420000</v>
      </c>
      <c r="X37" s="1289">
        <f>Q37</f>
        <v>99.798199999999994</v>
      </c>
      <c r="Y37" s="1286" t="s">
        <v>105</v>
      </c>
      <c r="Z37" s="1286">
        <f>S37</f>
        <v>-466692.88888888806</v>
      </c>
      <c r="AA37" s="1286"/>
      <c r="AB37" s="1286"/>
    </row>
    <row r="38" spans="1:28" s="1021" customFormat="1" x14ac:dyDescent="0.15">
      <c r="A38" s="688" t="s">
        <v>93</v>
      </c>
      <c r="B38" s="689" t="s">
        <v>921</v>
      </c>
      <c r="C38" s="690" t="s">
        <v>104</v>
      </c>
      <c r="D38" s="691">
        <v>123200000</v>
      </c>
      <c r="E38" s="692">
        <v>44670</v>
      </c>
      <c r="F38" s="692">
        <v>44812</v>
      </c>
      <c r="G38" s="688" t="s">
        <v>721</v>
      </c>
      <c r="H38" s="693">
        <f t="shared" ref="H38" si="151">(F38-$C$5)</f>
        <v>48</v>
      </c>
      <c r="I38" s="694">
        <v>0.13150000000000001</v>
      </c>
      <c r="J38" s="693">
        <f t="shared" ref="J38" si="152">H38/365</f>
        <v>0.13150684931506848</v>
      </c>
      <c r="K38" s="695">
        <f>ROUND(((VLOOKUP(J38,PKRV!$B$10:$E$32,2))+((VLOOKUP(J38,PKRV!$B$10:$E$32,3))-(VLOOKUP(J38,PKRV!$B$10:$E$32,2)))/((VLOOKUP(J38,PKRV!$B$10:$E$32,1))-(VLOOKUP(J38,PKRV!$B$10:$E$32,4)))*((VLOOKUP(J38,PKRV!$B$10:$E$32,1))-J38))/100,10)</f>
        <v>0.14762</v>
      </c>
      <c r="L38" s="693">
        <v>95.133099999999999</v>
      </c>
      <c r="M38" s="696">
        <f t="shared" si="141"/>
        <v>117203979.2</v>
      </c>
      <c r="N38" s="696">
        <f>+'T-Bills Amortization '!Q29+'T-Bills Amortization '!O29</f>
        <v>3969196.8676056317</v>
      </c>
      <c r="O38" s="696">
        <f t="shared" ref="O38" si="153">+M38+N38</f>
        <v>121173176.06760563</v>
      </c>
      <c r="P38" s="696">
        <v>117203979.2</v>
      </c>
      <c r="Q38" s="697">
        <f t="shared" ref="Q38" si="154">ROUND(100/(1+(H38*K38)/365),4)</f>
        <v>98.095699999999994</v>
      </c>
      <c r="R38" s="691">
        <f t="shared" ref="R38" si="155">ROUND((Q38*D38)/100,2)</f>
        <v>120853902.40000001</v>
      </c>
      <c r="S38" s="698">
        <f>+R38-P38-'T-Bills Amortization '!Q29</f>
        <v>-319273.66760562873</v>
      </c>
      <c r="T38" s="698">
        <v>-326081.76901408844</v>
      </c>
      <c r="U38" s="698">
        <f t="shared" ref="U38" si="156">+S38-T38</f>
        <v>6808.1014084597118</v>
      </c>
      <c r="V38" s="1019"/>
      <c r="W38" s="1018"/>
      <c r="X38" s="1020"/>
      <c r="Y38" s="1018"/>
      <c r="Z38" s="1018"/>
      <c r="AA38" s="1018"/>
      <c r="AB38" s="1018"/>
    </row>
    <row r="39" spans="1:28" s="100" customFormat="1" x14ac:dyDescent="0.15">
      <c r="A39" s="73" t="s">
        <v>82</v>
      </c>
      <c r="B39" s="1312" t="s">
        <v>924</v>
      </c>
      <c r="C39" s="84" t="s">
        <v>104</v>
      </c>
      <c r="D39" s="77">
        <v>1600000000</v>
      </c>
      <c r="E39" s="74">
        <v>44673</v>
      </c>
      <c r="F39" s="74">
        <v>44854</v>
      </c>
      <c r="G39" s="73" t="s">
        <v>721</v>
      </c>
      <c r="H39" s="1283">
        <f>(F39-$V$39)</f>
        <v>114</v>
      </c>
      <c r="I39" s="302">
        <v>0.13800000000000001</v>
      </c>
      <c r="J39" s="301">
        <f t="shared" ref="J39" si="157">H39/365</f>
        <v>0.31232876712328766</v>
      </c>
      <c r="K39" s="1313">
        <v>0.14726</v>
      </c>
      <c r="L39" s="301">
        <v>93.594999999999999</v>
      </c>
      <c r="M39" s="303">
        <f t="shared" si="141"/>
        <v>1497520000</v>
      </c>
      <c r="N39" s="303">
        <f>+'T-Bills Amortization '!Q81+'T-Bills Amortization '!O81</f>
        <v>37934585.635359116</v>
      </c>
      <c r="O39" s="303">
        <f t="shared" ref="O39" si="158">+M39+N39</f>
        <v>1535454585.635359</v>
      </c>
      <c r="P39" s="303">
        <f>2184507300/2334*1600</f>
        <v>1497520000</v>
      </c>
      <c r="Q39" s="76">
        <f t="shared" ref="Q39" si="159">ROUND(100/(1+(H39*K39)/365),4)</f>
        <v>95.602900000000005</v>
      </c>
      <c r="R39" s="77">
        <f t="shared" ref="R39" si="160">ROUND((Q39*D39)/100,2)</f>
        <v>1529646400</v>
      </c>
      <c r="S39" s="111">
        <f>+R39-P39-'T-Bills Amortization '!Q81</f>
        <v>-5808185.6353591159</v>
      </c>
      <c r="T39" s="111">
        <v>-5808185.6353591159</v>
      </c>
      <c r="U39" s="111">
        <f t="shared" ref="U39" si="161">+S39-T39</f>
        <v>0</v>
      </c>
      <c r="V39" s="1314">
        <v>44740</v>
      </c>
      <c r="W39" s="111">
        <f>D39/100</f>
        <v>16000000</v>
      </c>
      <c r="X39" s="1315">
        <f>Q39</f>
        <v>95.602900000000005</v>
      </c>
      <c r="Y39" s="111" t="s">
        <v>409</v>
      </c>
      <c r="Z39" s="111">
        <f>S39</f>
        <v>-5808185.6353591159</v>
      </c>
      <c r="AA39" s="111"/>
      <c r="AB39" s="111"/>
    </row>
    <row r="40" spans="1:28" s="1021" customFormat="1" x14ac:dyDescent="0.15">
      <c r="A40" s="688" t="s">
        <v>93</v>
      </c>
      <c r="B40" s="689" t="s">
        <v>924</v>
      </c>
      <c r="C40" s="690" t="s">
        <v>104</v>
      </c>
      <c r="D40" s="691">
        <v>734000000</v>
      </c>
      <c r="E40" s="692">
        <v>44673</v>
      </c>
      <c r="F40" s="692">
        <v>44854</v>
      </c>
      <c r="G40" s="688" t="s">
        <v>721</v>
      </c>
      <c r="H40" s="693">
        <f t="shared" ref="H40" si="162">(F40-$C$5)</f>
        <v>90</v>
      </c>
      <c r="I40" s="694">
        <v>0.13800000000000001</v>
      </c>
      <c r="J40" s="693">
        <f t="shared" ref="J40" si="163">H40/365</f>
        <v>0.24657534246575341</v>
      </c>
      <c r="K40" s="695">
        <f>ROUND(((VLOOKUP(J40,PKRV!$B$10:$E$32,2))+((VLOOKUP(J40,PKRV!$B$10:$E$32,3))-(VLOOKUP(J40,PKRV!$B$10:$E$32,2)))/((VLOOKUP(J40,PKRV!$B$10:$E$32,1))-(VLOOKUP(J40,PKRV!$B$10:$E$32,4)))*((VLOOKUP(J40,PKRV!$B$10:$E$32,1))-J40))/100,10)</f>
        <v>0.15129999999999999</v>
      </c>
      <c r="L40" s="693">
        <v>93.594999999999999</v>
      </c>
      <c r="M40" s="696">
        <f t="shared" ref="M40" si="164">+D40*L40/100</f>
        <v>686987300</v>
      </c>
      <c r="N40" s="696">
        <f>+'T-Bills Amortization '!Q31+'T-Bills Amortization '!O31</f>
        <v>23636219.337016575</v>
      </c>
      <c r="O40" s="696">
        <f t="shared" ref="O40" si="165">+M40+N40</f>
        <v>710623519.33701658</v>
      </c>
      <c r="P40" s="696">
        <f>2184507300/2334*734</f>
        <v>686987300</v>
      </c>
      <c r="Q40" s="697">
        <f t="shared" ref="Q40" si="166">ROUND(100/(1+(H40*K40)/365),4)</f>
        <v>96.403499999999994</v>
      </c>
      <c r="R40" s="691">
        <f t="shared" ref="R40" si="167">ROUND((Q40*D40)/100,2)</f>
        <v>707601690</v>
      </c>
      <c r="S40" s="698">
        <f>+R40-P40-'T-Bills Amortization '!Q31</f>
        <v>-3021829.337016575</v>
      </c>
      <c r="T40" s="698">
        <v>-3035138.662983425</v>
      </c>
      <c r="U40" s="698">
        <f t="shared" ref="U40" si="168">+S40-T40</f>
        <v>13309.325966849923</v>
      </c>
      <c r="V40" s="1019"/>
      <c r="W40" s="1018"/>
      <c r="X40" s="1020"/>
      <c r="Y40" s="1018"/>
      <c r="Z40" s="1018"/>
      <c r="AA40" s="1018"/>
      <c r="AB40" s="1018"/>
    </row>
    <row r="41" spans="1:28" s="1021" customFormat="1" x14ac:dyDescent="0.15">
      <c r="A41" s="688" t="s">
        <v>93</v>
      </c>
      <c r="B41" s="689" t="s">
        <v>929</v>
      </c>
      <c r="C41" s="690" t="s">
        <v>104</v>
      </c>
      <c r="D41" s="691">
        <v>250000000</v>
      </c>
      <c r="E41" s="692">
        <v>44679</v>
      </c>
      <c r="F41" s="692">
        <v>44868</v>
      </c>
      <c r="G41" s="688" t="s">
        <v>721</v>
      </c>
      <c r="H41" s="693">
        <f t="shared" ref="H41" si="169">(F41-$C$5)</f>
        <v>104</v>
      </c>
      <c r="I41" s="694">
        <v>0.14399899999999999</v>
      </c>
      <c r="J41" s="693">
        <f t="shared" ref="J41" si="170">H41/365</f>
        <v>0.28493150684931506</v>
      </c>
      <c r="K41" s="695">
        <f>ROUND(((VLOOKUP(J41,PKRV!$B$10:$E$32,2))+((VLOOKUP(J41,PKRV!$B$10:$E$32,3))-(VLOOKUP(J41,PKRV!$B$10:$E$32,2)))/((VLOOKUP(J41,PKRV!$B$10:$E$32,1))-(VLOOKUP(J41,PKRV!$B$10:$E$32,4)))*((VLOOKUP(J41,PKRV!$B$10:$E$32,1))-J41))/100,10)</f>
        <v>0.152</v>
      </c>
      <c r="L41" s="693">
        <v>93.061000000000007</v>
      </c>
      <c r="M41" s="696">
        <f t="shared" si="141"/>
        <v>232652500</v>
      </c>
      <c r="N41" s="696">
        <f>+'T-Bills Amortization '!Q32+'T-Bills Amortization '!O32</f>
        <v>7801785.7142857146</v>
      </c>
      <c r="O41" s="696">
        <f t="shared" ref="O41" si="171">+M41+N41</f>
        <v>240454285.7142857</v>
      </c>
      <c r="P41" s="696">
        <v>232652500</v>
      </c>
      <c r="Q41" s="697">
        <f t="shared" ref="Q41" si="172">ROUND(100/(1+(H41*K41)/365),4)</f>
        <v>95.848799999999997</v>
      </c>
      <c r="R41" s="691">
        <f t="shared" ref="R41" si="173">ROUND((Q41*D41)/100,2)</f>
        <v>239622000</v>
      </c>
      <c r="S41" s="698">
        <f>+R41-P41-'T-Bills Amortization '!Q32</f>
        <v>-832285.71428571455</v>
      </c>
      <c r="T41" s="698">
        <v>-826250</v>
      </c>
      <c r="U41" s="698">
        <f t="shared" ref="U41" si="174">+S41-T41</f>
        <v>-6035.7142857145518</v>
      </c>
      <c r="V41" s="1019"/>
      <c r="W41" s="1018"/>
      <c r="X41" s="1020"/>
      <c r="Y41" s="1018"/>
      <c r="Z41" s="1018"/>
      <c r="AA41" s="1018"/>
      <c r="AB41" s="1018"/>
    </row>
    <row r="42" spans="1:28" s="1021" customFormat="1" x14ac:dyDescent="0.15">
      <c r="A42" s="688" t="s">
        <v>93</v>
      </c>
      <c r="B42" s="689" t="s">
        <v>929</v>
      </c>
      <c r="C42" s="690" t="s">
        <v>104</v>
      </c>
      <c r="D42" s="691">
        <v>23000000</v>
      </c>
      <c r="E42" s="692">
        <v>44679</v>
      </c>
      <c r="F42" s="692">
        <v>44868</v>
      </c>
      <c r="G42" s="688" t="s">
        <v>721</v>
      </c>
      <c r="H42" s="693">
        <f t="shared" ref="H42" si="175">(F42-$C$5)</f>
        <v>104</v>
      </c>
      <c r="I42" s="694">
        <v>0.14500099999999999</v>
      </c>
      <c r="J42" s="693">
        <f t="shared" ref="J42" si="176">H42/365</f>
        <v>0.28493150684931506</v>
      </c>
      <c r="K42" s="695">
        <f>ROUND(((VLOOKUP(J42,PKRV!$B$10:$E$32,2))+((VLOOKUP(J42,PKRV!$B$10:$E$32,3))-(VLOOKUP(J42,PKRV!$B$10:$E$32,2)))/((VLOOKUP(J42,PKRV!$B$10:$E$32,1))-(VLOOKUP(J42,PKRV!$B$10:$E$32,4)))*((VLOOKUP(J42,PKRV!$B$10:$E$32,1))-J42))/100,10)</f>
        <v>0.152</v>
      </c>
      <c r="L42" s="693">
        <v>93.016099999999994</v>
      </c>
      <c r="M42" s="696">
        <f t="shared" si="141"/>
        <v>21393702.999999996</v>
      </c>
      <c r="N42" s="696">
        <f>+'T-Bills Amortization '!Q33+'T-Bills Amortization '!O33</f>
        <v>722408.70370370534</v>
      </c>
      <c r="O42" s="696">
        <f t="shared" ref="O42" si="177">+M42+N42</f>
        <v>22116111.703703701</v>
      </c>
      <c r="P42" s="696">
        <v>21393702.999999996</v>
      </c>
      <c r="Q42" s="697">
        <f t="shared" ref="Q42" si="178">ROUND(100/(1+(H42*K42)/365),4)</f>
        <v>95.848799999999997</v>
      </c>
      <c r="R42" s="691">
        <f t="shared" ref="R42" si="179">ROUND((Q42*D42)/100,2)</f>
        <v>22045224</v>
      </c>
      <c r="S42" s="698">
        <f>+R42-P42-'T-Bills Amortization '!Q33</f>
        <v>-70887.703703701613</v>
      </c>
      <c r="T42" s="698">
        <v>-70277.777777775656</v>
      </c>
      <c r="U42" s="698">
        <f t="shared" ref="U42" si="180">+S42-T42</f>
        <v>-609.92592592595611</v>
      </c>
      <c r="V42" s="1019"/>
      <c r="W42" s="1018"/>
      <c r="X42" s="1020"/>
      <c r="Y42" s="1018"/>
      <c r="Z42" s="1018"/>
      <c r="AA42" s="1018"/>
      <c r="AB42" s="1018"/>
    </row>
    <row r="43" spans="1:28" s="1021" customFormat="1" x14ac:dyDescent="0.15">
      <c r="A43" s="688" t="s">
        <v>93</v>
      </c>
      <c r="B43" s="689" t="s">
        <v>929</v>
      </c>
      <c r="C43" s="690" t="s">
        <v>104</v>
      </c>
      <c r="D43" s="691">
        <v>1090000000</v>
      </c>
      <c r="E43" s="692">
        <v>44679</v>
      </c>
      <c r="F43" s="692">
        <v>44868</v>
      </c>
      <c r="G43" s="688" t="s">
        <v>721</v>
      </c>
      <c r="H43" s="693">
        <f t="shared" ref="H43" si="181">(F43-$C$5)</f>
        <v>104</v>
      </c>
      <c r="I43" s="694">
        <v>0.14599899999999999</v>
      </c>
      <c r="J43" s="693">
        <f t="shared" ref="J43" si="182">H43/365</f>
        <v>0.28493150684931506</v>
      </c>
      <c r="K43" s="695">
        <f>ROUND(((VLOOKUP(J43,PKRV!$B$10:$E$32,2))+((VLOOKUP(J43,PKRV!$B$10:$E$32,3))-(VLOOKUP(J43,PKRV!$B$10:$E$32,2)))/((VLOOKUP(J43,PKRV!$B$10:$E$32,1))-(VLOOKUP(J43,PKRV!$B$10:$E$32,4)))*((VLOOKUP(J43,PKRV!$B$10:$E$32,1))-J43))/100,10)</f>
        <v>0.152</v>
      </c>
      <c r="L43" s="693">
        <v>92.971400000000003</v>
      </c>
      <c r="M43" s="696">
        <f t="shared" si="141"/>
        <v>1013388260</v>
      </c>
      <c r="N43" s="696">
        <f>+'T-Bills Amortization '!Q34+'T-Bills Amortization '!O34</f>
        <v>34455015.343915343</v>
      </c>
      <c r="O43" s="696">
        <f t="shared" ref="O43" si="183">+M43+N43</f>
        <v>1047843275.3439153</v>
      </c>
      <c r="P43" s="696">
        <v>1013388260</v>
      </c>
      <c r="Q43" s="697">
        <f t="shared" ref="Q43" si="184">ROUND(100/(1+(H43*K43)/365),4)</f>
        <v>95.848799999999997</v>
      </c>
      <c r="R43" s="691">
        <f t="shared" ref="R43" si="185">ROUND((Q43*D43)/100,2)</f>
        <v>1044751920</v>
      </c>
      <c r="S43" s="698">
        <f>+R43-P43-'T-Bills Amortization '!Q34</f>
        <v>-3091355.3439153433</v>
      </c>
      <c r="T43" s="698">
        <v>-3059872.2222222239</v>
      </c>
      <c r="U43" s="698">
        <f t="shared" ref="U43" si="186">+S43-T43</f>
        <v>-31483.121693119407</v>
      </c>
      <c r="V43" s="1019"/>
      <c r="W43" s="1018"/>
      <c r="X43" s="1020"/>
      <c r="Y43" s="1018"/>
      <c r="Z43" s="1018"/>
      <c r="AA43" s="1018"/>
      <c r="AB43" s="1018"/>
    </row>
    <row r="44" spans="1:28" s="686" customFormat="1" x14ac:dyDescent="0.15">
      <c r="A44" s="1279" t="s">
        <v>82</v>
      </c>
      <c r="B44" s="1280" t="s">
        <v>930</v>
      </c>
      <c r="C44" s="1281" t="s">
        <v>104</v>
      </c>
      <c r="D44" s="685">
        <v>376000000</v>
      </c>
      <c r="E44" s="1282">
        <v>44680</v>
      </c>
      <c r="F44" s="1282">
        <v>44700</v>
      </c>
      <c r="G44" s="1279" t="s">
        <v>721</v>
      </c>
      <c r="H44" s="1283">
        <f>(F44-$V$44)</f>
        <v>1</v>
      </c>
      <c r="I44" s="1284">
        <v>0.13150000000000001</v>
      </c>
      <c r="J44" s="1283">
        <f t="shared" ref="J44" si="187">H44/365</f>
        <v>2.7397260273972603E-3</v>
      </c>
      <c r="K44" s="905">
        <v>0.124</v>
      </c>
      <c r="L44" s="1283">
        <v>99.284599999999998</v>
      </c>
      <c r="M44" s="1285">
        <f t="shared" ref="M44" si="188">+D44*L44/100</f>
        <v>373310096</v>
      </c>
      <c r="N44" s="1285">
        <f>+'T-Bills Amortization '!Q79+'T-Bills Amortization '!O79</f>
        <v>2555408.8000000003</v>
      </c>
      <c r="O44" s="1285">
        <f t="shared" ref="O44" si="189">+M44+N44</f>
        <v>375865504.80000001</v>
      </c>
      <c r="P44" s="1285">
        <v>373310096</v>
      </c>
      <c r="Q44" s="904">
        <f t="shared" ref="Q44" si="190">ROUND(100/(1+(H44*K44)/365),4)</f>
        <v>99.965999999999994</v>
      </c>
      <c r="R44" s="685">
        <f t="shared" ref="R44" si="191">ROUND((Q44*D44)/100,2)</f>
        <v>375872160</v>
      </c>
      <c r="S44" s="1286">
        <f>+R44-P44-'T-Bills Amortization '!Q79</f>
        <v>6655.1999999997206</v>
      </c>
      <c r="T44" s="1286">
        <v>6655.1999999997206</v>
      </c>
      <c r="U44" s="1286">
        <f t="shared" ref="U44" si="192">+S44-T44</f>
        <v>0</v>
      </c>
      <c r="V44" s="1287">
        <v>44699</v>
      </c>
      <c r="W44" s="1286">
        <f>D44/100</f>
        <v>3760000</v>
      </c>
      <c r="X44" s="1289">
        <f>Q44</f>
        <v>99.965999999999994</v>
      </c>
      <c r="Y44" s="1286" t="s">
        <v>105</v>
      </c>
      <c r="Z44" s="1286">
        <f>S44</f>
        <v>6655.1999999997206</v>
      </c>
      <c r="AA44" s="1286"/>
      <c r="AB44" s="1286"/>
    </row>
    <row r="45" spans="1:28" s="1021" customFormat="1" x14ac:dyDescent="0.15">
      <c r="A45" s="688" t="s">
        <v>93</v>
      </c>
      <c r="B45" s="689" t="s">
        <v>929</v>
      </c>
      <c r="C45" s="690" t="s">
        <v>104</v>
      </c>
      <c r="D45" s="691">
        <v>85000000</v>
      </c>
      <c r="E45" s="692">
        <v>44692</v>
      </c>
      <c r="F45" s="692">
        <v>44868</v>
      </c>
      <c r="G45" s="688" t="s">
        <v>721</v>
      </c>
      <c r="H45" s="693">
        <f t="shared" ref="H45" si="193">(F45-$C$5)</f>
        <v>104</v>
      </c>
      <c r="I45" s="694">
        <v>0.14790666669999999</v>
      </c>
      <c r="J45" s="693">
        <f t="shared" ref="J45" si="194">H45/365</f>
        <v>0.28493150684931506</v>
      </c>
      <c r="K45" s="695">
        <f>ROUND(((VLOOKUP(J45,PKRV!$B$10:$E$32,2))+((VLOOKUP(J45,PKRV!$B$10:$E$32,3))-(VLOOKUP(J45,PKRV!$B$10:$E$32,2)))/((VLOOKUP(J45,PKRV!$B$10:$E$32,1))-(VLOOKUP(J45,PKRV!$B$10:$E$32,4)))*((VLOOKUP(J45,PKRV!$B$10:$E$32,1))-J45))/100,10)</f>
        <v>0.152</v>
      </c>
      <c r="L45" s="693">
        <v>93.342799999999997</v>
      </c>
      <c r="M45" s="696">
        <f t="shared" ref="M45" si="195">+D45*L45/100</f>
        <v>79341380</v>
      </c>
      <c r="N45" s="696">
        <f>+'T-Bills Amortization '!Q35+'T-Bills Amortization '!O35</f>
        <v>2314890</v>
      </c>
      <c r="O45" s="696">
        <f t="shared" ref="O45" si="196">+M45+N45</f>
        <v>81656270</v>
      </c>
      <c r="P45" s="696">
        <v>79341380</v>
      </c>
      <c r="Q45" s="697">
        <f t="shared" ref="Q45" si="197">ROUND(100/(1+(H45*K45)/365),4)</f>
        <v>95.848799999999997</v>
      </c>
      <c r="R45" s="691">
        <f t="shared" ref="R45" si="198">ROUND((Q45*D45)/100,2)</f>
        <v>81471480</v>
      </c>
      <c r="S45" s="698">
        <f>+R45-P45-'T-Bills Amortization '!Q35</f>
        <v>-184790</v>
      </c>
      <c r="T45" s="698">
        <v>-181793.75</v>
      </c>
      <c r="U45" s="698">
        <f t="shared" ref="U45" si="199">+S45-T45</f>
        <v>-2996.25</v>
      </c>
      <c r="V45" s="1019"/>
      <c r="W45" s="1018"/>
      <c r="X45" s="1020"/>
      <c r="Y45" s="1018"/>
      <c r="Z45" s="1018"/>
      <c r="AA45" s="1018"/>
      <c r="AB45" s="1018"/>
    </row>
    <row r="46" spans="1:28" s="686" customFormat="1" x14ac:dyDescent="0.15">
      <c r="A46" s="1279" t="s">
        <v>82</v>
      </c>
      <c r="B46" s="1280" t="s">
        <v>1041</v>
      </c>
      <c r="C46" s="1281" t="s">
        <v>83</v>
      </c>
      <c r="D46" s="685">
        <v>419500000</v>
      </c>
      <c r="E46" s="1282">
        <v>44700</v>
      </c>
      <c r="F46" s="1282">
        <v>44728</v>
      </c>
      <c r="G46" s="1279" t="s">
        <v>850</v>
      </c>
      <c r="H46" s="1283">
        <f>(F46-$V$46)</f>
        <v>8</v>
      </c>
      <c r="I46" s="1284">
        <v>0.13500000000000001</v>
      </c>
      <c r="J46" s="1283">
        <f t="shared" ref="J46" si="200">H46/365</f>
        <v>2.1917808219178082E-2</v>
      </c>
      <c r="K46" s="905">
        <v>0.13800000000000001</v>
      </c>
      <c r="L46" s="1283">
        <v>98.974999999999994</v>
      </c>
      <c r="M46" s="1285">
        <f t="shared" ref="M46" si="201">+D46*L46/100</f>
        <v>415200125</v>
      </c>
      <c r="N46" s="1285">
        <f>+'T-Bills Amortization '!Q80+'T-Bills Amortization '!O80</f>
        <v>3071339.2857142859</v>
      </c>
      <c r="O46" s="1285">
        <f t="shared" ref="O46" si="202">+M46+N46</f>
        <v>418271464.28571427</v>
      </c>
      <c r="P46" s="1285">
        <v>415200125</v>
      </c>
      <c r="Q46" s="904">
        <f t="shared" ref="Q46" si="203">ROUND(100/(1+(H46*K46)/365),4)</f>
        <v>99.698400000000007</v>
      </c>
      <c r="R46" s="685">
        <f t="shared" ref="R46" si="204">ROUND((Q46*D46)/100,2)</f>
        <v>418234788</v>
      </c>
      <c r="S46" s="1286">
        <f>+R46-P46-'T-Bills Amortization '!Q80</f>
        <v>-36676.285714285914</v>
      </c>
      <c r="T46" s="1286">
        <v>-36676.285714285914</v>
      </c>
      <c r="U46" s="1286">
        <f t="shared" ref="U46" si="205">+S46-T46</f>
        <v>0</v>
      </c>
      <c r="V46" s="1287">
        <v>44720</v>
      </c>
      <c r="W46" s="1286">
        <f>D46/100</f>
        <v>4195000</v>
      </c>
      <c r="X46" s="1289">
        <f>Q46</f>
        <v>99.698400000000007</v>
      </c>
      <c r="Y46" s="1286" t="s">
        <v>857</v>
      </c>
      <c r="Z46" s="1286">
        <f>S46</f>
        <v>-36676.285714285914</v>
      </c>
      <c r="AA46" s="1286"/>
      <c r="AB46" s="1286"/>
    </row>
    <row r="47" spans="1:28" s="1021" customFormat="1" x14ac:dyDescent="0.15">
      <c r="A47" s="688" t="s">
        <v>93</v>
      </c>
      <c r="B47" s="689" t="s">
        <v>1063</v>
      </c>
      <c r="C47" s="690" t="s">
        <v>83</v>
      </c>
      <c r="D47" s="691">
        <v>350000000</v>
      </c>
      <c r="E47" s="692">
        <v>44708</v>
      </c>
      <c r="F47" s="692">
        <v>44770</v>
      </c>
      <c r="G47" s="688" t="s">
        <v>721</v>
      </c>
      <c r="H47" s="693">
        <f t="shared" ref="H47" si="206">(F47-$C$5)</f>
        <v>6</v>
      </c>
      <c r="I47" s="694">
        <v>0.14180000000000001</v>
      </c>
      <c r="J47" s="693">
        <f t="shared" ref="J47" si="207">H47/365</f>
        <v>1.643835616438356E-2</v>
      </c>
      <c r="K47" s="695">
        <f>ROUND(((VLOOKUP(J47,PKRV!$B$10:$E$32,2))+((VLOOKUP(J47,PKRV!$B$10:$E$32,3))-(VLOOKUP(J47,PKRV!$B$10:$E$32,2)))/((VLOOKUP(J47,PKRV!$B$10:$E$32,1))-(VLOOKUP(J47,PKRV!$B$10:$E$32,4)))*((VLOOKUP(J47,PKRV!$B$10:$E$32,1))-J47))/100,10)</f>
        <v>0.1228285714</v>
      </c>
      <c r="L47" s="693">
        <v>97.647999999999996</v>
      </c>
      <c r="M47" s="696">
        <f t="shared" ref="M47" si="208">+D47*L47/100</f>
        <v>341768000</v>
      </c>
      <c r="N47" s="696">
        <f>+'T-Bills Amortization '!Q36+'T-Bills Amortization '!O36</f>
        <v>7435354.8387096766</v>
      </c>
      <c r="O47" s="696">
        <f t="shared" ref="O47" si="209">+M47+N47</f>
        <v>349203354.83870965</v>
      </c>
      <c r="P47" s="696">
        <v>341768000</v>
      </c>
      <c r="Q47" s="697">
        <f t="shared" ref="Q47" si="210">ROUND(100/(1+(H47*K47)/365),4)</f>
        <v>99.798500000000004</v>
      </c>
      <c r="R47" s="691">
        <f t="shared" ref="R47" si="211">ROUND((Q47*D47)/100,2)</f>
        <v>349294750</v>
      </c>
      <c r="S47" s="698">
        <f>+R47-P47-'T-Bills Amortization '!Q36</f>
        <v>91395.161290323362</v>
      </c>
      <c r="T47" s="698">
        <v>-10330.645161289722</v>
      </c>
      <c r="U47" s="698">
        <f t="shared" ref="U47" si="212">+S47-T47</f>
        <v>101725.80645161308</v>
      </c>
      <c r="V47" s="1019"/>
      <c r="W47" s="1018"/>
      <c r="X47" s="1020"/>
      <c r="Y47" s="1018"/>
      <c r="Z47" s="1018"/>
      <c r="AA47" s="1018"/>
      <c r="AB47" s="1018"/>
    </row>
    <row r="48" spans="1:28" s="100" customFormat="1" x14ac:dyDescent="0.15">
      <c r="A48" s="73" t="s">
        <v>82</v>
      </c>
      <c r="B48" s="1312" t="s">
        <v>1163</v>
      </c>
      <c r="C48" s="84" t="s">
        <v>83</v>
      </c>
      <c r="D48" s="77">
        <v>50000000</v>
      </c>
      <c r="E48" s="74">
        <v>44714</v>
      </c>
      <c r="F48" s="74">
        <v>44798</v>
      </c>
      <c r="G48" s="73" t="s">
        <v>850</v>
      </c>
      <c r="H48" s="1283">
        <f>(F48-$V$48)</f>
        <v>56</v>
      </c>
      <c r="I48" s="302">
        <v>0.14500299999999999</v>
      </c>
      <c r="J48" s="301">
        <f t="shared" ref="J48" si="213">H48/365</f>
        <v>0.15342465753424658</v>
      </c>
      <c r="K48" s="1313">
        <v>0.1418333333</v>
      </c>
      <c r="L48" s="301">
        <v>96.770700000000005</v>
      </c>
      <c r="M48" s="303">
        <f t="shared" ref="M48" si="214">+D48*L48/100</f>
        <v>48385350</v>
      </c>
      <c r="N48" s="303">
        <f>+'T-Bills Amortization '!Q82+'T-Bills Amortization '!O82</f>
        <v>538216.66666666663</v>
      </c>
      <c r="O48" s="303">
        <f t="shared" ref="O48" si="215">+M48+N48</f>
        <v>48923566.666666664</v>
      </c>
      <c r="P48" s="303">
        <f>96770700/2</f>
        <v>48385350</v>
      </c>
      <c r="Q48" s="76">
        <f t="shared" ref="Q48" si="216">ROUND(100/(1+(H48*K48)/365),4)</f>
        <v>97.8703</v>
      </c>
      <c r="R48" s="77">
        <f t="shared" ref="R48" si="217">ROUND((Q48*D48)/100,2)</f>
        <v>48935150</v>
      </c>
      <c r="S48" s="111">
        <f>+R48-P48-'T-Bills Amortization '!Q82</f>
        <v>11583.333333333372</v>
      </c>
      <c r="T48" s="111">
        <v>11583.333333333372</v>
      </c>
      <c r="U48" s="111">
        <f t="shared" ref="U48" si="218">+S48-T48</f>
        <v>0</v>
      </c>
      <c r="V48" s="1314">
        <v>44742</v>
      </c>
      <c r="W48" s="1286">
        <f>D48/100</f>
        <v>500000</v>
      </c>
      <c r="X48" s="1289">
        <f>Q48</f>
        <v>97.8703</v>
      </c>
      <c r="Y48" s="1286" t="s">
        <v>409</v>
      </c>
      <c r="Z48" s="1286">
        <f>S48</f>
        <v>11583.333333333372</v>
      </c>
      <c r="AA48" s="111"/>
      <c r="AB48" s="111"/>
    </row>
    <row r="49" spans="1:28" s="1021" customFormat="1" x14ac:dyDescent="0.15">
      <c r="A49" s="688" t="s">
        <v>93</v>
      </c>
      <c r="B49" s="689" t="s">
        <v>1163</v>
      </c>
      <c r="C49" s="690" t="s">
        <v>83</v>
      </c>
      <c r="D49" s="691">
        <v>50000000</v>
      </c>
      <c r="E49" s="692">
        <v>44714</v>
      </c>
      <c r="F49" s="692">
        <v>44798</v>
      </c>
      <c r="G49" s="688" t="s">
        <v>850</v>
      </c>
      <c r="H49" s="693">
        <f t="shared" ref="H49" si="219">(F49-$C$5)</f>
        <v>34</v>
      </c>
      <c r="I49" s="694">
        <v>0.14500299999999999</v>
      </c>
      <c r="J49" s="693">
        <f t="shared" ref="J49" si="220">H49/365</f>
        <v>9.3150684931506855E-2</v>
      </c>
      <c r="K49" s="695">
        <f>ROUND(((VLOOKUP(J49,PKRV!$B$10:$E$32,2))+((VLOOKUP(J49,PKRV!$B$10:$E$32,3))-(VLOOKUP(J49,PKRV!$B$10:$E$32,2)))/((VLOOKUP(J49,PKRV!$B$10:$E$32,1))-(VLOOKUP(J49,PKRV!$B$10:$E$32,4)))*((VLOOKUP(J49,PKRV!$B$10:$E$32,1))-J49))/100,10)</f>
        <v>0.14659333329999999</v>
      </c>
      <c r="L49" s="693">
        <v>96.770700000000005</v>
      </c>
      <c r="M49" s="696">
        <f t="shared" ref="M49" si="221">+D49*L49/100</f>
        <v>48385350</v>
      </c>
      <c r="N49" s="696">
        <f>+'T-Bills Amortization '!Q38+'T-Bills Amortization '!O38</f>
        <v>961101.19047619042</v>
      </c>
      <c r="O49" s="696">
        <f t="shared" ref="O49" si="222">+M49+N49</f>
        <v>49346451.190476194</v>
      </c>
      <c r="P49" s="696">
        <f>96770700/2</f>
        <v>48385350</v>
      </c>
      <c r="Q49" s="697">
        <f t="shared" ref="Q49" si="223">ROUND(100/(1+(H49*K49)/365),4)</f>
        <v>98.652900000000002</v>
      </c>
      <c r="R49" s="691">
        <f t="shared" ref="R49" si="224">ROUND((Q49*D49)/100,2)</f>
        <v>49326450</v>
      </c>
      <c r="S49" s="698">
        <f>+R49-P49-'T-Bills Amortization '!Q38</f>
        <v>-20001.190476190415</v>
      </c>
      <c r="T49" s="698">
        <v>-19979.166666666628</v>
      </c>
      <c r="U49" s="698">
        <f t="shared" ref="U49" si="225">+S49-T49</f>
        <v>-22.023809523787349</v>
      </c>
      <c r="V49" s="1019"/>
      <c r="W49" s="1018"/>
      <c r="X49" s="1020"/>
      <c r="Y49" s="1018"/>
      <c r="Z49" s="1018"/>
      <c r="AA49" s="1018"/>
      <c r="AB49" s="1018"/>
    </row>
    <row r="50" spans="1:28" s="1021" customFormat="1" x14ac:dyDescent="0.15">
      <c r="A50" s="688" t="s">
        <v>93</v>
      </c>
      <c r="B50" s="689" t="s">
        <v>1195</v>
      </c>
      <c r="C50" s="690" t="s">
        <v>83</v>
      </c>
      <c r="D50" s="691">
        <v>400000000</v>
      </c>
      <c r="E50" s="692">
        <v>44729</v>
      </c>
      <c r="F50" s="692">
        <v>44784</v>
      </c>
      <c r="G50" s="688" t="s">
        <v>721</v>
      </c>
      <c r="H50" s="693">
        <f t="shared" ref="H50" si="226">(F50-$C$5)</f>
        <v>20</v>
      </c>
      <c r="I50" s="694">
        <v>0.14399999999999999</v>
      </c>
      <c r="J50" s="693">
        <f t="shared" ref="J50" si="227">H50/365</f>
        <v>5.4794520547945202E-2</v>
      </c>
      <c r="K50" s="695">
        <f>ROUND(((VLOOKUP(J50,PKRV!$B$10:$E$32,2))+((VLOOKUP(J50,PKRV!$B$10:$E$32,3))-(VLOOKUP(J50,PKRV!$B$10:$E$32,2)))/((VLOOKUP(J50,PKRV!$B$10:$E$32,1))-(VLOOKUP(J50,PKRV!$B$10:$E$32,4)))*((VLOOKUP(J50,PKRV!$B$10:$E$32,1))-J50))/100,10)</f>
        <v>0.14536666670000001</v>
      </c>
      <c r="L50" s="693">
        <v>97.876199999999997</v>
      </c>
      <c r="M50" s="696">
        <f t="shared" ref="M50" si="228">+D50*L50/100</f>
        <v>391504800</v>
      </c>
      <c r="N50" s="696">
        <f>+'T-Bills Amortization '!Q39+'T-Bills Amortization '!O39</f>
        <v>5406036.3636363642</v>
      </c>
      <c r="O50" s="696">
        <f t="shared" ref="O50" si="229">+M50+N50</f>
        <v>396910836.36363637</v>
      </c>
      <c r="P50" s="696">
        <v>391504800</v>
      </c>
      <c r="Q50" s="697">
        <f t="shared" ref="Q50" si="230">ROUND(100/(1+(H50*K50)/365),4)</f>
        <v>99.209800000000001</v>
      </c>
      <c r="R50" s="691">
        <f t="shared" ref="R50" si="231">ROUND((Q50*D50)/100,2)</f>
        <v>396839200</v>
      </c>
      <c r="S50" s="698">
        <f>+R50-P50-'T-Bills Amortization '!Q39</f>
        <v>-71636.363636364229</v>
      </c>
      <c r="T50" s="698">
        <v>-53978.181818181649</v>
      </c>
      <c r="U50" s="698">
        <f t="shared" ref="U50" si="232">+S50-T50</f>
        <v>-17658.18181818258</v>
      </c>
      <c r="V50" s="1019"/>
      <c r="W50" s="1018"/>
      <c r="X50" s="1020"/>
      <c r="Y50" s="1018"/>
      <c r="Z50" s="1018"/>
      <c r="AA50" s="1018"/>
      <c r="AB50" s="1018"/>
    </row>
    <row r="51" spans="1:28" s="1021" customFormat="1" x14ac:dyDescent="0.15">
      <c r="A51" s="688" t="s">
        <v>93</v>
      </c>
      <c r="B51" s="689" t="s">
        <v>1398</v>
      </c>
      <c r="C51" s="690" t="s">
        <v>83</v>
      </c>
      <c r="D51" s="691">
        <v>197500000</v>
      </c>
      <c r="E51" s="692">
        <v>44757</v>
      </c>
      <c r="F51" s="692">
        <v>44770</v>
      </c>
      <c r="G51" s="688" t="s">
        <v>850</v>
      </c>
      <c r="H51" s="693">
        <f t="shared" ref="H51" si="233">(F51-$C$5)</f>
        <v>6</v>
      </c>
      <c r="I51" s="694">
        <v>0.13800000000000001</v>
      </c>
      <c r="J51" s="693">
        <f t="shared" ref="J51" si="234">H51/365</f>
        <v>1.643835616438356E-2</v>
      </c>
      <c r="K51" s="695">
        <f>ROUND(((VLOOKUP(J51,PKRV!$B$10:$E$32,2))+((VLOOKUP(J51,PKRV!$B$10:$E$32,3))-(VLOOKUP(J51,PKRV!$B$10:$E$32,2)))/((VLOOKUP(J51,PKRV!$B$10:$E$32,1))-(VLOOKUP(J51,PKRV!$B$10:$E$32,4)))*((VLOOKUP(J51,PKRV!$B$10:$E$32,1))-J51))/100,10)</f>
        <v>0.1228285714</v>
      </c>
      <c r="L51" s="693">
        <v>99.510900000000007</v>
      </c>
      <c r="M51" s="696">
        <f t="shared" ref="M51" si="235">+D51*L51/100</f>
        <v>196534027.5</v>
      </c>
      <c r="N51" s="696">
        <f>+'T-Bills Amortization '!Q40+'T-Bills Amortization '!O40</f>
        <v>520139.03846153844</v>
      </c>
      <c r="O51" s="696">
        <f t="shared" ref="O51" si="236">+M51+N51</f>
        <v>197054166.53846154</v>
      </c>
      <c r="P51" s="696">
        <v>196534027.5</v>
      </c>
      <c r="Q51" s="697">
        <f t="shared" ref="Q51" si="237">ROUND(100/(1+(H51*K51)/365),4)</f>
        <v>99.798500000000004</v>
      </c>
      <c r="R51" s="691">
        <f t="shared" ref="R51" si="238">ROUND((Q51*D51)/100,2)</f>
        <v>197102037.5</v>
      </c>
      <c r="S51" s="698">
        <f>+R51-P51-'T-Bills Amortization '!Q40</f>
        <v>47870.961538461561</v>
      </c>
      <c r="T51" s="698">
        <v>-10148.461538461503</v>
      </c>
      <c r="U51" s="698">
        <f t="shared" ref="U51" si="239">+S51-T51</f>
        <v>58019.423076923063</v>
      </c>
      <c r="V51" s="1019"/>
      <c r="W51" s="1018"/>
      <c r="X51" s="1020"/>
      <c r="Y51" s="1018"/>
      <c r="Z51" s="1018"/>
      <c r="AA51" s="1018"/>
      <c r="AB51" s="1018"/>
    </row>
    <row r="52" spans="1:28" s="1021" customFormat="1" x14ac:dyDescent="0.15">
      <c r="A52" s="688"/>
      <c r="B52" s="689"/>
      <c r="C52" s="690"/>
      <c r="D52" s="691"/>
      <c r="E52" s="692"/>
      <c r="F52" s="692"/>
      <c r="G52" s="688"/>
      <c r="H52" s="693"/>
      <c r="I52" s="694"/>
      <c r="J52" s="693"/>
      <c r="K52" s="695"/>
      <c r="L52" s="693"/>
      <c r="M52" s="696"/>
      <c r="N52" s="696"/>
      <c r="O52" s="696"/>
      <c r="P52" s="696"/>
      <c r="Q52" s="697"/>
      <c r="R52" s="691"/>
      <c r="S52" s="698"/>
      <c r="T52" s="698"/>
      <c r="U52" s="698"/>
      <c r="V52" s="1019"/>
      <c r="W52" s="1018"/>
      <c r="X52" s="1020"/>
      <c r="Y52" s="1018"/>
      <c r="Z52" s="1018"/>
      <c r="AA52" s="1018"/>
      <c r="AB52" s="1018"/>
    </row>
    <row r="53" spans="1:28" x14ac:dyDescent="0.15">
      <c r="A53" s="15"/>
      <c r="B53" s="13" t="s">
        <v>223</v>
      </c>
      <c r="C53" s="82"/>
      <c r="D53" s="16">
        <f>SUMIF($A$11:$A$52,"ACTIVE",D11:D52)</f>
        <v>3302700000</v>
      </c>
      <c r="E53" s="82"/>
      <c r="F53" s="82"/>
      <c r="G53" s="82"/>
      <c r="H53" s="82"/>
      <c r="I53" s="16"/>
      <c r="J53" s="16"/>
      <c r="K53" s="16"/>
      <c r="L53" s="82"/>
      <c r="M53" s="16">
        <f>SUMIF($A$11:$A$52,"ACTIVE",M11:M52)</f>
        <v>3129159299.6999998</v>
      </c>
      <c r="N53" s="16">
        <f>SUMIF($A$11:$A$52,"ACTIVE",N11:N52)</f>
        <v>87222147.397810742</v>
      </c>
      <c r="O53" s="16">
        <f>SUMIF($A$11:$A$52,"ACTIVE",O11:O52)</f>
        <v>3216381447.0978112</v>
      </c>
      <c r="P53" s="16">
        <f>SUMIF($A$11:$A$52,"ACTIVE",P11:P52)</f>
        <v>3129159299.6999998</v>
      </c>
      <c r="Q53" s="16"/>
      <c r="R53" s="16">
        <f>SUMIF($A$11:$A$52,"ACTIVE",R11:R52)</f>
        <v>3208908653.9000001</v>
      </c>
      <c r="S53" s="16">
        <f>SUMIF($A$11:$A$52,"ACTIVE",S11:S52)</f>
        <v>-7472793.1978107328</v>
      </c>
      <c r="T53" s="16">
        <f>SUMIF($A$11:$A$52,"ACTIVE",T11:T52)</f>
        <v>-7593850.6371821128</v>
      </c>
      <c r="U53" s="16">
        <f>SUM(U12:U52)</f>
        <v>121057.4393713795</v>
      </c>
      <c r="V53" s="16"/>
      <c r="W53" s="16"/>
      <c r="X53" s="16"/>
      <c r="Y53" s="16"/>
      <c r="Z53" s="16">
        <f>SUM(Z12:Z52)</f>
        <v>-4919128.5522864228</v>
      </c>
      <c r="AA53" s="16"/>
      <c r="AB53" s="16"/>
    </row>
    <row r="54" spans="1:28" x14ac:dyDescent="0.15">
      <c r="P54" s="211"/>
    </row>
    <row r="55" spans="1:28" x14ac:dyDescent="0.15">
      <c r="N55" s="1262"/>
      <c r="P55" s="212"/>
      <c r="R55" s="212"/>
      <c r="S55" s="212"/>
    </row>
    <row r="56" spans="1:28" x14ac:dyDescent="0.15">
      <c r="P56" s="212"/>
    </row>
    <row r="57" spans="1:28" x14ac:dyDescent="0.15">
      <c r="N57" s="1262"/>
    </row>
    <row r="58" spans="1:28" x14ac:dyDescent="0.15">
      <c r="N58" s="841"/>
    </row>
  </sheetData>
  <autoFilter ref="A11:AE24"/>
  <mergeCells count="19">
    <mergeCell ref="Q9:S9"/>
    <mergeCell ref="T9:T10"/>
    <mergeCell ref="U9:U10"/>
    <mergeCell ref="A9:A10"/>
    <mergeCell ref="O9:O10"/>
    <mergeCell ref="P9:P10"/>
    <mergeCell ref="C5:D5"/>
    <mergeCell ref="N9:N10"/>
    <mergeCell ref="J9:J10"/>
    <mergeCell ref="C9:C10"/>
    <mergeCell ref="B9:B10"/>
    <mergeCell ref="I9:I10"/>
    <mergeCell ref="L9:M9"/>
    <mergeCell ref="H9:H10"/>
    <mergeCell ref="G9:G10"/>
    <mergeCell ref="F9:F10"/>
    <mergeCell ref="E9:E10"/>
    <mergeCell ref="D9:D10"/>
    <mergeCell ref="K9:K10"/>
  </mergeCells>
  <conditionalFormatting sqref="E9:F9">
    <cfRule type="expression" priority="284">
      <formula>$C$5</formula>
    </cfRule>
  </conditionalFormatting>
  <conditionalFormatting sqref="E12:F52">
    <cfRule type="expression" priority="18">
      <formula>$C$4</formula>
    </cfRule>
  </conditionalFormatting>
  <pageMargins left="0.19685039370078741" right="0.19685039370078741" top="0.19685039370078741" bottom="0.19685039370078741" header="0.19685039370078741" footer="0.19685039370078741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T99"/>
  <sheetViews>
    <sheetView showGridLines="0" topLeftCell="A28" zoomScaleNormal="100" zoomScaleSheetLayoutView="100" workbookViewId="0">
      <selection activeCell="M41" sqref="M41"/>
    </sheetView>
  </sheetViews>
  <sheetFormatPr defaultColWidth="9" defaultRowHeight="11.25" x14ac:dyDescent="0.2"/>
  <cols>
    <col min="1" max="1" width="4.125" style="67" customWidth="1"/>
    <col min="2" max="2" width="18.125" style="67" customWidth="1"/>
    <col min="3" max="5" width="7.625" style="67" bestFit="1" customWidth="1"/>
    <col min="6" max="6" width="7.375" style="67" customWidth="1"/>
    <col min="7" max="7" width="7.875" style="67" bestFit="1" customWidth="1"/>
    <col min="8" max="8" width="6" style="67" bestFit="1" customWidth="1"/>
    <col min="9" max="10" width="11.125" style="67" bestFit="1" customWidth="1"/>
    <col min="11" max="11" width="9.375" style="67" bestFit="1" customWidth="1"/>
    <col min="12" max="12" width="6.5" style="67" bestFit="1" customWidth="1"/>
    <col min="13" max="13" width="8.125" style="292" bestFit="1" customWidth="1"/>
    <col min="14" max="14" width="7.125" style="138" customWidth="1"/>
    <col min="15" max="15" width="10.125" style="67" bestFit="1" customWidth="1"/>
    <col min="16" max="16" width="14.75" style="67" customWidth="1"/>
    <col min="17" max="17" width="13.125" style="67" bestFit="1" customWidth="1"/>
    <col min="18" max="18" width="11.125" style="67" bestFit="1" customWidth="1"/>
    <col min="19" max="16384" width="9" style="67"/>
  </cols>
  <sheetData>
    <row r="1" spans="1:19" x14ac:dyDescent="0.2">
      <c r="A1" s="146" t="e">
        <f>+#REF!</f>
        <v>#REF!</v>
      </c>
    </row>
    <row r="2" spans="1:19" ht="12" thickBot="1" x14ac:dyDescent="0.25"/>
    <row r="3" spans="1:19" ht="12" thickBot="1" x14ac:dyDescent="0.25">
      <c r="B3" s="70" t="s">
        <v>22</v>
      </c>
      <c r="C3" s="139">
        <f>'T-Bills'!C5</f>
        <v>44764</v>
      </c>
      <c r="F3" s="67">
        <v>3</v>
      </c>
      <c r="L3" s="140"/>
      <c r="P3" s="140">
        <v>44561</v>
      </c>
    </row>
    <row r="4" spans="1:19" s="68" customFormat="1" x14ac:dyDescent="0.2">
      <c r="B4" s="72"/>
      <c r="J4" s="141"/>
      <c r="M4" s="264"/>
      <c r="N4" s="143"/>
    </row>
    <row r="5" spans="1:19" s="68" customFormat="1" x14ac:dyDescent="0.2">
      <c r="B5" s="72"/>
      <c r="J5" s="141"/>
      <c r="L5" s="144"/>
      <c r="M5" s="264"/>
      <c r="N5" s="143"/>
    </row>
    <row r="6" spans="1:19" x14ac:dyDescent="0.2">
      <c r="A6" s="58" t="s">
        <v>287</v>
      </c>
      <c r="B6" s="72"/>
      <c r="C6" s="68"/>
      <c r="D6" s="68"/>
      <c r="E6" s="68"/>
      <c r="F6" s="68"/>
      <c r="G6" s="68"/>
      <c r="H6" s="68"/>
      <c r="I6" s="68"/>
      <c r="J6" s="141"/>
      <c r="K6" s="68"/>
      <c r="L6" s="68"/>
      <c r="M6" s="264"/>
      <c r="N6" s="142"/>
    </row>
    <row r="7" spans="1:19" ht="12" thickBot="1" x14ac:dyDescent="0.25"/>
    <row r="8" spans="1:19" ht="34.5" thickBot="1" x14ac:dyDescent="0.25">
      <c r="A8" s="69" t="s">
        <v>208</v>
      </c>
      <c r="B8" s="69" t="s">
        <v>26</v>
      </c>
      <c r="C8" s="69" t="s">
        <v>207</v>
      </c>
      <c r="D8" s="69" t="s">
        <v>6</v>
      </c>
      <c r="E8" s="69" t="s">
        <v>7</v>
      </c>
      <c r="F8" s="19" t="s">
        <v>340</v>
      </c>
      <c r="G8" s="69" t="s">
        <v>209</v>
      </c>
      <c r="H8" s="69" t="s">
        <v>210</v>
      </c>
      <c r="I8" s="69" t="s">
        <v>24</v>
      </c>
      <c r="J8" s="69" t="s">
        <v>2</v>
      </c>
      <c r="K8" s="69" t="s">
        <v>211</v>
      </c>
      <c r="L8" s="69" t="s">
        <v>16</v>
      </c>
      <c r="M8" s="293" t="s">
        <v>212</v>
      </c>
      <c r="N8" s="69" t="s">
        <v>847</v>
      </c>
      <c r="O8" s="69" t="s">
        <v>848</v>
      </c>
      <c r="P8" s="69" t="s">
        <v>213</v>
      </c>
      <c r="Q8" s="69" t="s">
        <v>214</v>
      </c>
      <c r="R8" s="69" t="s">
        <v>215</v>
      </c>
    </row>
    <row r="9" spans="1:19" s="68" customFormat="1" ht="11.25" customHeight="1" x14ac:dyDescent="0.2">
      <c r="A9" s="72"/>
      <c r="B9" s="72"/>
      <c r="C9" s="72"/>
      <c r="D9" s="142"/>
      <c r="E9" s="142"/>
      <c r="F9" s="142"/>
      <c r="G9" s="72"/>
      <c r="H9" s="72"/>
      <c r="I9" s="72"/>
      <c r="J9" s="72"/>
      <c r="M9" s="150"/>
    </row>
    <row r="11" spans="1:19" x14ac:dyDescent="0.2">
      <c r="S11" s="1013"/>
    </row>
    <row r="12" spans="1:19" x14ac:dyDescent="0.2">
      <c r="S12" s="1013"/>
    </row>
    <row r="13" spans="1:19" x14ac:dyDescent="0.2">
      <c r="S13" s="1013"/>
    </row>
    <row r="14" spans="1:19" x14ac:dyDescent="0.2">
      <c r="S14" s="1013"/>
    </row>
    <row r="15" spans="1:19" x14ac:dyDescent="0.2">
      <c r="S15" s="1013"/>
    </row>
    <row r="16" spans="1:19" x14ac:dyDescent="0.2">
      <c r="S16" s="1013"/>
    </row>
    <row r="17" spans="2:19" x14ac:dyDescent="0.2">
      <c r="S17" s="1013"/>
    </row>
    <row r="18" spans="2:19" x14ac:dyDescent="0.2">
      <c r="S18" s="1013"/>
    </row>
    <row r="19" spans="2:19" x14ac:dyDescent="0.2">
      <c r="S19" s="1013"/>
    </row>
    <row r="20" spans="2:19" x14ac:dyDescent="0.2">
      <c r="S20" s="1013"/>
    </row>
    <row r="21" spans="2:19" x14ac:dyDescent="0.2">
      <c r="S21" s="1013"/>
    </row>
    <row r="22" spans="2:19" x14ac:dyDescent="0.2">
      <c r="S22" s="1013"/>
    </row>
    <row r="23" spans="2:19" x14ac:dyDescent="0.2">
      <c r="S23" s="1013"/>
    </row>
    <row r="24" spans="2:19" x14ac:dyDescent="0.2">
      <c r="S24" s="1013"/>
    </row>
    <row r="25" spans="2:19" x14ac:dyDescent="0.2">
      <c r="S25" s="1013"/>
    </row>
    <row r="26" spans="2:19" x14ac:dyDescent="0.2">
      <c r="S26" s="1013"/>
    </row>
    <row r="27" spans="2:19" x14ac:dyDescent="0.2">
      <c r="S27" s="1013"/>
    </row>
    <row r="28" spans="2:19" x14ac:dyDescent="0.2">
      <c r="S28" s="1013"/>
    </row>
    <row r="29" spans="2:19" ht="22.5" x14ac:dyDescent="0.2">
      <c r="B29" s="699" t="str">
        <f>+'T-Bills'!B38</f>
        <v>T-Bills-3M-10-Mar-2022 - 08-Sep-22</v>
      </c>
      <c r="C29" s="700" t="str">
        <f>+'T-Bills'!G38</f>
        <v>6 months</v>
      </c>
      <c r="D29" s="701">
        <f>+'T-Bills'!E38</f>
        <v>44670</v>
      </c>
      <c r="E29" s="701">
        <f>+'T-Bills'!F38</f>
        <v>44812</v>
      </c>
      <c r="F29" s="691">
        <f t="shared" ref="F29" si="0">+E29-D29</f>
        <v>142</v>
      </c>
      <c r="G29" s="691">
        <f t="shared" ref="G29" si="1">+E29-$C$3</f>
        <v>48</v>
      </c>
      <c r="H29" s="702">
        <f t="shared" ref="H29" si="2">+J29/I29*100</f>
        <v>95.133099999999999</v>
      </c>
      <c r="I29" s="703">
        <f>+'T-Bills'!D38</f>
        <v>123200000</v>
      </c>
      <c r="J29" s="703">
        <f>+'T-Bills'!M38</f>
        <v>117203979.2</v>
      </c>
      <c r="K29" s="703">
        <f t="shared" ref="K29" si="3">+I29-J29</f>
        <v>5996020.799999997</v>
      </c>
      <c r="L29" s="700">
        <f>+'T-Bills'!I38</f>
        <v>0.13150000000000001</v>
      </c>
      <c r="M29" s="704">
        <f t="shared" ref="M29" si="4">+K29/F29</f>
        <v>42225.498591549273</v>
      </c>
      <c r="N29" s="705">
        <v>0</v>
      </c>
      <c r="O29" s="704">
        <f t="shared" ref="O29" si="5">+M29*N29</f>
        <v>0</v>
      </c>
      <c r="P29" s="703">
        <f t="shared" ref="P29" si="6">+$C$3-D29</f>
        <v>94</v>
      </c>
      <c r="Q29" s="840">
        <f t="shared" ref="Q29" si="7">+M29*P29</f>
        <v>3969196.8676056317</v>
      </c>
      <c r="R29" s="704">
        <f t="shared" ref="R29" si="8">+J29+O29+Q29</f>
        <v>121173176.06760563</v>
      </c>
      <c r="S29" s="1013"/>
    </row>
    <row r="30" spans="2:19" x14ac:dyDescent="0.2">
      <c r="M30" s="67"/>
      <c r="N30" s="67"/>
      <c r="S30" s="1013"/>
    </row>
    <row r="31" spans="2:19" ht="22.5" x14ac:dyDescent="0.2">
      <c r="B31" s="699" t="str">
        <f>+'T-Bills'!B40</f>
        <v>T-Bills-6M-21-Apr-2022 - 20-Oct-22</v>
      </c>
      <c r="C31" s="700" t="str">
        <f>+'T-Bills'!G40</f>
        <v>6 months</v>
      </c>
      <c r="D31" s="701">
        <f>+'T-Bills'!E40</f>
        <v>44673</v>
      </c>
      <c r="E31" s="701">
        <f>+'T-Bills'!F40</f>
        <v>44854</v>
      </c>
      <c r="F31" s="691">
        <f t="shared" ref="F31" si="9">+E31-D31</f>
        <v>181</v>
      </c>
      <c r="G31" s="691">
        <f t="shared" ref="G31" si="10">+E31-$C$3</f>
        <v>90</v>
      </c>
      <c r="H31" s="702">
        <f t="shared" ref="H31" si="11">+J31/I31*100</f>
        <v>93.594999999999999</v>
      </c>
      <c r="I31" s="703">
        <f>+'T-Bills'!D40</f>
        <v>734000000</v>
      </c>
      <c r="J31" s="703">
        <f>+'T-Bills'!M40</f>
        <v>686987300</v>
      </c>
      <c r="K31" s="703">
        <f t="shared" ref="K31" si="12">+I31-J31</f>
        <v>47012700</v>
      </c>
      <c r="L31" s="700">
        <f>+'T-Bills'!I40</f>
        <v>0.13800000000000001</v>
      </c>
      <c r="M31" s="704">
        <f t="shared" ref="M31" si="13">+K31/F31</f>
        <v>259738.67403314917</v>
      </c>
      <c r="N31" s="705">
        <v>0</v>
      </c>
      <c r="O31" s="704">
        <f t="shared" ref="O31" si="14">+M31*N31</f>
        <v>0</v>
      </c>
      <c r="P31" s="703">
        <f t="shared" ref="P31" si="15">+$C$3-D31</f>
        <v>91</v>
      </c>
      <c r="Q31" s="840">
        <f t="shared" ref="Q31" si="16">+M31*P31</f>
        <v>23636219.337016575</v>
      </c>
      <c r="R31" s="704">
        <f t="shared" ref="R31" si="17">+J31+O31+Q31</f>
        <v>710623519.33701658</v>
      </c>
      <c r="S31" s="1013"/>
    </row>
    <row r="32" spans="2:19" ht="22.5" x14ac:dyDescent="0.2">
      <c r="B32" s="699" t="str">
        <f>+'T-Bills'!B41</f>
        <v>T-Bills-6M-28-Apr-2022 - 03-Nov-22</v>
      </c>
      <c r="C32" s="700" t="str">
        <f>+'T-Bills'!G41</f>
        <v>6 months</v>
      </c>
      <c r="D32" s="701">
        <f>+'T-Bills'!E41</f>
        <v>44679</v>
      </c>
      <c r="E32" s="701">
        <f>+'T-Bills'!F41</f>
        <v>44868</v>
      </c>
      <c r="F32" s="691">
        <f t="shared" ref="F32" si="18">+E32-D32</f>
        <v>189</v>
      </c>
      <c r="G32" s="691">
        <f t="shared" ref="G32" si="19">+E32-$C$3</f>
        <v>104</v>
      </c>
      <c r="H32" s="702">
        <f t="shared" ref="H32" si="20">+J32/I32*100</f>
        <v>93.061000000000007</v>
      </c>
      <c r="I32" s="703">
        <f>+'T-Bills'!D41</f>
        <v>250000000</v>
      </c>
      <c r="J32" s="703">
        <f>+'T-Bills'!M41</f>
        <v>232652500</v>
      </c>
      <c r="K32" s="703">
        <f t="shared" ref="K32" si="21">+I32-J32</f>
        <v>17347500</v>
      </c>
      <c r="L32" s="700">
        <f>+'T-Bills'!I41</f>
        <v>0.14399899999999999</v>
      </c>
      <c r="M32" s="704">
        <f t="shared" ref="M32" si="22">+K32/F32</f>
        <v>91785.71428571429</v>
      </c>
      <c r="N32" s="705">
        <v>0</v>
      </c>
      <c r="O32" s="704">
        <f t="shared" ref="O32" si="23">+M32*N32</f>
        <v>0</v>
      </c>
      <c r="P32" s="703">
        <f t="shared" ref="P32" si="24">+$C$3-D32</f>
        <v>85</v>
      </c>
      <c r="Q32" s="840">
        <f t="shared" ref="Q32" si="25">+M32*P32</f>
        <v>7801785.7142857146</v>
      </c>
      <c r="R32" s="704">
        <f t="shared" ref="R32" si="26">+J32+O32+Q32</f>
        <v>240454285.7142857</v>
      </c>
      <c r="S32" s="1013"/>
    </row>
    <row r="33" spans="1:20" ht="22.5" x14ac:dyDescent="0.2">
      <c r="B33" s="699" t="str">
        <f>+'T-Bills'!B42</f>
        <v>T-Bills-6M-28-Apr-2022 - 03-Nov-22</v>
      </c>
      <c r="C33" s="700" t="str">
        <f>+'T-Bills'!G42</f>
        <v>6 months</v>
      </c>
      <c r="D33" s="701">
        <f>+'T-Bills'!E42</f>
        <v>44679</v>
      </c>
      <c r="E33" s="701">
        <f>+'T-Bills'!F42</f>
        <v>44868</v>
      </c>
      <c r="F33" s="691">
        <f t="shared" ref="F33" si="27">+E33-D33</f>
        <v>189</v>
      </c>
      <c r="G33" s="691">
        <f t="shared" ref="G33" si="28">+E33-$C$3</f>
        <v>104</v>
      </c>
      <c r="H33" s="702">
        <f t="shared" ref="H33" si="29">+J33/I33*100</f>
        <v>93.01609999999998</v>
      </c>
      <c r="I33" s="703">
        <f>+'T-Bills'!D42</f>
        <v>23000000</v>
      </c>
      <c r="J33" s="703">
        <f>+'T-Bills'!M42</f>
        <v>21393702.999999996</v>
      </c>
      <c r="K33" s="703">
        <f t="shared" ref="K33" si="30">+I33-J33</f>
        <v>1606297.0000000037</v>
      </c>
      <c r="L33" s="700">
        <f>+'T-Bills'!I42</f>
        <v>0.14500099999999999</v>
      </c>
      <c r="M33" s="704">
        <f t="shared" ref="M33" si="31">+K33/F33</f>
        <v>8498.9259259259452</v>
      </c>
      <c r="N33" s="705">
        <v>0</v>
      </c>
      <c r="O33" s="704">
        <f t="shared" ref="O33" si="32">+M33*N33</f>
        <v>0</v>
      </c>
      <c r="P33" s="703">
        <f t="shared" ref="P33" si="33">+$C$3-D33</f>
        <v>85</v>
      </c>
      <c r="Q33" s="840">
        <f t="shared" ref="Q33" si="34">+M33*P33</f>
        <v>722408.70370370534</v>
      </c>
      <c r="R33" s="704">
        <f t="shared" ref="R33" si="35">+J33+O33+Q33</f>
        <v>22116111.703703701</v>
      </c>
      <c r="S33" s="1013"/>
    </row>
    <row r="34" spans="1:20" ht="22.5" x14ac:dyDescent="0.2">
      <c r="B34" s="699" t="str">
        <f>+'T-Bills'!B43</f>
        <v>T-Bills-6M-28-Apr-2022 - 03-Nov-22</v>
      </c>
      <c r="C34" s="700" t="str">
        <f>+'T-Bills'!G43</f>
        <v>6 months</v>
      </c>
      <c r="D34" s="701">
        <f>+'T-Bills'!E43</f>
        <v>44679</v>
      </c>
      <c r="E34" s="701">
        <f>+'T-Bills'!F43</f>
        <v>44868</v>
      </c>
      <c r="F34" s="691">
        <f t="shared" ref="F34" si="36">+E34-D34</f>
        <v>189</v>
      </c>
      <c r="G34" s="691">
        <f t="shared" ref="G34" si="37">+E34-$C$3</f>
        <v>104</v>
      </c>
      <c r="H34" s="702">
        <f t="shared" ref="H34" si="38">+J34/I34*100</f>
        <v>92.971400000000003</v>
      </c>
      <c r="I34" s="703">
        <f>+'T-Bills'!D43</f>
        <v>1090000000</v>
      </c>
      <c r="J34" s="703">
        <f>+'T-Bills'!M43</f>
        <v>1013388260</v>
      </c>
      <c r="K34" s="703">
        <f t="shared" ref="K34" si="39">+I34-J34</f>
        <v>76611740</v>
      </c>
      <c r="L34" s="700">
        <f>+'T-Bills'!I43</f>
        <v>0.14599899999999999</v>
      </c>
      <c r="M34" s="704">
        <f t="shared" ref="M34" si="40">+K34/F34</f>
        <v>405353.12169312168</v>
      </c>
      <c r="N34" s="705">
        <v>0</v>
      </c>
      <c r="O34" s="704">
        <f t="shared" ref="O34" si="41">+M34*N34</f>
        <v>0</v>
      </c>
      <c r="P34" s="703">
        <f t="shared" ref="P34" si="42">+$C$3-D34</f>
        <v>85</v>
      </c>
      <c r="Q34" s="840">
        <f t="shared" ref="Q34" si="43">+M34*P34</f>
        <v>34455015.343915343</v>
      </c>
      <c r="R34" s="704">
        <f t="shared" ref="R34" si="44">+J34+O34+Q34</f>
        <v>1047843275.3439153</v>
      </c>
      <c r="S34" s="1013"/>
    </row>
    <row r="35" spans="1:20" ht="22.5" x14ac:dyDescent="0.2">
      <c r="B35" s="699" t="str">
        <f>+'T-Bills'!B45</f>
        <v>T-Bills-6M-28-Apr-2022 - 03-Nov-22</v>
      </c>
      <c r="C35" s="700" t="str">
        <f>+'T-Bills'!G45</f>
        <v>6 months</v>
      </c>
      <c r="D35" s="701">
        <f>+'T-Bills'!E45</f>
        <v>44692</v>
      </c>
      <c r="E35" s="701">
        <f>+'T-Bills'!F45</f>
        <v>44868</v>
      </c>
      <c r="F35" s="691">
        <f t="shared" ref="F35" si="45">+E35-D35</f>
        <v>176</v>
      </c>
      <c r="G35" s="691">
        <f t="shared" ref="G35" si="46">+E35-$C$3</f>
        <v>104</v>
      </c>
      <c r="H35" s="702">
        <f t="shared" ref="H35" si="47">+J35/I35*100</f>
        <v>93.342799999999997</v>
      </c>
      <c r="I35" s="703">
        <f>+'T-Bills'!D45</f>
        <v>85000000</v>
      </c>
      <c r="J35" s="703">
        <f>+'T-Bills'!M45</f>
        <v>79341380</v>
      </c>
      <c r="K35" s="703">
        <f t="shared" ref="K35" si="48">+I35-J35</f>
        <v>5658620</v>
      </c>
      <c r="L35" s="700">
        <f>+'T-Bills'!I45</f>
        <v>0.14790666669999999</v>
      </c>
      <c r="M35" s="704">
        <f t="shared" ref="M35" si="49">+K35/F35</f>
        <v>32151.25</v>
      </c>
      <c r="N35" s="705">
        <v>0</v>
      </c>
      <c r="O35" s="704">
        <f t="shared" ref="O35" si="50">+M35*N35</f>
        <v>0</v>
      </c>
      <c r="P35" s="703">
        <f t="shared" ref="P35" si="51">+$C$3-D35</f>
        <v>72</v>
      </c>
      <c r="Q35" s="840">
        <f t="shared" ref="Q35" si="52">+M35*P35</f>
        <v>2314890</v>
      </c>
      <c r="R35" s="704">
        <f t="shared" ref="R35" si="53">+J35+O35+Q35</f>
        <v>81656270</v>
      </c>
      <c r="S35" s="1013"/>
    </row>
    <row r="36" spans="1:20" ht="22.5" x14ac:dyDescent="0.2">
      <c r="B36" s="699" t="str">
        <f>+'T-Bills'!B47</f>
        <v>T-Bills-6M-27-Jan-2022 - 28-Jul-22</v>
      </c>
      <c r="C36" s="700" t="str">
        <f>+'T-Bills'!G47</f>
        <v>6 months</v>
      </c>
      <c r="D36" s="701">
        <f>+'T-Bills'!E47</f>
        <v>44708</v>
      </c>
      <c r="E36" s="701">
        <f>+'T-Bills'!F47</f>
        <v>44770</v>
      </c>
      <c r="F36" s="691">
        <f t="shared" ref="F36" si="54">+E36-D36</f>
        <v>62</v>
      </c>
      <c r="G36" s="691">
        <f t="shared" ref="G36" si="55">+E36-$C$3</f>
        <v>6</v>
      </c>
      <c r="H36" s="702">
        <f t="shared" ref="H36" si="56">+J36/I36*100</f>
        <v>97.647999999999996</v>
      </c>
      <c r="I36" s="703">
        <f>+'T-Bills'!D47</f>
        <v>350000000</v>
      </c>
      <c r="J36" s="703">
        <f>+'T-Bills'!M47</f>
        <v>341768000</v>
      </c>
      <c r="K36" s="703">
        <f t="shared" ref="K36" si="57">+I36-J36</f>
        <v>8232000</v>
      </c>
      <c r="L36" s="700">
        <f>+'T-Bills'!I47</f>
        <v>0.14180000000000001</v>
      </c>
      <c r="M36" s="704">
        <f t="shared" ref="M36" si="58">+K36/F36</f>
        <v>132774.19354838709</v>
      </c>
      <c r="N36" s="705">
        <v>0</v>
      </c>
      <c r="O36" s="704">
        <f t="shared" ref="O36" si="59">+M36*N36</f>
        <v>0</v>
      </c>
      <c r="P36" s="703">
        <f t="shared" ref="P36" si="60">+$C$3-D36</f>
        <v>56</v>
      </c>
      <c r="Q36" s="840">
        <f t="shared" ref="Q36" si="61">+M36*P36</f>
        <v>7435354.8387096766</v>
      </c>
      <c r="R36" s="704">
        <f t="shared" ref="R36" si="62">+J36+O36+Q36</f>
        <v>349203354.83870965</v>
      </c>
      <c r="S36" s="1013"/>
    </row>
    <row r="37" spans="1:20" x14ac:dyDescent="0.2">
      <c r="M37" s="67"/>
      <c r="N37" s="67"/>
      <c r="S37" s="1013"/>
    </row>
    <row r="38" spans="1:20" ht="22.5" x14ac:dyDescent="0.2">
      <c r="B38" s="699" t="str">
        <f>+'T-Bills'!B49</f>
        <v>T-Bills-3M-02-Jun-2022 - 25-Aug-22</v>
      </c>
      <c r="C38" s="700" t="str">
        <f>+'T-Bills'!G49</f>
        <v>3 months</v>
      </c>
      <c r="D38" s="701">
        <f>+'T-Bills'!E49</f>
        <v>44714</v>
      </c>
      <c r="E38" s="701">
        <f>+'T-Bills'!F49</f>
        <v>44798</v>
      </c>
      <c r="F38" s="691">
        <f t="shared" ref="F38" si="63">+E38-D38</f>
        <v>84</v>
      </c>
      <c r="G38" s="691">
        <f t="shared" ref="G38" si="64">+E38-$C$3</f>
        <v>34</v>
      </c>
      <c r="H38" s="702">
        <f t="shared" ref="H38" si="65">+J38/I38*100</f>
        <v>96.770700000000005</v>
      </c>
      <c r="I38" s="703">
        <f>+'T-Bills'!D49</f>
        <v>50000000</v>
      </c>
      <c r="J38" s="703">
        <f>+'T-Bills'!M49</f>
        <v>48385350</v>
      </c>
      <c r="K38" s="703">
        <f t="shared" ref="K38" si="66">+I38-J38</f>
        <v>1614650</v>
      </c>
      <c r="L38" s="700">
        <f>+'T-Bills'!I49</f>
        <v>0.14500299999999999</v>
      </c>
      <c r="M38" s="704">
        <f t="shared" ref="M38" si="67">+K38/F38</f>
        <v>19222.023809523809</v>
      </c>
      <c r="N38" s="705">
        <v>0</v>
      </c>
      <c r="O38" s="704">
        <f t="shared" ref="O38" si="68">+M38*N38</f>
        <v>0</v>
      </c>
      <c r="P38" s="703">
        <f t="shared" ref="P38" si="69">+$C$3-D38</f>
        <v>50</v>
      </c>
      <c r="Q38" s="840">
        <f t="shared" ref="Q38" si="70">+M38*P38</f>
        <v>961101.19047619042</v>
      </c>
      <c r="R38" s="704">
        <f t="shared" ref="R38" si="71">+J38+O38+Q38</f>
        <v>49346451.190476194</v>
      </c>
      <c r="S38" s="1013"/>
    </row>
    <row r="39" spans="1:20" ht="22.5" x14ac:dyDescent="0.2">
      <c r="B39" s="699" t="str">
        <f>+'T-Bills'!B50</f>
        <v>T-Bills-6M-10-Feb-2022 - 11-Aug-2022</v>
      </c>
      <c r="C39" s="700" t="str">
        <f>+'T-Bills'!G50</f>
        <v>6 months</v>
      </c>
      <c r="D39" s="701">
        <f>+'T-Bills'!E50</f>
        <v>44729</v>
      </c>
      <c r="E39" s="701">
        <f>+'T-Bills'!F50</f>
        <v>44784</v>
      </c>
      <c r="F39" s="691">
        <f t="shared" ref="F39" si="72">+E39-D39</f>
        <v>55</v>
      </c>
      <c r="G39" s="691">
        <f t="shared" ref="G39" si="73">+E39-$C$3</f>
        <v>20</v>
      </c>
      <c r="H39" s="702">
        <f t="shared" ref="H39" si="74">+J39/I39*100</f>
        <v>97.876199999999997</v>
      </c>
      <c r="I39" s="703">
        <f>+'T-Bills'!D50</f>
        <v>400000000</v>
      </c>
      <c r="J39" s="703">
        <f>+'T-Bills'!M50</f>
        <v>391504800</v>
      </c>
      <c r="K39" s="703">
        <f t="shared" ref="K39" si="75">+I39-J39</f>
        <v>8495200</v>
      </c>
      <c r="L39" s="700">
        <f>+'T-Bills'!I50</f>
        <v>0.14399999999999999</v>
      </c>
      <c r="M39" s="704">
        <f t="shared" ref="M39" si="76">+K39/F39</f>
        <v>154458.18181818182</v>
      </c>
      <c r="N39" s="705">
        <v>0</v>
      </c>
      <c r="O39" s="704">
        <f t="shared" ref="O39" si="77">+M39*N39</f>
        <v>0</v>
      </c>
      <c r="P39" s="703">
        <f t="shared" ref="P39" si="78">+$C$3-D39</f>
        <v>35</v>
      </c>
      <c r="Q39" s="840">
        <f t="shared" ref="Q39" si="79">+M39*P39</f>
        <v>5406036.3636363642</v>
      </c>
      <c r="R39" s="704">
        <f t="shared" ref="R39" si="80">+J39+O39+Q39</f>
        <v>396910836.36363637</v>
      </c>
      <c r="S39" s="1013"/>
    </row>
    <row r="40" spans="1:20" ht="22.5" x14ac:dyDescent="0.2">
      <c r="B40" s="699" t="str">
        <f>+'T-Bills'!B51</f>
        <v>T-Bills-3M-28-Apr-2022 - 28-Jul-22</v>
      </c>
      <c r="C40" s="700" t="str">
        <f>+'T-Bills'!G51</f>
        <v>3 months</v>
      </c>
      <c r="D40" s="701">
        <f>+'T-Bills'!E51</f>
        <v>44757</v>
      </c>
      <c r="E40" s="701">
        <f>+'T-Bills'!F51</f>
        <v>44770</v>
      </c>
      <c r="F40" s="691">
        <f t="shared" ref="F40" si="81">+E40-D40</f>
        <v>13</v>
      </c>
      <c r="G40" s="691">
        <f t="shared" ref="G40" si="82">+E40-$C$3</f>
        <v>6</v>
      </c>
      <c r="H40" s="702">
        <f t="shared" ref="H40" si="83">+J40/I40*100</f>
        <v>99.510900000000007</v>
      </c>
      <c r="I40" s="703">
        <f>+'T-Bills'!D51</f>
        <v>197500000</v>
      </c>
      <c r="J40" s="703">
        <f>+'T-Bills'!M51</f>
        <v>196534027.5</v>
      </c>
      <c r="K40" s="703">
        <f t="shared" ref="K40" si="84">+I40-J40</f>
        <v>965972.5</v>
      </c>
      <c r="L40" s="700">
        <f>+'T-Bills'!I51</f>
        <v>0.13800000000000001</v>
      </c>
      <c r="M40" s="704">
        <f t="shared" ref="M40" si="85">+K40/F40</f>
        <v>74305.576923076922</v>
      </c>
      <c r="N40" s="705">
        <v>0</v>
      </c>
      <c r="O40" s="704">
        <f t="shared" ref="O40" si="86">+M40*N40</f>
        <v>0</v>
      </c>
      <c r="P40" s="703">
        <f t="shared" ref="P40" si="87">+$C$3-D40</f>
        <v>7</v>
      </c>
      <c r="Q40" s="840">
        <f t="shared" ref="Q40" si="88">+M40*P40</f>
        <v>520139.03846153844</v>
      </c>
      <c r="R40" s="704">
        <f t="shared" ref="R40" si="89">+J40+O40+Q40</f>
        <v>197054166.53846154</v>
      </c>
      <c r="S40" s="1013"/>
    </row>
    <row r="41" spans="1:20" s="65" customFormat="1" ht="12.75" x14ac:dyDescent="0.2">
      <c r="A41" s="246" t="s">
        <v>282</v>
      </c>
      <c r="B41" s="215"/>
      <c r="J41" s="163"/>
      <c r="K41" s="163"/>
      <c r="L41" s="216"/>
      <c r="M41" s="752">
        <f>SUM(M10:M40)</f>
        <v>1220513.1606286301</v>
      </c>
      <c r="N41" s="221"/>
      <c r="O41" s="752">
        <f>SUM(O10:O36)</f>
        <v>0</v>
      </c>
      <c r="Q41" s="752">
        <f>SUM(Q10:Q40)</f>
        <v>87222147.397810742</v>
      </c>
    </row>
    <row r="42" spans="1:20" s="65" customFormat="1" x14ac:dyDescent="0.2">
      <c r="A42" s="152"/>
      <c r="B42" s="215"/>
      <c r="J42" s="163"/>
      <c r="K42" s="163"/>
      <c r="L42" s="216"/>
      <c r="M42" s="221"/>
      <c r="N42" s="1104"/>
    </row>
    <row r="43" spans="1:20" s="65" customFormat="1" x14ac:dyDescent="0.2">
      <c r="A43" s="152"/>
      <c r="B43" s="699"/>
      <c r="C43" s="700"/>
      <c r="D43" s="701"/>
      <c r="E43" s="701"/>
      <c r="F43" s="691"/>
      <c r="G43" s="691"/>
      <c r="H43" s="702"/>
      <c r="I43" s="703"/>
      <c r="J43" s="703"/>
      <c r="K43" s="703"/>
      <c r="L43" s="700"/>
      <c r="M43" s="704"/>
      <c r="N43" s="705"/>
      <c r="O43" s="704"/>
      <c r="P43" s="703"/>
      <c r="Q43" s="840"/>
      <c r="R43" s="704"/>
      <c r="S43" s="752"/>
    </row>
    <row r="44" spans="1:20" s="65" customFormat="1" x14ac:dyDescent="0.2">
      <c r="A44" s="152"/>
      <c r="B44" s="699"/>
      <c r="C44" s="700"/>
      <c r="D44" s="701"/>
      <c r="E44" s="701"/>
      <c r="F44" s="691"/>
      <c r="G44" s="691"/>
      <c r="H44" s="702"/>
      <c r="I44" s="703"/>
      <c r="J44" s="703"/>
      <c r="K44" s="703"/>
      <c r="L44" s="700"/>
      <c r="M44" s="704"/>
      <c r="N44" s="705"/>
      <c r="O44" s="704"/>
      <c r="P44" s="703"/>
      <c r="Q44" s="840"/>
      <c r="R44" s="704"/>
      <c r="S44" s="752"/>
    </row>
    <row r="45" spans="1:20" s="65" customFormat="1" x14ac:dyDescent="0.2">
      <c r="A45" s="152"/>
      <c r="B45" s="699"/>
      <c r="C45" s="700"/>
      <c r="D45" s="701"/>
      <c r="E45" s="701"/>
      <c r="F45" s="691"/>
      <c r="G45" s="691"/>
      <c r="H45" s="702"/>
      <c r="I45" s="703"/>
      <c r="J45" s="703"/>
      <c r="K45" s="703"/>
      <c r="L45" s="700"/>
      <c r="M45" s="704"/>
      <c r="N45" s="705"/>
      <c r="O45" s="704"/>
      <c r="P45" s="703"/>
      <c r="Q45" s="840"/>
      <c r="R45" s="704"/>
      <c r="S45" s="752"/>
    </row>
    <row r="46" spans="1:20" x14ac:dyDescent="0.2">
      <c r="B46" s="699"/>
      <c r="C46" s="700"/>
      <c r="D46" s="701"/>
      <c r="E46" s="701"/>
      <c r="F46" s="691"/>
      <c r="G46" s="691"/>
      <c r="H46" s="702"/>
      <c r="I46" s="703"/>
      <c r="J46" s="703"/>
      <c r="K46" s="703"/>
      <c r="L46" s="700"/>
      <c r="M46" s="704"/>
      <c r="N46" s="705"/>
      <c r="O46" s="704"/>
      <c r="P46" s="703"/>
      <c r="Q46" s="840"/>
      <c r="R46" s="704"/>
      <c r="T46" s="1013"/>
    </row>
    <row r="47" spans="1:20" x14ac:dyDescent="0.2">
      <c r="B47" s="699"/>
      <c r="C47" s="700"/>
      <c r="D47" s="701"/>
      <c r="E47" s="701"/>
      <c r="F47" s="691"/>
      <c r="G47" s="691"/>
      <c r="H47" s="702"/>
      <c r="I47" s="703"/>
      <c r="J47" s="703"/>
      <c r="K47" s="703"/>
      <c r="L47" s="700"/>
      <c r="M47" s="704"/>
      <c r="N47" s="705"/>
      <c r="O47" s="704"/>
      <c r="P47" s="703"/>
      <c r="Q47" s="840"/>
      <c r="R47" s="704"/>
      <c r="T47" s="1013"/>
    </row>
    <row r="48" spans="1:20" x14ac:dyDescent="0.2">
      <c r="B48" s="699"/>
      <c r="C48" s="700"/>
      <c r="D48" s="701"/>
      <c r="E48" s="701"/>
      <c r="F48" s="691"/>
      <c r="G48" s="691"/>
      <c r="H48" s="702"/>
      <c r="I48" s="703"/>
      <c r="J48" s="703"/>
      <c r="K48" s="703"/>
      <c r="L48" s="700"/>
      <c r="M48" s="704"/>
      <c r="N48" s="705"/>
      <c r="O48" s="704"/>
      <c r="P48" s="703"/>
      <c r="Q48" s="840"/>
      <c r="R48" s="704"/>
      <c r="T48" s="1013"/>
    </row>
    <row r="49" spans="1:20" x14ac:dyDescent="0.2">
      <c r="B49" s="699"/>
      <c r="C49" s="700"/>
      <c r="D49" s="701"/>
      <c r="E49" s="701"/>
      <c r="F49" s="691"/>
      <c r="G49" s="691"/>
      <c r="H49" s="702"/>
      <c r="I49" s="703"/>
      <c r="J49" s="703"/>
      <c r="K49" s="703"/>
      <c r="L49" s="700"/>
      <c r="M49" s="704"/>
      <c r="N49" s="705"/>
      <c r="O49" s="1014"/>
      <c r="P49" s="703"/>
      <c r="Q49" s="1015"/>
      <c r="R49" s="704"/>
      <c r="T49" s="1013"/>
    </row>
    <row r="50" spans="1:20" ht="12" thickBot="1" x14ac:dyDescent="0.25">
      <c r="B50" s="843" t="s">
        <v>402</v>
      </c>
      <c r="C50" s="700"/>
      <c r="D50" s="701"/>
      <c r="E50" s="701"/>
      <c r="F50" s="691"/>
      <c r="G50" s="691"/>
      <c r="H50" s="702"/>
      <c r="I50" s="703"/>
      <c r="J50" s="703"/>
      <c r="K50" s="703"/>
      <c r="L50" s="700"/>
      <c r="M50" s="704"/>
      <c r="N50" s="705"/>
      <c r="O50" s="844">
        <f>SUM(O43:O48)</f>
        <v>0</v>
      </c>
      <c r="P50" s="703"/>
      <c r="Q50" s="844">
        <f>SUM(Q43:Q48)</f>
        <v>0</v>
      </c>
      <c r="R50" s="704"/>
    </row>
    <row r="51" spans="1:20" s="842" customFormat="1" x14ac:dyDescent="0.2"/>
    <row r="52" spans="1:20" s="59" customFormat="1" ht="12.75" x14ac:dyDescent="0.2">
      <c r="A52" s="246"/>
      <c r="B52" s="1374" t="s">
        <v>439</v>
      </c>
      <c r="C52" s="1374"/>
      <c r="D52" s="1374"/>
      <c r="E52" s="1374"/>
      <c r="F52" s="1374"/>
      <c r="G52" s="1374"/>
      <c r="H52" s="1374"/>
      <c r="I52" s="1374"/>
      <c r="J52" s="1374"/>
      <c r="K52" s="1374"/>
      <c r="L52" s="1374"/>
      <c r="M52" s="1374"/>
      <c r="N52" s="1374"/>
      <c r="O52" s="1374"/>
      <c r="P52" s="1374"/>
      <c r="Q52" s="1374"/>
      <c r="R52" s="1374"/>
    </row>
    <row r="53" spans="1:20" ht="22.5" x14ac:dyDescent="0.2">
      <c r="B53" s="699" t="s">
        <v>784</v>
      </c>
      <c r="C53" s="700" t="s">
        <v>721</v>
      </c>
      <c r="D53" s="701">
        <v>44404</v>
      </c>
      <c r="E53" s="701">
        <v>44574</v>
      </c>
      <c r="F53" s="691">
        <v>170</v>
      </c>
      <c r="G53" s="691">
        <v>2</v>
      </c>
      <c r="H53" s="702">
        <v>96.632800000000003</v>
      </c>
      <c r="I53" s="703">
        <v>20000000</v>
      </c>
      <c r="J53" s="703">
        <v>19326560</v>
      </c>
      <c r="K53" s="703">
        <v>673440</v>
      </c>
      <c r="L53" s="700">
        <v>7.4815000000000006E-2</v>
      </c>
      <c r="M53" s="704">
        <v>3961.4117647058824</v>
      </c>
      <c r="N53" s="705">
        <v>157</v>
      </c>
      <c r="O53" s="704">
        <v>621941.6470588235</v>
      </c>
      <c r="P53" s="703">
        <v>11</v>
      </c>
      <c r="Q53" s="840">
        <v>43575.529411764706</v>
      </c>
      <c r="R53" s="704">
        <v>19992077.176470585</v>
      </c>
    </row>
    <row r="54" spans="1:20" ht="22.5" x14ac:dyDescent="0.2">
      <c r="B54" s="699" t="s">
        <v>784</v>
      </c>
      <c r="C54" s="700" t="s">
        <v>721</v>
      </c>
      <c r="D54" s="701">
        <v>44461</v>
      </c>
      <c r="E54" s="701">
        <v>44574</v>
      </c>
      <c r="F54" s="691">
        <v>113</v>
      </c>
      <c r="G54" s="691">
        <v>2</v>
      </c>
      <c r="H54" s="702">
        <v>97.705200000000005</v>
      </c>
      <c r="I54" s="703">
        <v>65000000</v>
      </c>
      <c r="J54" s="703">
        <v>63508380</v>
      </c>
      <c r="K54" s="703">
        <v>1491620</v>
      </c>
      <c r="L54" s="700">
        <v>7.4550907652605636E-2</v>
      </c>
      <c r="M54" s="704">
        <v>13200.176991150442</v>
      </c>
      <c r="N54" s="705">
        <v>100</v>
      </c>
      <c r="O54" s="704">
        <v>1320017.6991150442</v>
      </c>
      <c r="P54" s="703">
        <v>11</v>
      </c>
      <c r="Q54" s="840">
        <v>145201.94690265486</v>
      </c>
      <c r="R54" s="704">
        <v>64973599.6460177</v>
      </c>
    </row>
    <row r="55" spans="1:20" ht="22.5" x14ac:dyDescent="0.2">
      <c r="B55" s="699" t="s">
        <v>785</v>
      </c>
      <c r="C55" s="700" t="s">
        <v>721</v>
      </c>
      <c r="D55" s="701">
        <v>44407</v>
      </c>
      <c r="E55" s="701">
        <v>44588</v>
      </c>
      <c r="F55" s="691">
        <v>181</v>
      </c>
      <c r="G55" s="691">
        <v>13</v>
      </c>
      <c r="H55" s="702">
        <v>96.427999999999997</v>
      </c>
      <c r="I55" s="703">
        <v>110000000</v>
      </c>
      <c r="J55" s="703">
        <v>106070800</v>
      </c>
      <c r="K55" s="703">
        <v>3929200</v>
      </c>
      <c r="L55" s="700">
        <v>7.4700000000000003E-2</v>
      </c>
      <c r="M55" s="704">
        <v>21708.28729281768</v>
      </c>
      <c r="N55" s="705">
        <v>154</v>
      </c>
      <c r="O55" s="704">
        <v>3343076.2430939227</v>
      </c>
      <c r="P55" s="703">
        <v>14</v>
      </c>
      <c r="Q55" s="840">
        <v>303916.02209944755</v>
      </c>
      <c r="R55" s="704">
        <v>109717792.26519337</v>
      </c>
    </row>
    <row r="56" spans="1:20" ht="22.5" x14ac:dyDescent="0.2">
      <c r="B56" s="699" t="s">
        <v>785</v>
      </c>
      <c r="C56" s="700" t="s">
        <v>721</v>
      </c>
      <c r="D56" s="701">
        <v>44417</v>
      </c>
      <c r="E56" s="701">
        <v>44588</v>
      </c>
      <c r="F56" s="691">
        <v>171</v>
      </c>
      <c r="G56" s="691">
        <v>13</v>
      </c>
      <c r="H56" s="702">
        <v>96.620899999999992</v>
      </c>
      <c r="I56" s="703">
        <v>25000000</v>
      </c>
      <c r="J56" s="703">
        <v>24155225</v>
      </c>
      <c r="K56" s="703">
        <v>844775</v>
      </c>
      <c r="L56" s="700">
        <v>7.4649999999999994E-2</v>
      </c>
      <c r="M56" s="704">
        <v>4940.2046783625728</v>
      </c>
      <c r="N56" s="705">
        <v>144</v>
      </c>
      <c r="O56" s="704">
        <v>711389.47368421045</v>
      </c>
      <c r="P56" s="703">
        <v>14</v>
      </c>
      <c r="Q56" s="840">
        <v>69162.865497076025</v>
      </c>
      <c r="R56" s="704">
        <v>24935777.339181285</v>
      </c>
    </row>
    <row r="57" spans="1:20" ht="22.5" x14ac:dyDescent="0.2">
      <c r="B57" s="699" t="s">
        <v>785</v>
      </c>
      <c r="C57" s="700" t="s">
        <v>721</v>
      </c>
      <c r="D57" s="701">
        <v>44419</v>
      </c>
      <c r="E57" s="701">
        <v>44588</v>
      </c>
      <c r="F57" s="691">
        <v>169</v>
      </c>
      <c r="G57" s="691">
        <v>13</v>
      </c>
      <c r="H57" s="702">
        <v>96.665599999999998</v>
      </c>
      <c r="I57" s="703">
        <v>450000000</v>
      </c>
      <c r="J57" s="703">
        <v>434995200</v>
      </c>
      <c r="K57" s="703">
        <v>15004800</v>
      </c>
      <c r="L57" s="700">
        <v>7.4499999999999997E-2</v>
      </c>
      <c r="M57" s="704">
        <v>88785.798816568044</v>
      </c>
      <c r="N57" s="705">
        <v>142</v>
      </c>
      <c r="O57" s="704">
        <v>12607583.431952663</v>
      </c>
      <c r="P57" s="703">
        <v>14</v>
      </c>
      <c r="Q57" s="840">
        <v>1243001.1834319527</v>
      </c>
      <c r="R57" s="704">
        <v>448845784.61538458</v>
      </c>
    </row>
    <row r="58" spans="1:20" ht="22.5" x14ac:dyDescent="0.2">
      <c r="B58" s="699" t="s">
        <v>785</v>
      </c>
      <c r="C58" s="700" t="s">
        <v>721</v>
      </c>
      <c r="D58" s="701">
        <v>44421</v>
      </c>
      <c r="E58" s="701">
        <v>44588</v>
      </c>
      <c r="F58" s="691">
        <v>167</v>
      </c>
      <c r="G58" s="691">
        <v>13</v>
      </c>
      <c r="H58" s="702">
        <v>96.724100000000007</v>
      </c>
      <c r="I58" s="703">
        <v>130000000</v>
      </c>
      <c r="J58" s="703">
        <v>125741330.00000001</v>
      </c>
      <c r="K58" s="703">
        <v>4258669.9999999851</v>
      </c>
      <c r="L58" s="700">
        <v>7.4024999999999994E-2</v>
      </c>
      <c r="M58" s="704">
        <v>25501.017964071769</v>
      </c>
      <c r="N58" s="705">
        <v>140</v>
      </c>
      <c r="O58" s="704">
        <v>3570142.5149700474</v>
      </c>
      <c r="P58" s="703">
        <v>14</v>
      </c>
      <c r="Q58" s="840">
        <v>357014.25149700476</v>
      </c>
      <c r="R58" s="704">
        <v>129668486.76646706</v>
      </c>
    </row>
    <row r="59" spans="1:20" ht="22.5" x14ac:dyDescent="0.2">
      <c r="B59" s="699" t="s">
        <v>791</v>
      </c>
      <c r="C59" s="700" t="s">
        <v>721</v>
      </c>
      <c r="D59" s="701">
        <v>44462</v>
      </c>
      <c r="E59" s="701">
        <v>44588</v>
      </c>
      <c r="F59" s="691">
        <v>126</v>
      </c>
      <c r="G59" s="691">
        <v>13</v>
      </c>
      <c r="H59" s="702">
        <v>97.385900000000007</v>
      </c>
      <c r="I59" s="703">
        <v>60000000</v>
      </c>
      <c r="J59" s="703">
        <v>58431540</v>
      </c>
      <c r="K59" s="703">
        <v>1568460</v>
      </c>
      <c r="L59" s="700">
        <v>7.459997194550802E-2</v>
      </c>
      <c r="M59" s="704">
        <v>12448.095238095239</v>
      </c>
      <c r="N59" s="705">
        <v>99</v>
      </c>
      <c r="O59" s="704">
        <v>1232361.4285714286</v>
      </c>
      <c r="P59" s="703">
        <v>14</v>
      </c>
      <c r="Q59" s="840">
        <v>174273.33333333334</v>
      </c>
      <c r="R59" s="704">
        <v>59838174.761904761</v>
      </c>
    </row>
    <row r="60" spans="1:20" ht="22.5" x14ac:dyDescent="0.2">
      <c r="B60" s="699" t="s">
        <v>791</v>
      </c>
      <c r="C60" s="700" t="s">
        <v>721</v>
      </c>
      <c r="D60" s="701">
        <v>44469</v>
      </c>
      <c r="E60" s="701">
        <v>44588</v>
      </c>
      <c r="F60" s="691">
        <v>119</v>
      </c>
      <c r="G60" s="691">
        <v>13</v>
      </c>
      <c r="H60" s="702">
        <v>97.537199999999999</v>
      </c>
      <c r="I60" s="703">
        <v>411000000</v>
      </c>
      <c r="J60" s="703">
        <v>400877892</v>
      </c>
      <c r="K60" s="703">
        <v>10122108</v>
      </c>
      <c r="L60" s="700">
        <v>7.459997194550802E-2</v>
      </c>
      <c r="M60" s="704">
        <v>85059.731092436981</v>
      </c>
      <c r="N60" s="705">
        <v>92</v>
      </c>
      <c r="O60" s="704">
        <v>7825495.260504202</v>
      </c>
      <c r="P60" s="703">
        <v>14</v>
      </c>
      <c r="Q60" s="840">
        <v>1190836.2352941178</v>
      </c>
      <c r="R60" s="704">
        <v>409894223.49579829</v>
      </c>
    </row>
    <row r="61" spans="1:20" ht="22.5" x14ac:dyDescent="0.2">
      <c r="B61" s="699" t="s">
        <v>791</v>
      </c>
      <c r="C61" s="700" t="s">
        <v>721</v>
      </c>
      <c r="D61" s="701">
        <v>44560</v>
      </c>
      <c r="E61" s="701">
        <v>44588</v>
      </c>
      <c r="F61" s="691">
        <v>28</v>
      </c>
      <c r="G61" s="691">
        <v>13</v>
      </c>
      <c r="H61" s="702">
        <v>99.229100000000003</v>
      </c>
      <c r="I61" s="703">
        <v>100000000</v>
      </c>
      <c r="J61" s="703">
        <v>99229100</v>
      </c>
      <c r="K61" s="703">
        <v>770900</v>
      </c>
      <c r="L61" s="700">
        <v>0.10126666669999999</v>
      </c>
      <c r="M61" s="704">
        <v>27532.142857142859</v>
      </c>
      <c r="N61" s="705">
        <v>1</v>
      </c>
      <c r="O61" s="704">
        <v>27532.142857142859</v>
      </c>
      <c r="P61" s="703">
        <v>14</v>
      </c>
      <c r="Q61" s="840">
        <v>385450</v>
      </c>
      <c r="R61" s="704">
        <v>99642082.142857149</v>
      </c>
    </row>
    <row r="62" spans="1:20" ht="22.5" x14ac:dyDescent="0.2">
      <c r="B62" s="699" t="s">
        <v>788</v>
      </c>
      <c r="C62" s="700" t="s">
        <v>721</v>
      </c>
      <c r="D62" s="701">
        <v>44434</v>
      </c>
      <c r="E62" s="701">
        <v>44616</v>
      </c>
      <c r="F62" s="691">
        <v>182</v>
      </c>
      <c r="G62" s="691">
        <v>14</v>
      </c>
      <c r="H62" s="702">
        <v>96.4482</v>
      </c>
      <c r="I62" s="703">
        <v>465000000</v>
      </c>
      <c r="J62" s="703">
        <v>448484130</v>
      </c>
      <c r="K62" s="703">
        <v>16515870</v>
      </c>
      <c r="L62" s="700">
        <v>7.3855000000000004E-2</v>
      </c>
      <c r="M62" s="704">
        <v>90746.538461538468</v>
      </c>
      <c r="N62" s="705">
        <v>127</v>
      </c>
      <c r="O62" s="704">
        <v>11524810.384615386</v>
      </c>
      <c r="P62" s="703">
        <v>41</v>
      </c>
      <c r="Q62" s="840">
        <v>3720608.076923077</v>
      </c>
      <c r="R62" s="704">
        <v>463729548.46153843</v>
      </c>
    </row>
    <row r="63" spans="1:20" ht="22.5" x14ac:dyDescent="0.2">
      <c r="B63" s="699" t="s">
        <v>788</v>
      </c>
      <c r="C63" s="700" t="s">
        <v>721</v>
      </c>
      <c r="D63" s="701">
        <v>44435</v>
      </c>
      <c r="E63" s="701">
        <v>44616</v>
      </c>
      <c r="F63" s="691">
        <v>181</v>
      </c>
      <c r="G63" s="691">
        <v>14</v>
      </c>
      <c r="H63" s="702">
        <v>96.460300000000004</v>
      </c>
      <c r="I63" s="703">
        <v>100000000</v>
      </c>
      <c r="J63" s="703">
        <v>96460300</v>
      </c>
      <c r="K63" s="703">
        <v>3539700</v>
      </c>
      <c r="L63" s="700">
        <v>7.3999999999999996E-2</v>
      </c>
      <c r="M63" s="704">
        <v>19556.353591160219</v>
      </c>
      <c r="N63" s="705">
        <v>126</v>
      </c>
      <c r="O63" s="704">
        <v>2464100.5524861878</v>
      </c>
      <c r="P63" s="703">
        <v>41</v>
      </c>
      <c r="Q63" s="840">
        <v>801810.49723756895</v>
      </c>
      <c r="R63" s="704">
        <v>99726211.049723744</v>
      </c>
    </row>
    <row r="64" spans="1:20" ht="22.5" x14ac:dyDescent="0.2">
      <c r="B64" s="699" t="s">
        <v>851</v>
      </c>
      <c r="C64" s="700" t="s">
        <v>850</v>
      </c>
      <c r="D64" s="701">
        <v>44572</v>
      </c>
      <c r="E64" s="701">
        <v>44644</v>
      </c>
      <c r="F64" s="691">
        <v>72</v>
      </c>
      <c r="G64" s="691">
        <v>28</v>
      </c>
      <c r="H64" s="702">
        <v>98.004899999999992</v>
      </c>
      <c r="I64" s="703">
        <v>150000000</v>
      </c>
      <c r="J64" s="703">
        <v>147007350</v>
      </c>
      <c r="K64" s="703">
        <v>2992650</v>
      </c>
      <c r="L64" s="700">
        <v>0.1032</v>
      </c>
      <c r="M64" s="704">
        <v>41564.583333333336</v>
      </c>
      <c r="N64" s="705">
        <v>0</v>
      </c>
      <c r="O64" s="704">
        <v>0</v>
      </c>
      <c r="P64" s="703">
        <v>44</v>
      </c>
      <c r="Q64" s="840">
        <v>1828841.6666666667</v>
      </c>
      <c r="R64" s="704">
        <v>148836191.66666666</v>
      </c>
    </row>
    <row r="65" spans="2:18" ht="22.5" x14ac:dyDescent="0.2">
      <c r="B65" s="699" t="s">
        <v>792</v>
      </c>
      <c r="C65" s="700" t="s">
        <v>721</v>
      </c>
      <c r="D65" s="701">
        <v>44467</v>
      </c>
      <c r="E65" s="701">
        <v>44630</v>
      </c>
      <c r="F65" s="691">
        <v>163</v>
      </c>
      <c r="G65" s="691">
        <v>1</v>
      </c>
      <c r="H65" s="702">
        <v>96.577799999999996</v>
      </c>
      <c r="I65" s="703">
        <v>26000000</v>
      </c>
      <c r="J65" s="703">
        <v>25110228</v>
      </c>
      <c r="K65" s="703">
        <v>889772</v>
      </c>
      <c r="L65" s="700">
        <v>7.4700000000000003E-2</v>
      </c>
      <c r="M65" s="704">
        <v>5458.7239263803685</v>
      </c>
      <c r="N65" s="705">
        <v>94</v>
      </c>
      <c r="O65" s="704">
        <v>513120.04907975462</v>
      </c>
      <c r="P65" s="703">
        <v>68</v>
      </c>
      <c r="Q65" s="840">
        <v>371193.22699386504</v>
      </c>
      <c r="R65" s="704">
        <v>25994541.27607362</v>
      </c>
    </row>
    <row r="66" spans="2:18" ht="22.5" x14ac:dyDescent="0.2">
      <c r="B66" s="699" t="s">
        <v>851</v>
      </c>
      <c r="C66" s="700" t="s">
        <v>850</v>
      </c>
      <c r="D66" s="701">
        <v>44572</v>
      </c>
      <c r="E66" s="701">
        <v>44644</v>
      </c>
      <c r="F66" s="691">
        <v>72</v>
      </c>
      <c r="G66" s="691">
        <v>6</v>
      </c>
      <c r="H66" s="702">
        <v>98.004899999999992</v>
      </c>
      <c r="I66" s="703">
        <v>1130000000</v>
      </c>
      <c r="J66" s="703">
        <v>1107455370</v>
      </c>
      <c r="K66" s="703">
        <v>22544630</v>
      </c>
      <c r="L66" s="700">
        <v>0.1032</v>
      </c>
      <c r="M66" s="704">
        <v>313119.86111111112</v>
      </c>
      <c r="N66" s="705">
        <v>0</v>
      </c>
      <c r="O66" s="704">
        <v>0</v>
      </c>
      <c r="P66" s="703">
        <v>66</v>
      </c>
      <c r="Q66" s="840">
        <v>20665910.833333336</v>
      </c>
      <c r="R66" s="704">
        <v>1128121280.8333333</v>
      </c>
    </row>
    <row r="67" spans="2:18" ht="22.5" x14ac:dyDescent="0.2">
      <c r="B67" s="699" t="s">
        <v>855</v>
      </c>
      <c r="C67" s="700" t="s">
        <v>850</v>
      </c>
      <c r="D67" s="701">
        <v>44638</v>
      </c>
      <c r="E67" s="701">
        <v>44658</v>
      </c>
      <c r="F67" s="691">
        <v>20</v>
      </c>
      <c r="G67" s="691">
        <v>7</v>
      </c>
      <c r="H67" s="702">
        <v>99.441500000000005</v>
      </c>
      <c r="I67" s="703">
        <v>1000000000</v>
      </c>
      <c r="J67" s="703">
        <v>994415000</v>
      </c>
      <c r="K67" s="703">
        <v>5585000</v>
      </c>
      <c r="L67" s="700">
        <v>0.10249999999999999</v>
      </c>
      <c r="M67" s="704">
        <v>279250</v>
      </c>
      <c r="N67" s="705">
        <v>0</v>
      </c>
      <c r="O67" s="704">
        <v>0</v>
      </c>
      <c r="P67" s="703">
        <v>13</v>
      </c>
      <c r="Q67" s="840">
        <v>3630250</v>
      </c>
      <c r="R67" s="704">
        <v>998045250</v>
      </c>
    </row>
    <row r="68" spans="2:18" ht="22.5" x14ac:dyDescent="0.2">
      <c r="B68" s="699" t="s">
        <v>855</v>
      </c>
      <c r="C68" s="700" t="s">
        <v>850</v>
      </c>
      <c r="D68" s="701">
        <v>44575</v>
      </c>
      <c r="E68" s="701">
        <v>44658</v>
      </c>
      <c r="F68" s="691">
        <v>83</v>
      </c>
      <c r="G68" s="691">
        <v>6</v>
      </c>
      <c r="H68" s="702">
        <v>97.711399999999998</v>
      </c>
      <c r="I68" s="703">
        <v>1286000000</v>
      </c>
      <c r="J68" s="703">
        <v>1256568604</v>
      </c>
      <c r="K68" s="703">
        <v>29431396</v>
      </c>
      <c r="L68" s="700">
        <v>0.10299999999999999</v>
      </c>
      <c r="M68" s="704">
        <v>354595.13253012049</v>
      </c>
      <c r="N68" s="705">
        <v>0</v>
      </c>
      <c r="O68" s="704">
        <v>0</v>
      </c>
      <c r="P68" s="703">
        <v>77</v>
      </c>
      <c r="Q68" s="840">
        <v>27303825.204819277</v>
      </c>
      <c r="R68" s="704">
        <v>1283872429.2048192</v>
      </c>
    </row>
    <row r="69" spans="2:18" ht="22.5" x14ac:dyDescent="0.2">
      <c r="B69" s="699" t="s">
        <v>855</v>
      </c>
      <c r="C69" s="700" t="s">
        <v>850</v>
      </c>
      <c r="D69" s="701">
        <v>44580</v>
      </c>
      <c r="E69" s="701">
        <v>44658</v>
      </c>
      <c r="F69" s="691">
        <v>78</v>
      </c>
      <c r="G69" s="691">
        <v>6</v>
      </c>
      <c r="H69" s="702">
        <v>97.866799999999998</v>
      </c>
      <c r="I69" s="703">
        <v>26000000</v>
      </c>
      <c r="J69" s="703">
        <v>25445368</v>
      </c>
      <c r="K69" s="703">
        <v>554632</v>
      </c>
      <c r="L69" s="700">
        <v>0.10199999999999999</v>
      </c>
      <c r="M69" s="704">
        <v>7110.666666666667</v>
      </c>
      <c r="N69" s="705">
        <v>0</v>
      </c>
      <c r="O69" s="704">
        <v>0</v>
      </c>
      <c r="P69" s="703">
        <v>72</v>
      </c>
      <c r="Q69" s="840">
        <v>511968</v>
      </c>
      <c r="R69" s="704">
        <v>25957336</v>
      </c>
    </row>
    <row r="70" spans="2:18" ht="22.5" x14ac:dyDescent="0.2">
      <c r="B70" s="699" t="s">
        <v>855</v>
      </c>
      <c r="C70" s="700" t="s">
        <v>850</v>
      </c>
      <c r="D70" s="701">
        <v>44585</v>
      </c>
      <c r="E70" s="701">
        <v>44658</v>
      </c>
      <c r="F70" s="691">
        <v>73</v>
      </c>
      <c r="G70" s="691">
        <v>6</v>
      </c>
      <c r="H70" s="702">
        <v>98.004400000000004</v>
      </c>
      <c r="I70" s="703">
        <v>200000000</v>
      </c>
      <c r="J70" s="703">
        <v>196008800</v>
      </c>
      <c r="K70" s="703">
        <v>3991200</v>
      </c>
      <c r="L70" s="700">
        <v>0.1018</v>
      </c>
      <c r="M70" s="704">
        <v>54673.972602739726</v>
      </c>
      <c r="N70" s="705">
        <v>0</v>
      </c>
      <c r="O70" s="704">
        <v>0</v>
      </c>
      <c r="P70" s="703">
        <v>67</v>
      </c>
      <c r="Q70" s="840">
        <v>3663156.1643835618</v>
      </c>
      <c r="R70" s="704">
        <v>199671956.16438356</v>
      </c>
    </row>
    <row r="71" spans="2:18" ht="22.5" x14ac:dyDescent="0.2">
      <c r="B71" s="699" t="s">
        <v>855</v>
      </c>
      <c r="C71" s="700" t="s">
        <v>850</v>
      </c>
      <c r="D71" s="701">
        <v>44638</v>
      </c>
      <c r="E71" s="701">
        <v>44658</v>
      </c>
      <c r="F71" s="691">
        <v>20</v>
      </c>
      <c r="G71" s="691">
        <v>6</v>
      </c>
      <c r="H71" s="702">
        <v>99.441500000000005</v>
      </c>
      <c r="I71" s="703">
        <v>130000000</v>
      </c>
      <c r="J71" s="703">
        <v>129273950</v>
      </c>
      <c r="K71" s="703">
        <v>726050</v>
      </c>
      <c r="L71" s="700">
        <v>0.10249999999999999</v>
      </c>
      <c r="M71" s="704">
        <v>36302.5</v>
      </c>
      <c r="N71" s="705">
        <v>0</v>
      </c>
      <c r="O71" s="704">
        <v>0</v>
      </c>
      <c r="P71" s="703">
        <v>14</v>
      </c>
      <c r="Q71" s="840">
        <v>508235</v>
      </c>
      <c r="R71" s="704">
        <v>129782185</v>
      </c>
    </row>
    <row r="72" spans="2:18" ht="22.5" x14ac:dyDescent="0.2">
      <c r="B72" s="699" t="s">
        <v>862</v>
      </c>
      <c r="C72" s="700" t="s">
        <v>850</v>
      </c>
      <c r="D72" s="701">
        <v>44588</v>
      </c>
      <c r="E72" s="701">
        <v>44672</v>
      </c>
      <c r="F72" s="691">
        <v>84</v>
      </c>
      <c r="G72" s="691">
        <v>2</v>
      </c>
      <c r="H72" s="702">
        <v>97.706499999999991</v>
      </c>
      <c r="I72" s="703">
        <v>50000000</v>
      </c>
      <c r="J72" s="703">
        <v>48853250</v>
      </c>
      <c r="K72" s="703">
        <v>1146750</v>
      </c>
      <c r="L72" s="700">
        <v>0.101997</v>
      </c>
      <c r="M72" s="704">
        <v>13651.785714285714</v>
      </c>
      <c r="N72" s="705">
        <v>0</v>
      </c>
      <c r="O72" s="704">
        <v>0</v>
      </c>
      <c r="P72" s="703">
        <v>82</v>
      </c>
      <c r="Q72" s="840">
        <v>1119446.4285714286</v>
      </c>
      <c r="R72" s="704">
        <v>49972696.428571425</v>
      </c>
    </row>
    <row r="73" spans="2:18" ht="22.5" x14ac:dyDescent="0.2">
      <c r="B73" s="699" t="s">
        <v>862</v>
      </c>
      <c r="C73" s="700" t="s">
        <v>850</v>
      </c>
      <c r="D73" s="701">
        <v>44620</v>
      </c>
      <c r="E73" s="701">
        <v>44672</v>
      </c>
      <c r="F73" s="691">
        <v>52</v>
      </c>
      <c r="G73" s="691">
        <v>2</v>
      </c>
      <c r="H73" s="702">
        <v>98.548699999999982</v>
      </c>
      <c r="I73" s="703">
        <v>73200000</v>
      </c>
      <c r="J73" s="703">
        <v>72137648.399999991</v>
      </c>
      <c r="K73" s="703">
        <v>1062351.6000000089</v>
      </c>
      <c r="L73" s="700">
        <v>0.10337333329999999</v>
      </c>
      <c r="M73" s="704">
        <v>20429.838461538635</v>
      </c>
      <c r="N73" s="705">
        <v>0</v>
      </c>
      <c r="O73" s="704">
        <v>0</v>
      </c>
      <c r="P73" s="703">
        <v>50</v>
      </c>
      <c r="Q73" s="840">
        <v>1021491.9230769317</v>
      </c>
      <c r="R73" s="704">
        <v>73159140.323076919</v>
      </c>
    </row>
    <row r="74" spans="2:18" ht="22.5" x14ac:dyDescent="0.2">
      <c r="B74" s="699" t="s">
        <v>873</v>
      </c>
      <c r="C74" s="700" t="s">
        <v>850</v>
      </c>
      <c r="D74" s="701">
        <v>44602</v>
      </c>
      <c r="E74" s="701">
        <v>44679</v>
      </c>
      <c r="F74" s="691">
        <v>77</v>
      </c>
      <c r="G74" s="691">
        <v>6</v>
      </c>
      <c r="H74" s="702">
        <v>97.877400000000009</v>
      </c>
      <c r="I74" s="703">
        <v>565000000</v>
      </c>
      <c r="J74" s="703">
        <v>553007310</v>
      </c>
      <c r="K74" s="703">
        <v>11992690</v>
      </c>
      <c r="L74" s="700">
        <v>0.102799</v>
      </c>
      <c r="M74" s="704">
        <v>155749.22077922078</v>
      </c>
      <c r="N74" s="705">
        <v>0</v>
      </c>
      <c r="O74" s="704">
        <v>0</v>
      </c>
      <c r="P74" s="703">
        <v>71</v>
      </c>
      <c r="Q74" s="840">
        <v>11058194.675324675</v>
      </c>
      <c r="R74" s="704">
        <v>564065504.67532468</v>
      </c>
    </row>
    <row r="75" spans="2:18" ht="22.5" x14ac:dyDescent="0.2">
      <c r="B75" s="699" t="s">
        <v>873</v>
      </c>
      <c r="C75" s="700" t="s">
        <v>850</v>
      </c>
      <c r="D75" s="701">
        <v>44614</v>
      </c>
      <c r="E75" s="701">
        <v>44679</v>
      </c>
      <c r="F75" s="691">
        <v>65</v>
      </c>
      <c r="G75" s="691">
        <v>6</v>
      </c>
      <c r="H75" s="702">
        <v>98.19710000000002</v>
      </c>
      <c r="I75" s="703">
        <v>127000000</v>
      </c>
      <c r="J75" s="703">
        <v>124710317.00000001</v>
      </c>
      <c r="K75" s="703">
        <v>2289682.9999999851</v>
      </c>
      <c r="L75" s="700">
        <v>0.1031</v>
      </c>
      <c r="M75" s="704">
        <v>35225.892307692076</v>
      </c>
      <c r="N75" s="705">
        <v>0</v>
      </c>
      <c r="O75" s="704">
        <v>0</v>
      </c>
      <c r="P75" s="703">
        <v>59</v>
      </c>
      <c r="Q75" s="840">
        <v>2078327.6461538326</v>
      </c>
      <c r="R75" s="704">
        <v>126788644.64615385</v>
      </c>
    </row>
    <row r="76" spans="2:18" ht="22.5" x14ac:dyDescent="0.2">
      <c r="B76" s="699" t="s">
        <v>873</v>
      </c>
      <c r="C76" s="700" t="s">
        <v>850</v>
      </c>
      <c r="D76" s="701">
        <v>44652</v>
      </c>
      <c r="E76" s="701">
        <v>44679</v>
      </c>
      <c r="F76" s="691">
        <v>27</v>
      </c>
      <c r="G76" s="691">
        <v>6</v>
      </c>
      <c r="H76" s="702">
        <v>99.219800000000006</v>
      </c>
      <c r="I76" s="703">
        <v>1642000000</v>
      </c>
      <c r="J76" s="703">
        <v>1629189116</v>
      </c>
      <c r="K76" s="703">
        <v>12810884</v>
      </c>
      <c r="L76" s="700">
        <v>0.10630000000000001</v>
      </c>
      <c r="M76" s="704">
        <v>474477.18518518517</v>
      </c>
      <c r="N76" s="705">
        <v>0</v>
      </c>
      <c r="O76" s="704">
        <v>0</v>
      </c>
      <c r="P76" s="703">
        <v>21</v>
      </c>
      <c r="Q76" s="840">
        <v>9964020.8888888881</v>
      </c>
      <c r="R76" s="704">
        <v>1639153136.8888888</v>
      </c>
    </row>
    <row r="77" spans="2:18" ht="22.5" x14ac:dyDescent="0.2">
      <c r="B77" s="699" t="s">
        <v>891</v>
      </c>
      <c r="C77" s="700" t="s">
        <v>721</v>
      </c>
      <c r="D77" s="701">
        <v>44629</v>
      </c>
      <c r="E77" s="701">
        <v>44714</v>
      </c>
      <c r="F77" s="691">
        <v>85</v>
      </c>
      <c r="G77" s="691">
        <v>35</v>
      </c>
      <c r="H77" s="702">
        <v>97.551100000000005</v>
      </c>
      <c r="I77" s="703">
        <v>23000000</v>
      </c>
      <c r="J77" s="703">
        <v>22436753</v>
      </c>
      <c r="K77" s="703">
        <v>563247</v>
      </c>
      <c r="L77" s="700">
        <v>0.10780000000000001</v>
      </c>
      <c r="M77" s="704">
        <v>6626.4352941176467</v>
      </c>
      <c r="N77" s="705">
        <v>0</v>
      </c>
      <c r="O77" s="704">
        <v>0</v>
      </c>
      <c r="P77" s="703">
        <v>50</v>
      </c>
      <c r="Q77" s="840">
        <v>331321.76470588235</v>
      </c>
      <c r="R77" s="704">
        <v>22768074.764705881</v>
      </c>
    </row>
    <row r="78" spans="2:18" ht="22.5" x14ac:dyDescent="0.2">
      <c r="B78" s="699" t="s">
        <v>891</v>
      </c>
      <c r="C78" s="700" t="s">
        <v>850</v>
      </c>
      <c r="D78" s="701">
        <v>44651</v>
      </c>
      <c r="E78" s="701">
        <v>44714</v>
      </c>
      <c r="F78" s="691">
        <v>63</v>
      </c>
      <c r="G78" s="691">
        <v>35</v>
      </c>
      <c r="H78" s="702">
        <v>98.037099999999995</v>
      </c>
      <c r="I78" s="703">
        <v>1090000000</v>
      </c>
      <c r="J78" s="703">
        <v>1068604390</v>
      </c>
      <c r="K78" s="703">
        <v>21395610</v>
      </c>
      <c r="L78" s="700">
        <v>0.11600000000000001</v>
      </c>
      <c r="M78" s="704">
        <v>339612.85714285716</v>
      </c>
      <c r="N78" s="705">
        <v>0</v>
      </c>
      <c r="O78" s="704">
        <v>0</v>
      </c>
      <c r="P78" s="703">
        <v>28</v>
      </c>
      <c r="Q78" s="840">
        <v>9509160</v>
      </c>
      <c r="R78" s="704">
        <v>1078113550</v>
      </c>
    </row>
    <row r="79" spans="2:18" ht="22.5" x14ac:dyDescent="0.2">
      <c r="B79" s="699" t="s">
        <v>930</v>
      </c>
      <c r="C79" s="700" t="s">
        <v>721</v>
      </c>
      <c r="D79" s="701">
        <v>44680</v>
      </c>
      <c r="E79" s="701">
        <v>44700</v>
      </c>
      <c r="F79" s="691">
        <v>20</v>
      </c>
      <c r="G79" s="691">
        <v>1</v>
      </c>
      <c r="H79" s="702">
        <v>99.284599999999998</v>
      </c>
      <c r="I79" s="703">
        <v>376000000</v>
      </c>
      <c r="J79" s="703">
        <v>373310096</v>
      </c>
      <c r="K79" s="703">
        <v>2689904</v>
      </c>
      <c r="L79" s="700">
        <v>0.13150000000000001</v>
      </c>
      <c r="M79" s="704">
        <v>134495.20000000001</v>
      </c>
      <c r="N79" s="705">
        <v>0</v>
      </c>
      <c r="O79" s="704">
        <v>0</v>
      </c>
      <c r="P79" s="703">
        <v>19</v>
      </c>
      <c r="Q79" s="840">
        <v>2555408.8000000003</v>
      </c>
      <c r="R79" s="704">
        <v>375865504.80000001</v>
      </c>
    </row>
    <row r="80" spans="2:18" ht="22.5" x14ac:dyDescent="0.2">
      <c r="B80" s="699" t="s">
        <v>1041</v>
      </c>
      <c r="C80" s="700" t="s">
        <v>850</v>
      </c>
      <c r="D80" s="701">
        <v>44700</v>
      </c>
      <c r="E80" s="701">
        <v>44728</v>
      </c>
      <c r="F80" s="691">
        <v>28</v>
      </c>
      <c r="G80" s="691">
        <v>8</v>
      </c>
      <c r="H80" s="702">
        <v>98.975000000000009</v>
      </c>
      <c r="I80" s="703">
        <v>419500000</v>
      </c>
      <c r="J80" s="703">
        <v>415200125</v>
      </c>
      <c r="K80" s="703">
        <v>4299875</v>
      </c>
      <c r="L80" s="700">
        <v>0.13500000000000001</v>
      </c>
      <c r="M80" s="704">
        <v>153566.96428571429</v>
      </c>
      <c r="N80" s="705">
        <v>0</v>
      </c>
      <c r="O80" s="704">
        <v>0</v>
      </c>
      <c r="P80" s="703">
        <v>20</v>
      </c>
      <c r="Q80" s="840">
        <v>3071339.2857142859</v>
      </c>
      <c r="R80" s="704">
        <v>418271464.28571427</v>
      </c>
    </row>
    <row r="81" spans="1:20" ht="22.5" x14ac:dyDescent="0.2">
      <c r="B81" s="699" t="s">
        <v>924</v>
      </c>
      <c r="C81" s="700" t="s">
        <v>721</v>
      </c>
      <c r="D81" s="701">
        <v>44673</v>
      </c>
      <c r="E81" s="701">
        <v>44854</v>
      </c>
      <c r="F81" s="691">
        <v>181</v>
      </c>
      <c r="G81" s="691">
        <v>114</v>
      </c>
      <c r="H81" s="702">
        <v>93.594999999999999</v>
      </c>
      <c r="I81" s="703">
        <v>1600000000</v>
      </c>
      <c r="J81" s="703">
        <v>1497520000</v>
      </c>
      <c r="K81" s="703">
        <v>102480000</v>
      </c>
      <c r="L81" s="700">
        <v>0.13800000000000001</v>
      </c>
      <c r="M81" s="704">
        <v>566187.84530386736</v>
      </c>
      <c r="N81" s="705">
        <v>0</v>
      </c>
      <c r="O81" s="704">
        <v>0</v>
      </c>
      <c r="P81" s="703">
        <v>67</v>
      </c>
      <c r="Q81" s="840">
        <v>37934585.635359116</v>
      </c>
      <c r="R81" s="704">
        <v>1535454585.635359</v>
      </c>
    </row>
    <row r="82" spans="1:20" ht="22.5" x14ac:dyDescent="0.2">
      <c r="B82" s="699" t="s">
        <v>1163</v>
      </c>
      <c r="C82" s="700" t="s">
        <v>850</v>
      </c>
      <c r="D82" s="701">
        <v>44714</v>
      </c>
      <c r="E82" s="701">
        <v>44798</v>
      </c>
      <c r="F82" s="691">
        <v>84</v>
      </c>
      <c r="G82" s="691">
        <v>56</v>
      </c>
      <c r="H82" s="702">
        <v>96.770700000000005</v>
      </c>
      <c r="I82" s="703">
        <v>50000000</v>
      </c>
      <c r="J82" s="703">
        <v>48385350</v>
      </c>
      <c r="K82" s="703">
        <v>1614650</v>
      </c>
      <c r="L82" s="700">
        <v>0.14500299999999999</v>
      </c>
      <c r="M82" s="704">
        <v>19222.023809523809</v>
      </c>
      <c r="N82" s="705">
        <v>0</v>
      </c>
      <c r="O82" s="704">
        <v>0</v>
      </c>
      <c r="P82" s="703">
        <v>28</v>
      </c>
      <c r="Q82" s="840">
        <v>538216.66666666663</v>
      </c>
      <c r="R82" s="704">
        <v>48923566.666666664</v>
      </c>
    </row>
    <row r="83" spans="1:20" s="59" customFormat="1" ht="12" thickBot="1" x14ac:dyDescent="0.25">
      <c r="B83" s="843" t="s">
        <v>402</v>
      </c>
      <c r="C83" s="700"/>
      <c r="D83" s="701"/>
      <c r="E83" s="701"/>
      <c r="F83" s="691"/>
      <c r="G83" s="691"/>
      <c r="H83" s="702"/>
      <c r="I83" s="703"/>
      <c r="J83" s="703"/>
      <c r="K83" s="703"/>
      <c r="L83" s="700"/>
      <c r="M83" s="704"/>
      <c r="N83" s="705"/>
      <c r="O83" s="704"/>
      <c r="P83" s="703"/>
      <c r="Q83" s="845">
        <f>SUM(Q53:Q82)</f>
        <v>146099743.7522864</v>
      </c>
      <c r="R83" s="704"/>
    </row>
    <row r="84" spans="1:20" s="214" customFormat="1" ht="27" customHeight="1" x14ac:dyDescent="0.15">
      <c r="A84" s="445"/>
      <c r="B84" s="720"/>
      <c r="C84" s="721"/>
      <c r="D84" s="213"/>
      <c r="E84" s="213"/>
      <c r="F84" s="722"/>
      <c r="G84" s="722"/>
      <c r="H84" s="723"/>
      <c r="I84" s="764"/>
      <c r="J84" s="764"/>
      <c r="K84" s="764"/>
      <c r="L84" s="721"/>
      <c r="M84" s="765"/>
      <c r="N84" s="724"/>
      <c r="O84" s="765"/>
      <c r="P84" s="724"/>
      <c r="Q84" s="765"/>
      <c r="R84" s="765"/>
      <c r="S84" s="213"/>
      <c r="T84" s="285"/>
    </row>
    <row r="85" spans="1:20" s="65" customFormat="1" x14ac:dyDescent="0.2">
      <c r="A85" s="152"/>
      <c r="B85" s="215"/>
      <c r="I85" s="247">
        <f>SUM(I50:I84)</f>
        <v>11899700000</v>
      </c>
      <c r="J85" s="247">
        <f>SUM(J26:J84)</f>
        <v>14741078782.1</v>
      </c>
      <c r="K85" s="247">
        <f>SUM(K26:K84)</f>
        <v>461321217.90000004</v>
      </c>
      <c r="L85" s="216"/>
      <c r="M85" s="247">
        <f>SUM(M41:M84)</f>
        <v>4625273.6078310348</v>
      </c>
      <c r="N85" s="247"/>
      <c r="O85" s="247">
        <f>SUM(O42:O84)</f>
        <v>45761570.827988811</v>
      </c>
      <c r="Q85" s="247">
        <f>+Q83+Q50+Q41</f>
        <v>233321891.15009713</v>
      </c>
      <c r="R85" s="247">
        <f>SUM(R26:R84)</f>
        <v>15020162244.078087</v>
      </c>
    </row>
    <row r="86" spans="1:20" s="65" customFormat="1" x14ac:dyDescent="0.2">
      <c r="A86" s="152"/>
      <c r="B86" s="215"/>
      <c r="J86" s="163"/>
      <c r="K86" s="163"/>
      <c r="L86" s="216"/>
      <c r="M86" s="221"/>
      <c r="N86" s="217"/>
    </row>
    <row r="87" spans="1:20" s="65" customFormat="1" ht="12.75" x14ac:dyDescent="0.2">
      <c r="A87" s="246" t="s">
        <v>283</v>
      </c>
      <c r="B87" s="215"/>
      <c r="J87" s="163"/>
      <c r="K87" s="163"/>
      <c r="L87" s="216"/>
      <c r="M87" s="221"/>
      <c r="N87" s="217"/>
      <c r="Q87"/>
    </row>
    <row r="88" spans="1:20" s="65" customFormat="1" x14ac:dyDescent="0.2">
      <c r="A88" s="64"/>
      <c r="B88" s="215"/>
      <c r="J88" s="163"/>
      <c r="K88" s="163"/>
      <c r="L88" s="216"/>
      <c r="M88" s="221"/>
      <c r="N88" s="217"/>
      <c r="Q88" s="154"/>
    </row>
    <row r="89" spans="1:20" s="65" customFormat="1" x14ac:dyDescent="0.2">
      <c r="A89" s="152"/>
      <c r="B89" s="215"/>
      <c r="J89" s="163"/>
      <c r="K89" s="163"/>
      <c r="L89" s="216"/>
      <c r="M89" s="221"/>
      <c r="N89" s="217"/>
      <c r="Q89" s="752"/>
    </row>
    <row r="90" spans="1:20" s="65" customFormat="1" x14ac:dyDescent="0.2">
      <c r="A90" s="152"/>
      <c r="B90" s="215"/>
      <c r="J90" s="163"/>
      <c r="K90" s="163"/>
      <c r="L90" s="216"/>
      <c r="M90" s="221"/>
      <c r="N90" s="217"/>
    </row>
    <row r="91" spans="1:20" s="65" customFormat="1" x14ac:dyDescent="0.2">
      <c r="A91" s="64"/>
      <c r="B91" s="215"/>
      <c r="J91" s="163"/>
      <c r="K91" s="163"/>
      <c r="L91" s="216"/>
      <c r="M91" s="221"/>
      <c r="N91" s="217"/>
    </row>
    <row r="92" spans="1:20" s="59" customFormat="1" x14ac:dyDescent="0.2">
      <c r="A92" s="137"/>
      <c r="J92" s="60"/>
      <c r="K92" s="60"/>
      <c r="L92" s="218"/>
      <c r="M92" s="287"/>
      <c r="N92" s="219"/>
    </row>
    <row r="93" spans="1:20" s="68" customFormat="1" x14ac:dyDescent="0.2">
      <c r="A93" s="65"/>
      <c r="B93" s="65"/>
      <c r="C93" s="65"/>
      <c r="D93" s="65"/>
      <c r="E93" s="65"/>
      <c r="F93" s="65"/>
      <c r="G93" s="65"/>
      <c r="H93" s="65"/>
      <c r="I93" s="65"/>
      <c r="J93" s="151"/>
      <c r="K93" s="151"/>
      <c r="L93" s="65"/>
      <c r="M93" s="153"/>
      <c r="N93" s="153"/>
    </row>
    <row r="94" spans="1:20" s="138" customFormat="1" x14ac:dyDescent="0.2">
      <c r="A94" s="59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59"/>
      <c r="M94" s="287"/>
    </row>
    <row r="95" spans="1:20" s="138" customFormat="1" x14ac:dyDescent="0.2">
      <c r="A95" s="59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59"/>
      <c r="M95" s="287"/>
    </row>
    <row r="96" spans="1:20" s="138" customFormat="1" x14ac:dyDescent="0.2">
      <c r="A96" s="59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59"/>
      <c r="M96" s="287"/>
    </row>
    <row r="97" spans="1:13" s="138" customFormat="1" x14ac:dyDescent="0.2">
      <c r="A97" s="59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59"/>
      <c r="M97" s="287"/>
    </row>
    <row r="98" spans="1:13" s="138" customFormat="1" x14ac:dyDescent="0.2">
      <c r="A98" s="59"/>
      <c r="B98" s="59"/>
      <c r="C98" s="151"/>
      <c r="D98" s="151"/>
      <c r="E98" s="151"/>
      <c r="F98" s="151"/>
      <c r="G98" s="151"/>
      <c r="H98" s="151"/>
      <c r="I98" s="151"/>
      <c r="J98" s="151"/>
      <c r="K98" s="151"/>
      <c r="L98" s="59"/>
      <c r="M98" s="287"/>
    </row>
    <row r="99" spans="1:13" s="138" customFormat="1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287"/>
    </row>
  </sheetData>
  <mergeCells count="1">
    <mergeCell ref="B52:R52"/>
  </mergeCells>
  <pageMargins left="0.19685039370078741" right="0.19685039370078741" top="0.19685039370078741" bottom="0.19685039370078741" header="0.19685039370078741" footer="0.19685039370078741"/>
  <pageSetup scale="8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view="pageBreakPreview" zoomScaleSheetLayoutView="100" workbookViewId="0">
      <selection activeCell="A10" sqref="A9:XFD10"/>
    </sheetView>
  </sheetViews>
  <sheetFormatPr defaultRowHeight="11.25" x14ac:dyDescent="0.2"/>
  <cols>
    <col min="1" max="1" width="1.5" style="341" customWidth="1"/>
    <col min="2" max="2" width="13" style="341" customWidth="1"/>
    <col min="3" max="3" width="5.125" style="350" customWidth="1"/>
    <col min="4" max="5" width="7.125" style="341" customWidth="1"/>
    <col min="6" max="6" width="7.875" style="341" customWidth="1"/>
    <col min="7" max="7" width="9.375" style="341" customWidth="1"/>
    <col min="8" max="8" width="10.5" style="346" customWidth="1"/>
    <col min="9" max="9" width="8.125" style="346" customWidth="1"/>
    <col min="10" max="10" width="9.375" style="346" bestFit="1" customWidth="1"/>
    <col min="11" max="11" width="6.125" style="341" bestFit="1" customWidth="1"/>
    <col min="12" max="12" width="11.125" style="341" bestFit="1" customWidth="1"/>
    <col min="13" max="13" width="8.75" style="341" customWidth="1"/>
    <col min="14" max="14" width="9.375" style="341" bestFit="1" customWidth="1"/>
    <col min="15" max="15" width="10.125" style="341" customWidth="1"/>
    <col min="16" max="16" width="9.375" style="346" customWidth="1"/>
    <col min="17" max="17" width="13.5" style="346" bestFit="1" customWidth="1"/>
    <col min="18" max="18" width="0.75" style="341" customWidth="1"/>
    <col min="19" max="19" width="19.125" style="346" bestFit="1" customWidth="1"/>
    <col min="20" max="20" width="9.625" style="341" customWidth="1"/>
    <col min="21" max="257" width="9" style="341"/>
    <col min="258" max="258" width="1.5" style="341" customWidth="1"/>
    <col min="259" max="259" width="13" style="341" customWidth="1"/>
    <col min="260" max="260" width="5.125" style="341" customWidth="1"/>
    <col min="261" max="262" width="7.125" style="341" customWidth="1"/>
    <col min="263" max="263" width="7.875" style="341" customWidth="1"/>
    <col min="264" max="264" width="9.375" style="341" customWidth="1"/>
    <col min="265" max="265" width="10.5" style="341" customWidth="1"/>
    <col min="266" max="266" width="8.125" style="341" customWidth="1"/>
    <col min="267" max="267" width="9.375" style="341" bestFit="1" customWidth="1"/>
    <col min="268" max="268" width="6.125" style="341" bestFit="1" customWidth="1"/>
    <col min="269" max="269" width="7.125" style="341" bestFit="1" customWidth="1"/>
    <col min="270" max="270" width="9.375" style="341" bestFit="1" customWidth="1"/>
    <col min="271" max="271" width="10.125" style="341" customWidth="1"/>
    <col min="272" max="272" width="9.375" style="341" customWidth="1"/>
    <col min="273" max="273" width="13.5" style="341" bestFit="1" customWidth="1"/>
    <col min="274" max="274" width="0.75" style="341" customWidth="1"/>
    <col min="275" max="275" width="9.75" style="341" bestFit="1" customWidth="1"/>
    <col min="276" max="276" width="9.625" style="341" customWidth="1"/>
    <col min="277" max="513" width="9" style="341"/>
    <col min="514" max="514" width="1.5" style="341" customWidth="1"/>
    <col min="515" max="515" width="13" style="341" customWidth="1"/>
    <col min="516" max="516" width="5.125" style="341" customWidth="1"/>
    <col min="517" max="518" width="7.125" style="341" customWidth="1"/>
    <col min="519" max="519" width="7.875" style="341" customWidth="1"/>
    <col min="520" max="520" width="9.375" style="341" customWidth="1"/>
    <col min="521" max="521" width="10.5" style="341" customWidth="1"/>
    <col min="522" max="522" width="8.125" style="341" customWidth="1"/>
    <col min="523" max="523" width="9.375" style="341" bestFit="1" customWidth="1"/>
    <col min="524" max="524" width="6.125" style="341" bestFit="1" customWidth="1"/>
    <col min="525" max="525" width="7.125" style="341" bestFit="1" customWidth="1"/>
    <col min="526" max="526" width="9.375" style="341" bestFit="1" customWidth="1"/>
    <col min="527" max="527" width="10.125" style="341" customWidth="1"/>
    <col min="528" max="528" width="9.375" style="341" customWidth="1"/>
    <col min="529" max="529" width="13.5" style="341" bestFit="1" customWidth="1"/>
    <col min="530" max="530" width="0.75" style="341" customWidth="1"/>
    <col min="531" max="531" width="9.75" style="341" bestFit="1" customWidth="1"/>
    <col min="532" max="532" width="9.625" style="341" customWidth="1"/>
    <col min="533" max="769" width="9" style="341"/>
    <col min="770" max="770" width="1.5" style="341" customWidth="1"/>
    <col min="771" max="771" width="13" style="341" customWidth="1"/>
    <col min="772" max="772" width="5.125" style="341" customWidth="1"/>
    <col min="773" max="774" width="7.125" style="341" customWidth="1"/>
    <col min="775" max="775" width="7.875" style="341" customWidth="1"/>
    <col min="776" max="776" width="9.375" style="341" customWidth="1"/>
    <col min="777" max="777" width="10.5" style="341" customWidth="1"/>
    <col min="778" max="778" width="8.125" style="341" customWidth="1"/>
    <col min="779" max="779" width="9.375" style="341" bestFit="1" customWidth="1"/>
    <col min="780" max="780" width="6.125" style="341" bestFit="1" customWidth="1"/>
    <col min="781" max="781" width="7.125" style="341" bestFit="1" customWidth="1"/>
    <col min="782" max="782" width="9.375" style="341" bestFit="1" customWidth="1"/>
    <col min="783" max="783" width="10.125" style="341" customWidth="1"/>
    <col min="784" max="784" width="9.375" style="341" customWidth="1"/>
    <col min="785" max="785" width="13.5" style="341" bestFit="1" customWidth="1"/>
    <col min="786" max="786" width="0.75" style="341" customWidth="1"/>
    <col min="787" max="787" width="9.75" style="341" bestFit="1" customWidth="1"/>
    <col min="788" max="788" width="9.625" style="341" customWidth="1"/>
    <col min="789" max="1025" width="9" style="341"/>
    <col min="1026" max="1026" width="1.5" style="341" customWidth="1"/>
    <col min="1027" max="1027" width="13" style="341" customWidth="1"/>
    <col min="1028" max="1028" width="5.125" style="341" customWidth="1"/>
    <col min="1029" max="1030" width="7.125" style="341" customWidth="1"/>
    <col min="1031" max="1031" width="7.875" style="341" customWidth="1"/>
    <col min="1032" max="1032" width="9.375" style="341" customWidth="1"/>
    <col min="1033" max="1033" width="10.5" style="341" customWidth="1"/>
    <col min="1034" max="1034" width="8.125" style="341" customWidth="1"/>
    <col min="1035" max="1035" width="9.375" style="341" bestFit="1" customWidth="1"/>
    <col min="1036" max="1036" width="6.125" style="341" bestFit="1" customWidth="1"/>
    <col min="1037" max="1037" width="7.125" style="341" bestFit="1" customWidth="1"/>
    <col min="1038" max="1038" width="9.375" style="341" bestFit="1" customWidth="1"/>
    <col min="1039" max="1039" width="10.125" style="341" customWidth="1"/>
    <col min="1040" max="1040" width="9.375" style="341" customWidth="1"/>
    <col min="1041" max="1041" width="13.5" style="341" bestFit="1" customWidth="1"/>
    <col min="1042" max="1042" width="0.75" style="341" customWidth="1"/>
    <col min="1043" max="1043" width="9.75" style="341" bestFit="1" customWidth="1"/>
    <col min="1044" max="1044" width="9.625" style="341" customWidth="1"/>
    <col min="1045" max="1281" width="9" style="341"/>
    <col min="1282" max="1282" width="1.5" style="341" customWidth="1"/>
    <col min="1283" max="1283" width="13" style="341" customWidth="1"/>
    <col min="1284" max="1284" width="5.125" style="341" customWidth="1"/>
    <col min="1285" max="1286" width="7.125" style="341" customWidth="1"/>
    <col min="1287" max="1287" width="7.875" style="341" customWidth="1"/>
    <col min="1288" max="1288" width="9.375" style="341" customWidth="1"/>
    <col min="1289" max="1289" width="10.5" style="341" customWidth="1"/>
    <col min="1290" max="1290" width="8.125" style="341" customWidth="1"/>
    <col min="1291" max="1291" width="9.375" style="341" bestFit="1" customWidth="1"/>
    <col min="1292" max="1292" width="6.125" style="341" bestFit="1" customWidth="1"/>
    <col min="1293" max="1293" width="7.125" style="341" bestFit="1" customWidth="1"/>
    <col min="1294" max="1294" width="9.375" style="341" bestFit="1" customWidth="1"/>
    <col min="1295" max="1295" width="10.125" style="341" customWidth="1"/>
    <col min="1296" max="1296" width="9.375" style="341" customWidth="1"/>
    <col min="1297" max="1297" width="13.5" style="341" bestFit="1" customWidth="1"/>
    <col min="1298" max="1298" width="0.75" style="341" customWidth="1"/>
    <col min="1299" max="1299" width="9.75" style="341" bestFit="1" customWidth="1"/>
    <col min="1300" max="1300" width="9.625" style="341" customWidth="1"/>
    <col min="1301" max="1537" width="9" style="341"/>
    <col min="1538" max="1538" width="1.5" style="341" customWidth="1"/>
    <col min="1539" max="1539" width="13" style="341" customWidth="1"/>
    <col min="1540" max="1540" width="5.125" style="341" customWidth="1"/>
    <col min="1541" max="1542" width="7.125" style="341" customWidth="1"/>
    <col min="1543" max="1543" width="7.875" style="341" customWidth="1"/>
    <col min="1544" max="1544" width="9.375" style="341" customWidth="1"/>
    <col min="1545" max="1545" width="10.5" style="341" customWidth="1"/>
    <col min="1546" max="1546" width="8.125" style="341" customWidth="1"/>
    <col min="1547" max="1547" width="9.375" style="341" bestFit="1" customWidth="1"/>
    <col min="1548" max="1548" width="6.125" style="341" bestFit="1" customWidth="1"/>
    <col min="1549" max="1549" width="7.125" style="341" bestFit="1" customWidth="1"/>
    <col min="1550" max="1550" width="9.375" style="341" bestFit="1" customWidth="1"/>
    <col min="1551" max="1551" width="10.125" style="341" customWidth="1"/>
    <col min="1552" max="1552" width="9.375" style="341" customWidth="1"/>
    <col min="1553" max="1553" width="13.5" style="341" bestFit="1" customWidth="1"/>
    <col min="1554" max="1554" width="0.75" style="341" customWidth="1"/>
    <col min="1555" max="1555" width="9.75" style="341" bestFit="1" customWidth="1"/>
    <col min="1556" max="1556" width="9.625" style="341" customWidth="1"/>
    <col min="1557" max="1793" width="9" style="341"/>
    <col min="1794" max="1794" width="1.5" style="341" customWidth="1"/>
    <col min="1795" max="1795" width="13" style="341" customWidth="1"/>
    <col min="1796" max="1796" width="5.125" style="341" customWidth="1"/>
    <col min="1797" max="1798" width="7.125" style="341" customWidth="1"/>
    <col min="1799" max="1799" width="7.875" style="341" customWidth="1"/>
    <col min="1800" max="1800" width="9.375" style="341" customWidth="1"/>
    <col min="1801" max="1801" width="10.5" style="341" customWidth="1"/>
    <col min="1802" max="1802" width="8.125" style="341" customWidth="1"/>
    <col min="1803" max="1803" width="9.375" style="341" bestFit="1" customWidth="1"/>
    <col min="1804" max="1804" width="6.125" style="341" bestFit="1" customWidth="1"/>
    <col min="1805" max="1805" width="7.125" style="341" bestFit="1" customWidth="1"/>
    <col min="1806" max="1806" width="9.375" style="341" bestFit="1" customWidth="1"/>
    <col min="1807" max="1807" width="10.125" style="341" customWidth="1"/>
    <col min="1808" max="1808" width="9.375" style="341" customWidth="1"/>
    <col min="1809" max="1809" width="13.5" style="341" bestFit="1" customWidth="1"/>
    <col min="1810" max="1810" width="0.75" style="341" customWidth="1"/>
    <col min="1811" max="1811" width="9.75" style="341" bestFit="1" customWidth="1"/>
    <col min="1812" max="1812" width="9.625" style="341" customWidth="1"/>
    <col min="1813" max="2049" width="9" style="341"/>
    <col min="2050" max="2050" width="1.5" style="341" customWidth="1"/>
    <col min="2051" max="2051" width="13" style="341" customWidth="1"/>
    <col min="2052" max="2052" width="5.125" style="341" customWidth="1"/>
    <col min="2053" max="2054" width="7.125" style="341" customWidth="1"/>
    <col min="2055" max="2055" width="7.875" style="341" customWidth="1"/>
    <col min="2056" max="2056" width="9.375" style="341" customWidth="1"/>
    <col min="2057" max="2057" width="10.5" style="341" customWidth="1"/>
    <col min="2058" max="2058" width="8.125" style="341" customWidth="1"/>
    <col min="2059" max="2059" width="9.375" style="341" bestFit="1" customWidth="1"/>
    <col min="2060" max="2060" width="6.125" style="341" bestFit="1" customWidth="1"/>
    <col min="2061" max="2061" width="7.125" style="341" bestFit="1" customWidth="1"/>
    <col min="2062" max="2062" width="9.375" style="341" bestFit="1" customWidth="1"/>
    <col min="2063" max="2063" width="10.125" style="341" customWidth="1"/>
    <col min="2064" max="2064" width="9.375" style="341" customWidth="1"/>
    <col min="2065" max="2065" width="13.5" style="341" bestFit="1" customWidth="1"/>
    <col min="2066" max="2066" width="0.75" style="341" customWidth="1"/>
    <col min="2067" max="2067" width="9.75" style="341" bestFit="1" customWidth="1"/>
    <col min="2068" max="2068" width="9.625" style="341" customWidth="1"/>
    <col min="2069" max="2305" width="9" style="341"/>
    <col min="2306" max="2306" width="1.5" style="341" customWidth="1"/>
    <col min="2307" max="2307" width="13" style="341" customWidth="1"/>
    <col min="2308" max="2308" width="5.125" style="341" customWidth="1"/>
    <col min="2309" max="2310" width="7.125" style="341" customWidth="1"/>
    <col min="2311" max="2311" width="7.875" style="341" customWidth="1"/>
    <col min="2312" max="2312" width="9.375" style="341" customWidth="1"/>
    <col min="2313" max="2313" width="10.5" style="341" customWidth="1"/>
    <col min="2314" max="2314" width="8.125" style="341" customWidth="1"/>
    <col min="2315" max="2315" width="9.375" style="341" bestFit="1" customWidth="1"/>
    <col min="2316" max="2316" width="6.125" style="341" bestFit="1" customWidth="1"/>
    <col min="2317" max="2317" width="7.125" style="341" bestFit="1" customWidth="1"/>
    <col min="2318" max="2318" width="9.375" style="341" bestFit="1" customWidth="1"/>
    <col min="2319" max="2319" width="10.125" style="341" customWidth="1"/>
    <col min="2320" max="2320" width="9.375" style="341" customWidth="1"/>
    <col min="2321" max="2321" width="13.5" style="341" bestFit="1" customWidth="1"/>
    <col min="2322" max="2322" width="0.75" style="341" customWidth="1"/>
    <col min="2323" max="2323" width="9.75" style="341" bestFit="1" customWidth="1"/>
    <col min="2324" max="2324" width="9.625" style="341" customWidth="1"/>
    <col min="2325" max="2561" width="9" style="341"/>
    <col min="2562" max="2562" width="1.5" style="341" customWidth="1"/>
    <col min="2563" max="2563" width="13" style="341" customWidth="1"/>
    <col min="2564" max="2564" width="5.125" style="341" customWidth="1"/>
    <col min="2565" max="2566" width="7.125" style="341" customWidth="1"/>
    <col min="2567" max="2567" width="7.875" style="341" customWidth="1"/>
    <col min="2568" max="2568" width="9.375" style="341" customWidth="1"/>
    <col min="2569" max="2569" width="10.5" style="341" customWidth="1"/>
    <col min="2570" max="2570" width="8.125" style="341" customWidth="1"/>
    <col min="2571" max="2571" width="9.375" style="341" bestFit="1" customWidth="1"/>
    <col min="2572" max="2572" width="6.125" style="341" bestFit="1" customWidth="1"/>
    <col min="2573" max="2573" width="7.125" style="341" bestFit="1" customWidth="1"/>
    <col min="2574" max="2574" width="9.375" style="341" bestFit="1" customWidth="1"/>
    <col min="2575" max="2575" width="10.125" style="341" customWidth="1"/>
    <col min="2576" max="2576" width="9.375" style="341" customWidth="1"/>
    <col min="2577" max="2577" width="13.5" style="341" bestFit="1" customWidth="1"/>
    <col min="2578" max="2578" width="0.75" style="341" customWidth="1"/>
    <col min="2579" max="2579" width="9.75" style="341" bestFit="1" customWidth="1"/>
    <col min="2580" max="2580" width="9.625" style="341" customWidth="1"/>
    <col min="2581" max="2817" width="9" style="341"/>
    <col min="2818" max="2818" width="1.5" style="341" customWidth="1"/>
    <col min="2819" max="2819" width="13" style="341" customWidth="1"/>
    <col min="2820" max="2820" width="5.125" style="341" customWidth="1"/>
    <col min="2821" max="2822" width="7.125" style="341" customWidth="1"/>
    <col min="2823" max="2823" width="7.875" style="341" customWidth="1"/>
    <col min="2824" max="2824" width="9.375" style="341" customWidth="1"/>
    <col min="2825" max="2825" width="10.5" style="341" customWidth="1"/>
    <col min="2826" max="2826" width="8.125" style="341" customWidth="1"/>
    <col min="2827" max="2827" width="9.375" style="341" bestFit="1" customWidth="1"/>
    <col min="2828" max="2828" width="6.125" style="341" bestFit="1" customWidth="1"/>
    <col min="2829" max="2829" width="7.125" style="341" bestFit="1" customWidth="1"/>
    <col min="2830" max="2830" width="9.375" style="341" bestFit="1" customWidth="1"/>
    <col min="2831" max="2831" width="10.125" style="341" customWidth="1"/>
    <col min="2832" max="2832" width="9.375" style="341" customWidth="1"/>
    <col min="2833" max="2833" width="13.5" style="341" bestFit="1" customWidth="1"/>
    <col min="2834" max="2834" width="0.75" style="341" customWidth="1"/>
    <col min="2835" max="2835" width="9.75" style="341" bestFit="1" customWidth="1"/>
    <col min="2836" max="2836" width="9.625" style="341" customWidth="1"/>
    <col min="2837" max="3073" width="9" style="341"/>
    <col min="3074" max="3074" width="1.5" style="341" customWidth="1"/>
    <col min="3075" max="3075" width="13" style="341" customWidth="1"/>
    <col min="3076" max="3076" width="5.125" style="341" customWidth="1"/>
    <col min="3077" max="3078" width="7.125" style="341" customWidth="1"/>
    <col min="3079" max="3079" width="7.875" style="341" customWidth="1"/>
    <col min="3080" max="3080" width="9.375" style="341" customWidth="1"/>
    <col min="3081" max="3081" width="10.5" style="341" customWidth="1"/>
    <col min="3082" max="3082" width="8.125" style="341" customWidth="1"/>
    <col min="3083" max="3083" width="9.375" style="341" bestFit="1" customWidth="1"/>
    <col min="3084" max="3084" width="6.125" style="341" bestFit="1" customWidth="1"/>
    <col min="3085" max="3085" width="7.125" style="341" bestFit="1" customWidth="1"/>
    <col min="3086" max="3086" width="9.375" style="341" bestFit="1" customWidth="1"/>
    <col min="3087" max="3087" width="10.125" style="341" customWidth="1"/>
    <col min="3088" max="3088" width="9.375" style="341" customWidth="1"/>
    <col min="3089" max="3089" width="13.5" style="341" bestFit="1" customWidth="1"/>
    <col min="3090" max="3090" width="0.75" style="341" customWidth="1"/>
    <col min="3091" max="3091" width="9.75" style="341" bestFit="1" customWidth="1"/>
    <col min="3092" max="3092" width="9.625" style="341" customWidth="1"/>
    <col min="3093" max="3329" width="9" style="341"/>
    <col min="3330" max="3330" width="1.5" style="341" customWidth="1"/>
    <col min="3331" max="3331" width="13" style="341" customWidth="1"/>
    <col min="3332" max="3332" width="5.125" style="341" customWidth="1"/>
    <col min="3333" max="3334" width="7.125" style="341" customWidth="1"/>
    <col min="3335" max="3335" width="7.875" style="341" customWidth="1"/>
    <col min="3336" max="3336" width="9.375" style="341" customWidth="1"/>
    <col min="3337" max="3337" width="10.5" style="341" customWidth="1"/>
    <col min="3338" max="3338" width="8.125" style="341" customWidth="1"/>
    <col min="3339" max="3339" width="9.375" style="341" bestFit="1" customWidth="1"/>
    <col min="3340" max="3340" width="6.125" style="341" bestFit="1" customWidth="1"/>
    <col min="3341" max="3341" width="7.125" style="341" bestFit="1" customWidth="1"/>
    <col min="3342" max="3342" width="9.375" style="341" bestFit="1" customWidth="1"/>
    <col min="3343" max="3343" width="10.125" style="341" customWidth="1"/>
    <col min="3344" max="3344" width="9.375" style="341" customWidth="1"/>
    <col min="3345" max="3345" width="13.5" style="341" bestFit="1" customWidth="1"/>
    <col min="3346" max="3346" width="0.75" style="341" customWidth="1"/>
    <col min="3347" max="3347" width="9.75" style="341" bestFit="1" customWidth="1"/>
    <col min="3348" max="3348" width="9.625" style="341" customWidth="1"/>
    <col min="3349" max="3585" width="9" style="341"/>
    <col min="3586" max="3586" width="1.5" style="341" customWidth="1"/>
    <col min="3587" max="3587" width="13" style="341" customWidth="1"/>
    <col min="3588" max="3588" width="5.125" style="341" customWidth="1"/>
    <col min="3589" max="3590" width="7.125" style="341" customWidth="1"/>
    <col min="3591" max="3591" width="7.875" style="341" customWidth="1"/>
    <col min="3592" max="3592" width="9.375" style="341" customWidth="1"/>
    <col min="3593" max="3593" width="10.5" style="341" customWidth="1"/>
    <col min="3594" max="3594" width="8.125" style="341" customWidth="1"/>
    <col min="3595" max="3595" width="9.375" style="341" bestFit="1" customWidth="1"/>
    <col min="3596" max="3596" width="6.125" style="341" bestFit="1" customWidth="1"/>
    <col min="3597" max="3597" width="7.125" style="341" bestFit="1" customWidth="1"/>
    <col min="3598" max="3598" width="9.375" style="341" bestFit="1" customWidth="1"/>
    <col min="3599" max="3599" width="10.125" style="341" customWidth="1"/>
    <col min="3600" max="3600" width="9.375" style="341" customWidth="1"/>
    <col min="3601" max="3601" width="13.5" style="341" bestFit="1" customWidth="1"/>
    <col min="3602" max="3602" width="0.75" style="341" customWidth="1"/>
    <col min="3603" max="3603" width="9.75" style="341" bestFit="1" customWidth="1"/>
    <col min="3604" max="3604" width="9.625" style="341" customWidth="1"/>
    <col min="3605" max="3841" width="9" style="341"/>
    <col min="3842" max="3842" width="1.5" style="341" customWidth="1"/>
    <col min="3843" max="3843" width="13" style="341" customWidth="1"/>
    <col min="3844" max="3844" width="5.125" style="341" customWidth="1"/>
    <col min="3845" max="3846" width="7.125" style="341" customWidth="1"/>
    <col min="3847" max="3847" width="7.875" style="341" customWidth="1"/>
    <col min="3848" max="3848" width="9.375" style="341" customWidth="1"/>
    <col min="3849" max="3849" width="10.5" style="341" customWidth="1"/>
    <col min="3850" max="3850" width="8.125" style="341" customWidth="1"/>
    <col min="3851" max="3851" width="9.375" style="341" bestFit="1" customWidth="1"/>
    <col min="3852" max="3852" width="6.125" style="341" bestFit="1" customWidth="1"/>
    <col min="3853" max="3853" width="7.125" style="341" bestFit="1" customWidth="1"/>
    <col min="3854" max="3854" width="9.375" style="341" bestFit="1" customWidth="1"/>
    <col min="3855" max="3855" width="10.125" style="341" customWidth="1"/>
    <col min="3856" max="3856" width="9.375" style="341" customWidth="1"/>
    <col min="3857" max="3857" width="13.5" style="341" bestFit="1" customWidth="1"/>
    <col min="3858" max="3858" width="0.75" style="341" customWidth="1"/>
    <col min="3859" max="3859" width="9.75" style="341" bestFit="1" customWidth="1"/>
    <col min="3860" max="3860" width="9.625" style="341" customWidth="1"/>
    <col min="3861" max="4097" width="9" style="341"/>
    <col min="4098" max="4098" width="1.5" style="341" customWidth="1"/>
    <col min="4099" max="4099" width="13" style="341" customWidth="1"/>
    <col min="4100" max="4100" width="5.125" style="341" customWidth="1"/>
    <col min="4101" max="4102" width="7.125" style="341" customWidth="1"/>
    <col min="4103" max="4103" width="7.875" style="341" customWidth="1"/>
    <col min="4104" max="4104" width="9.375" style="341" customWidth="1"/>
    <col min="4105" max="4105" width="10.5" style="341" customWidth="1"/>
    <col min="4106" max="4106" width="8.125" style="341" customWidth="1"/>
    <col min="4107" max="4107" width="9.375" style="341" bestFit="1" customWidth="1"/>
    <col min="4108" max="4108" width="6.125" style="341" bestFit="1" customWidth="1"/>
    <col min="4109" max="4109" width="7.125" style="341" bestFit="1" customWidth="1"/>
    <col min="4110" max="4110" width="9.375" style="341" bestFit="1" customWidth="1"/>
    <col min="4111" max="4111" width="10.125" style="341" customWidth="1"/>
    <col min="4112" max="4112" width="9.375" style="341" customWidth="1"/>
    <col min="4113" max="4113" width="13.5" style="341" bestFit="1" customWidth="1"/>
    <col min="4114" max="4114" width="0.75" style="341" customWidth="1"/>
    <col min="4115" max="4115" width="9.75" style="341" bestFit="1" customWidth="1"/>
    <col min="4116" max="4116" width="9.625" style="341" customWidth="1"/>
    <col min="4117" max="4353" width="9" style="341"/>
    <col min="4354" max="4354" width="1.5" style="341" customWidth="1"/>
    <col min="4355" max="4355" width="13" style="341" customWidth="1"/>
    <col min="4356" max="4356" width="5.125" style="341" customWidth="1"/>
    <col min="4357" max="4358" width="7.125" style="341" customWidth="1"/>
    <col min="4359" max="4359" width="7.875" style="341" customWidth="1"/>
    <col min="4360" max="4360" width="9.375" style="341" customWidth="1"/>
    <col min="4361" max="4361" width="10.5" style="341" customWidth="1"/>
    <col min="4362" max="4362" width="8.125" style="341" customWidth="1"/>
    <col min="4363" max="4363" width="9.375" style="341" bestFit="1" customWidth="1"/>
    <col min="4364" max="4364" width="6.125" style="341" bestFit="1" customWidth="1"/>
    <col min="4365" max="4365" width="7.125" style="341" bestFit="1" customWidth="1"/>
    <col min="4366" max="4366" width="9.375" style="341" bestFit="1" customWidth="1"/>
    <col min="4367" max="4367" width="10.125" style="341" customWidth="1"/>
    <col min="4368" max="4368" width="9.375" style="341" customWidth="1"/>
    <col min="4369" max="4369" width="13.5" style="341" bestFit="1" customWidth="1"/>
    <col min="4370" max="4370" width="0.75" style="341" customWidth="1"/>
    <col min="4371" max="4371" width="9.75" style="341" bestFit="1" customWidth="1"/>
    <col min="4372" max="4372" width="9.625" style="341" customWidth="1"/>
    <col min="4373" max="4609" width="9" style="341"/>
    <col min="4610" max="4610" width="1.5" style="341" customWidth="1"/>
    <col min="4611" max="4611" width="13" style="341" customWidth="1"/>
    <col min="4612" max="4612" width="5.125" style="341" customWidth="1"/>
    <col min="4613" max="4614" width="7.125" style="341" customWidth="1"/>
    <col min="4615" max="4615" width="7.875" style="341" customWidth="1"/>
    <col min="4616" max="4616" width="9.375" style="341" customWidth="1"/>
    <col min="4617" max="4617" width="10.5" style="341" customWidth="1"/>
    <col min="4618" max="4618" width="8.125" style="341" customWidth="1"/>
    <col min="4619" max="4619" width="9.375" style="341" bestFit="1" customWidth="1"/>
    <col min="4620" max="4620" width="6.125" style="341" bestFit="1" customWidth="1"/>
    <col min="4621" max="4621" width="7.125" style="341" bestFit="1" customWidth="1"/>
    <col min="4622" max="4622" width="9.375" style="341" bestFit="1" customWidth="1"/>
    <col min="4623" max="4623" width="10.125" style="341" customWidth="1"/>
    <col min="4624" max="4624" width="9.375" style="341" customWidth="1"/>
    <col min="4625" max="4625" width="13.5" style="341" bestFit="1" customWidth="1"/>
    <col min="4626" max="4626" width="0.75" style="341" customWidth="1"/>
    <col min="4627" max="4627" width="9.75" style="341" bestFit="1" customWidth="1"/>
    <col min="4628" max="4628" width="9.625" style="341" customWidth="1"/>
    <col min="4629" max="4865" width="9" style="341"/>
    <col min="4866" max="4866" width="1.5" style="341" customWidth="1"/>
    <col min="4867" max="4867" width="13" style="341" customWidth="1"/>
    <col min="4868" max="4868" width="5.125" style="341" customWidth="1"/>
    <col min="4869" max="4870" width="7.125" style="341" customWidth="1"/>
    <col min="4871" max="4871" width="7.875" style="341" customWidth="1"/>
    <col min="4872" max="4872" width="9.375" style="341" customWidth="1"/>
    <col min="4873" max="4873" width="10.5" style="341" customWidth="1"/>
    <col min="4874" max="4874" width="8.125" style="341" customWidth="1"/>
    <col min="4875" max="4875" width="9.375" style="341" bestFit="1" customWidth="1"/>
    <col min="4876" max="4876" width="6.125" style="341" bestFit="1" customWidth="1"/>
    <col min="4877" max="4877" width="7.125" style="341" bestFit="1" customWidth="1"/>
    <col min="4878" max="4878" width="9.375" style="341" bestFit="1" customWidth="1"/>
    <col min="4879" max="4879" width="10.125" style="341" customWidth="1"/>
    <col min="4880" max="4880" width="9.375" style="341" customWidth="1"/>
    <col min="4881" max="4881" width="13.5" style="341" bestFit="1" customWidth="1"/>
    <col min="4882" max="4882" width="0.75" style="341" customWidth="1"/>
    <col min="4883" max="4883" width="9.75" style="341" bestFit="1" customWidth="1"/>
    <col min="4884" max="4884" width="9.625" style="341" customWidth="1"/>
    <col min="4885" max="5121" width="9" style="341"/>
    <col min="5122" max="5122" width="1.5" style="341" customWidth="1"/>
    <col min="5123" max="5123" width="13" style="341" customWidth="1"/>
    <col min="5124" max="5124" width="5.125" style="341" customWidth="1"/>
    <col min="5125" max="5126" width="7.125" style="341" customWidth="1"/>
    <col min="5127" max="5127" width="7.875" style="341" customWidth="1"/>
    <col min="5128" max="5128" width="9.375" style="341" customWidth="1"/>
    <col min="5129" max="5129" width="10.5" style="341" customWidth="1"/>
    <col min="5130" max="5130" width="8.125" style="341" customWidth="1"/>
    <col min="5131" max="5131" width="9.375" style="341" bestFit="1" customWidth="1"/>
    <col min="5132" max="5132" width="6.125" style="341" bestFit="1" customWidth="1"/>
    <col min="5133" max="5133" width="7.125" style="341" bestFit="1" customWidth="1"/>
    <col min="5134" max="5134" width="9.375" style="341" bestFit="1" customWidth="1"/>
    <col min="5135" max="5135" width="10.125" style="341" customWidth="1"/>
    <col min="5136" max="5136" width="9.375" style="341" customWidth="1"/>
    <col min="5137" max="5137" width="13.5" style="341" bestFit="1" customWidth="1"/>
    <col min="5138" max="5138" width="0.75" style="341" customWidth="1"/>
    <col min="5139" max="5139" width="9.75" style="341" bestFit="1" customWidth="1"/>
    <col min="5140" max="5140" width="9.625" style="341" customWidth="1"/>
    <col min="5141" max="5377" width="9" style="341"/>
    <col min="5378" max="5378" width="1.5" style="341" customWidth="1"/>
    <col min="5379" max="5379" width="13" style="341" customWidth="1"/>
    <col min="5380" max="5380" width="5.125" style="341" customWidth="1"/>
    <col min="5381" max="5382" width="7.125" style="341" customWidth="1"/>
    <col min="5383" max="5383" width="7.875" style="341" customWidth="1"/>
    <col min="5384" max="5384" width="9.375" style="341" customWidth="1"/>
    <col min="5385" max="5385" width="10.5" style="341" customWidth="1"/>
    <col min="5386" max="5386" width="8.125" style="341" customWidth="1"/>
    <col min="5387" max="5387" width="9.375" style="341" bestFit="1" customWidth="1"/>
    <col min="5388" max="5388" width="6.125" style="341" bestFit="1" customWidth="1"/>
    <col min="5389" max="5389" width="7.125" style="341" bestFit="1" customWidth="1"/>
    <col min="5390" max="5390" width="9.375" style="341" bestFit="1" customWidth="1"/>
    <col min="5391" max="5391" width="10.125" style="341" customWidth="1"/>
    <col min="5392" max="5392" width="9.375" style="341" customWidth="1"/>
    <col min="5393" max="5393" width="13.5" style="341" bestFit="1" customWidth="1"/>
    <col min="5394" max="5394" width="0.75" style="341" customWidth="1"/>
    <col min="5395" max="5395" width="9.75" style="341" bestFit="1" customWidth="1"/>
    <col min="5396" max="5396" width="9.625" style="341" customWidth="1"/>
    <col min="5397" max="5633" width="9" style="341"/>
    <col min="5634" max="5634" width="1.5" style="341" customWidth="1"/>
    <col min="5635" max="5635" width="13" style="341" customWidth="1"/>
    <col min="5636" max="5636" width="5.125" style="341" customWidth="1"/>
    <col min="5637" max="5638" width="7.125" style="341" customWidth="1"/>
    <col min="5639" max="5639" width="7.875" style="341" customWidth="1"/>
    <col min="5640" max="5640" width="9.375" style="341" customWidth="1"/>
    <col min="5641" max="5641" width="10.5" style="341" customWidth="1"/>
    <col min="5642" max="5642" width="8.125" style="341" customWidth="1"/>
    <col min="5643" max="5643" width="9.375" style="341" bestFit="1" customWidth="1"/>
    <col min="5644" max="5644" width="6.125" style="341" bestFit="1" customWidth="1"/>
    <col min="5645" max="5645" width="7.125" style="341" bestFit="1" customWidth="1"/>
    <col min="5646" max="5646" width="9.375" style="341" bestFit="1" customWidth="1"/>
    <col min="5647" max="5647" width="10.125" style="341" customWidth="1"/>
    <col min="5648" max="5648" width="9.375" style="341" customWidth="1"/>
    <col min="5649" max="5649" width="13.5" style="341" bestFit="1" customWidth="1"/>
    <col min="5650" max="5650" width="0.75" style="341" customWidth="1"/>
    <col min="5651" max="5651" width="9.75" style="341" bestFit="1" customWidth="1"/>
    <col min="5652" max="5652" width="9.625" style="341" customWidth="1"/>
    <col min="5653" max="5889" width="9" style="341"/>
    <col min="5890" max="5890" width="1.5" style="341" customWidth="1"/>
    <col min="5891" max="5891" width="13" style="341" customWidth="1"/>
    <col min="5892" max="5892" width="5.125" style="341" customWidth="1"/>
    <col min="5893" max="5894" width="7.125" style="341" customWidth="1"/>
    <col min="5895" max="5895" width="7.875" style="341" customWidth="1"/>
    <col min="5896" max="5896" width="9.375" style="341" customWidth="1"/>
    <col min="5897" max="5897" width="10.5" style="341" customWidth="1"/>
    <col min="5898" max="5898" width="8.125" style="341" customWidth="1"/>
    <col min="5899" max="5899" width="9.375" style="341" bestFit="1" customWidth="1"/>
    <col min="5900" max="5900" width="6.125" style="341" bestFit="1" customWidth="1"/>
    <col min="5901" max="5901" width="7.125" style="341" bestFit="1" customWidth="1"/>
    <col min="5902" max="5902" width="9.375" style="341" bestFit="1" customWidth="1"/>
    <col min="5903" max="5903" width="10.125" style="341" customWidth="1"/>
    <col min="5904" max="5904" width="9.375" style="341" customWidth="1"/>
    <col min="5905" max="5905" width="13.5" style="341" bestFit="1" customWidth="1"/>
    <col min="5906" max="5906" width="0.75" style="341" customWidth="1"/>
    <col min="5907" max="5907" width="9.75" style="341" bestFit="1" customWidth="1"/>
    <col min="5908" max="5908" width="9.625" style="341" customWidth="1"/>
    <col min="5909" max="6145" width="9" style="341"/>
    <col min="6146" max="6146" width="1.5" style="341" customWidth="1"/>
    <col min="6147" max="6147" width="13" style="341" customWidth="1"/>
    <col min="6148" max="6148" width="5.125" style="341" customWidth="1"/>
    <col min="6149" max="6150" width="7.125" style="341" customWidth="1"/>
    <col min="6151" max="6151" width="7.875" style="341" customWidth="1"/>
    <col min="6152" max="6152" width="9.375" style="341" customWidth="1"/>
    <col min="6153" max="6153" width="10.5" style="341" customWidth="1"/>
    <col min="6154" max="6154" width="8.125" style="341" customWidth="1"/>
    <col min="6155" max="6155" width="9.375" style="341" bestFit="1" customWidth="1"/>
    <col min="6156" max="6156" width="6.125" style="341" bestFit="1" customWidth="1"/>
    <col min="6157" max="6157" width="7.125" style="341" bestFit="1" customWidth="1"/>
    <col min="6158" max="6158" width="9.375" style="341" bestFit="1" customWidth="1"/>
    <col min="6159" max="6159" width="10.125" style="341" customWidth="1"/>
    <col min="6160" max="6160" width="9.375" style="341" customWidth="1"/>
    <col min="6161" max="6161" width="13.5" style="341" bestFit="1" customWidth="1"/>
    <col min="6162" max="6162" width="0.75" style="341" customWidth="1"/>
    <col min="6163" max="6163" width="9.75" style="341" bestFit="1" customWidth="1"/>
    <col min="6164" max="6164" width="9.625" style="341" customWidth="1"/>
    <col min="6165" max="6401" width="9" style="341"/>
    <col min="6402" max="6402" width="1.5" style="341" customWidth="1"/>
    <col min="6403" max="6403" width="13" style="341" customWidth="1"/>
    <col min="6404" max="6404" width="5.125" style="341" customWidth="1"/>
    <col min="6405" max="6406" width="7.125" style="341" customWidth="1"/>
    <col min="6407" max="6407" width="7.875" style="341" customWidth="1"/>
    <col min="6408" max="6408" width="9.375" style="341" customWidth="1"/>
    <col min="6409" max="6409" width="10.5" style="341" customWidth="1"/>
    <col min="6410" max="6410" width="8.125" style="341" customWidth="1"/>
    <col min="6411" max="6411" width="9.375" style="341" bestFit="1" customWidth="1"/>
    <col min="6412" max="6412" width="6.125" style="341" bestFit="1" customWidth="1"/>
    <col min="6413" max="6413" width="7.125" style="341" bestFit="1" customWidth="1"/>
    <col min="6414" max="6414" width="9.375" style="341" bestFit="1" customWidth="1"/>
    <col min="6415" max="6415" width="10.125" style="341" customWidth="1"/>
    <col min="6416" max="6416" width="9.375" style="341" customWidth="1"/>
    <col min="6417" max="6417" width="13.5" style="341" bestFit="1" customWidth="1"/>
    <col min="6418" max="6418" width="0.75" style="341" customWidth="1"/>
    <col min="6419" max="6419" width="9.75" style="341" bestFit="1" customWidth="1"/>
    <col min="6420" max="6420" width="9.625" style="341" customWidth="1"/>
    <col min="6421" max="6657" width="9" style="341"/>
    <col min="6658" max="6658" width="1.5" style="341" customWidth="1"/>
    <col min="6659" max="6659" width="13" style="341" customWidth="1"/>
    <col min="6660" max="6660" width="5.125" style="341" customWidth="1"/>
    <col min="6661" max="6662" width="7.125" style="341" customWidth="1"/>
    <col min="6663" max="6663" width="7.875" style="341" customWidth="1"/>
    <col min="6664" max="6664" width="9.375" style="341" customWidth="1"/>
    <col min="6665" max="6665" width="10.5" style="341" customWidth="1"/>
    <col min="6666" max="6666" width="8.125" style="341" customWidth="1"/>
    <col min="6667" max="6667" width="9.375" style="341" bestFit="1" customWidth="1"/>
    <col min="6668" max="6668" width="6.125" style="341" bestFit="1" customWidth="1"/>
    <col min="6669" max="6669" width="7.125" style="341" bestFit="1" customWidth="1"/>
    <col min="6670" max="6670" width="9.375" style="341" bestFit="1" customWidth="1"/>
    <col min="6671" max="6671" width="10.125" style="341" customWidth="1"/>
    <col min="6672" max="6672" width="9.375" style="341" customWidth="1"/>
    <col min="6673" max="6673" width="13.5" style="341" bestFit="1" customWidth="1"/>
    <col min="6674" max="6674" width="0.75" style="341" customWidth="1"/>
    <col min="6675" max="6675" width="9.75" style="341" bestFit="1" customWidth="1"/>
    <col min="6676" max="6676" width="9.625" style="341" customWidth="1"/>
    <col min="6677" max="6913" width="9" style="341"/>
    <col min="6914" max="6914" width="1.5" style="341" customWidth="1"/>
    <col min="6915" max="6915" width="13" style="341" customWidth="1"/>
    <col min="6916" max="6916" width="5.125" style="341" customWidth="1"/>
    <col min="6917" max="6918" width="7.125" style="341" customWidth="1"/>
    <col min="6919" max="6919" width="7.875" style="341" customWidth="1"/>
    <col min="6920" max="6920" width="9.375" style="341" customWidth="1"/>
    <col min="6921" max="6921" width="10.5" style="341" customWidth="1"/>
    <col min="6922" max="6922" width="8.125" style="341" customWidth="1"/>
    <col min="6923" max="6923" width="9.375" style="341" bestFit="1" customWidth="1"/>
    <col min="6924" max="6924" width="6.125" style="341" bestFit="1" customWidth="1"/>
    <col min="6925" max="6925" width="7.125" style="341" bestFit="1" customWidth="1"/>
    <col min="6926" max="6926" width="9.375" style="341" bestFit="1" customWidth="1"/>
    <col min="6927" max="6927" width="10.125" style="341" customWidth="1"/>
    <col min="6928" max="6928" width="9.375" style="341" customWidth="1"/>
    <col min="6929" max="6929" width="13.5" style="341" bestFit="1" customWidth="1"/>
    <col min="6930" max="6930" width="0.75" style="341" customWidth="1"/>
    <col min="6931" max="6931" width="9.75" style="341" bestFit="1" customWidth="1"/>
    <col min="6932" max="6932" width="9.625" style="341" customWidth="1"/>
    <col min="6933" max="7169" width="9" style="341"/>
    <col min="7170" max="7170" width="1.5" style="341" customWidth="1"/>
    <col min="7171" max="7171" width="13" style="341" customWidth="1"/>
    <col min="7172" max="7172" width="5.125" style="341" customWidth="1"/>
    <col min="7173" max="7174" width="7.125" style="341" customWidth="1"/>
    <col min="7175" max="7175" width="7.875" style="341" customWidth="1"/>
    <col min="7176" max="7176" width="9.375" style="341" customWidth="1"/>
    <col min="7177" max="7177" width="10.5" style="341" customWidth="1"/>
    <col min="7178" max="7178" width="8.125" style="341" customWidth="1"/>
    <col min="7179" max="7179" width="9.375" style="341" bestFit="1" customWidth="1"/>
    <col min="7180" max="7180" width="6.125" style="341" bestFit="1" customWidth="1"/>
    <col min="7181" max="7181" width="7.125" style="341" bestFit="1" customWidth="1"/>
    <col min="7182" max="7182" width="9.375" style="341" bestFit="1" customWidth="1"/>
    <col min="7183" max="7183" width="10.125" style="341" customWidth="1"/>
    <col min="7184" max="7184" width="9.375" style="341" customWidth="1"/>
    <col min="7185" max="7185" width="13.5" style="341" bestFit="1" customWidth="1"/>
    <col min="7186" max="7186" width="0.75" style="341" customWidth="1"/>
    <col min="7187" max="7187" width="9.75" style="341" bestFit="1" customWidth="1"/>
    <col min="7188" max="7188" width="9.625" style="341" customWidth="1"/>
    <col min="7189" max="7425" width="9" style="341"/>
    <col min="7426" max="7426" width="1.5" style="341" customWidth="1"/>
    <col min="7427" max="7427" width="13" style="341" customWidth="1"/>
    <col min="7428" max="7428" width="5.125" style="341" customWidth="1"/>
    <col min="7429" max="7430" width="7.125" style="341" customWidth="1"/>
    <col min="7431" max="7431" width="7.875" style="341" customWidth="1"/>
    <col min="7432" max="7432" width="9.375" style="341" customWidth="1"/>
    <col min="7433" max="7433" width="10.5" style="341" customWidth="1"/>
    <col min="7434" max="7434" width="8.125" style="341" customWidth="1"/>
    <col min="7435" max="7435" width="9.375" style="341" bestFit="1" customWidth="1"/>
    <col min="7436" max="7436" width="6.125" style="341" bestFit="1" customWidth="1"/>
    <col min="7437" max="7437" width="7.125" style="341" bestFit="1" customWidth="1"/>
    <col min="7438" max="7438" width="9.375" style="341" bestFit="1" customWidth="1"/>
    <col min="7439" max="7439" width="10.125" style="341" customWidth="1"/>
    <col min="7440" max="7440" width="9.375" style="341" customWidth="1"/>
    <col min="7441" max="7441" width="13.5" style="341" bestFit="1" customWidth="1"/>
    <col min="7442" max="7442" width="0.75" style="341" customWidth="1"/>
    <col min="7443" max="7443" width="9.75" style="341" bestFit="1" customWidth="1"/>
    <col min="7444" max="7444" width="9.625" style="341" customWidth="1"/>
    <col min="7445" max="7681" width="9" style="341"/>
    <col min="7682" max="7682" width="1.5" style="341" customWidth="1"/>
    <col min="7683" max="7683" width="13" style="341" customWidth="1"/>
    <col min="7684" max="7684" width="5.125" style="341" customWidth="1"/>
    <col min="7685" max="7686" width="7.125" style="341" customWidth="1"/>
    <col min="7687" max="7687" width="7.875" style="341" customWidth="1"/>
    <col min="7688" max="7688" width="9.375" style="341" customWidth="1"/>
    <col min="7689" max="7689" width="10.5" style="341" customWidth="1"/>
    <col min="7690" max="7690" width="8.125" style="341" customWidth="1"/>
    <col min="7691" max="7691" width="9.375" style="341" bestFit="1" customWidth="1"/>
    <col min="7692" max="7692" width="6.125" style="341" bestFit="1" customWidth="1"/>
    <col min="7693" max="7693" width="7.125" style="341" bestFit="1" customWidth="1"/>
    <col min="7694" max="7694" width="9.375" style="341" bestFit="1" customWidth="1"/>
    <col min="7695" max="7695" width="10.125" style="341" customWidth="1"/>
    <col min="7696" max="7696" width="9.375" style="341" customWidth="1"/>
    <col min="7697" max="7697" width="13.5" style="341" bestFit="1" customWidth="1"/>
    <col min="7698" max="7698" width="0.75" style="341" customWidth="1"/>
    <col min="7699" max="7699" width="9.75" style="341" bestFit="1" customWidth="1"/>
    <col min="7700" max="7700" width="9.625" style="341" customWidth="1"/>
    <col min="7701" max="7937" width="9" style="341"/>
    <col min="7938" max="7938" width="1.5" style="341" customWidth="1"/>
    <col min="7939" max="7939" width="13" style="341" customWidth="1"/>
    <col min="7940" max="7940" width="5.125" style="341" customWidth="1"/>
    <col min="7941" max="7942" width="7.125" style="341" customWidth="1"/>
    <col min="7943" max="7943" width="7.875" style="341" customWidth="1"/>
    <col min="7944" max="7944" width="9.375" style="341" customWidth="1"/>
    <col min="7945" max="7945" width="10.5" style="341" customWidth="1"/>
    <col min="7946" max="7946" width="8.125" style="341" customWidth="1"/>
    <col min="7947" max="7947" width="9.375" style="341" bestFit="1" customWidth="1"/>
    <col min="7948" max="7948" width="6.125" style="341" bestFit="1" customWidth="1"/>
    <col min="7949" max="7949" width="7.125" style="341" bestFit="1" customWidth="1"/>
    <col min="7950" max="7950" width="9.375" style="341" bestFit="1" customWidth="1"/>
    <col min="7951" max="7951" width="10.125" style="341" customWidth="1"/>
    <col min="7952" max="7952" width="9.375" style="341" customWidth="1"/>
    <col min="7953" max="7953" width="13.5" style="341" bestFit="1" customWidth="1"/>
    <col min="7954" max="7954" width="0.75" style="341" customWidth="1"/>
    <col min="7955" max="7955" width="9.75" style="341" bestFit="1" customWidth="1"/>
    <col min="7956" max="7956" width="9.625" style="341" customWidth="1"/>
    <col min="7957" max="8193" width="9" style="341"/>
    <col min="8194" max="8194" width="1.5" style="341" customWidth="1"/>
    <col min="8195" max="8195" width="13" style="341" customWidth="1"/>
    <col min="8196" max="8196" width="5.125" style="341" customWidth="1"/>
    <col min="8197" max="8198" width="7.125" style="341" customWidth="1"/>
    <col min="8199" max="8199" width="7.875" style="341" customWidth="1"/>
    <col min="8200" max="8200" width="9.375" style="341" customWidth="1"/>
    <col min="8201" max="8201" width="10.5" style="341" customWidth="1"/>
    <col min="8202" max="8202" width="8.125" style="341" customWidth="1"/>
    <col min="8203" max="8203" width="9.375" style="341" bestFit="1" customWidth="1"/>
    <col min="8204" max="8204" width="6.125" style="341" bestFit="1" customWidth="1"/>
    <col min="8205" max="8205" width="7.125" style="341" bestFit="1" customWidth="1"/>
    <col min="8206" max="8206" width="9.375" style="341" bestFit="1" customWidth="1"/>
    <col min="8207" max="8207" width="10.125" style="341" customWidth="1"/>
    <col min="8208" max="8208" width="9.375" style="341" customWidth="1"/>
    <col min="8209" max="8209" width="13.5" style="341" bestFit="1" customWidth="1"/>
    <col min="8210" max="8210" width="0.75" style="341" customWidth="1"/>
    <col min="8211" max="8211" width="9.75" style="341" bestFit="1" customWidth="1"/>
    <col min="8212" max="8212" width="9.625" style="341" customWidth="1"/>
    <col min="8213" max="8449" width="9" style="341"/>
    <col min="8450" max="8450" width="1.5" style="341" customWidth="1"/>
    <col min="8451" max="8451" width="13" style="341" customWidth="1"/>
    <col min="8452" max="8452" width="5.125" style="341" customWidth="1"/>
    <col min="8453" max="8454" width="7.125" style="341" customWidth="1"/>
    <col min="8455" max="8455" width="7.875" style="341" customWidth="1"/>
    <col min="8456" max="8456" width="9.375" style="341" customWidth="1"/>
    <col min="8457" max="8457" width="10.5" style="341" customWidth="1"/>
    <col min="8458" max="8458" width="8.125" style="341" customWidth="1"/>
    <col min="8459" max="8459" width="9.375" style="341" bestFit="1" customWidth="1"/>
    <col min="8460" max="8460" width="6.125" style="341" bestFit="1" customWidth="1"/>
    <col min="8461" max="8461" width="7.125" style="341" bestFit="1" customWidth="1"/>
    <col min="8462" max="8462" width="9.375" style="341" bestFit="1" customWidth="1"/>
    <col min="8463" max="8463" width="10.125" style="341" customWidth="1"/>
    <col min="8464" max="8464" width="9.375" style="341" customWidth="1"/>
    <col min="8465" max="8465" width="13.5" style="341" bestFit="1" customWidth="1"/>
    <col min="8466" max="8466" width="0.75" style="341" customWidth="1"/>
    <col min="8467" max="8467" width="9.75" style="341" bestFit="1" customWidth="1"/>
    <col min="8468" max="8468" width="9.625" style="341" customWidth="1"/>
    <col min="8469" max="8705" width="9" style="341"/>
    <col min="8706" max="8706" width="1.5" style="341" customWidth="1"/>
    <col min="8707" max="8707" width="13" style="341" customWidth="1"/>
    <col min="8708" max="8708" width="5.125" style="341" customWidth="1"/>
    <col min="8709" max="8710" width="7.125" style="341" customWidth="1"/>
    <col min="8711" max="8711" width="7.875" style="341" customWidth="1"/>
    <col min="8712" max="8712" width="9.375" style="341" customWidth="1"/>
    <col min="8713" max="8713" width="10.5" style="341" customWidth="1"/>
    <col min="8714" max="8714" width="8.125" style="341" customWidth="1"/>
    <col min="8715" max="8715" width="9.375" style="341" bestFit="1" customWidth="1"/>
    <col min="8716" max="8716" width="6.125" style="341" bestFit="1" customWidth="1"/>
    <col min="8717" max="8717" width="7.125" style="341" bestFit="1" customWidth="1"/>
    <col min="8718" max="8718" width="9.375" style="341" bestFit="1" customWidth="1"/>
    <col min="8719" max="8719" width="10.125" style="341" customWidth="1"/>
    <col min="8720" max="8720" width="9.375" style="341" customWidth="1"/>
    <col min="8721" max="8721" width="13.5" style="341" bestFit="1" customWidth="1"/>
    <col min="8722" max="8722" width="0.75" style="341" customWidth="1"/>
    <col min="8723" max="8723" width="9.75" style="341" bestFit="1" customWidth="1"/>
    <col min="8724" max="8724" width="9.625" style="341" customWidth="1"/>
    <col min="8725" max="8961" width="9" style="341"/>
    <col min="8962" max="8962" width="1.5" style="341" customWidth="1"/>
    <col min="8963" max="8963" width="13" style="341" customWidth="1"/>
    <col min="8964" max="8964" width="5.125" style="341" customWidth="1"/>
    <col min="8965" max="8966" width="7.125" style="341" customWidth="1"/>
    <col min="8967" max="8967" width="7.875" style="341" customWidth="1"/>
    <col min="8968" max="8968" width="9.375" style="341" customWidth="1"/>
    <col min="8969" max="8969" width="10.5" style="341" customWidth="1"/>
    <col min="8970" max="8970" width="8.125" style="341" customWidth="1"/>
    <col min="8971" max="8971" width="9.375" style="341" bestFit="1" customWidth="1"/>
    <col min="8972" max="8972" width="6.125" style="341" bestFit="1" customWidth="1"/>
    <col min="8973" max="8973" width="7.125" style="341" bestFit="1" customWidth="1"/>
    <col min="8974" max="8974" width="9.375" style="341" bestFit="1" customWidth="1"/>
    <col min="8975" max="8975" width="10.125" style="341" customWidth="1"/>
    <col min="8976" max="8976" width="9.375" style="341" customWidth="1"/>
    <col min="8977" max="8977" width="13.5" style="341" bestFit="1" customWidth="1"/>
    <col min="8978" max="8978" width="0.75" style="341" customWidth="1"/>
    <col min="8979" max="8979" width="9.75" style="341" bestFit="1" customWidth="1"/>
    <col min="8980" max="8980" width="9.625" style="341" customWidth="1"/>
    <col min="8981" max="9217" width="9" style="341"/>
    <col min="9218" max="9218" width="1.5" style="341" customWidth="1"/>
    <col min="9219" max="9219" width="13" style="341" customWidth="1"/>
    <col min="9220" max="9220" width="5.125" style="341" customWidth="1"/>
    <col min="9221" max="9222" width="7.125" style="341" customWidth="1"/>
    <col min="9223" max="9223" width="7.875" style="341" customWidth="1"/>
    <col min="9224" max="9224" width="9.375" style="341" customWidth="1"/>
    <col min="9225" max="9225" width="10.5" style="341" customWidth="1"/>
    <col min="9226" max="9226" width="8.125" style="341" customWidth="1"/>
    <col min="9227" max="9227" width="9.375" style="341" bestFit="1" customWidth="1"/>
    <col min="9228" max="9228" width="6.125" style="341" bestFit="1" customWidth="1"/>
    <col min="9229" max="9229" width="7.125" style="341" bestFit="1" customWidth="1"/>
    <col min="9230" max="9230" width="9.375" style="341" bestFit="1" customWidth="1"/>
    <col min="9231" max="9231" width="10.125" style="341" customWidth="1"/>
    <col min="9232" max="9232" width="9.375" style="341" customWidth="1"/>
    <col min="9233" max="9233" width="13.5" style="341" bestFit="1" customWidth="1"/>
    <col min="9234" max="9234" width="0.75" style="341" customWidth="1"/>
    <col min="9235" max="9235" width="9.75" style="341" bestFit="1" customWidth="1"/>
    <col min="9236" max="9236" width="9.625" style="341" customWidth="1"/>
    <col min="9237" max="9473" width="9" style="341"/>
    <col min="9474" max="9474" width="1.5" style="341" customWidth="1"/>
    <col min="9475" max="9475" width="13" style="341" customWidth="1"/>
    <col min="9476" max="9476" width="5.125" style="341" customWidth="1"/>
    <col min="9477" max="9478" width="7.125" style="341" customWidth="1"/>
    <col min="9479" max="9479" width="7.875" style="341" customWidth="1"/>
    <col min="9480" max="9480" width="9.375" style="341" customWidth="1"/>
    <col min="9481" max="9481" width="10.5" style="341" customWidth="1"/>
    <col min="9482" max="9482" width="8.125" style="341" customWidth="1"/>
    <col min="9483" max="9483" width="9.375" style="341" bestFit="1" customWidth="1"/>
    <col min="9484" max="9484" width="6.125" style="341" bestFit="1" customWidth="1"/>
    <col min="9485" max="9485" width="7.125" style="341" bestFit="1" customWidth="1"/>
    <col min="9486" max="9486" width="9.375" style="341" bestFit="1" customWidth="1"/>
    <col min="9487" max="9487" width="10.125" style="341" customWidth="1"/>
    <col min="9488" max="9488" width="9.375" style="341" customWidth="1"/>
    <col min="9489" max="9489" width="13.5" style="341" bestFit="1" customWidth="1"/>
    <col min="9490" max="9490" width="0.75" style="341" customWidth="1"/>
    <col min="9491" max="9491" width="9.75" style="341" bestFit="1" customWidth="1"/>
    <col min="9492" max="9492" width="9.625" style="341" customWidth="1"/>
    <col min="9493" max="9729" width="9" style="341"/>
    <col min="9730" max="9730" width="1.5" style="341" customWidth="1"/>
    <col min="9731" max="9731" width="13" style="341" customWidth="1"/>
    <col min="9732" max="9732" width="5.125" style="341" customWidth="1"/>
    <col min="9733" max="9734" width="7.125" style="341" customWidth="1"/>
    <col min="9735" max="9735" width="7.875" style="341" customWidth="1"/>
    <col min="9736" max="9736" width="9.375" style="341" customWidth="1"/>
    <col min="9737" max="9737" width="10.5" style="341" customWidth="1"/>
    <col min="9738" max="9738" width="8.125" style="341" customWidth="1"/>
    <col min="9739" max="9739" width="9.375" style="341" bestFit="1" customWidth="1"/>
    <col min="9740" max="9740" width="6.125" style="341" bestFit="1" customWidth="1"/>
    <col min="9741" max="9741" width="7.125" style="341" bestFit="1" customWidth="1"/>
    <col min="9742" max="9742" width="9.375" style="341" bestFit="1" customWidth="1"/>
    <col min="9743" max="9743" width="10.125" style="341" customWidth="1"/>
    <col min="9744" max="9744" width="9.375" style="341" customWidth="1"/>
    <col min="9745" max="9745" width="13.5" style="341" bestFit="1" customWidth="1"/>
    <col min="9746" max="9746" width="0.75" style="341" customWidth="1"/>
    <col min="9747" max="9747" width="9.75" style="341" bestFit="1" customWidth="1"/>
    <col min="9748" max="9748" width="9.625" style="341" customWidth="1"/>
    <col min="9749" max="9985" width="9" style="341"/>
    <col min="9986" max="9986" width="1.5" style="341" customWidth="1"/>
    <col min="9987" max="9987" width="13" style="341" customWidth="1"/>
    <col min="9988" max="9988" width="5.125" style="341" customWidth="1"/>
    <col min="9989" max="9990" width="7.125" style="341" customWidth="1"/>
    <col min="9991" max="9991" width="7.875" style="341" customWidth="1"/>
    <col min="9992" max="9992" width="9.375" style="341" customWidth="1"/>
    <col min="9993" max="9993" width="10.5" style="341" customWidth="1"/>
    <col min="9994" max="9994" width="8.125" style="341" customWidth="1"/>
    <col min="9995" max="9995" width="9.375" style="341" bestFit="1" customWidth="1"/>
    <col min="9996" max="9996" width="6.125" style="341" bestFit="1" customWidth="1"/>
    <col min="9997" max="9997" width="7.125" style="341" bestFit="1" customWidth="1"/>
    <col min="9998" max="9998" width="9.375" style="341" bestFit="1" customWidth="1"/>
    <col min="9999" max="9999" width="10.125" style="341" customWidth="1"/>
    <col min="10000" max="10000" width="9.375" style="341" customWidth="1"/>
    <col min="10001" max="10001" width="13.5" style="341" bestFit="1" customWidth="1"/>
    <col min="10002" max="10002" width="0.75" style="341" customWidth="1"/>
    <col min="10003" max="10003" width="9.75" style="341" bestFit="1" customWidth="1"/>
    <col min="10004" max="10004" width="9.625" style="341" customWidth="1"/>
    <col min="10005" max="10241" width="9" style="341"/>
    <col min="10242" max="10242" width="1.5" style="341" customWidth="1"/>
    <col min="10243" max="10243" width="13" style="341" customWidth="1"/>
    <col min="10244" max="10244" width="5.125" style="341" customWidth="1"/>
    <col min="10245" max="10246" width="7.125" style="341" customWidth="1"/>
    <col min="10247" max="10247" width="7.875" style="341" customWidth="1"/>
    <col min="10248" max="10248" width="9.375" style="341" customWidth="1"/>
    <col min="10249" max="10249" width="10.5" style="341" customWidth="1"/>
    <col min="10250" max="10250" width="8.125" style="341" customWidth="1"/>
    <col min="10251" max="10251" width="9.375" style="341" bestFit="1" customWidth="1"/>
    <col min="10252" max="10252" width="6.125" style="341" bestFit="1" customWidth="1"/>
    <col min="10253" max="10253" width="7.125" style="341" bestFit="1" customWidth="1"/>
    <col min="10254" max="10254" width="9.375" style="341" bestFit="1" customWidth="1"/>
    <col min="10255" max="10255" width="10.125" style="341" customWidth="1"/>
    <col min="10256" max="10256" width="9.375" style="341" customWidth="1"/>
    <col min="10257" max="10257" width="13.5" style="341" bestFit="1" customWidth="1"/>
    <col min="10258" max="10258" width="0.75" style="341" customWidth="1"/>
    <col min="10259" max="10259" width="9.75" style="341" bestFit="1" customWidth="1"/>
    <col min="10260" max="10260" width="9.625" style="341" customWidth="1"/>
    <col min="10261" max="10497" width="9" style="341"/>
    <col min="10498" max="10498" width="1.5" style="341" customWidth="1"/>
    <col min="10499" max="10499" width="13" style="341" customWidth="1"/>
    <col min="10500" max="10500" width="5.125" style="341" customWidth="1"/>
    <col min="10501" max="10502" width="7.125" style="341" customWidth="1"/>
    <col min="10503" max="10503" width="7.875" style="341" customWidth="1"/>
    <col min="10504" max="10504" width="9.375" style="341" customWidth="1"/>
    <col min="10505" max="10505" width="10.5" style="341" customWidth="1"/>
    <col min="10506" max="10506" width="8.125" style="341" customWidth="1"/>
    <col min="10507" max="10507" width="9.375" style="341" bestFit="1" customWidth="1"/>
    <col min="10508" max="10508" width="6.125" style="341" bestFit="1" customWidth="1"/>
    <col min="10509" max="10509" width="7.125" style="341" bestFit="1" customWidth="1"/>
    <col min="10510" max="10510" width="9.375" style="341" bestFit="1" customWidth="1"/>
    <col min="10511" max="10511" width="10.125" style="341" customWidth="1"/>
    <col min="10512" max="10512" width="9.375" style="341" customWidth="1"/>
    <col min="10513" max="10513" width="13.5" style="341" bestFit="1" customWidth="1"/>
    <col min="10514" max="10514" width="0.75" style="341" customWidth="1"/>
    <col min="10515" max="10515" width="9.75" style="341" bestFit="1" customWidth="1"/>
    <col min="10516" max="10516" width="9.625" style="341" customWidth="1"/>
    <col min="10517" max="10753" width="9" style="341"/>
    <col min="10754" max="10754" width="1.5" style="341" customWidth="1"/>
    <col min="10755" max="10755" width="13" style="341" customWidth="1"/>
    <col min="10756" max="10756" width="5.125" style="341" customWidth="1"/>
    <col min="10757" max="10758" width="7.125" style="341" customWidth="1"/>
    <col min="10759" max="10759" width="7.875" style="341" customWidth="1"/>
    <col min="10760" max="10760" width="9.375" style="341" customWidth="1"/>
    <col min="10761" max="10761" width="10.5" style="341" customWidth="1"/>
    <col min="10762" max="10762" width="8.125" style="341" customWidth="1"/>
    <col min="10763" max="10763" width="9.375" style="341" bestFit="1" customWidth="1"/>
    <col min="10764" max="10764" width="6.125" style="341" bestFit="1" customWidth="1"/>
    <col min="10765" max="10765" width="7.125" style="341" bestFit="1" customWidth="1"/>
    <col min="10766" max="10766" width="9.375" style="341" bestFit="1" customWidth="1"/>
    <col min="10767" max="10767" width="10.125" style="341" customWidth="1"/>
    <col min="10768" max="10768" width="9.375" style="341" customWidth="1"/>
    <col min="10769" max="10769" width="13.5" style="341" bestFit="1" customWidth="1"/>
    <col min="10770" max="10770" width="0.75" style="341" customWidth="1"/>
    <col min="10771" max="10771" width="9.75" style="341" bestFit="1" customWidth="1"/>
    <col min="10772" max="10772" width="9.625" style="341" customWidth="1"/>
    <col min="10773" max="11009" width="9" style="341"/>
    <col min="11010" max="11010" width="1.5" style="341" customWidth="1"/>
    <col min="11011" max="11011" width="13" style="341" customWidth="1"/>
    <col min="11012" max="11012" width="5.125" style="341" customWidth="1"/>
    <col min="11013" max="11014" width="7.125" style="341" customWidth="1"/>
    <col min="11015" max="11015" width="7.875" style="341" customWidth="1"/>
    <col min="11016" max="11016" width="9.375" style="341" customWidth="1"/>
    <col min="11017" max="11017" width="10.5" style="341" customWidth="1"/>
    <col min="11018" max="11018" width="8.125" style="341" customWidth="1"/>
    <col min="11019" max="11019" width="9.375" style="341" bestFit="1" customWidth="1"/>
    <col min="11020" max="11020" width="6.125" style="341" bestFit="1" customWidth="1"/>
    <col min="11021" max="11021" width="7.125" style="341" bestFit="1" customWidth="1"/>
    <col min="11022" max="11022" width="9.375" style="341" bestFit="1" customWidth="1"/>
    <col min="11023" max="11023" width="10.125" style="341" customWidth="1"/>
    <col min="11024" max="11024" width="9.375" style="341" customWidth="1"/>
    <col min="11025" max="11025" width="13.5" style="341" bestFit="1" customWidth="1"/>
    <col min="11026" max="11026" width="0.75" style="341" customWidth="1"/>
    <col min="11027" max="11027" width="9.75" style="341" bestFit="1" customWidth="1"/>
    <col min="11028" max="11028" width="9.625" style="341" customWidth="1"/>
    <col min="11029" max="11265" width="9" style="341"/>
    <col min="11266" max="11266" width="1.5" style="341" customWidth="1"/>
    <col min="11267" max="11267" width="13" style="341" customWidth="1"/>
    <col min="11268" max="11268" width="5.125" style="341" customWidth="1"/>
    <col min="11269" max="11270" width="7.125" style="341" customWidth="1"/>
    <col min="11271" max="11271" width="7.875" style="341" customWidth="1"/>
    <col min="11272" max="11272" width="9.375" style="341" customWidth="1"/>
    <col min="11273" max="11273" width="10.5" style="341" customWidth="1"/>
    <col min="11274" max="11274" width="8.125" style="341" customWidth="1"/>
    <col min="11275" max="11275" width="9.375" style="341" bestFit="1" customWidth="1"/>
    <col min="11276" max="11276" width="6.125" style="341" bestFit="1" customWidth="1"/>
    <col min="11277" max="11277" width="7.125" style="341" bestFit="1" customWidth="1"/>
    <col min="11278" max="11278" width="9.375" style="341" bestFit="1" customWidth="1"/>
    <col min="11279" max="11279" width="10.125" style="341" customWidth="1"/>
    <col min="11280" max="11280" width="9.375" style="341" customWidth="1"/>
    <col min="11281" max="11281" width="13.5" style="341" bestFit="1" customWidth="1"/>
    <col min="11282" max="11282" width="0.75" style="341" customWidth="1"/>
    <col min="11283" max="11283" width="9.75" style="341" bestFit="1" customWidth="1"/>
    <col min="11284" max="11284" width="9.625" style="341" customWidth="1"/>
    <col min="11285" max="11521" width="9" style="341"/>
    <col min="11522" max="11522" width="1.5" style="341" customWidth="1"/>
    <col min="11523" max="11523" width="13" style="341" customWidth="1"/>
    <col min="11524" max="11524" width="5.125" style="341" customWidth="1"/>
    <col min="11525" max="11526" width="7.125" style="341" customWidth="1"/>
    <col min="11527" max="11527" width="7.875" style="341" customWidth="1"/>
    <col min="11528" max="11528" width="9.375" style="341" customWidth="1"/>
    <col min="11529" max="11529" width="10.5" style="341" customWidth="1"/>
    <col min="11530" max="11530" width="8.125" style="341" customWidth="1"/>
    <col min="11531" max="11531" width="9.375" style="341" bestFit="1" customWidth="1"/>
    <col min="11532" max="11532" width="6.125" style="341" bestFit="1" customWidth="1"/>
    <col min="11533" max="11533" width="7.125" style="341" bestFit="1" customWidth="1"/>
    <col min="11534" max="11534" width="9.375" style="341" bestFit="1" customWidth="1"/>
    <col min="11535" max="11535" width="10.125" style="341" customWidth="1"/>
    <col min="11536" max="11536" width="9.375" style="341" customWidth="1"/>
    <col min="11537" max="11537" width="13.5" style="341" bestFit="1" customWidth="1"/>
    <col min="11538" max="11538" width="0.75" style="341" customWidth="1"/>
    <col min="11539" max="11539" width="9.75" style="341" bestFit="1" customWidth="1"/>
    <col min="11540" max="11540" width="9.625" style="341" customWidth="1"/>
    <col min="11541" max="11777" width="9" style="341"/>
    <col min="11778" max="11778" width="1.5" style="341" customWidth="1"/>
    <col min="11779" max="11779" width="13" style="341" customWidth="1"/>
    <col min="11780" max="11780" width="5.125" style="341" customWidth="1"/>
    <col min="11781" max="11782" width="7.125" style="341" customWidth="1"/>
    <col min="11783" max="11783" width="7.875" style="341" customWidth="1"/>
    <col min="11784" max="11784" width="9.375" style="341" customWidth="1"/>
    <col min="11785" max="11785" width="10.5" style="341" customWidth="1"/>
    <col min="11786" max="11786" width="8.125" style="341" customWidth="1"/>
    <col min="11787" max="11787" width="9.375" style="341" bestFit="1" customWidth="1"/>
    <col min="11788" max="11788" width="6.125" style="341" bestFit="1" customWidth="1"/>
    <col min="11789" max="11789" width="7.125" style="341" bestFit="1" customWidth="1"/>
    <col min="11790" max="11790" width="9.375" style="341" bestFit="1" customWidth="1"/>
    <col min="11791" max="11791" width="10.125" style="341" customWidth="1"/>
    <col min="11792" max="11792" width="9.375" style="341" customWidth="1"/>
    <col min="11793" max="11793" width="13.5" style="341" bestFit="1" customWidth="1"/>
    <col min="11794" max="11794" width="0.75" style="341" customWidth="1"/>
    <col min="11795" max="11795" width="9.75" style="341" bestFit="1" customWidth="1"/>
    <col min="11796" max="11796" width="9.625" style="341" customWidth="1"/>
    <col min="11797" max="12033" width="9" style="341"/>
    <col min="12034" max="12034" width="1.5" style="341" customWidth="1"/>
    <col min="12035" max="12035" width="13" style="341" customWidth="1"/>
    <col min="12036" max="12036" width="5.125" style="341" customWidth="1"/>
    <col min="12037" max="12038" width="7.125" style="341" customWidth="1"/>
    <col min="12039" max="12039" width="7.875" style="341" customWidth="1"/>
    <col min="12040" max="12040" width="9.375" style="341" customWidth="1"/>
    <col min="12041" max="12041" width="10.5" style="341" customWidth="1"/>
    <col min="12042" max="12042" width="8.125" style="341" customWidth="1"/>
    <col min="12043" max="12043" width="9.375" style="341" bestFit="1" customWidth="1"/>
    <col min="12044" max="12044" width="6.125" style="341" bestFit="1" customWidth="1"/>
    <col min="12045" max="12045" width="7.125" style="341" bestFit="1" customWidth="1"/>
    <col min="12046" max="12046" width="9.375" style="341" bestFit="1" customWidth="1"/>
    <col min="12047" max="12047" width="10.125" style="341" customWidth="1"/>
    <col min="12048" max="12048" width="9.375" style="341" customWidth="1"/>
    <col min="12049" max="12049" width="13.5" style="341" bestFit="1" customWidth="1"/>
    <col min="12050" max="12050" width="0.75" style="341" customWidth="1"/>
    <col min="12051" max="12051" width="9.75" style="341" bestFit="1" customWidth="1"/>
    <col min="12052" max="12052" width="9.625" style="341" customWidth="1"/>
    <col min="12053" max="12289" width="9" style="341"/>
    <col min="12290" max="12290" width="1.5" style="341" customWidth="1"/>
    <col min="12291" max="12291" width="13" style="341" customWidth="1"/>
    <col min="12292" max="12292" width="5.125" style="341" customWidth="1"/>
    <col min="12293" max="12294" width="7.125" style="341" customWidth="1"/>
    <col min="12295" max="12295" width="7.875" style="341" customWidth="1"/>
    <col min="12296" max="12296" width="9.375" style="341" customWidth="1"/>
    <col min="12297" max="12297" width="10.5" style="341" customWidth="1"/>
    <col min="12298" max="12298" width="8.125" style="341" customWidth="1"/>
    <col min="12299" max="12299" width="9.375" style="341" bestFit="1" customWidth="1"/>
    <col min="12300" max="12300" width="6.125" style="341" bestFit="1" customWidth="1"/>
    <col min="12301" max="12301" width="7.125" style="341" bestFit="1" customWidth="1"/>
    <col min="12302" max="12302" width="9.375" style="341" bestFit="1" customWidth="1"/>
    <col min="12303" max="12303" width="10.125" style="341" customWidth="1"/>
    <col min="12304" max="12304" width="9.375" style="341" customWidth="1"/>
    <col min="12305" max="12305" width="13.5" style="341" bestFit="1" customWidth="1"/>
    <col min="12306" max="12306" width="0.75" style="341" customWidth="1"/>
    <col min="12307" max="12307" width="9.75" style="341" bestFit="1" customWidth="1"/>
    <col min="12308" max="12308" width="9.625" style="341" customWidth="1"/>
    <col min="12309" max="12545" width="9" style="341"/>
    <col min="12546" max="12546" width="1.5" style="341" customWidth="1"/>
    <col min="12547" max="12547" width="13" style="341" customWidth="1"/>
    <col min="12548" max="12548" width="5.125" style="341" customWidth="1"/>
    <col min="12549" max="12550" width="7.125" style="341" customWidth="1"/>
    <col min="12551" max="12551" width="7.875" style="341" customWidth="1"/>
    <col min="12552" max="12552" width="9.375" style="341" customWidth="1"/>
    <col min="12553" max="12553" width="10.5" style="341" customWidth="1"/>
    <col min="12554" max="12554" width="8.125" style="341" customWidth="1"/>
    <col min="12555" max="12555" width="9.375" style="341" bestFit="1" customWidth="1"/>
    <col min="12556" max="12556" width="6.125" style="341" bestFit="1" customWidth="1"/>
    <col min="12557" max="12557" width="7.125" style="341" bestFit="1" customWidth="1"/>
    <col min="12558" max="12558" width="9.375" style="341" bestFit="1" customWidth="1"/>
    <col min="12559" max="12559" width="10.125" style="341" customWidth="1"/>
    <col min="12560" max="12560" width="9.375" style="341" customWidth="1"/>
    <col min="12561" max="12561" width="13.5" style="341" bestFit="1" customWidth="1"/>
    <col min="12562" max="12562" width="0.75" style="341" customWidth="1"/>
    <col min="12563" max="12563" width="9.75" style="341" bestFit="1" customWidth="1"/>
    <col min="12564" max="12564" width="9.625" style="341" customWidth="1"/>
    <col min="12565" max="12801" width="9" style="341"/>
    <col min="12802" max="12802" width="1.5" style="341" customWidth="1"/>
    <col min="12803" max="12803" width="13" style="341" customWidth="1"/>
    <col min="12804" max="12804" width="5.125" style="341" customWidth="1"/>
    <col min="12805" max="12806" width="7.125" style="341" customWidth="1"/>
    <col min="12807" max="12807" width="7.875" style="341" customWidth="1"/>
    <col min="12808" max="12808" width="9.375" style="341" customWidth="1"/>
    <col min="12809" max="12809" width="10.5" style="341" customWidth="1"/>
    <col min="12810" max="12810" width="8.125" style="341" customWidth="1"/>
    <col min="12811" max="12811" width="9.375" style="341" bestFit="1" customWidth="1"/>
    <col min="12812" max="12812" width="6.125" style="341" bestFit="1" customWidth="1"/>
    <col min="12813" max="12813" width="7.125" style="341" bestFit="1" customWidth="1"/>
    <col min="12814" max="12814" width="9.375" style="341" bestFit="1" customWidth="1"/>
    <col min="12815" max="12815" width="10.125" style="341" customWidth="1"/>
    <col min="12816" max="12816" width="9.375" style="341" customWidth="1"/>
    <col min="12817" max="12817" width="13.5" style="341" bestFit="1" customWidth="1"/>
    <col min="12818" max="12818" width="0.75" style="341" customWidth="1"/>
    <col min="12819" max="12819" width="9.75" style="341" bestFit="1" customWidth="1"/>
    <col min="12820" max="12820" width="9.625" style="341" customWidth="1"/>
    <col min="12821" max="13057" width="9" style="341"/>
    <col min="13058" max="13058" width="1.5" style="341" customWidth="1"/>
    <col min="13059" max="13059" width="13" style="341" customWidth="1"/>
    <col min="13060" max="13060" width="5.125" style="341" customWidth="1"/>
    <col min="13061" max="13062" width="7.125" style="341" customWidth="1"/>
    <col min="13063" max="13063" width="7.875" style="341" customWidth="1"/>
    <col min="13064" max="13064" width="9.375" style="341" customWidth="1"/>
    <col min="13065" max="13065" width="10.5" style="341" customWidth="1"/>
    <col min="13066" max="13066" width="8.125" style="341" customWidth="1"/>
    <col min="13067" max="13067" width="9.375" style="341" bestFit="1" customWidth="1"/>
    <col min="13068" max="13068" width="6.125" style="341" bestFit="1" customWidth="1"/>
    <col min="13069" max="13069" width="7.125" style="341" bestFit="1" customWidth="1"/>
    <col min="13070" max="13070" width="9.375" style="341" bestFit="1" customWidth="1"/>
    <col min="13071" max="13071" width="10.125" style="341" customWidth="1"/>
    <col min="13072" max="13072" width="9.375" style="341" customWidth="1"/>
    <col min="13073" max="13073" width="13.5" style="341" bestFit="1" customWidth="1"/>
    <col min="13074" max="13074" width="0.75" style="341" customWidth="1"/>
    <col min="13075" max="13075" width="9.75" style="341" bestFit="1" customWidth="1"/>
    <col min="13076" max="13076" width="9.625" style="341" customWidth="1"/>
    <col min="13077" max="13313" width="9" style="341"/>
    <col min="13314" max="13314" width="1.5" style="341" customWidth="1"/>
    <col min="13315" max="13315" width="13" style="341" customWidth="1"/>
    <col min="13316" max="13316" width="5.125" style="341" customWidth="1"/>
    <col min="13317" max="13318" width="7.125" style="341" customWidth="1"/>
    <col min="13319" max="13319" width="7.875" style="341" customWidth="1"/>
    <col min="13320" max="13320" width="9.375" style="341" customWidth="1"/>
    <col min="13321" max="13321" width="10.5" style="341" customWidth="1"/>
    <col min="13322" max="13322" width="8.125" style="341" customWidth="1"/>
    <col min="13323" max="13323" width="9.375" style="341" bestFit="1" customWidth="1"/>
    <col min="13324" max="13324" width="6.125" style="341" bestFit="1" customWidth="1"/>
    <col min="13325" max="13325" width="7.125" style="341" bestFit="1" customWidth="1"/>
    <col min="13326" max="13326" width="9.375" style="341" bestFit="1" customWidth="1"/>
    <col min="13327" max="13327" width="10.125" style="341" customWidth="1"/>
    <col min="13328" max="13328" width="9.375" style="341" customWidth="1"/>
    <col min="13329" max="13329" width="13.5" style="341" bestFit="1" customWidth="1"/>
    <col min="13330" max="13330" width="0.75" style="341" customWidth="1"/>
    <col min="13331" max="13331" width="9.75" style="341" bestFit="1" customWidth="1"/>
    <col min="13332" max="13332" width="9.625" style="341" customWidth="1"/>
    <col min="13333" max="13569" width="9" style="341"/>
    <col min="13570" max="13570" width="1.5" style="341" customWidth="1"/>
    <col min="13571" max="13571" width="13" style="341" customWidth="1"/>
    <col min="13572" max="13572" width="5.125" style="341" customWidth="1"/>
    <col min="13573" max="13574" width="7.125" style="341" customWidth="1"/>
    <col min="13575" max="13575" width="7.875" style="341" customWidth="1"/>
    <col min="13576" max="13576" width="9.375" style="341" customWidth="1"/>
    <col min="13577" max="13577" width="10.5" style="341" customWidth="1"/>
    <col min="13578" max="13578" width="8.125" style="341" customWidth="1"/>
    <col min="13579" max="13579" width="9.375" style="341" bestFit="1" customWidth="1"/>
    <col min="13580" max="13580" width="6.125" style="341" bestFit="1" customWidth="1"/>
    <col min="13581" max="13581" width="7.125" style="341" bestFit="1" customWidth="1"/>
    <col min="13582" max="13582" width="9.375" style="341" bestFit="1" customWidth="1"/>
    <col min="13583" max="13583" width="10.125" style="341" customWidth="1"/>
    <col min="13584" max="13584" width="9.375" style="341" customWidth="1"/>
    <col min="13585" max="13585" width="13.5" style="341" bestFit="1" customWidth="1"/>
    <col min="13586" max="13586" width="0.75" style="341" customWidth="1"/>
    <col min="13587" max="13587" width="9.75" style="341" bestFit="1" customWidth="1"/>
    <col min="13588" max="13588" width="9.625" style="341" customWidth="1"/>
    <col min="13589" max="13825" width="9" style="341"/>
    <col min="13826" max="13826" width="1.5" style="341" customWidth="1"/>
    <col min="13827" max="13827" width="13" style="341" customWidth="1"/>
    <col min="13828" max="13828" width="5.125" style="341" customWidth="1"/>
    <col min="13829" max="13830" width="7.125" style="341" customWidth="1"/>
    <col min="13831" max="13831" width="7.875" style="341" customWidth="1"/>
    <col min="13832" max="13832" width="9.375" style="341" customWidth="1"/>
    <col min="13833" max="13833" width="10.5" style="341" customWidth="1"/>
    <col min="13834" max="13834" width="8.125" style="341" customWidth="1"/>
    <col min="13835" max="13835" width="9.375" style="341" bestFit="1" customWidth="1"/>
    <col min="13836" max="13836" width="6.125" style="341" bestFit="1" customWidth="1"/>
    <col min="13837" max="13837" width="7.125" style="341" bestFit="1" customWidth="1"/>
    <col min="13838" max="13838" width="9.375" style="341" bestFit="1" customWidth="1"/>
    <col min="13839" max="13839" width="10.125" style="341" customWidth="1"/>
    <col min="13840" max="13840" width="9.375" style="341" customWidth="1"/>
    <col min="13841" max="13841" width="13.5" style="341" bestFit="1" customWidth="1"/>
    <col min="13842" max="13842" width="0.75" style="341" customWidth="1"/>
    <col min="13843" max="13843" width="9.75" style="341" bestFit="1" customWidth="1"/>
    <col min="13844" max="13844" width="9.625" style="341" customWidth="1"/>
    <col min="13845" max="14081" width="9" style="341"/>
    <col min="14082" max="14082" width="1.5" style="341" customWidth="1"/>
    <col min="14083" max="14083" width="13" style="341" customWidth="1"/>
    <col min="14084" max="14084" width="5.125" style="341" customWidth="1"/>
    <col min="14085" max="14086" width="7.125" style="341" customWidth="1"/>
    <col min="14087" max="14087" width="7.875" style="341" customWidth="1"/>
    <col min="14088" max="14088" width="9.375" style="341" customWidth="1"/>
    <col min="14089" max="14089" width="10.5" style="341" customWidth="1"/>
    <col min="14090" max="14090" width="8.125" style="341" customWidth="1"/>
    <col min="14091" max="14091" width="9.375" style="341" bestFit="1" customWidth="1"/>
    <col min="14092" max="14092" width="6.125" style="341" bestFit="1" customWidth="1"/>
    <col min="14093" max="14093" width="7.125" style="341" bestFit="1" customWidth="1"/>
    <col min="14094" max="14094" width="9.375" style="341" bestFit="1" customWidth="1"/>
    <col min="14095" max="14095" width="10.125" style="341" customWidth="1"/>
    <col min="14096" max="14096" width="9.375" style="341" customWidth="1"/>
    <col min="14097" max="14097" width="13.5" style="341" bestFit="1" customWidth="1"/>
    <col min="14098" max="14098" width="0.75" style="341" customWidth="1"/>
    <col min="14099" max="14099" width="9.75" style="341" bestFit="1" customWidth="1"/>
    <col min="14100" max="14100" width="9.625" style="341" customWidth="1"/>
    <col min="14101" max="14337" width="9" style="341"/>
    <col min="14338" max="14338" width="1.5" style="341" customWidth="1"/>
    <col min="14339" max="14339" width="13" style="341" customWidth="1"/>
    <col min="14340" max="14340" width="5.125" style="341" customWidth="1"/>
    <col min="14341" max="14342" width="7.125" style="341" customWidth="1"/>
    <col min="14343" max="14343" width="7.875" style="341" customWidth="1"/>
    <col min="14344" max="14344" width="9.375" style="341" customWidth="1"/>
    <col min="14345" max="14345" width="10.5" style="341" customWidth="1"/>
    <col min="14346" max="14346" width="8.125" style="341" customWidth="1"/>
    <col min="14347" max="14347" width="9.375" style="341" bestFit="1" customWidth="1"/>
    <col min="14348" max="14348" width="6.125" style="341" bestFit="1" customWidth="1"/>
    <col min="14349" max="14349" width="7.125" style="341" bestFit="1" customWidth="1"/>
    <col min="14350" max="14350" width="9.375" style="341" bestFit="1" customWidth="1"/>
    <col min="14351" max="14351" width="10.125" style="341" customWidth="1"/>
    <col min="14352" max="14352" width="9.375" style="341" customWidth="1"/>
    <col min="14353" max="14353" width="13.5" style="341" bestFit="1" customWidth="1"/>
    <col min="14354" max="14354" width="0.75" style="341" customWidth="1"/>
    <col min="14355" max="14355" width="9.75" style="341" bestFit="1" customWidth="1"/>
    <col min="14356" max="14356" width="9.625" style="341" customWidth="1"/>
    <col min="14357" max="14593" width="9" style="341"/>
    <col min="14594" max="14594" width="1.5" style="341" customWidth="1"/>
    <col min="14595" max="14595" width="13" style="341" customWidth="1"/>
    <col min="14596" max="14596" width="5.125" style="341" customWidth="1"/>
    <col min="14597" max="14598" width="7.125" style="341" customWidth="1"/>
    <col min="14599" max="14599" width="7.875" style="341" customWidth="1"/>
    <col min="14600" max="14600" width="9.375" style="341" customWidth="1"/>
    <col min="14601" max="14601" width="10.5" style="341" customWidth="1"/>
    <col min="14602" max="14602" width="8.125" style="341" customWidth="1"/>
    <col min="14603" max="14603" width="9.375" style="341" bestFit="1" customWidth="1"/>
    <col min="14604" max="14604" width="6.125" style="341" bestFit="1" customWidth="1"/>
    <col min="14605" max="14605" width="7.125" style="341" bestFit="1" customWidth="1"/>
    <col min="14606" max="14606" width="9.375" style="341" bestFit="1" customWidth="1"/>
    <col min="14607" max="14607" width="10.125" style="341" customWidth="1"/>
    <col min="14608" max="14608" width="9.375" style="341" customWidth="1"/>
    <col min="14609" max="14609" width="13.5" style="341" bestFit="1" customWidth="1"/>
    <col min="14610" max="14610" width="0.75" style="341" customWidth="1"/>
    <col min="14611" max="14611" width="9.75" style="341" bestFit="1" customWidth="1"/>
    <col min="14612" max="14612" width="9.625" style="341" customWidth="1"/>
    <col min="14613" max="14849" width="9" style="341"/>
    <col min="14850" max="14850" width="1.5" style="341" customWidth="1"/>
    <col min="14851" max="14851" width="13" style="341" customWidth="1"/>
    <col min="14852" max="14852" width="5.125" style="341" customWidth="1"/>
    <col min="14853" max="14854" width="7.125" style="341" customWidth="1"/>
    <col min="14855" max="14855" width="7.875" style="341" customWidth="1"/>
    <col min="14856" max="14856" width="9.375" style="341" customWidth="1"/>
    <col min="14857" max="14857" width="10.5" style="341" customWidth="1"/>
    <col min="14858" max="14858" width="8.125" style="341" customWidth="1"/>
    <col min="14859" max="14859" width="9.375" style="341" bestFit="1" customWidth="1"/>
    <col min="14860" max="14860" width="6.125" style="341" bestFit="1" customWidth="1"/>
    <col min="14861" max="14861" width="7.125" style="341" bestFit="1" customWidth="1"/>
    <col min="14862" max="14862" width="9.375" style="341" bestFit="1" customWidth="1"/>
    <col min="14863" max="14863" width="10.125" style="341" customWidth="1"/>
    <col min="14864" max="14864" width="9.375" style="341" customWidth="1"/>
    <col min="14865" max="14865" width="13.5" style="341" bestFit="1" customWidth="1"/>
    <col min="14866" max="14866" width="0.75" style="341" customWidth="1"/>
    <col min="14867" max="14867" width="9.75" style="341" bestFit="1" customWidth="1"/>
    <col min="14868" max="14868" width="9.625" style="341" customWidth="1"/>
    <col min="14869" max="15105" width="9" style="341"/>
    <col min="15106" max="15106" width="1.5" style="341" customWidth="1"/>
    <col min="15107" max="15107" width="13" style="341" customWidth="1"/>
    <col min="15108" max="15108" width="5.125" style="341" customWidth="1"/>
    <col min="15109" max="15110" width="7.125" style="341" customWidth="1"/>
    <col min="15111" max="15111" width="7.875" style="341" customWidth="1"/>
    <col min="15112" max="15112" width="9.375" style="341" customWidth="1"/>
    <col min="15113" max="15113" width="10.5" style="341" customWidth="1"/>
    <col min="15114" max="15114" width="8.125" style="341" customWidth="1"/>
    <col min="15115" max="15115" width="9.375" style="341" bestFit="1" customWidth="1"/>
    <col min="15116" max="15116" width="6.125" style="341" bestFit="1" customWidth="1"/>
    <col min="15117" max="15117" width="7.125" style="341" bestFit="1" customWidth="1"/>
    <col min="15118" max="15118" width="9.375" style="341" bestFit="1" customWidth="1"/>
    <col min="15119" max="15119" width="10.125" style="341" customWidth="1"/>
    <col min="15120" max="15120" width="9.375" style="341" customWidth="1"/>
    <col min="15121" max="15121" width="13.5" style="341" bestFit="1" customWidth="1"/>
    <col min="15122" max="15122" width="0.75" style="341" customWidth="1"/>
    <col min="15123" max="15123" width="9.75" style="341" bestFit="1" customWidth="1"/>
    <col min="15124" max="15124" width="9.625" style="341" customWidth="1"/>
    <col min="15125" max="15361" width="9" style="341"/>
    <col min="15362" max="15362" width="1.5" style="341" customWidth="1"/>
    <col min="15363" max="15363" width="13" style="341" customWidth="1"/>
    <col min="15364" max="15364" width="5.125" style="341" customWidth="1"/>
    <col min="15365" max="15366" width="7.125" style="341" customWidth="1"/>
    <col min="15367" max="15367" width="7.875" style="341" customWidth="1"/>
    <col min="15368" max="15368" width="9.375" style="341" customWidth="1"/>
    <col min="15369" max="15369" width="10.5" style="341" customWidth="1"/>
    <col min="15370" max="15370" width="8.125" style="341" customWidth="1"/>
    <col min="15371" max="15371" width="9.375" style="341" bestFit="1" customWidth="1"/>
    <col min="15372" max="15372" width="6.125" style="341" bestFit="1" customWidth="1"/>
    <col min="15373" max="15373" width="7.125" style="341" bestFit="1" customWidth="1"/>
    <col min="15374" max="15374" width="9.375" style="341" bestFit="1" customWidth="1"/>
    <col min="15375" max="15375" width="10.125" style="341" customWidth="1"/>
    <col min="15376" max="15376" width="9.375" style="341" customWidth="1"/>
    <col min="15377" max="15377" width="13.5" style="341" bestFit="1" customWidth="1"/>
    <col min="15378" max="15378" width="0.75" style="341" customWidth="1"/>
    <col min="15379" max="15379" width="9.75" style="341" bestFit="1" customWidth="1"/>
    <col min="15380" max="15380" width="9.625" style="341" customWidth="1"/>
    <col min="15381" max="15617" width="9" style="341"/>
    <col min="15618" max="15618" width="1.5" style="341" customWidth="1"/>
    <col min="15619" max="15619" width="13" style="341" customWidth="1"/>
    <col min="15620" max="15620" width="5.125" style="341" customWidth="1"/>
    <col min="15621" max="15622" width="7.125" style="341" customWidth="1"/>
    <col min="15623" max="15623" width="7.875" style="341" customWidth="1"/>
    <col min="15624" max="15624" width="9.375" style="341" customWidth="1"/>
    <col min="15625" max="15625" width="10.5" style="341" customWidth="1"/>
    <col min="15626" max="15626" width="8.125" style="341" customWidth="1"/>
    <col min="15627" max="15627" width="9.375" style="341" bestFit="1" customWidth="1"/>
    <col min="15628" max="15628" width="6.125" style="341" bestFit="1" customWidth="1"/>
    <col min="15629" max="15629" width="7.125" style="341" bestFit="1" customWidth="1"/>
    <col min="15630" max="15630" width="9.375" style="341" bestFit="1" customWidth="1"/>
    <col min="15631" max="15631" width="10.125" style="341" customWidth="1"/>
    <col min="15632" max="15632" width="9.375" style="341" customWidth="1"/>
    <col min="15633" max="15633" width="13.5" style="341" bestFit="1" customWidth="1"/>
    <col min="15634" max="15634" width="0.75" style="341" customWidth="1"/>
    <col min="15635" max="15635" width="9.75" style="341" bestFit="1" customWidth="1"/>
    <col min="15636" max="15636" width="9.625" style="341" customWidth="1"/>
    <col min="15637" max="15873" width="9" style="341"/>
    <col min="15874" max="15874" width="1.5" style="341" customWidth="1"/>
    <col min="15875" max="15875" width="13" style="341" customWidth="1"/>
    <col min="15876" max="15876" width="5.125" style="341" customWidth="1"/>
    <col min="15877" max="15878" width="7.125" style="341" customWidth="1"/>
    <col min="15879" max="15879" width="7.875" style="341" customWidth="1"/>
    <col min="15880" max="15880" width="9.375" style="341" customWidth="1"/>
    <col min="15881" max="15881" width="10.5" style="341" customWidth="1"/>
    <col min="15882" max="15882" width="8.125" style="341" customWidth="1"/>
    <col min="15883" max="15883" width="9.375" style="341" bestFit="1" customWidth="1"/>
    <col min="15884" max="15884" width="6.125" style="341" bestFit="1" customWidth="1"/>
    <col min="15885" max="15885" width="7.125" style="341" bestFit="1" customWidth="1"/>
    <col min="15886" max="15886" width="9.375" style="341" bestFit="1" customWidth="1"/>
    <col min="15887" max="15887" width="10.125" style="341" customWidth="1"/>
    <col min="15888" max="15888" width="9.375" style="341" customWidth="1"/>
    <col min="15889" max="15889" width="13.5" style="341" bestFit="1" customWidth="1"/>
    <col min="15890" max="15890" width="0.75" style="341" customWidth="1"/>
    <col min="15891" max="15891" width="9.75" style="341" bestFit="1" customWidth="1"/>
    <col min="15892" max="15892" width="9.625" style="341" customWidth="1"/>
    <col min="15893" max="16129" width="9" style="341"/>
    <col min="16130" max="16130" width="1.5" style="341" customWidth="1"/>
    <col min="16131" max="16131" width="13" style="341" customWidth="1"/>
    <col min="16132" max="16132" width="5.125" style="341" customWidth="1"/>
    <col min="16133" max="16134" width="7.125" style="341" customWidth="1"/>
    <col min="16135" max="16135" width="7.875" style="341" customWidth="1"/>
    <col min="16136" max="16136" width="9.375" style="341" customWidth="1"/>
    <col min="16137" max="16137" width="10.5" style="341" customWidth="1"/>
    <col min="16138" max="16138" width="8.125" style="341" customWidth="1"/>
    <col min="16139" max="16139" width="9.375" style="341" bestFit="1" customWidth="1"/>
    <col min="16140" max="16140" width="6.125" style="341" bestFit="1" customWidth="1"/>
    <col min="16141" max="16141" width="7.125" style="341" bestFit="1" customWidth="1"/>
    <col min="16142" max="16142" width="9.375" style="341" bestFit="1" customWidth="1"/>
    <col min="16143" max="16143" width="10.125" style="341" customWidth="1"/>
    <col min="16144" max="16144" width="9.375" style="341" customWidth="1"/>
    <col min="16145" max="16145" width="13.5" style="341" bestFit="1" customWidth="1"/>
    <col min="16146" max="16146" width="0.75" style="341" customWidth="1"/>
    <col min="16147" max="16147" width="9.75" style="341" bestFit="1" customWidth="1"/>
    <col min="16148" max="16148" width="9.625" style="341" customWidth="1"/>
    <col min="16149" max="16384" width="9" style="341"/>
  </cols>
  <sheetData>
    <row r="1" spans="1:20" x14ac:dyDescent="0.2">
      <c r="B1" s="342" t="s">
        <v>170</v>
      </c>
      <c r="C1" s="343"/>
      <c r="F1" s="344"/>
      <c r="G1" s="344"/>
      <c r="H1" s="345"/>
      <c r="I1" s="345"/>
      <c r="J1" s="345"/>
      <c r="M1" s="344"/>
    </row>
    <row r="2" spans="1:20" x14ac:dyDescent="0.2">
      <c r="B2" s="347" t="s">
        <v>354</v>
      </c>
      <c r="C2" s="348"/>
      <c r="F2" s="344"/>
      <c r="G2" s="344"/>
      <c r="H2" s="349"/>
      <c r="I2" s="349"/>
      <c r="J2" s="349"/>
      <c r="M2" s="344"/>
    </row>
    <row r="3" spans="1:20" x14ac:dyDescent="0.2">
      <c r="B3" s="341" t="s">
        <v>171</v>
      </c>
      <c r="D3" s="351">
        <f>+'TDR accrual '!B3</f>
        <v>44764</v>
      </c>
      <c r="F3" s="344"/>
      <c r="G3" s="344"/>
      <c r="H3" s="349"/>
      <c r="I3" s="349"/>
      <c r="J3" s="349"/>
      <c r="M3" s="344"/>
    </row>
    <row r="4" spans="1:20" x14ac:dyDescent="0.2">
      <c r="F4" s="344"/>
      <c r="G4" s="344"/>
      <c r="H4" s="345"/>
      <c r="I4" s="345"/>
      <c r="J4" s="345"/>
      <c r="M4" s="344"/>
    </row>
    <row r="5" spans="1:20" s="347" customFormat="1" ht="50.1" customHeight="1" x14ac:dyDescent="0.2">
      <c r="B5" s="352" t="s">
        <v>355</v>
      </c>
      <c r="C5" s="352" t="s">
        <v>356</v>
      </c>
      <c r="D5" s="352" t="s">
        <v>357</v>
      </c>
      <c r="E5" s="352" t="s">
        <v>358</v>
      </c>
      <c r="F5" s="352" t="s">
        <v>359</v>
      </c>
      <c r="G5" s="352" t="s">
        <v>197</v>
      </c>
      <c r="H5" s="353" t="s">
        <v>360</v>
      </c>
      <c r="I5" s="353" t="s">
        <v>361</v>
      </c>
      <c r="J5" s="353" t="s">
        <v>362</v>
      </c>
      <c r="K5" s="352" t="s">
        <v>363</v>
      </c>
      <c r="L5" s="352" t="s">
        <v>425</v>
      </c>
      <c r="M5" s="352" t="s">
        <v>364</v>
      </c>
      <c r="N5" s="352" t="s">
        <v>217</v>
      </c>
      <c r="O5" s="352" t="s">
        <v>365</v>
      </c>
      <c r="P5" s="353" t="s">
        <v>366</v>
      </c>
      <c r="Q5" s="352" t="s">
        <v>367</v>
      </c>
      <c r="S5" s="352" t="s">
        <v>508</v>
      </c>
      <c r="T5" s="352" t="s">
        <v>502</v>
      </c>
    </row>
    <row r="6" spans="1:20" ht="18" x14ac:dyDescent="0.25">
      <c r="A6" s="354"/>
      <c r="B6" s="382" t="s">
        <v>370</v>
      </c>
      <c r="C6" s="383"/>
      <c r="D6" s="384"/>
      <c r="E6" s="385"/>
      <c r="F6" s="385"/>
      <c r="G6" s="386"/>
      <c r="H6" s="387"/>
      <c r="I6" s="387"/>
      <c r="J6" s="387"/>
      <c r="K6" s="386"/>
      <c r="L6" s="386"/>
      <c r="M6" s="388"/>
      <c r="N6" s="389"/>
      <c r="O6" s="385"/>
      <c r="P6" s="390"/>
      <c r="Q6" s="391"/>
      <c r="T6" s="365"/>
    </row>
    <row r="7" spans="1:20" x14ac:dyDescent="0.2">
      <c r="A7" s="354"/>
      <c r="B7" s="370"/>
      <c r="C7" s="380"/>
      <c r="D7" s="375"/>
      <c r="E7" s="361"/>
      <c r="F7" s="361"/>
      <c r="G7" s="355"/>
      <c r="H7" s="362"/>
      <c r="I7" s="362"/>
      <c r="J7" s="362"/>
      <c r="K7" s="355"/>
      <c r="L7" s="355"/>
      <c r="M7" s="381"/>
      <c r="N7" s="374"/>
      <c r="O7" s="361"/>
      <c r="P7" s="357"/>
      <c r="Q7" s="356"/>
      <c r="T7" s="365"/>
    </row>
    <row r="8" spans="1:20" x14ac:dyDescent="0.2">
      <c r="A8" s="354"/>
      <c r="B8" s="370"/>
      <c r="C8" s="380"/>
      <c r="D8" s="360"/>
      <c r="E8" s="361"/>
      <c r="F8" s="361"/>
      <c r="G8" s="355"/>
      <c r="H8" s="362"/>
      <c r="I8" s="362"/>
      <c r="J8" s="362"/>
      <c r="K8" s="355"/>
      <c r="L8" s="355"/>
      <c r="M8" s="381"/>
      <c r="N8" s="374"/>
      <c r="O8" s="361"/>
      <c r="P8" s="357"/>
      <c r="Q8" s="356"/>
      <c r="T8" s="365"/>
    </row>
    <row r="9" spans="1:20" s="1135" customFormat="1" x14ac:dyDescent="0.2">
      <c r="A9" s="1122"/>
      <c r="B9" s="1123" t="s">
        <v>368</v>
      </c>
      <c r="C9" s="1124" t="s">
        <v>369</v>
      </c>
      <c r="D9" s="1125">
        <v>42193</v>
      </c>
      <c r="E9" s="1126">
        <v>17360</v>
      </c>
      <c r="F9" s="1127">
        <f>4994-1-1-1-1-1</f>
        <v>4989</v>
      </c>
      <c r="G9" s="1128">
        <f>+E9*F9</f>
        <v>86609040</v>
      </c>
      <c r="H9" s="1129">
        <f>+G9</f>
        <v>86609040</v>
      </c>
      <c r="I9" s="1129">
        <v>0</v>
      </c>
      <c r="J9" s="1129">
        <f>+H9+I9</f>
        <v>86609040</v>
      </c>
      <c r="K9" s="1130">
        <f>+J9/E9/F9*100</f>
        <v>100</v>
      </c>
      <c r="L9" s="1130">
        <v>85793885.576000005</v>
      </c>
      <c r="M9" s="1131">
        <v>100</v>
      </c>
      <c r="N9" s="1132">
        <f>(G9/100)*M9</f>
        <v>86609040</v>
      </c>
      <c r="O9" s="1126">
        <f>+N9-L9</f>
        <v>815154.42399999499</v>
      </c>
      <c r="P9" s="1133">
        <v>86609040</v>
      </c>
      <c r="Q9" s="1134">
        <f>+N9-P9</f>
        <v>0</v>
      </c>
      <c r="S9" s="1136">
        <f>+O9</f>
        <v>815154.42399999499</v>
      </c>
      <c r="T9" s="1153">
        <v>44305</v>
      </c>
    </row>
    <row r="10" spans="1:20" s="1135" customFormat="1" x14ac:dyDescent="0.2">
      <c r="A10" s="1122"/>
      <c r="B10" s="1123"/>
      <c r="C10" s="1124"/>
      <c r="D10" s="1125"/>
      <c r="E10" s="1126"/>
      <c r="F10" s="1127"/>
      <c r="G10" s="1128"/>
      <c r="H10" s="1129"/>
      <c r="I10" s="1129"/>
      <c r="J10" s="1129"/>
      <c r="K10" s="1130"/>
      <c r="L10" s="1130"/>
      <c r="M10" s="1131"/>
      <c r="N10" s="1132"/>
      <c r="O10" s="1126"/>
      <c r="P10" s="1133"/>
      <c r="Q10" s="1134"/>
      <c r="S10" s="1136"/>
      <c r="T10" s="1153"/>
    </row>
    <row r="11" spans="1:20" s="372" customFormat="1" x14ac:dyDescent="0.2">
      <c r="A11" s="354"/>
      <c r="B11" s="371"/>
      <c r="C11" s="366"/>
      <c r="D11" s="375"/>
      <c r="E11" s="356"/>
      <c r="F11" s="376"/>
      <c r="G11" s="355"/>
      <c r="H11" s="362"/>
      <c r="I11" s="362"/>
      <c r="J11" s="362"/>
      <c r="K11" s="367"/>
      <c r="L11" s="367"/>
      <c r="M11" s="1040"/>
      <c r="N11" s="364"/>
      <c r="O11" s="356"/>
      <c r="P11" s="357"/>
      <c r="Q11" s="368"/>
      <c r="S11" s="373"/>
      <c r="T11" s="369"/>
    </row>
    <row r="12" spans="1:20" s="354" customFormat="1" x14ac:dyDescent="0.2">
      <c r="B12" s="371"/>
      <c r="C12" s="366"/>
      <c r="D12" s="375"/>
      <c r="E12" s="356"/>
      <c r="F12" s="376"/>
      <c r="G12" s="355"/>
      <c r="H12" s="362"/>
      <c r="I12" s="362"/>
      <c r="J12" s="362"/>
      <c r="K12" s="355"/>
      <c r="L12" s="355"/>
      <c r="M12" s="367"/>
      <c r="N12" s="364"/>
      <c r="O12" s="361"/>
      <c r="P12" s="357"/>
      <c r="Q12" s="356"/>
      <c r="S12" s="349"/>
      <c r="T12" s="377"/>
    </row>
    <row r="13" spans="1:20" s="354" customFormat="1" ht="12" thickBot="1" x14ac:dyDescent="0.25">
      <c r="B13" s="371"/>
      <c r="C13" s="366"/>
      <c r="D13" s="375"/>
      <c r="E13" s="356"/>
      <c r="F13" s="376"/>
      <c r="G13" s="355"/>
      <c r="H13" s="378">
        <f>SUM(H9:H12)-H10-H9</f>
        <v>0</v>
      </c>
      <c r="I13" s="362"/>
      <c r="J13" s="378">
        <f>SUM(J9:J12)-J10-J9</f>
        <v>0</v>
      </c>
      <c r="K13" s="355"/>
      <c r="L13" s="378">
        <f>SUM(L9:L12)-L10-L9</f>
        <v>0</v>
      </c>
      <c r="M13" s="363"/>
      <c r="N13" s="378">
        <f>SUM(N9:N12)-N10-N9</f>
        <v>0</v>
      </c>
      <c r="O13" s="378">
        <f>SUM(O9:O12)-O10-O9</f>
        <v>0</v>
      </c>
      <c r="P13" s="378">
        <f>SUM(P9:P12)-P10-P9</f>
        <v>0</v>
      </c>
      <c r="Q13" s="378">
        <f>SUM(Q9:Q12)-Q10-Q9</f>
        <v>0</v>
      </c>
      <c r="S13" s="378">
        <f>SUM(S8:S12)</f>
        <v>815154.42399999499</v>
      </c>
      <c r="T13" s="377"/>
    </row>
    <row r="14" spans="1:20" ht="13.5" thickTop="1" x14ac:dyDescent="0.2">
      <c r="A14" s="354"/>
      <c r="B14" s="358"/>
      <c r="C14" s="359"/>
      <c r="D14" s="360"/>
      <c r="E14" s="361"/>
      <c r="F14" s="361"/>
      <c r="G14" s="355"/>
      <c r="H14" s="362"/>
      <c r="I14" s="362"/>
      <c r="J14" s="362"/>
      <c r="K14" s="355"/>
      <c r="L14" s="362">
        <v>0</v>
      </c>
      <c r="M14" s="381"/>
      <c r="N14" s="356"/>
      <c r="O14" s="356">
        <v>0</v>
      </c>
      <c r="P14" s="357"/>
      <c r="Q14" s="356"/>
      <c r="R14" s="392"/>
      <c r="S14" s="1166">
        <v>939118</v>
      </c>
      <c r="T14" s="365"/>
    </row>
    <row r="15" spans="1:20" ht="12.75" x14ac:dyDescent="0.2">
      <c r="A15" s="354"/>
      <c r="B15" s="358"/>
      <c r="C15" s="359"/>
      <c r="D15" s="360"/>
      <c r="E15" s="361"/>
      <c r="F15" s="361"/>
      <c r="G15" s="355"/>
      <c r="H15" s="362"/>
      <c r="I15" s="362"/>
      <c r="J15" s="362"/>
      <c r="K15" s="355"/>
      <c r="L15" s="362">
        <f>+L13-L14</f>
        <v>0</v>
      </c>
      <c r="M15" s="381"/>
      <c r="N15" s="379"/>
      <c r="O15" s="379">
        <f>+O13-O14</f>
        <v>0</v>
      </c>
      <c r="P15" s="393"/>
      <c r="Q15" s="393"/>
      <c r="R15" s="392"/>
      <c r="S15" s="1167">
        <f>+S13-S14</f>
        <v>-123963.57600000501</v>
      </c>
      <c r="T15" s="365"/>
    </row>
    <row r="16" spans="1:20" ht="12.75" x14ac:dyDescent="0.2">
      <c r="A16" s="354"/>
      <c r="B16" s="358"/>
      <c r="C16" s="359"/>
      <c r="D16" s="360"/>
      <c r="E16" s="361"/>
      <c r="F16" s="361"/>
      <c r="G16" s="355"/>
      <c r="H16" s="362"/>
      <c r="I16" s="362"/>
      <c r="J16" s="362"/>
      <c r="K16" s="355"/>
      <c r="L16" s="355"/>
      <c r="M16" s="381"/>
      <c r="N16" s="356"/>
      <c r="O16" s="356"/>
      <c r="P16" s="394"/>
      <c r="Q16" s="393"/>
      <c r="R16" s="392"/>
      <c r="S16" s="392"/>
      <c r="T16" s="365"/>
    </row>
    <row r="17" spans="1:21" x14ac:dyDescent="0.2">
      <c r="A17" s="354"/>
      <c r="K17" s="396"/>
      <c r="L17" s="396"/>
      <c r="N17" s="398">
        <f>+comparison!F20</f>
        <v>0</v>
      </c>
      <c r="P17" s="397"/>
      <c r="Q17" s="397"/>
      <c r="R17" s="396"/>
    </row>
    <row r="18" spans="1:21" x14ac:dyDescent="0.2">
      <c r="A18" s="354"/>
      <c r="K18" s="396"/>
      <c r="L18" s="396"/>
      <c r="N18" s="398">
        <f>+N13-N17</f>
        <v>0</v>
      </c>
      <c r="P18" s="397"/>
      <c r="Q18" s="397"/>
      <c r="R18" s="396"/>
    </row>
    <row r="19" spans="1:21" s="346" customFormat="1" x14ac:dyDescent="0.2">
      <c r="A19" s="354"/>
      <c r="B19" s="341"/>
      <c r="C19" s="350"/>
      <c r="D19" s="341"/>
      <c r="E19" s="341"/>
      <c r="F19" s="341"/>
      <c r="G19" s="341"/>
      <c r="K19" s="396"/>
      <c r="L19" s="396"/>
      <c r="M19" s="341"/>
      <c r="N19" s="398"/>
      <c r="O19" s="341"/>
      <c r="P19" s="1154" t="s">
        <v>79</v>
      </c>
      <c r="Q19" s="397" t="s">
        <v>733</v>
      </c>
      <c r="R19" s="396"/>
      <c r="S19" s="346">
        <f>-O15</f>
        <v>0</v>
      </c>
      <c r="T19" s="341" t="s">
        <v>499</v>
      </c>
      <c r="U19" s="341"/>
    </row>
    <row r="20" spans="1:21" s="346" customFormat="1" x14ac:dyDescent="0.2">
      <c r="A20" s="354"/>
      <c r="B20" s="341"/>
      <c r="C20" s="350"/>
      <c r="D20" s="341"/>
      <c r="E20" s="341"/>
      <c r="F20" s="341"/>
      <c r="G20" s="341"/>
      <c r="K20" s="396"/>
      <c r="L20" s="396"/>
      <c r="M20" s="341"/>
      <c r="N20" s="398"/>
      <c r="O20" s="341"/>
      <c r="P20" s="1154" t="s">
        <v>734</v>
      </c>
      <c r="Q20" s="397" t="s">
        <v>733</v>
      </c>
      <c r="R20" s="396"/>
      <c r="S20" s="346">
        <f>+S19</f>
        <v>0</v>
      </c>
      <c r="T20" s="341" t="s">
        <v>500</v>
      </c>
      <c r="U20" s="341"/>
    </row>
    <row r="21" spans="1:21" s="346" customFormat="1" x14ac:dyDescent="0.2">
      <c r="A21" s="341"/>
      <c r="B21" s="341"/>
      <c r="C21" s="350"/>
      <c r="D21" s="341"/>
      <c r="E21" s="341"/>
      <c r="F21" s="341"/>
      <c r="G21" s="341"/>
      <c r="K21" s="396"/>
      <c r="L21" s="396"/>
      <c r="M21" s="341"/>
      <c r="N21" s="396"/>
      <c r="O21" s="341"/>
      <c r="P21" s="1154" t="s">
        <v>78</v>
      </c>
      <c r="Q21" s="397" t="s">
        <v>507</v>
      </c>
      <c r="R21" s="396"/>
      <c r="S21" s="346">
        <f>+S20</f>
        <v>0</v>
      </c>
      <c r="T21" s="341" t="s">
        <v>500</v>
      </c>
      <c r="U21" s="341"/>
    </row>
    <row r="22" spans="1:21" s="346" customFormat="1" x14ac:dyDescent="0.2">
      <c r="A22" s="341"/>
      <c r="B22" s="341"/>
      <c r="C22" s="350"/>
      <c r="D22" s="341"/>
      <c r="E22" s="341"/>
      <c r="F22" s="341"/>
      <c r="G22" s="341"/>
      <c r="K22" s="396"/>
      <c r="L22" s="396"/>
      <c r="M22" s="341"/>
      <c r="N22" s="187">
        <v>1730171.09</v>
      </c>
      <c r="O22" s="341"/>
      <c r="P22" s="1154" t="s">
        <v>735</v>
      </c>
      <c r="Q22" s="397" t="s">
        <v>508</v>
      </c>
      <c r="R22" s="396"/>
      <c r="S22" s="346">
        <f>+S21</f>
        <v>0</v>
      </c>
      <c r="T22" s="341" t="s">
        <v>499</v>
      </c>
      <c r="U22" s="341"/>
    </row>
    <row r="23" spans="1:21" s="346" customFormat="1" x14ac:dyDescent="0.2">
      <c r="A23" s="341"/>
      <c r="B23" s="341"/>
      <c r="C23" s="350"/>
      <c r="D23" s="341"/>
      <c r="E23" s="341"/>
      <c r="F23" s="341"/>
      <c r="G23" s="341"/>
      <c r="K23" s="396"/>
      <c r="L23" s="396"/>
      <c r="M23" s="341"/>
      <c r="N23" s="396"/>
      <c r="O23" s="341"/>
      <c r="P23" s="397"/>
      <c r="Q23" s="397"/>
      <c r="R23" s="396"/>
      <c r="T23" s="341"/>
      <c r="U23" s="341"/>
    </row>
    <row r="24" spans="1:21" s="346" customFormat="1" x14ac:dyDescent="0.2">
      <c r="A24" s="341"/>
      <c r="B24" s="341"/>
      <c r="C24" s="350"/>
      <c r="D24" s="341"/>
      <c r="E24" s="341"/>
      <c r="F24" s="341"/>
      <c r="G24" s="341"/>
      <c r="K24" s="396"/>
      <c r="L24" s="396"/>
      <c r="M24" s="341"/>
      <c r="N24" s="396"/>
      <c r="O24" s="341"/>
      <c r="P24" s="397"/>
      <c r="Q24" s="397"/>
      <c r="R24" s="396"/>
      <c r="T24" s="341"/>
      <c r="U24" s="341"/>
    </row>
    <row r="25" spans="1:21" s="346" customFormat="1" x14ac:dyDescent="0.2">
      <c r="A25" s="341"/>
      <c r="B25" s="341"/>
      <c r="C25" s="350"/>
      <c r="D25" s="341"/>
      <c r="E25" s="341"/>
      <c r="F25" s="341"/>
      <c r="G25" s="341"/>
      <c r="K25" s="396"/>
      <c r="L25" s="396"/>
      <c r="M25" s="341"/>
      <c r="N25" s="396"/>
      <c r="O25" s="341"/>
      <c r="P25" s="397"/>
      <c r="Q25" s="397"/>
      <c r="R25" s="396"/>
      <c r="T25" s="341"/>
      <c r="U25" s="341"/>
    </row>
    <row r="26" spans="1:21" s="346" customFormat="1" x14ac:dyDescent="0.2">
      <c r="A26" s="341"/>
      <c r="B26" s="341"/>
      <c r="C26" s="350"/>
      <c r="D26" s="341"/>
      <c r="E26" s="341"/>
      <c r="F26" s="341"/>
      <c r="G26" s="341"/>
      <c r="K26" s="396"/>
      <c r="L26" s="396"/>
      <c r="M26" s="341"/>
      <c r="N26" s="396"/>
      <c r="O26" s="341"/>
      <c r="P26" s="397"/>
      <c r="Q26" s="397"/>
      <c r="R26" s="396"/>
      <c r="T26" s="341"/>
      <c r="U26" s="341"/>
    </row>
    <row r="27" spans="1:21" s="346" customFormat="1" x14ac:dyDescent="0.2">
      <c r="A27" s="341"/>
      <c r="B27" s="341"/>
      <c r="C27" s="350"/>
      <c r="D27" s="341"/>
      <c r="E27" s="341"/>
      <c r="F27" s="341"/>
      <c r="G27" s="341"/>
      <c r="K27" s="396"/>
      <c r="L27" s="396"/>
      <c r="M27" s="341"/>
      <c r="N27" s="396"/>
      <c r="O27" s="341"/>
      <c r="P27" s="397"/>
      <c r="Q27" s="397"/>
      <c r="R27" s="396"/>
      <c r="T27" s="341"/>
      <c r="U27" s="341"/>
    </row>
    <row r="28" spans="1:21" s="346" customFormat="1" x14ac:dyDescent="0.2">
      <c r="A28" s="341"/>
      <c r="B28" s="341"/>
      <c r="C28" s="350"/>
      <c r="D28" s="341"/>
      <c r="E28" s="341"/>
      <c r="F28" s="341"/>
      <c r="G28" s="341"/>
      <c r="K28" s="396"/>
      <c r="L28" s="396"/>
      <c r="M28" s="341"/>
      <c r="N28" s="396"/>
      <c r="O28" s="341"/>
      <c r="P28" s="397"/>
      <c r="Q28" s="397"/>
      <c r="R28" s="396"/>
      <c r="T28" s="341"/>
      <c r="U28" s="341"/>
    </row>
    <row r="29" spans="1:21" s="346" customFormat="1" x14ac:dyDescent="0.2">
      <c r="A29" s="341"/>
      <c r="B29" s="341"/>
      <c r="C29" s="350"/>
      <c r="D29" s="341"/>
      <c r="E29" s="341"/>
      <c r="F29" s="341"/>
      <c r="G29" s="341"/>
      <c r="K29" s="396"/>
      <c r="L29" s="396"/>
      <c r="M29" s="341"/>
      <c r="N29" s="396"/>
      <c r="O29" s="341"/>
      <c r="P29" s="397"/>
      <c r="Q29" s="397"/>
      <c r="R29" s="396"/>
      <c r="T29" s="341"/>
      <c r="U29" s="341"/>
    </row>
  </sheetData>
  <pageMargins left="0.19685039370078741" right="0" top="0.19685039370078741" bottom="0.19685039370078741" header="0.19685039370078741" footer="0.19685039370078741"/>
  <pageSetup paperSize="9" scale="94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view="pageBreakPreview" zoomScaleSheetLayoutView="100" workbookViewId="0">
      <pane ySplit="5" topLeftCell="A6" activePane="bottomLeft" state="frozen"/>
      <selection activeCell="A10" sqref="A9:XFD10"/>
      <selection pane="bottomLeft" activeCell="A10" sqref="A9:XFD10"/>
    </sheetView>
  </sheetViews>
  <sheetFormatPr defaultRowHeight="12" x14ac:dyDescent="0.2"/>
  <cols>
    <col min="1" max="1" width="1.5" style="354" customWidth="1"/>
    <col min="2" max="2" width="18.5" style="341" customWidth="1"/>
    <col min="3" max="3" width="7.125" style="341" customWidth="1"/>
    <col min="4" max="4" width="7.375" style="341" customWidth="1"/>
    <col min="5" max="5" width="7.5" style="341" customWidth="1"/>
    <col min="6" max="6" width="11.125" style="341" customWidth="1"/>
    <col min="7" max="7" width="6.5" style="341" customWidth="1"/>
    <col min="8" max="8" width="7.875" style="341" customWidth="1"/>
    <col min="9" max="9" width="9.375" style="341" customWidth="1"/>
    <col min="10" max="10" width="7.125" style="341" customWidth="1"/>
    <col min="11" max="11" width="7.875" style="341" customWidth="1"/>
    <col min="12" max="12" width="8.125" style="341" bestFit="1" customWidth="1"/>
    <col min="13" max="13" width="9.125" style="341" customWidth="1"/>
    <col min="14" max="14" width="5.5" style="341" customWidth="1"/>
    <col min="15" max="15" width="7.875" style="399" bestFit="1" customWidth="1"/>
    <col min="16" max="16" width="10.5" style="399" bestFit="1" customWidth="1"/>
    <col min="17" max="17" width="12.75" style="341" bestFit="1" customWidth="1"/>
    <col min="18" max="18" width="0.75" style="341" customWidth="1"/>
    <col min="19" max="23" width="13.75" customWidth="1"/>
    <col min="24" max="24" width="9.75" bestFit="1" customWidth="1"/>
    <col min="25" max="25" width="10.5" style="341" bestFit="1" customWidth="1"/>
    <col min="26" max="27" width="9" style="341"/>
    <col min="28" max="28" width="9.75" style="341" bestFit="1" customWidth="1"/>
    <col min="29" max="30" width="9" style="341"/>
    <col min="31" max="31" width="8.625" style="341" bestFit="1" customWidth="1"/>
    <col min="32" max="256" width="9" style="341"/>
    <col min="257" max="257" width="1.5" style="341" customWidth="1"/>
    <col min="258" max="258" width="18.5" style="341" customWidth="1"/>
    <col min="259" max="259" width="7.125" style="341" customWidth="1"/>
    <col min="260" max="260" width="7.375" style="341" customWidth="1"/>
    <col min="261" max="261" width="7.5" style="341" customWidth="1"/>
    <col min="262" max="262" width="11.125" style="341" customWidth="1"/>
    <col min="263" max="263" width="6.5" style="341" customWidth="1"/>
    <col min="264" max="264" width="7.875" style="341" customWidth="1"/>
    <col min="265" max="265" width="9.375" style="341" customWidth="1"/>
    <col min="266" max="266" width="7.125" style="341" customWidth="1"/>
    <col min="267" max="267" width="7.875" style="341" customWidth="1"/>
    <col min="268" max="268" width="8.125" style="341" bestFit="1" customWidth="1"/>
    <col min="269" max="269" width="9.125" style="341" customWidth="1"/>
    <col min="270" max="270" width="5.5" style="341" customWidth="1"/>
    <col min="271" max="271" width="7.875" style="341" bestFit="1" customWidth="1"/>
    <col min="272" max="272" width="10.5" style="341" bestFit="1" customWidth="1"/>
    <col min="273" max="273" width="12.75" style="341" bestFit="1" customWidth="1"/>
    <col min="274" max="274" width="0.75" style="341" customWidth="1"/>
    <col min="275" max="279" width="13.75" style="341" customWidth="1"/>
    <col min="280" max="280" width="9.75" style="341" bestFit="1" customWidth="1"/>
    <col min="281" max="281" width="10.5" style="341" bestFit="1" customWidth="1"/>
    <col min="282" max="283" width="9" style="341"/>
    <col min="284" max="284" width="9.75" style="341" bestFit="1" customWidth="1"/>
    <col min="285" max="286" width="9" style="341"/>
    <col min="287" max="287" width="8.625" style="341" bestFit="1" customWidth="1"/>
    <col min="288" max="512" width="9" style="341"/>
    <col min="513" max="513" width="1.5" style="341" customWidth="1"/>
    <col min="514" max="514" width="18.5" style="341" customWidth="1"/>
    <col min="515" max="515" width="7.125" style="341" customWidth="1"/>
    <col min="516" max="516" width="7.375" style="341" customWidth="1"/>
    <col min="517" max="517" width="7.5" style="341" customWidth="1"/>
    <col min="518" max="518" width="11.125" style="341" customWidth="1"/>
    <col min="519" max="519" width="6.5" style="341" customWidth="1"/>
    <col min="520" max="520" width="7.875" style="341" customWidth="1"/>
    <col min="521" max="521" width="9.375" style="341" customWidth="1"/>
    <col min="522" max="522" width="7.125" style="341" customWidth="1"/>
    <col min="523" max="523" width="7.875" style="341" customWidth="1"/>
    <col min="524" max="524" width="8.125" style="341" bestFit="1" customWidth="1"/>
    <col min="525" max="525" width="9.125" style="341" customWidth="1"/>
    <col min="526" max="526" width="5.5" style="341" customWidth="1"/>
    <col min="527" max="527" width="7.875" style="341" bestFit="1" customWidth="1"/>
    <col min="528" max="528" width="10.5" style="341" bestFit="1" customWidth="1"/>
    <col min="529" max="529" width="12.75" style="341" bestFit="1" customWidth="1"/>
    <col min="530" max="530" width="0.75" style="341" customWidth="1"/>
    <col min="531" max="535" width="13.75" style="341" customWidth="1"/>
    <col min="536" max="536" width="9.75" style="341" bestFit="1" customWidth="1"/>
    <col min="537" max="537" width="10.5" style="341" bestFit="1" customWidth="1"/>
    <col min="538" max="539" width="9" style="341"/>
    <col min="540" max="540" width="9.75" style="341" bestFit="1" customWidth="1"/>
    <col min="541" max="542" width="9" style="341"/>
    <col min="543" max="543" width="8.625" style="341" bestFit="1" customWidth="1"/>
    <col min="544" max="768" width="9" style="341"/>
    <col min="769" max="769" width="1.5" style="341" customWidth="1"/>
    <col min="770" max="770" width="18.5" style="341" customWidth="1"/>
    <col min="771" max="771" width="7.125" style="341" customWidth="1"/>
    <col min="772" max="772" width="7.375" style="341" customWidth="1"/>
    <col min="773" max="773" width="7.5" style="341" customWidth="1"/>
    <col min="774" max="774" width="11.125" style="341" customWidth="1"/>
    <col min="775" max="775" width="6.5" style="341" customWidth="1"/>
    <col min="776" max="776" width="7.875" style="341" customWidth="1"/>
    <col min="777" max="777" width="9.375" style="341" customWidth="1"/>
    <col min="778" max="778" width="7.125" style="341" customWidth="1"/>
    <col min="779" max="779" width="7.875" style="341" customWidth="1"/>
    <col min="780" max="780" width="8.125" style="341" bestFit="1" customWidth="1"/>
    <col min="781" max="781" width="9.125" style="341" customWidth="1"/>
    <col min="782" max="782" width="5.5" style="341" customWidth="1"/>
    <col min="783" max="783" width="7.875" style="341" bestFit="1" customWidth="1"/>
    <col min="784" max="784" width="10.5" style="341" bestFit="1" customWidth="1"/>
    <col min="785" max="785" width="12.75" style="341" bestFit="1" customWidth="1"/>
    <col min="786" max="786" width="0.75" style="341" customWidth="1"/>
    <col min="787" max="791" width="13.75" style="341" customWidth="1"/>
    <col min="792" max="792" width="9.75" style="341" bestFit="1" customWidth="1"/>
    <col min="793" max="793" width="10.5" style="341" bestFit="1" customWidth="1"/>
    <col min="794" max="795" width="9" style="341"/>
    <col min="796" max="796" width="9.75" style="341" bestFit="1" customWidth="1"/>
    <col min="797" max="798" width="9" style="341"/>
    <col min="799" max="799" width="8.625" style="341" bestFit="1" customWidth="1"/>
    <col min="800" max="1024" width="9" style="341"/>
    <col min="1025" max="1025" width="1.5" style="341" customWidth="1"/>
    <col min="1026" max="1026" width="18.5" style="341" customWidth="1"/>
    <col min="1027" max="1027" width="7.125" style="341" customWidth="1"/>
    <col min="1028" max="1028" width="7.375" style="341" customWidth="1"/>
    <col min="1029" max="1029" width="7.5" style="341" customWidth="1"/>
    <col min="1030" max="1030" width="11.125" style="341" customWidth="1"/>
    <col min="1031" max="1031" width="6.5" style="341" customWidth="1"/>
    <col min="1032" max="1032" width="7.875" style="341" customWidth="1"/>
    <col min="1033" max="1033" width="9.375" style="341" customWidth="1"/>
    <col min="1034" max="1034" width="7.125" style="341" customWidth="1"/>
    <col min="1035" max="1035" width="7.875" style="341" customWidth="1"/>
    <col min="1036" max="1036" width="8.125" style="341" bestFit="1" customWidth="1"/>
    <col min="1037" max="1037" width="9.125" style="341" customWidth="1"/>
    <col min="1038" max="1038" width="5.5" style="341" customWidth="1"/>
    <col min="1039" max="1039" width="7.875" style="341" bestFit="1" customWidth="1"/>
    <col min="1040" max="1040" width="10.5" style="341" bestFit="1" customWidth="1"/>
    <col min="1041" max="1041" width="12.75" style="341" bestFit="1" customWidth="1"/>
    <col min="1042" max="1042" width="0.75" style="341" customWidth="1"/>
    <col min="1043" max="1047" width="13.75" style="341" customWidth="1"/>
    <col min="1048" max="1048" width="9.75" style="341" bestFit="1" customWidth="1"/>
    <col min="1049" max="1049" width="10.5" style="341" bestFit="1" customWidth="1"/>
    <col min="1050" max="1051" width="9" style="341"/>
    <col min="1052" max="1052" width="9.75" style="341" bestFit="1" customWidth="1"/>
    <col min="1053" max="1054" width="9" style="341"/>
    <col min="1055" max="1055" width="8.625" style="341" bestFit="1" customWidth="1"/>
    <col min="1056" max="1280" width="9" style="341"/>
    <col min="1281" max="1281" width="1.5" style="341" customWidth="1"/>
    <col min="1282" max="1282" width="18.5" style="341" customWidth="1"/>
    <col min="1283" max="1283" width="7.125" style="341" customWidth="1"/>
    <col min="1284" max="1284" width="7.375" style="341" customWidth="1"/>
    <col min="1285" max="1285" width="7.5" style="341" customWidth="1"/>
    <col min="1286" max="1286" width="11.125" style="341" customWidth="1"/>
    <col min="1287" max="1287" width="6.5" style="341" customWidth="1"/>
    <col min="1288" max="1288" width="7.875" style="341" customWidth="1"/>
    <col min="1289" max="1289" width="9.375" style="341" customWidth="1"/>
    <col min="1290" max="1290" width="7.125" style="341" customWidth="1"/>
    <col min="1291" max="1291" width="7.875" style="341" customWidth="1"/>
    <col min="1292" max="1292" width="8.125" style="341" bestFit="1" customWidth="1"/>
    <col min="1293" max="1293" width="9.125" style="341" customWidth="1"/>
    <col min="1294" max="1294" width="5.5" style="341" customWidth="1"/>
    <col min="1295" max="1295" width="7.875" style="341" bestFit="1" customWidth="1"/>
    <col min="1296" max="1296" width="10.5" style="341" bestFit="1" customWidth="1"/>
    <col min="1297" max="1297" width="12.75" style="341" bestFit="1" customWidth="1"/>
    <col min="1298" max="1298" width="0.75" style="341" customWidth="1"/>
    <col min="1299" max="1303" width="13.75" style="341" customWidth="1"/>
    <col min="1304" max="1304" width="9.75" style="341" bestFit="1" customWidth="1"/>
    <col min="1305" max="1305" width="10.5" style="341" bestFit="1" customWidth="1"/>
    <col min="1306" max="1307" width="9" style="341"/>
    <col min="1308" max="1308" width="9.75" style="341" bestFit="1" customWidth="1"/>
    <col min="1309" max="1310" width="9" style="341"/>
    <col min="1311" max="1311" width="8.625" style="341" bestFit="1" customWidth="1"/>
    <col min="1312" max="1536" width="9" style="341"/>
    <col min="1537" max="1537" width="1.5" style="341" customWidth="1"/>
    <col min="1538" max="1538" width="18.5" style="341" customWidth="1"/>
    <col min="1539" max="1539" width="7.125" style="341" customWidth="1"/>
    <col min="1540" max="1540" width="7.375" style="341" customWidth="1"/>
    <col min="1541" max="1541" width="7.5" style="341" customWidth="1"/>
    <col min="1542" max="1542" width="11.125" style="341" customWidth="1"/>
    <col min="1543" max="1543" width="6.5" style="341" customWidth="1"/>
    <col min="1544" max="1544" width="7.875" style="341" customWidth="1"/>
    <col min="1545" max="1545" width="9.375" style="341" customWidth="1"/>
    <col min="1546" max="1546" width="7.125" style="341" customWidth="1"/>
    <col min="1547" max="1547" width="7.875" style="341" customWidth="1"/>
    <col min="1548" max="1548" width="8.125" style="341" bestFit="1" customWidth="1"/>
    <col min="1549" max="1549" width="9.125" style="341" customWidth="1"/>
    <col min="1550" max="1550" width="5.5" style="341" customWidth="1"/>
    <col min="1551" max="1551" width="7.875" style="341" bestFit="1" customWidth="1"/>
    <col min="1552" max="1552" width="10.5" style="341" bestFit="1" customWidth="1"/>
    <col min="1553" max="1553" width="12.75" style="341" bestFit="1" customWidth="1"/>
    <col min="1554" max="1554" width="0.75" style="341" customWidth="1"/>
    <col min="1555" max="1559" width="13.75" style="341" customWidth="1"/>
    <col min="1560" max="1560" width="9.75" style="341" bestFit="1" customWidth="1"/>
    <col min="1561" max="1561" width="10.5" style="341" bestFit="1" customWidth="1"/>
    <col min="1562" max="1563" width="9" style="341"/>
    <col min="1564" max="1564" width="9.75" style="341" bestFit="1" customWidth="1"/>
    <col min="1565" max="1566" width="9" style="341"/>
    <col min="1567" max="1567" width="8.625" style="341" bestFit="1" customWidth="1"/>
    <col min="1568" max="1792" width="9" style="341"/>
    <col min="1793" max="1793" width="1.5" style="341" customWidth="1"/>
    <col min="1794" max="1794" width="18.5" style="341" customWidth="1"/>
    <col min="1795" max="1795" width="7.125" style="341" customWidth="1"/>
    <col min="1796" max="1796" width="7.375" style="341" customWidth="1"/>
    <col min="1797" max="1797" width="7.5" style="341" customWidth="1"/>
    <col min="1798" max="1798" width="11.125" style="341" customWidth="1"/>
    <col min="1799" max="1799" width="6.5" style="341" customWidth="1"/>
    <col min="1800" max="1800" width="7.875" style="341" customWidth="1"/>
    <col min="1801" max="1801" width="9.375" style="341" customWidth="1"/>
    <col min="1802" max="1802" width="7.125" style="341" customWidth="1"/>
    <col min="1803" max="1803" width="7.875" style="341" customWidth="1"/>
    <col min="1804" max="1804" width="8.125" style="341" bestFit="1" customWidth="1"/>
    <col min="1805" max="1805" width="9.125" style="341" customWidth="1"/>
    <col min="1806" max="1806" width="5.5" style="341" customWidth="1"/>
    <col min="1807" max="1807" width="7.875" style="341" bestFit="1" customWidth="1"/>
    <col min="1808" max="1808" width="10.5" style="341" bestFit="1" customWidth="1"/>
    <col min="1809" max="1809" width="12.75" style="341" bestFit="1" customWidth="1"/>
    <col min="1810" max="1810" width="0.75" style="341" customWidth="1"/>
    <col min="1811" max="1815" width="13.75" style="341" customWidth="1"/>
    <col min="1816" max="1816" width="9.75" style="341" bestFit="1" customWidth="1"/>
    <col min="1817" max="1817" width="10.5" style="341" bestFit="1" customWidth="1"/>
    <col min="1818" max="1819" width="9" style="341"/>
    <col min="1820" max="1820" width="9.75" style="341" bestFit="1" customWidth="1"/>
    <col min="1821" max="1822" width="9" style="341"/>
    <col min="1823" max="1823" width="8.625" style="341" bestFit="1" customWidth="1"/>
    <col min="1824" max="2048" width="9" style="341"/>
    <col min="2049" max="2049" width="1.5" style="341" customWidth="1"/>
    <col min="2050" max="2050" width="18.5" style="341" customWidth="1"/>
    <col min="2051" max="2051" width="7.125" style="341" customWidth="1"/>
    <col min="2052" max="2052" width="7.375" style="341" customWidth="1"/>
    <col min="2053" max="2053" width="7.5" style="341" customWidth="1"/>
    <col min="2054" max="2054" width="11.125" style="341" customWidth="1"/>
    <col min="2055" max="2055" width="6.5" style="341" customWidth="1"/>
    <col min="2056" max="2056" width="7.875" style="341" customWidth="1"/>
    <col min="2057" max="2057" width="9.375" style="341" customWidth="1"/>
    <col min="2058" max="2058" width="7.125" style="341" customWidth="1"/>
    <col min="2059" max="2059" width="7.875" style="341" customWidth="1"/>
    <col min="2060" max="2060" width="8.125" style="341" bestFit="1" customWidth="1"/>
    <col min="2061" max="2061" width="9.125" style="341" customWidth="1"/>
    <col min="2062" max="2062" width="5.5" style="341" customWidth="1"/>
    <col min="2063" max="2063" width="7.875" style="341" bestFit="1" customWidth="1"/>
    <col min="2064" max="2064" width="10.5" style="341" bestFit="1" customWidth="1"/>
    <col min="2065" max="2065" width="12.75" style="341" bestFit="1" customWidth="1"/>
    <col min="2066" max="2066" width="0.75" style="341" customWidth="1"/>
    <col min="2067" max="2071" width="13.75" style="341" customWidth="1"/>
    <col min="2072" max="2072" width="9.75" style="341" bestFit="1" customWidth="1"/>
    <col min="2073" max="2073" width="10.5" style="341" bestFit="1" customWidth="1"/>
    <col min="2074" max="2075" width="9" style="341"/>
    <col min="2076" max="2076" width="9.75" style="341" bestFit="1" customWidth="1"/>
    <col min="2077" max="2078" width="9" style="341"/>
    <col min="2079" max="2079" width="8.625" style="341" bestFit="1" customWidth="1"/>
    <col min="2080" max="2304" width="9" style="341"/>
    <col min="2305" max="2305" width="1.5" style="341" customWidth="1"/>
    <col min="2306" max="2306" width="18.5" style="341" customWidth="1"/>
    <col min="2307" max="2307" width="7.125" style="341" customWidth="1"/>
    <col min="2308" max="2308" width="7.375" style="341" customWidth="1"/>
    <col min="2309" max="2309" width="7.5" style="341" customWidth="1"/>
    <col min="2310" max="2310" width="11.125" style="341" customWidth="1"/>
    <col min="2311" max="2311" width="6.5" style="341" customWidth="1"/>
    <col min="2312" max="2312" width="7.875" style="341" customWidth="1"/>
    <col min="2313" max="2313" width="9.375" style="341" customWidth="1"/>
    <col min="2314" max="2314" width="7.125" style="341" customWidth="1"/>
    <col min="2315" max="2315" width="7.875" style="341" customWidth="1"/>
    <col min="2316" max="2316" width="8.125" style="341" bestFit="1" customWidth="1"/>
    <col min="2317" max="2317" width="9.125" style="341" customWidth="1"/>
    <col min="2318" max="2318" width="5.5" style="341" customWidth="1"/>
    <col min="2319" max="2319" width="7.875" style="341" bestFit="1" customWidth="1"/>
    <col min="2320" max="2320" width="10.5" style="341" bestFit="1" customWidth="1"/>
    <col min="2321" max="2321" width="12.75" style="341" bestFit="1" customWidth="1"/>
    <col min="2322" max="2322" width="0.75" style="341" customWidth="1"/>
    <col min="2323" max="2327" width="13.75" style="341" customWidth="1"/>
    <col min="2328" max="2328" width="9.75" style="341" bestFit="1" customWidth="1"/>
    <col min="2329" max="2329" width="10.5" style="341" bestFit="1" customWidth="1"/>
    <col min="2330" max="2331" width="9" style="341"/>
    <col min="2332" max="2332" width="9.75" style="341" bestFit="1" customWidth="1"/>
    <col min="2333" max="2334" width="9" style="341"/>
    <col min="2335" max="2335" width="8.625" style="341" bestFit="1" customWidth="1"/>
    <col min="2336" max="2560" width="9" style="341"/>
    <col min="2561" max="2561" width="1.5" style="341" customWidth="1"/>
    <col min="2562" max="2562" width="18.5" style="341" customWidth="1"/>
    <col min="2563" max="2563" width="7.125" style="341" customWidth="1"/>
    <col min="2564" max="2564" width="7.375" style="341" customWidth="1"/>
    <col min="2565" max="2565" width="7.5" style="341" customWidth="1"/>
    <col min="2566" max="2566" width="11.125" style="341" customWidth="1"/>
    <col min="2567" max="2567" width="6.5" style="341" customWidth="1"/>
    <col min="2568" max="2568" width="7.875" style="341" customWidth="1"/>
    <col min="2569" max="2569" width="9.375" style="341" customWidth="1"/>
    <col min="2570" max="2570" width="7.125" style="341" customWidth="1"/>
    <col min="2571" max="2571" width="7.875" style="341" customWidth="1"/>
    <col min="2572" max="2572" width="8.125" style="341" bestFit="1" customWidth="1"/>
    <col min="2573" max="2573" width="9.125" style="341" customWidth="1"/>
    <col min="2574" max="2574" width="5.5" style="341" customWidth="1"/>
    <col min="2575" max="2575" width="7.875" style="341" bestFit="1" customWidth="1"/>
    <col min="2576" max="2576" width="10.5" style="341" bestFit="1" customWidth="1"/>
    <col min="2577" max="2577" width="12.75" style="341" bestFit="1" customWidth="1"/>
    <col min="2578" max="2578" width="0.75" style="341" customWidth="1"/>
    <col min="2579" max="2583" width="13.75" style="341" customWidth="1"/>
    <col min="2584" max="2584" width="9.75" style="341" bestFit="1" customWidth="1"/>
    <col min="2585" max="2585" width="10.5" style="341" bestFit="1" customWidth="1"/>
    <col min="2586" max="2587" width="9" style="341"/>
    <col min="2588" max="2588" width="9.75" style="341" bestFit="1" customWidth="1"/>
    <col min="2589" max="2590" width="9" style="341"/>
    <col min="2591" max="2591" width="8.625" style="341" bestFit="1" customWidth="1"/>
    <col min="2592" max="2816" width="9" style="341"/>
    <col min="2817" max="2817" width="1.5" style="341" customWidth="1"/>
    <col min="2818" max="2818" width="18.5" style="341" customWidth="1"/>
    <col min="2819" max="2819" width="7.125" style="341" customWidth="1"/>
    <col min="2820" max="2820" width="7.375" style="341" customWidth="1"/>
    <col min="2821" max="2821" width="7.5" style="341" customWidth="1"/>
    <col min="2822" max="2822" width="11.125" style="341" customWidth="1"/>
    <col min="2823" max="2823" width="6.5" style="341" customWidth="1"/>
    <col min="2824" max="2824" width="7.875" style="341" customWidth="1"/>
    <col min="2825" max="2825" width="9.375" style="341" customWidth="1"/>
    <col min="2826" max="2826" width="7.125" style="341" customWidth="1"/>
    <col min="2827" max="2827" width="7.875" style="341" customWidth="1"/>
    <col min="2828" max="2828" width="8.125" style="341" bestFit="1" customWidth="1"/>
    <col min="2829" max="2829" width="9.125" style="341" customWidth="1"/>
    <col min="2830" max="2830" width="5.5" style="341" customWidth="1"/>
    <col min="2831" max="2831" width="7.875" style="341" bestFit="1" customWidth="1"/>
    <col min="2832" max="2832" width="10.5" style="341" bestFit="1" customWidth="1"/>
    <col min="2833" max="2833" width="12.75" style="341" bestFit="1" customWidth="1"/>
    <col min="2834" max="2834" width="0.75" style="341" customWidth="1"/>
    <col min="2835" max="2839" width="13.75" style="341" customWidth="1"/>
    <col min="2840" max="2840" width="9.75" style="341" bestFit="1" customWidth="1"/>
    <col min="2841" max="2841" width="10.5" style="341" bestFit="1" customWidth="1"/>
    <col min="2842" max="2843" width="9" style="341"/>
    <col min="2844" max="2844" width="9.75" style="341" bestFit="1" customWidth="1"/>
    <col min="2845" max="2846" width="9" style="341"/>
    <col min="2847" max="2847" width="8.625" style="341" bestFit="1" customWidth="1"/>
    <col min="2848" max="3072" width="9" style="341"/>
    <col min="3073" max="3073" width="1.5" style="341" customWidth="1"/>
    <col min="3074" max="3074" width="18.5" style="341" customWidth="1"/>
    <col min="3075" max="3075" width="7.125" style="341" customWidth="1"/>
    <col min="3076" max="3076" width="7.375" style="341" customWidth="1"/>
    <col min="3077" max="3077" width="7.5" style="341" customWidth="1"/>
    <col min="3078" max="3078" width="11.125" style="341" customWidth="1"/>
    <col min="3079" max="3079" width="6.5" style="341" customWidth="1"/>
    <col min="3080" max="3080" width="7.875" style="341" customWidth="1"/>
    <col min="3081" max="3081" width="9.375" style="341" customWidth="1"/>
    <col min="3082" max="3082" width="7.125" style="341" customWidth="1"/>
    <col min="3083" max="3083" width="7.875" style="341" customWidth="1"/>
    <col min="3084" max="3084" width="8.125" style="341" bestFit="1" customWidth="1"/>
    <col min="3085" max="3085" width="9.125" style="341" customWidth="1"/>
    <col min="3086" max="3086" width="5.5" style="341" customWidth="1"/>
    <col min="3087" max="3087" width="7.875" style="341" bestFit="1" customWidth="1"/>
    <col min="3088" max="3088" width="10.5" style="341" bestFit="1" customWidth="1"/>
    <col min="3089" max="3089" width="12.75" style="341" bestFit="1" customWidth="1"/>
    <col min="3090" max="3090" width="0.75" style="341" customWidth="1"/>
    <col min="3091" max="3095" width="13.75" style="341" customWidth="1"/>
    <col min="3096" max="3096" width="9.75" style="341" bestFit="1" customWidth="1"/>
    <col min="3097" max="3097" width="10.5" style="341" bestFit="1" customWidth="1"/>
    <col min="3098" max="3099" width="9" style="341"/>
    <col min="3100" max="3100" width="9.75" style="341" bestFit="1" customWidth="1"/>
    <col min="3101" max="3102" width="9" style="341"/>
    <col min="3103" max="3103" width="8.625" style="341" bestFit="1" customWidth="1"/>
    <col min="3104" max="3328" width="9" style="341"/>
    <col min="3329" max="3329" width="1.5" style="341" customWidth="1"/>
    <col min="3330" max="3330" width="18.5" style="341" customWidth="1"/>
    <col min="3331" max="3331" width="7.125" style="341" customWidth="1"/>
    <col min="3332" max="3332" width="7.375" style="341" customWidth="1"/>
    <col min="3333" max="3333" width="7.5" style="341" customWidth="1"/>
    <col min="3334" max="3334" width="11.125" style="341" customWidth="1"/>
    <col min="3335" max="3335" width="6.5" style="341" customWidth="1"/>
    <col min="3336" max="3336" width="7.875" style="341" customWidth="1"/>
    <col min="3337" max="3337" width="9.375" style="341" customWidth="1"/>
    <col min="3338" max="3338" width="7.125" style="341" customWidth="1"/>
    <col min="3339" max="3339" width="7.875" style="341" customWidth="1"/>
    <col min="3340" max="3340" width="8.125" style="341" bestFit="1" customWidth="1"/>
    <col min="3341" max="3341" width="9.125" style="341" customWidth="1"/>
    <col min="3342" max="3342" width="5.5" style="341" customWidth="1"/>
    <col min="3343" max="3343" width="7.875" style="341" bestFit="1" customWidth="1"/>
    <col min="3344" max="3344" width="10.5" style="341" bestFit="1" customWidth="1"/>
    <col min="3345" max="3345" width="12.75" style="341" bestFit="1" customWidth="1"/>
    <col min="3346" max="3346" width="0.75" style="341" customWidth="1"/>
    <col min="3347" max="3351" width="13.75" style="341" customWidth="1"/>
    <col min="3352" max="3352" width="9.75" style="341" bestFit="1" customWidth="1"/>
    <col min="3353" max="3353" width="10.5" style="341" bestFit="1" customWidth="1"/>
    <col min="3354" max="3355" width="9" style="341"/>
    <col min="3356" max="3356" width="9.75" style="341" bestFit="1" customWidth="1"/>
    <col min="3357" max="3358" width="9" style="341"/>
    <col min="3359" max="3359" width="8.625" style="341" bestFit="1" customWidth="1"/>
    <col min="3360" max="3584" width="9" style="341"/>
    <col min="3585" max="3585" width="1.5" style="341" customWidth="1"/>
    <col min="3586" max="3586" width="18.5" style="341" customWidth="1"/>
    <col min="3587" max="3587" width="7.125" style="341" customWidth="1"/>
    <col min="3588" max="3588" width="7.375" style="341" customWidth="1"/>
    <col min="3589" max="3589" width="7.5" style="341" customWidth="1"/>
    <col min="3590" max="3590" width="11.125" style="341" customWidth="1"/>
    <col min="3591" max="3591" width="6.5" style="341" customWidth="1"/>
    <col min="3592" max="3592" width="7.875" style="341" customWidth="1"/>
    <col min="3593" max="3593" width="9.375" style="341" customWidth="1"/>
    <col min="3594" max="3594" width="7.125" style="341" customWidth="1"/>
    <col min="3595" max="3595" width="7.875" style="341" customWidth="1"/>
    <col min="3596" max="3596" width="8.125" style="341" bestFit="1" customWidth="1"/>
    <col min="3597" max="3597" width="9.125" style="341" customWidth="1"/>
    <col min="3598" max="3598" width="5.5" style="341" customWidth="1"/>
    <col min="3599" max="3599" width="7.875" style="341" bestFit="1" customWidth="1"/>
    <col min="3600" max="3600" width="10.5" style="341" bestFit="1" customWidth="1"/>
    <col min="3601" max="3601" width="12.75" style="341" bestFit="1" customWidth="1"/>
    <col min="3602" max="3602" width="0.75" style="341" customWidth="1"/>
    <col min="3603" max="3607" width="13.75" style="341" customWidth="1"/>
    <col min="3608" max="3608" width="9.75" style="341" bestFit="1" customWidth="1"/>
    <col min="3609" max="3609" width="10.5" style="341" bestFit="1" customWidth="1"/>
    <col min="3610" max="3611" width="9" style="341"/>
    <col min="3612" max="3612" width="9.75" style="341" bestFit="1" customWidth="1"/>
    <col min="3613" max="3614" width="9" style="341"/>
    <col min="3615" max="3615" width="8.625" style="341" bestFit="1" customWidth="1"/>
    <col min="3616" max="3840" width="9" style="341"/>
    <col min="3841" max="3841" width="1.5" style="341" customWidth="1"/>
    <col min="3842" max="3842" width="18.5" style="341" customWidth="1"/>
    <col min="3843" max="3843" width="7.125" style="341" customWidth="1"/>
    <col min="3844" max="3844" width="7.375" style="341" customWidth="1"/>
    <col min="3845" max="3845" width="7.5" style="341" customWidth="1"/>
    <col min="3846" max="3846" width="11.125" style="341" customWidth="1"/>
    <col min="3847" max="3847" width="6.5" style="341" customWidth="1"/>
    <col min="3848" max="3848" width="7.875" style="341" customWidth="1"/>
    <col min="3849" max="3849" width="9.375" style="341" customWidth="1"/>
    <col min="3850" max="3850" width="7.125" style="341" customWidth="1"/>
    <col min="3851" max="3851" width="7.875" style="341" customWidth="1"/>
    <col min="3852" max="3852" width="8.125" style="341" bestFit="1" customWidth="1"/>
    <col min="3853" max="3853" width="9.125" style="341" customWidth="1"/>
    <col min="3854" max="3854" width="5.5" style="341" customWidth="1"/>
    <col min="3855" max="3855" width="7.875" style="341" bestFit="1" customWidth="1"/>
    <col min="3856" max="3856" width="10.5" style="341" bestFit="1" customWidth="1"/>
    <col min="3857" max="3857" width="12.75" style="341" bestFit="1" customWidth="1"/>
    <col min="3858" max="3858" width="0.75" style="341" customWidth="1"/>
    <col min="3859" max="3863" width="13.75" style="341" customWidth="1"/>
    <col min="3864" max="3864" width="9.75" style="341" bestFit="1" customWidth="1"/>
    <col min="3865" max="3865" width="10.5" style="341" bestFit="1" customWidth="1"/>
    <col min="3866" max="3867" width="9" style="341"/>
    <col min="3868" max="3868" width="9.75" style="341" bestFit="1" customWidth="1"/>
    <col min="3869" max="3870" width="9" style="341"/>
    <col min="3871" max="3871" width="8.625" style="341" bestFit="1" customWidth="1"/>
    <col min="3872" max="4096" width="9" style="341"/>
    <col min="4097" max="4097" width="1.5" style="341" customWidth="1"/>
    <col min="4098" max="4098" width="18.5" style="341" customWidth="1"/>
    <col min="4099" max="4099" width="7.125" style="341" customWidth="1"/>
    <col min="4100" max="4100" width="7.375" style="341" customWidth="1"/>
    <col min="4101" max="4101" width="7.5" style="341" customWidth="1"/>
    <col min="4102" max="4102" width="11.125" style="341" customWidth="1"/>
    <col min="4103" max="4103" width="6.5" style="341" customWidth="1"/>
    <col min="4104" max="4104" width="7.875" style="341" customWidth="1"/>
    <col min="4105" max="4105" width="9.375" style="341" customWidth="1"/>
    <col min="4106" max="4106" width="7.125" style="341" customWidth="1"/>
    <col min="4107" max="4107" width="7.875" style="341" customWidth="1"/>
    <col min="4108" max="4108" width="8.125" style="341" bestFit="1" customWidth="1"/>
    <col min="4109" max="4109" width="9.125" style="341" customWidth="1"/>
    <col min="4110" max="4110" width="5.5" style="341" customWidth="1"/>
    <col min="4111" max="4111" width="7.875" style="341" bestFit="1" customWidth="1"/>
    <col min="4112" max="4112" width="10.5" style="341" bestFit="1" customWidth="1"/>
    <col min="4113" max="4113" width="12.75" style="341" bestFit="1" customWidth="1"/>
    <col min="4114" max="4114" width="0.75" style="341" customWidth="1"/>
    <col min="4115" max="4119" width="13.75" style="341" customWidth="1"/>
    <col min="4120" max="4120" width="9.75" style="341" bestFit="1" customWidth="1"/>
    <col min="4121" max="4121" width="10.5" style="341" bestFit="1" customWidth="1"/>
    <col min="4122" max="4123" width="9" style="341"/>
    <col min="4124" max="4124" width="9.75" style="341" bestFit="1" customWidth="1"/>
    <col min="4125" max="4126" width="9" style="341"/>
    <col min="4127" max="4127" width="8.625" style="341" bestFit="1" customWidth="1"/>
    <col min="4128" max="4352" width="9" style="341"/>
    <col min="4353" max="4353" width="1.5" style="341" customWidth="1"/>
    <col min="4354" max="4354" width="18.5" style="341" customWidth="1"/>
    <col min="4355" max="4355" width="7.125" style="341" customWidth="1"/>
    <col min="4356" max="4356" width="7.375" style="341" customWidth="1"/>
    <col min="4357" max="4357" width="7.5" style="341" customWidth="1"/>
    <col min="4358" max="4358" width="11.125" style="341" customWidth="1"/>
    <col min="4359" max="4359" width="6.5" style="341" customWidth="1"/>
    <col min="4360" max="4360" width="7.875" style="341" customWidth="1"/>
    <col min="4361" max="4361" width="9.375" style="341" customWidth="1"/>
    <col min="4362" max="4362" width="7.125" style="341" customWidth="1"/>
    <col min="4363" max="4363" width="7.875" style="341" customWidth="1"/>
    <col min="4364" max="4364" width="8.125" style="341" bestFit="1" customWidth="1"/>
    <col min="4365" max="4365" width="9.125" style="341" customWidth="1"/>
    <col min="4366" max="4366" width="5.5" style="341" customWidth="1"/>
    <col min="4367" max="4367" width="7.875" style="341" bestFit="1" customWidth="1"/>
    <col min="4368" max="4368" width="10.5" style="341" bestFit="1" customWidth="1"/>
    <col min="4369" max="4369" width="12.75" style="341" bestFit="1" customWidth="1"/>
    <col min="4370" max="4370" width="0.75" style="341" customWidth="1"/>
    <col min="4371" max="4375" width="13.75" style="341" customWidth="1"/>
    <col min="4376" max="4376" width="9.75" style="341" bestFit="1" customWidth="1"/>
    <col min="4377" max="4377" width="10.5" style="341" bestFit="1" customWidth="1"/>
    <col min="4378" max="4379" width="9" style="341"/>
    <col min="4380" max="4380" width="9.75" style="341" bestFit="1" customWidth="1"/>
    <col min="4381" max="4382" width="9" style="341"/>
    <col min="4383" max="4383" width="8.625" style="341" bestFit="1" customWidth="1"/>
    <col min="4384" max="4608" width="9" style="341"/>
    <col min="4609" max="4609" width="1.5" style="341" customWidth="1"/>
    <col min="4610" max="4610" width="18.5" style="341" customWidth="1"/>
    <col min="4611" max="4611" width="7.125" style="341" customWidth="1"/>
    <col min="4612" max="4612" width="7.375" style="341" customWidth="1"/>
    <col min="4613" max="4613" width="7.5" style="341" customWidth="1"/>
    <col min="4614" max="4614" width="11.125" style="341" customWidth="1"/>
    <col min="4615" max="4615" width="6.5" style="341" customWidth="1"/>
    <col min="4616" max="4616" width="7.875" style="341" customWidth="1"/>
    <col min="4617" max="4617" width="9.375" style="341" customWidth="1"/>
    <col min="4618" max="4618" width="7.125" style="341" customWidth="1"/>
    <col min="4619" max="4619" width="7.875" style="341" customWidth="1"/>
    <col min="4620" max="4620" width="8.125" style="341" bestFit="1" customWidth="1"/>
    <col min="4621" max="4621" width="9.125" style="341" customWidth="1"/>
    <col min="4622" max="4622" width="5.5" style="341" customWidth="1"/>
    <col min="4623" max="4623" width="7.875" style="341" bestFit="1" customWidth="1"/>
    <col min="4624" max="4624" width="10.5" style="341" bestFit="1" customWidth="1"/>
    <col min="4625" max="4625" width="12.75" style="341" bestFit="1" customWidth="1"/>
    <col min="4626" max="4626" width="0.75" style="341" customWidth="1"/>
    <col min="4627" max="4631" width="13.75" style="341" customWidth="1"/>
    <col min="4632" max="4632" width="9.75" style="341" bestFit="1" customWidth="1"/>
    <col min="4633" max="4633" width="10.5" style="341" bestFit="1" customWidth="1"/>
    <col min="4634" max="4635" width="9" style="341"/>
    <col min="4636" max="4636" width="9.75" style="341" bestFit="1" customWidth="1"/>
    <col min="4637" max="4638" width="9" style="341"/>
    <col min="4639" max="4639" width="8.625" style="341" bestFit="1" customWidth="1"/>
    <col min="4640" max="4864" width="9" style="341"/>
    <col min="4865" max="4865" width="1.5" style="341" customWidth="1"/>
    <col min="4866" max="4866" width="18.5" style="341" customWidth="1"/>
    <col min="4867" max="4867" width="7.125" style="341" customWidth="1"/>
    <col min="4868" max="4868" width="7.375" style="341" customWidth="1"/>
    <col min="4869" max="4869" width="7.5" style="341" customWidth="1"/>
    <col min="4870" max="4870" width="11.125" style="341" customWidth="1"/>
    <col min="4871" max="4871" width="6.5" style="341" customWidth="1"/>
    <col min="4872" max="4872" width="7.875" style="341" customWidth="1"/>
    <col min="4873" max="4873" width="9.375" style="341" customWidth="1"/>
    <col min="4874" max="4874" width="7.125" style="341" customWidth="1"/>
    <col min="4875" max="4875" width="7.875" style="341" customWidth="1"/>
    <col min="4876" max="4876" width="8.125" style="341" bestFit="1" customWidth="1"/>
    <col min="4877" max="4877" width="9.125" style="341" customWidth="1"/>
    <col min="4878" max="4878" width="5.5" style="341" customWidth="1"/>
    <col min="4879" max="4879" width="7.875" style="341" bestFit="1" customWidth="1"/>
    <col min="4880" max="4880" width="10.5" style="341" bestFit="1" customWidth="1"/>
    <col min="4881" max="4881" width="12.75" style="341" bestFit="1" customWidth="1"/>
    <col min="4882" max="4882" width="0.75" style="341" customWidth="1"/>
    <col min="4883" max="4887" width="13.75" style="341" customWidth="1"/>
    <col min="4888" max="4888" width="9.75" style="341" bestFit="1" customWidth="1"/>
    <col min="4889" max="4889" width="10.5" style="341" bestFit="1" customWidth="1"/>
    <col min="4890" max="4891" width="9" style="341"/>
    <col min="4892" max="4892" width="9.75" style="341" bestFit="1" customWidth="1"/>
    <col min="4893" max="4894" width="9" style="341"/>
    <col min="4895" max="4895" width="8.625" style="341" bestFit="1" customWidth="1"/>
    <col min="4896" max="5120" width="9" style="341"/>
    <col min="5121" max="5121" width="1.5" style="341" customWidth="1"/>
    <col min="5122" max="5122" width="18.5" style="341" customWidth="1"/>
    <col min="5123" max="5123" width="7.125" style="341" customWidth="1"/>
    <col min="5124" max="5124" width="7.375" style="341" customWidth="1"/>
    <col min="5125" max="5125" width="7.5" style="341" customWidth="1"/>
    <col min="5126" max="5126" width="11.125" style="341" customWidth="1"/>
    <col min="5127" max="5127" width="6.5" style="341" customWidth="1"/>
    <col min="5128" max="5128" width="7.875" style="341" customWidth="1"/>
    <col min="5129" max="5129" width="9.375" style="341" customWidth="1"/>
    <col min="5130" max="5130" width="7.125" style="341" customWidth="1"/>
    <col min="5131" max="5131" width="7.875" style="341" customWidth="1"/>
    <col min="5132" max="5132" width="8.125" style="341" bestFit="1" customWidth="1"/>
    <col min="5133" max="5133" width="9.125" style="341" customWidth="1"/>
    <col min="5134" max="5134" width="5.5" style="341" customWidth="1"/>
    <col min="5135" max="5135" width="7.875" style="341" bestFit="1" customWidth="1"/>
    <col min="5136" max="5136" width="10.5" style="341" bestFit="1" customWidth="1"/>
    <col min="5137" max="5137" width="12.75" style="341" bestFit="1" customWidth="1"/>
    <col min="5138" max="5138" width="0.75" style="341" customWidth="1"/>
    <col min="5139" max="5143" width="13.75" style="341" customWidth="1"/>
    <col min="5144" max="5144" width="9.75" style="341" bestFit="1" customWidth="1"/>
    <col min="5145" max="5145" width="10.5" style="341" bestFit="1" customWidth="1"/>
    <col min="5146" max="5147" width="9" style="341"/>
    <col min="5148" max="5148" width="9.75" style="341" bestFit="1" customWidth="1"/>
    <col min="5149" max="5150" width="9" style="341"/>
    <col min="5151" max="5151" width="8.625" style="341" bestFit="1" customWidth="1"/>
    <col min="5152" max="5376" width="9" style="341"/>
    <col min="5377" max="5377" width="1.5" style="341" customWidth="1"/>
    <col min="5378" max="5378" width="18.5" style="341" customWidth="1"/>
    <col min="5379" max="5379" width="7.125" style="341" customWidth="1"/>
    <col min="5380" max="5380" width="7.375" style="341" customWidth="1"/>
    <col min="5381" max="5381" width="7.5" style="341" customWidth="1"/>
    <col min="5382" max="5382" width="11.125" style="341" customWidth="1"/>
    <col min="5383" max="5383" width="6.5" style="341" customWidth="1"/>
    <col min="5384" max="5384" width="7.875" style="341" customWidth="1"/>
    <col min="5385" max="5385" width="9.375" style="341" customWidth="1"/>
    <col min="5386" max="5386" width="7.125" style="341" customWidth="1"/>
    <col min="5387" max="5387" width="7.875" style="341" customWidth="1"/>
    <col min="5388" max="5388" width="8.125" style="341" bestFit="1" customWidth="1"/>
    <col min="5389" max="5389" width="9.125" style="341" customWidth="1"/>
    <col min="5390" max="5390" width="5.5" style="341" customWidth="1"/>
    <col min="5391" max="5391" width="7.875" style="341" bestFit="1" customWidth="1"/>
    <col min="5392" max="5392" width="10.5" style="341" bestFit="1" customWidth="1"/>
    <col min="5393" max="5393" width="12.75" style="341" bestFit="1" customWidth="1"/>
    <col min="5394" max="5394" width="0.75" style="341" customWidth="1"/>
    <col min="5395" max="5399" width="13.75" style="341" customWidth="1"/>
    <col min="5400" max="5400" width="9.75" style="341" bestFit="1" customWidth="1"/>
    <col min="5401" max="5401" width="10.5" style="341" bestFit="1" customWidth="1"/>
    <col min="5402" max="5403" width="9" style="341"/>
    <col min="5404" max="5404" width="9.75" style="341" bestFit="1" customWidth="1"/>
    <col min="5405" max="5406" width="9" style="341"/>
    <col min="5407" max="5407" width="8.625" style="341" bestFit="1" customWidth="1"/>
    <col min="5408" max="5632" width="9" style="341"/>
    <col min="5633" max="5633" width="1.5" style="341" customWidth="1"/>
    <col min="5634" max="5634" width="18.5" style="341" customWidth="1"/>
    <col min="5635" max="5635" width="7.125" style="341" customWidth="1"/>
    <col min="5636" max="5636" width="7.375" style="341" customWidth="1"/>
    <col min="5637" max="5637" width="7.5" style="341" customWidth="1"/>
    <col min="5638" max="5638" width="11.125" style="341" customWidth="1"/>
    <col min="5639" max="5639" width="6.5" style="341" customWidth="1"/>
    <col min="5640" max="5640" width="7.875" style="341" customWidth="1"/>
    <col min="5641" max="5641" width="9.375" style="341" customWidth="1"/>
    <col min="5642" max="5642" width="7.125" style="341" customWidth="1"/>
    <col min="5643" max="5643" width="7.875" style="341" customWidth="1"/>
    <col min="5644" max="5644" width="8.125" style="341" bestFit="1" customWidth="1"/>
    <col min="5645" max="5645" width="9.125" style="341" customWidth="1"/>
    <col min="5646" max="5646" width="5.5" style="341" customWidth="1"/>
    <col min="5647" max="5647" width="7.875" style="341" bestFit="1" customWidth="1"/>
    <col min="5648" max="5648" width="10.5" style="341" bestFit="1" customWidth="1"/>
    <col min="5649" max="5649" width="12.75" style="341" bestFit="1" customWidth="1"/>
    <col min="5650" max="5650" width="0.75" style="341" customWidth="1"/>
    <col min="5651" max="5655" width="13.75" style="341" customWidth="1"/>
    <col min="5656" max="5656" width="9.75" style="341" bestFit="1" customWidth="1"/>
    <col min="5657" max="5657" width="10.5" style="341" bestFit="1" customWidth="1"/>
    <col min="5658" max="5659" width="9" style="341"/>
    <col min="5660" max="5660" width="9.75" style="341" bestFit="1" customWidth="1"/>
    <col min="5661" max="5662" width="9" style="341"/>
    <col min="5663" max="5663" width="8.625" style="341" bestFit="1" customWidth="1"/>
    <col min="5664" max="5888" width="9" style="341"/>
    <col min="5889" max="5889" width="1.5" style="341" customWidth="1"/>
    <col min="5890" max="5890" width="18.5" style="341" customWidth="1"/>
    <col min="5891" max="5891" width="7.125" style="341" customWidth="1"/>
    <col min="5892" max="5892" width="7.375" style="341" customWidth="1"/>
    <col min="5893" max="5893" width="7.5" style="341" customWidth="1"/>
    <col min="5894" max="5894" width="11.125" style="341" customWidth="1"/>
    <col min="5895" max="5895" width="6.5" style="341" customWidth="1"/>
    <col min="5896" max="5896" width="7.875" style="341" customWidth="1"/>
    <col min="5897" max="5897" width="9.375" style="341" customWidth="1"/>
    <col min="5898" max="5898" width="7.125" style="341" customWidth="1"/>
    <col min="5899" max="5899" width="7.875" style="341" customWidth="1"/>
    <col min="5900" max="5900" width="8.125" style="341" bestFit="1" customWidth="1"/>
    <col min="5901" max="5901" width="9.125" style="341" customWidth="1"/>
    <col min="5902" max="5902" width="5.5" style="341" customWidth="1"/>
    <col min="5903" max="5903" width="7.875" style="341" bestFit="1" customWidth="1"/>
    <col min="5904" max="5904" width="10.5" style="341" bestFit="1" customWidth="1"/>
    <col min="5905" max="5905" width="12.75" style="341" bestFit="1" customWidth="1"/>
    <col min="5906" max="5906" width="0.75" style="341" customWidth="1"/>
    <col min="5907" max="5911" width="13.75" style="341" customWidth="1"/>
    <col min="5912" max="5912" width="9.75" style="341" bestFit="1" customWidth="1"/>
    <col min="5913" max="5913" width="10.5" style="341" bestFit="1" customWidth="1"/>
    <col min="5914" max="5915" width="9" style="341"/>
    <col min="5916" max="5916" width="9.75" style="341" bestFit="1" customWidth="1"/>
    <col min="5917" max="5918" width="9" style="341"/>
    <col min="5919" max="5919" width="8.625" style="341" bestFit="1" customWidth="1"/>
    <col min="5920" max="6144" width="9" style="341"/>
    <col min="6145" max="6145" width="1.5" style="341" customWidth="1"/>
    <col min="6146" max="6146" width="18.5" style="341" customWidth="1"/>
    <col min="6147" max="6147" width="7.125" style="341" customWidth="1"/>
    <col min="6148" max="6148" width="7.375" style="341" customWidth="1"/>
    <col min="6149" max="6149" width="7.5" style="341" customWidth="1"/>
    <col min="6150" max="6150" width="11.125" style="341" customWidth="1"/>
    <col min="6151" max="6151" width="6.5" style="341" customWidth="1"/>
    <col min="6152" max="6152" width="7.875" style="341" customWidth="1"/>
    <col min="6153" max="6153" width="9.375" style="341" customWidth="1"/>
    <col min="6154" max="6154" width="7.125" style="341" customWidth="1"/>
    <col min="6155" max="6155" width="7.875" style="341" customWidth="1"/>
    <col min="6156" max="6156" width="8.125" style="341" bestFit="1" customWidth="1"/>
    <col min="6157" max="6157" width="9.125" style="341" customWidth="1"/>
    <col min="6158" max="6158" width="5.5" style="341" customWidth="1"/>
    <col min="6159" max="6159" width="7.875" style="341" bestFit="1" customWidth="1"/>
    <col min="6160" max="6160" width="10.5" style="341" bestFit="1" customWidth="1"/>
    <col min="6161" max="6161" width="12.75" style="341" bestFit="1" customWidth="1"/>
    <col min="6162" max="6162" width="0.75" style="341" customWidth="1"/>
    <col min="6163" max="6167" width="13.75" style="341" customWidth="1"/>
    <col min="6168" max="6168" width="9.75" style="341" bestFit="1" customWidth="1"/>
    <col min="6169" max="6169" width="10.5" style="341" bestFit="1" customWidth="1"/>
    <col min="6170" max="6171" width="9" style="341"/>
    <col min="6172" max="6172" width="9.75" style="341" bestFit="1" customWidth="1"/>
    <col min="6173" max="6174" width="9" style="341"/>
    <col min="6175" max="6175" width="8.625" style="341" bestFit="1" customWidth="1"/>
    <col min="6176" max="6400" width="9" style="341"/>
    <col min="6401" max="6401" width="1.5" style="341" customWidth="1"/>
    <col min="6402" max="6402" width="18.5" style="341" customWidth="1"/>
    <col min="6403" max="6403" width="7.125" style="341" customWidth="1"/>
    <col min="6404" max="6404" width="7.375" style="341" customWidth="1"/>
    <col min="6405" max="6405" width="7.5" style="341" customWidth="1"/>
    <col min="6406" max="6406" width="11.125" style="341" customWidth="1"/>
    <col min="6407" max="6407" width="6.5" style="341" customWidth="1"/>
    <col min="6408" max="6408" width="7.875" style="341" customWidth="1"/>
    <col min="6409" max="6409" width="9.375" style="341" customWidth="1"/>
    <col min="6410" max="6410" width="7.125" style="341" customWidth="1"/>
    <col min="6411" max="6411" width="7.875" style="341" customWidth="1"/>
    <col min="6412" max="6412" width="8.125" style="341" bestFit="1" customWidth="1"/>
    <col min="6413" max="6413" width="9.125" style="341" customWidth="1"/>
    <col min="6414" max="6414" width="5.5" style="341" customWidth="1"/>
    <col min="6415" max="6415" width="7.875" style="341" bestFit="1" customWidth="1"/>
    <col min="6416" max="6416" width="10.5" style="341" bestFit="1" customWidth="1"/>
    <col min="6417" max="6417" width="12.75" style="341" bestFit="1" customWidth="1"/>
    <col min="6418" max="6418" width="0.75" style="341" customWidth="1"/>
    <col min="6419" max="6423" width="13.75" style="341" customWidth="1"/>
    <col min="6424" max="6424" width="9.75" style="341" bestFit="1" customWidth="1"/>
    <col min="6425" max="6425" width="10.5" style="341" bestFit="1" customWidth="1"/>
    <col min="6426" max="6427" width="9" style="341"/>
    <col min="6428" max="6428" width="9.75" style="341" bestFit="1" customWidth="1"/>
    <col min="6429" max="6430" width="9" style="341"/>
    <col min="6431" max="6431" width="8.625" style="341" bestFit="1" customWidth="1"/>
    <col min="6432" max="6656" width="9" style="341"/>
    <col min="6657" max="6657" width="1.5" style="341" customWidth="1"/>
    <col min="6658" max="6658" width="18.5" style="341" customWidth="1"/>
    <col min="6659" max="6659" width="7.125" style="341" customWidth="1"/>
    <col min="6660" max="6660" width="7.375" style="341" customWidth="1"/>
    <col min="6661" max="6661" width="7.5" style="341" customWidth="1"/>
    <col min="6662" max="6662" width="11.125" style="341" customWidth="1"/>
    <col min="6663" max="6663" width="6.5" style="341" customWidth="1"/>
    <col min="6664" max="6664" width="7.875" style="341" customWidth="1"/>
    <col min="6665" max="6665" width="9.375" style="341" customWidth="1"/>
    <col min="6666" max="6666" width="7.125" style="341" customWidth="1"/>
    <col min="6667" max="6667" width="7.875" style="341" customWidth="1"/>
    <col min="6668" max="6668" width="8.125" style="341" bestFit="1" customWidth="1"/>
    <col min="6669" max="6669" width="9.125" style="341" customWidth="1"/>
    <col min="6670" max="6670" width="5.5" style="341" customWidth="1"/>
    <col min="6671" max="6671" width="7.875" style="341" bestFit="1" customWidth="1"/>
    <col min="6672" max="6672" width="10.5" style="341" bestFit="1" customWidth="1"/>
    <col min="6673" max="6673" width="12.75" style="341" bestFit="1" customWidth="1"/>
    <col min="6674" max="6674" width="0.75" style="341" customWidth="1"/>
    <col min="6675" max="6679" width="13.75" style="341" customWidth="1"/>
    <col min="6680" max="6680" width="9.75" style="341" bestFit="1" customWidth="1"/>
    <col min="6681" max="6681" width="10.5" style="341" bestFit="1" customWidth="1"/>
    <col min="6682" max="6683" width="9" style="341"/>
    <col min="6684" max="6684" width="9.75" style="341" bestFit="1" customWidth="1"/>
    <col min="6685" max="6686" width="9" style="341"/>
    <col min="6687" max="6687" width="8.625" style="341" bestFit="1" customWidth="1"/>
    <col min="6688" max="6912" width="9" style="341"/>
    <col min="6913" max="6913" width="1.5" style="341" customWidth="1"/>
    <col min="6914" max="6914" width="18.5" style="341" customWidth="1"/>
    <col min="6915" max="6915" width="7.125" style="341" customWidth="1"/>
    <col min="6916" max="6916" width="7.375" style="341" customWidth="1"/>
    <col min="6917" max="6917" width="7.5" style="341" customWidth="1"/>
    <col min="6918" max="6918" width="11.125" style="341" customWidth="1"/>
    <col min="6919" max="6919" width="6.5" style="341" customWidth="1"/>
    <col min="6920" max="6920" width="7.875" style="341" customWidth="1"/>
    <col min="6921" max="6921" width="9.375" style="341" customWidth="1"/>
    <col min="6922" max="6922" width="7.125" style="341" customWidth="1"/>
    <col min="6923" max="6923" width="7.875" style="341" customWidth="1"/>
    <col min="6924" max="6924" width="8.125" style="341" bestFit="1" customWidth="1"/>
    <col min="6925" max="6925" width="9.125" style="341" customWidth="1"/>
    <col min="6926" max="6926" width="5.5" style="341" customWidth="1"/>
    <col min="6927" max="6927" width="7.875" style="341" bestFit="1" customWidth="1"/>
    <col min="6928" max="6928" width="10.5" style="341" bestFit="1" customWidth="1"/>
    <col min="6929" max="6929" width="12.75" style="341" bestFit="1" customWidth="1"/>
    <col min="6930" max="6930" width="0.75" style="341" customWidth="1"/>
    <col min="6931" max="6935" width="13.75" style="341" customWidth="1"/>
    <col min="6936" max="6936" width="9.75" style="341" bestFit="1" customWidth="1"/>
    <col min="6937" max="6937" width="10.5" style="341" bestFit="1" customWidth="1"/>
    <col min="6938" max="6939" width="9" style="341"/>
    <col min="6940" max="6940" width="9.75" style="341" bestFit="1" customWidth="1"/>
    <col min="6941" max="6942" width="9" style="341"/>
    <col min="6943" max="6943" width="8.625" style="341" bestFit="1" customWidth="1"/>
    <col min="6944" max="7168" width="9" style="341"/>
    <col min="7169" max="7169" width="1.5" style="341" customWidth="1"/>
    <col min="7170" max="7170" width="18.5" style="341" customWidth="1"/>
    <col min="7171" max="7171" width="7.125" style="341" customWidth="1"/>
    <col min="7172" max="7172" width="7.375" style="341" customWidth="1"/>
    <col min="7173" max="7173" width="7.5" style="341" customWidth="1"/>
    <col min="7174" max="7174" width="11.125" style="341" customWidth="1"/>
    <col min="7175" max="7175" width="6.5" style="341" customWidth="1"/>
    <col min="7176" max="7176" width="7.875" style="341" customWidth="1"/>
    <col min="7177" max="7177" width="9.375" style="341" customWidth="1"/>
    <col min="7178" max="7178" width="7.125" style="341" customWidth="1"/>
    <col min="7179" max="7179" width="7.875" style="341" customWidth="1"/>
    <col min="7180" max="7180" width="8.125" style="341" bestFit="1" customWidth="1"/>
    <col min="7181" max="7181" width="9.125" style="341" customWidth="1"/>
    <col min="7182" max="7182" width="5.5" style="341" customWidth="1"/>
    <col min="7183" max="7183" width="7.875" style="341" bestFit="1" customWidth="1"/>
    <col min="7184" max="7184" width="10.5" style="341" bestFit="1" customWidth="1"/>
    <col min="7185" max="7185" width="12.75" style="341" bestFit="1" customWidth="1"/>
    <col min="7186" max="7186" width="0.75" style="341" customWidth="1"/>
    <col min="7187" max="7191" width="13.75" style="341" customWidth="1"/>
    <col min="7192" max="7192" width="9.75" style="341" bestFit="1" customWidth="1"/>
    <col min="7193" max="7193" width="10.5" style="341" bestFit="1" customWidth="1"/>
    <col min="7194" max="7195" width="9" style="341"/>
    <col min="7196" max="7196" width="9.75" style="341" bestFit="1" customWidth="1"/>
    <col min="7197" max="7198" width="9" style="341"/>
    <col min="7199" max="7199" width="8.625" style="341" bestFit="1" customWidth="1"/>
    <col min="7200" max="7424" width="9" style="341"/>
    <col min="7425" max="7425" width="1.5" style="341" customWidth="1"/>
    <col min="7426" max="7426" width="18.5" style="341" customWidth="1"/>
    <col min="7427" max="7427" width="7.125" style="341" customWidth="1"/>
    <col min="7428" max="7428" width="7.375" style="341" customWidth="1"/>
    <col min="7429" max="7429" width="7.5" style="341" customWidth="1"/>
    <col min="7430" max="7430" width="11.125" style="341" customWidth="1"/>
    <col min="7431" max="7431" width="6.5" style="341" customWidth="1"/>
    <col min="7432" max="7432" width="7.875" style="341" customWidth="1"/>
    <col min="7433" max="7433" width="9.375" style="341" customWidth="1"/>
    <col min="7434" max="7434" width="7.125" style="341" customWidth="1"/>
    <col min="7435" max="7435" width="7.875" style="341" customWidth="1"/>
    <col min="7436" max="7436" width="8.125" style="341" bestFit="1" customWidth="1"/>
    <col min="7437" max="7437" width="9.125" style="341" customWidth="1"/>
    <col min="7438" max="7438" width="5.5" style="341" customWidth="1"/>
    <col min="7439" max="7439" width="7.875" style="341" bestFit="1" customWidth="1"/>
    <col min="7440" max="7440" width="10.5" style="341" bestFit="1" customWidth="1"/>
    <col min="7441" max="7441" width="12.75" style="341" bestFit="1" customWidth="1"/>
    <col min="7442" max="7442" width="0.75" style="341" customWidth="1"/>
    <col min="7443" max="7447" width="13.75" style="341" customWidth="1"/>
    <col min="7448" max="7448" width="9.75" style="341" bestFit="1" customWidth="1"/>
    <col min="7449" max="7449" width="10.5" style="341" bestFit="1" customWidth="1"/>
    <col min="7450" max="7451" width="9" style="341"/>
    <col min="7452" max="7452" width="9.75" style="341" bestFit="1" customWidth="1"/>
    <col min="7453" max="7454" width="9" style="341"/>
    <col min="7455" max="7455" width="8.625" style="341" bestFit="1" customWidth="1"/>
    <col min="7456" max="7680" width="9" style="341"/>
    <col min="7681" max="7681" width="1.5" style="341" customWidth="1"/>
    <col min="7682" max="7682" width="18.5" style="341" customWidth="1"/>
    <col min="7683" max="7683" width="7.125" style="341" customWidth="1"/>
    <col min="7684" max="7684" width="7.375" style="341" customWidth="1"/>
    <col min="7685" max="7685" width="7.5" style="341" customWidth="1"/>
    <col min="7686" max="7686" width="11.125" style="341" customWidth="1"/>
    <col min="7687" max="7687" width="6.5" style="341" customWidth="1"/>
    <col min="7688" max="7688" width="7.875" style="341" customWidth="1"/>
    <col min="7689" max="7689" width="9.375" style="341" customWidth="1"/>
    <col min="7690" max="7690" width="7.125" style="341" customWidth="1"/>
    <col min="7691" max="7691" width="7.875" style="341" customWidth="1"/>
    <col min="7692" max="7692" width="8.125" style="341" bestFit="1" customWidth="1"/>
    <col min="7693" max="7693" width="9.125" style="341" customWidth="1"/>
    <col min="7694" max="7694" width="5.5" style="341" customWidth="1"/>
    <col min="7695" max="7695" width="7.875" style="341" bestFit="1" customWidth="1"/>
    <col min="7696" max="7696" width="10.5" style="341" bestFit="1" customWidth="1"/>
    <col min="7697" max="7697" width="12.75" style="341" bestFit="1" customWidth="1"/>
    <col min="7698" max="7698" width="0.75" style="341" customWidth="1"/>
    <col min="7699" max="7703" width="13.75" style="341" customWidth="1"/>
    <col min="7704" max="7704" width="9.75" style="341" bestFit="1" customWidth="1"/>
    <col min="7705" max="7705" width="10.5" style="341" bestFit="1" customWidth="1"/>
    <col min="7706" max="7707" width="9" style="341"/>
    <col min="7708" max="7708" width="9.75" style="341" bestFit="1" customWidth="1"/>
    <col min="7709" max="7710" width="9" style="341"/>
    <col min="7711" max="7711" width="8.625" style="341" bestFit="1" customWidth="1"/>
    <col min="7712" max="7936" width="9" style="341"/>
    <col min="7937" max="7937" width="1.5" style="341" customWidth="1"/>
    <col min="7938" max="7938" width="18.5" style="341" customWidth="1"/>
    <col min="7939" max="7939" width="7.125" style="341" customWidth="1"/>
    <col min="7940" max="7940" width="7.375" style="341" customWidth="1"/>
    <col min="7941" max="7941" width="7.5" style="341" customWidth="1"/>
    <col min="7942" max="7942" width="11.125" style="341" customWidth="1"/>
    <col min="7943" max="7943" width="6.5" style="341" customWidth="1"/>
    <col min="7944" max="7944" width="7.875" style="341" customWidth="1"/>
    <col min="7945" max="7945" width="9.375" style="341" customWidth="1"/>
    <col min="7946" max="7946" width="7.125" style="341" customWidth="1"/>
    <col min="7947" max="7947" width="7.875" style="341" customWidth="1"/>
    <col min="7948" max="7948" width="8.125" style="341" bestFit="1" customWidth="1"/>
    <col min="7949" max="7949" width="9.125" style="341" customWidth="1"/>
    <col min="7950" max="7950" width="5.5" style="341" customWidth="1"/>
    <col min="7951" max="7951" width="7.875" style="341" bestFit="1" customWidth="1"/>
    <col min="7952" max="7952" width="10.5" style="341" bestFit="1" customWidth="1"/>
    <col min="7953" max="7953" width="12.75" style="341" bestFit="1" customWidth="1"/>
    <col min="7954" max="7954" width="0.75" style="341" customWidth="1"/>
    <col min="7955" max="7959" width="13.75" style="341" customWidth="1"/>
    <col min="7960" max="7960" width="9.75" style="341" bestFit="1" customWidth="1"/>
    <col min="7961" max="7961" width="10.5" style="341" bestFit="1" customWidth="1"/>
    <col min="7962" max="7963" width="9" style="341"/>
    <col min="7964" max="7964" width="9.75" style="341" bestFit="1" customWidth="1"/>
    <col min="7965" max="7966" width="9" style="341"/>
    <col min="7967" max="7967" width="8.625" style="341" bestFit="1" customWidth="1"/>
    <col min="7968" max="8192" width="9" style="341"/>
    <col min="8193" max="8193" width="1.5" style="341" customWidth="1"/>
    <col min="8194" max="8194" width="18.5" style="341" customWidth="1"/>
    <col min="8195" max="8195" width="7.125" style="341" customWidth="1"/>
    <col min="8196" max="8196" width="7.375" style="341" customWidth="1"/>
    <col min="8197" max="8197" width="7.5" style="341" customWidth="1"/>
    <col min="8198" max="8198" width="11.125" style="341" customWidth="1"/>
    <col min="8199" max="8199" width="6.5" style="341" customWidth="1"/>
    <col min="8200" max="8200" width="7.875" style="341" customWidth="1"/>
    <col min="8201" max="8201" width="9.375" style="341" customWidth="1"/>
    <col min="8202" max="8202" width="7.125" style="341" customWidth="1"/>
    <col min="8203" max="8203" width="7.875" style="341" customWidth="1"/>
    <col min="8204" max="8204" width="8.125" style="341" bestFit="1" customWidth="1"/>
    <col min="8205" max="8205" width="9.125" style="341" customWidth="1"/>
    <col min="8206" max="8206" width="5.5" style="341" customWidth="1"/>
    <col min="8207" max="8207" width="7.875" style="341" bestFit="1" customWidth="1"/>
    <col min="8208" max="8208" width="10.5" style="341" bestFit="1" customWidth="1"/>
    <col min="8209" max="8209" width="12.75" style="341" bestFit="1" customWidth="1"/>
    <col min="8210" max="8210" width="0.75" style="341" customWidth="1"/>
    <col min="8211" max="8215" width="13.75" style="341" customWidth="1"/>
    <col min="8216" max="8216" width="9.75" style="341" bestFit="1" customWidth="1"/>
    <col min="8217" max="8217" width="10.5" style="341" bestFit="1" customWidth="1"/>
    <col min="8218" max="8219" width="9" style="341"/>
    <col min="8220" max="8220" width="9.75" style="341" bestFit="1" customWidth="1"/>
    <col min="8221" max="8222" width="9" style="341"/>
    <col min="8223" max="8223" width="8.625" style="341" bestFit="1" customWidth="1"/>
    <col min="8224" max="8448" width="9" style="341"/>
    <col min="8449" max="8449" width="1.5" style="341" customWidth="1"/>
    <col min="8450" max="8450" width="18.5" style="341" customWidth="1"/>
    <col min="8451" max="8451" width="7.125" style="341" customWidth="1"/>
    <col min="8452" max="8452" width="7.375" style="341" customWidth="1"/>
    <col min="8453" max="8453" width="7.5" style="341" customWidth="1"/>
    <col min="8454" max="8454" width="11.125" style="341" customWidth="1"/>
    <col min="8455" max="8455" width="6.5" style="341" customWidth="1"/>
    <col min="8456" max="8456" width="7.875" style="341" customWidth="1"/>
    <col min="8457" max="8457" width="9.375" style="341" customWidth="1"/>
    <col min="8458" max="8458" width="7.125" style="341" customWidth="1"/>
    <col min="8459" max="8459" width="7.875" style="341" customWidth="1"/>
    <col min="8460" max="8460" width="8.125" style="341" bestFit="1" customWidth="1"/>
    <col min="8461" max="8461" width="9.125" style="341" customWidth="1"/>
    <col min="8462" max="8462" width="5.5" style="341" customWidth="1"/>
    <col min="8463" max="8463" width="7.875" style="341" bestFit="1" customWidth="1"/>
    <col min="8464" max="8464" width="10.5" style="341" bestFit="1" customWidth="1"/>
    <col min="8465" max="8465" width="12.75" style="341" bestFit="1" customWidth="1"/>
    <col min="8466" max="8466" width="0.75" style="341" customWidth="1"/>
    <col min="8467" max="8471" width="13.75" style="341" customWidth="1"/>
    <col min="8472" max="8472" width="9.75" style="341" bestFit="1" customWidth="1"/>
    <col min="8473" max="8473" width="10.5" style="341" bestFit="1" customWidth="1"/>
    <col min="8474" max="8475" width="9" style="341"/>
    <col min="8476" max="8476" width="9.75" style="341" bestFit="1" customWidth="1"/>
    <col min="8477" max="8478" width="9" style="341"/>
    <col min="8479" max="8479" width="8.625" style="341" bestFit="1" customWidth="1"/>
    <col min="8480" max="8704" width="9" style="341"/>
    <col min="8705" max="8705" width="1.5" style="341" customWidth="1"/>
    <col min="8706" max="8706" width="18.5" style="341" customWidth="1"/>
    <col min="8707" max="8707" width="7.125" style="341" customWidth="1"/>
    <col min="8708" max="8708" width="7.375" style="341" customWidth="1"/>
    <col min="8709" max="8709" width="7.5" style="341" customWidth="1"/>
    <col min="8710" max="8710" width="11.125" style="341" customWidth="1"/>
    <col min="8711" max="8711" width="6.5" style="341" customWidth="1"/>
    <col min="8712" max="8712" width="7.875" style="341" customWidth="1"/>
    <col min="8713" max="8713" width="9.375" style="341" customWidth="1"/>
    <col min="8714" max="8714" width="7.125" style="341" customWidth="1"/>
    <col min="8715" max="8715" width="7.875" style="341" customWidth="1"/>
    <col min="8716" max="8716" width="8.125" style="341" bestFit="1" customWidth="1"/>
    <col min="8717" max="8717" width="9.125" style="341" customWidth="1"/>
    <col min="8718" max="8718" width="5.5" style="341" customWidth="1"/>
    <col min="8719" max="8719" width="7.875" style="341" bestFit="1" customWidth="1"/>
    <col min="8720" max="8720" width="10.5" style="341" bestFit="1" customWidth="1"/>
    <col min="8721" max="8721" width="12.75" style="341" bestFit="1" customWidth="1"/>
    <col min="8722" max="8722" width="0.75" style="341" customWidth="1"/>
    <col min="8723" max="8727" width="13.75" style="341" customWidth="1"/>
    <col min="8728" max="8728" width="9.75" style="341" bestFit="1" customWidth="1"/>
    <col min="8729" max="8729" width="10.5" style="341" bestFit="1" customWidth="1"/>
    <col min="8730" max="8731" width="9" style="341"/>
    <col min="8732" max="8732" width="9.75" style="341" bestFit="1" customWidth="1"/>
    <col min="8733" max="8734" width="9" style="341"/>
    <col min="8735" max="8735" width="8.625" style="341" bestFit="1" customWidth="1"/>
    <col min="8736" max="8960" width="9" style="341"/>
    <col min="8961" max="8961" width="1.5" style="341" customWidth="1"/>
    <col min="8962" max="8962" width="18.5" style="341" customWidth="1"/>
    <col min="8963" max="8963" width="7.125" style="341" customWidth="1"/>
    <col min="8964" max="8964" width="7.375" style="341" customWidth="1"/>
    <col min="8965" max="8965" width="7.5" style="341" customWidth="1"/>
    <col min="8966" max="8966" width="11.125" style="341" customWidth="1"/>
    <col min="8967" max="8967" width="6.5" style="341" customWidth="1"/>
    <col min="8968" max="8968" width="7.875" style="341" customWidth="1"/>
    <col min="8969" max="8969" width="9.375" style="341" customWidth="1"/>
    <col min="8970" max="8970" width="7.125" style="341" customWidth="1"/>
    <col min="8971" max="8971" width="7.875" style="341" customWidth="1"/>
    <col min="8972" max="8972" width="8.125" style="341" bestFit="1" customWidth="1"/>
    <col min="8973" max="8973" width="9.125" style="341" customWidth="1"/>
    <col min="8974" max="8974" width="5.5" style="341" customWidth="1"/>
    <col min="8975" max="8975" width="7.875" style="341" bestFit="1" customWidth="1"/>
    <col min="8976" max="8976" width="10.5" style="341" bestFit="1" customWidth="1"/>
    <col min="8977" max="8977" width="12.75" style="341" bestFit="1" customWidth="1"/>
    <col min="8978" max="8978" width="0.75" style="341" customWidth="1"/>
    <col min="8979" max="8983" width="13.75" style="341" customWidth="1"/>
    <col min="8984" max="8984" width="9.75" style="341" bestFit="1" customWidth="1"/>
    <col min="8985" max="8985" width="10.5" style="341" bestFit="1" customWidth="1"/>
    <col min="8986" max="8987" width="9" style="341"/>
    <col min="8988" max="8988" width="9.75" style="341" bestFit="1" customWidth="1"/>
    <col min="8989" max="8990" width="9" style="341"/>
    <col min="8991" max="8991" width="8.625" style="341" bestFit="1" customWidth="1"/>
    <col min="8992" max="9216" width="9" style="341"/>
    <col min="9217" max="9217" width="1.5" style="341" customWidth="1"/>
    <col min="9218" max="9218" width="18.5" style="341" customWidth="1"/>
    <col min="9219" max="9219" width="7.125" style="341" customWidth="1"/>
    <col min="9220" max="9220" width="7.375" style="341" customWidth="1"/>
    <col min="9221" max="9221" width="7.5" style="341" customWidth="1"/>
    <col min="9222" max="9222" width="11.125" style="341" customWidth="1"/>
    <col min="9223" max="9223" width="6.5" style="341" customWidth="1"/>
    <col min="9224" max="9224" width="7.875" style="341" customWidth="1"/>
    <col min="9225" max="9225" width="9.375" style="341" customWidth="1"/>
    <col min="9226" max="9226" width="7.125" style="341" customWidth="1"/>
    <col min="9227" max="9227" width="7.875" style="341" customWidth="1"/>
    <col min="9228" max="9228" width="8.125" style="341" bestFit="1" customWidth="1"/>
    <col min="9229" max="9229" width="9.125" style="341" customWidth="1"/>
    <col min="9230" max="9230" width="5.5" style="341" customWidth="1"/>
    <col min="9231" max="9231" width="7.875" style="341" bestFit="1" customWidth="1"/>
    <col min="9232" max="9232" width="10.5" style="341" bestFit="1" customWidth="1"/>
    <col min="9233" max="9233" width="12.75" style="341" bestFit="1" customWidth="1"/>
    <col min="9234" max="9234" width="0.75" style="341" customWidth="1"/>
    <col min="9235" max="9239" width="13.75" style="341" customWidth="1"/>
    <col min="9240" max="9240" width="9.75" style="341" bestFit="1" customWidth="1"/>
    <col min="9241" max="9241" width="10.5" style="341" bestFit="1" customWidth="1"/>
    <col min="9242" max="9243" width="9" style="341"/>
    <col min="9244" max="9244" width="9.75" style="341" bestFit="1" customWidth="1"/>
    <col min="9245" max="9246" width="9" style="341"/>
    <col min="9247" max="9247" width="8.625" style="341" bestFit="1" customWidth="1"/>
    <col min="9248" max="9472" width="9" style="341"/>
    <col min="9473" max="9473" width="1.5" style="341" customWidth="1"/>
    <col min="9474" max="9474" width="18.5" style="341" customWidth="1"/>
    <col min="9475" max="9475" width="7.125" style="341" customWidth="1"/>
    <col min="9476" max="9476" width="7.375" style="341" customWidth="1"/>
    <col min="9477" max="9477" width="7.5" style="341" customWidth="1"/>
    <col min="9478" max="9478" width="11.125" style="341" customWidth="1"/>
    <col min="9479" max="9479" width="6.5" style="341" customWidth="1"/>
    <col min="9480" max="9480" width="7.875" style="341" customWidth="1"/>
    <col min="9481" max="9481" width="9.375" style="341" customWidth="1"/>
    <col min="9482" max="9482" width="7.125" style="341" customWidth="1"/>
    <col min="9483" max="9483" width="7.875" style="341" customWidth="1"/>
    <col min="9484" max="9484" width="8.125" style="341" bestFit="1" customWidth="1"/>
    <col min="9485" max="9485" width="9.125" style="341" customWidth="1"/>
    <col min="9486" max="9486" width="5.5" style="341" customWidth="1"/>
    <col min="9487" max="9487" width="7.875" style="341" bestFit="1" customWidth="1"/>
    <col min="9488" max="9488" width="10.5" style="341" bestFit="1" customWidth="1"/>
    <col min="9489" max="9489" width="12.75" style="341" bestFit="1" customWidth="1"/>
    <col min="9490" max="9490" width="0.75" style="341" customWidth="1"/>
    <col min="9491" max="9495" width="13.75" style="341" customWidth="1"/>
    <col min="9496" max="9496" width="9.75" style="341" bestFit="1" customWidth="1"/>
    <col min="9497" max="9497" width="10.5" style="341" bestFit="1" customWidth="1"/>
    <col min="9498" max="9499" width="9" style="341"/>
    <col min="9500" max="9500" width="9.75" style="341" bestFit="1" customWidth="1"/>
    <col min="9501" max="9502" width="9" style="341"/>
    <col min="9503" max="9503" width="8.625" style="341" bestFit="1" customWidth="1"/>
    <col min="9504" max="9728" width="9" style="341"/>
    <col min="9729" max="9729" width="1.5" style="341" customWidth="1"/>
    <col min="9730" max="9730" width="18.5" style="341" customWidth="1"/>
    <col min="9731" max="9731" width="7.125" style="341" customWidth="1"/>
    <col min="9732" max="9732" width="7.375" style="341" customWidth="1"/>
    <col min="9733" max="9733" width="7.5" style="341" customWidth="1"/>
    <col min="9734" max="9734" width="11.125" style="341" customWidth="1"/>
    <col min="9735" max="9735" width="6.5" style="341" customWidth="1"/>
    <col min="9736" max="9736" width="7.875" style="341" customWidth="1"/>
    <col min="9737" max="9737" width="9.375" style="341" customWidth="1"/>
    <col min="9738" max="9738" width="7.125" style="341" customWidth="1"/>
    <col min="9739" max="9739" width="7.875" style="341" customWidth="1"/>
    <col min="9740" max="9740" width="8.125" style="341" bestFit="1" customWidth="1"/>
    <col min="9741" max="9741" width="9.125" style="341" customWidth="1"/>
    <col min="9742" max="9742" width="5.5" style="341" customWidth="1"/>
    <col min="9743" max="9743" width="7.875" style="341" bestFit="1" customWidth="1"/>
    <col min="9744" max="9744" width="10.5" style="341" bestFit="1" customWidth="1"/>
    <col min="9745" max="9745" width="12.75" style="341" bestFit="1" customWidth="1"/>
    <col min="9746" max="9746" width="0.75" style="341" customWidth="1"/>
    <col min="9747" max="9751" width="13.75" style="341" customWidth="1"/>
    <col min="9752" max="9752" width="9.75" style="341" bestFit="1" customWidth="1"/>
    <col min="9753" max="9753" width="10.5" style="341" bestFit="1" customWidth="1"/>
    <col min="9754" max="9755" width="9" style="341"/>
    <col min="9756" max="9756" width="9.75" style="341" bestFit="1" customWidth="1"/>
    <col min="9757" max="9758" width="9" style="341"/>
    <col min="9759" max="9759" width="8.625" style="341" bestFit="1" customWidth="1"/>
    <col min="9760" max="9984" width="9" style="341"/>
    <col min="9985" max="9985" width="1.5" style="341" customWidth="1"/>
    <col min="9986" max="9986" width="18.5" style="341" customWidth="1"/>
    <col min="9987" max="9987" width="7.125" style="341" customWidth="1"/>
    <col min="9988" max="9988" width="7.375" style="341" customWidth="1"/>
    <col min="9989" max="9989" width="7.5" style="341" customWidth="1"/>
    <col min="9990" max="9990" width="11.125" style="341" customWidth="1"/>
    <col min="9991" max="9991" width="6.5" style="341" customWidth="1"/>
    <col min="9992" max="9992" width="7.875" style="341" customWidth="1"/>
    <col min="9993" max="9993" width="9.375" style="341" customWidth="1"/>
    <col min="9994" max="9994" width="7.125" style="341" customWidth="1"/>
    <col min="9995" max="9995" width="7.875" style="341" customWidth="1"/>
    <col min="9996" max="9996" width="8.125" style="341" bestFit="1" customWidth="1"/>
    <col min="9997" max="9997" width="9.125" style="341" customWidth="1"/>
    <col min="9998" max="9998" width="5.5" style="341" customWidth="1"/>
    <col min="9999" max="9999" width="7.875" style="341" bestFit="1" customWidth="1"/>
    <col min="10000" max="10000" width="10.5" style="341" bestFit="1" customWidth="1"/>
    <col min="10001" max="10001" width="12.75" style="341" bestFit="1" customWidth="1"/>
    <col min="10002" max="10002" width="0.75" style="341" customWidth="1"/>
    <col min="10003" max="10007" width="13.75" style="341" customWidth="1"/>
    <col min="10008" max="10008" width="9.75" style="341" bestFit="1" customWidth="1"/>
    <col min="10009" max="10009" width="10.5" style="341" bestFit="1" customWidth="1"/>
    <col min="10010" max="10011" width="9" style="341"/>
    <col min="10012" max="10012" width="9.75" style="341" bestFit="1" customWidth="1"/>
    <col min="10013" max="10014" width="9" style="341"/>
    <col min="10015" max="10015" width="8.625" style="341" bestFit="1" customWidth="1"/>
    <col min="10016" max="10240" width="9" style="341"/>
    <col min="10241" max="10241" width="1.5" style="341" customWidth="1"/>
    <col min="10242" max="10242" width="18.5" style="341" customWidth="1"/>
    <col min="10243" max="10243" width="7.125" style="341" customWidth="1"/>
    <col min="10244" max="10244" width="7.375" style="341" customWidth="1"/>
    <col min="10245" max="10245" width="7.5" style="341" customWidth="1"/>
    <col min="10246" max="10246" width="11.125" style="341" customWidth="1"/>
    <col min="10247" max="10247" width="6.5" style="341" customWidth="1"/>
    <col min="10248" max="10248" width="7.875" style="341" customWidth="1"/>
    <col min="10249" max="10249" width="9.375" style="341" customWidth="1"/>
    <col min="10250" max="10250" width="7.125" style="341" customWidth="1"/>
    <col min="10251" max="10251" width="7.875" style="341" customWidth="1"/>
    <col min="10252" max="10252" width="8.125" style="341" bestFit="1" customWidth="1"/>
    <col min="10253" max="10253" width="9.125" style="341" customWidth="1"/>
    <col min="10254" max="10254" width="5.5" style="341" customWidth="1"/>
    <col min="10255" max="10255" width="7.875" style="341" bestFit="1" customWidth="1"/>
    <col min="10256" max="10256" width="10.5" style="341" bestFit="1" customWidth="1"/>
    <col min="10257" max="10257" width="12.75" style="341" bestFit="1" customWidth="1"/>
    <col min="10258" max="10258" width="0.75" style="341" customWidth="1"/>
    <col min="10259" max="10263" width="13.75" style="341" customWidth="1"/>
    <col min="10264" max="10264" width="9.75" style="341" bestFit="1" customWidth="1"/>
    <col min="10265" max="10265" width="10.5" style="341" bestFit="1" customWidth="1"/>
    <col min="10266" max="10267" width="9" style="341"/>
    <col min="10268" max="10268" width="9.75" style="341" bestFit="1" customWidth="1"/>
    <col min="10269" max="10270" width="9" style="341"/>
    <col min="10271" max="10271" width="8.625" style="341" bestFit="1" customWidth="1"/>
    <col min="10272" max="10496" width="9" style="341"/>
    <col min="10497" max="10497" width="1.5" style="341" customWidth="1"/>
    <col min="10498" max="10498" width="18.5" style="341" customWidth="1"/>
    <col min="10499" max="10499" width="7.125" style="341" customWidth="1"/>
    <col min="10500" max="10500" width="7.375" style="341" customWidth="1"/>
    <col min="10501" max="10501" width="7.5" style="341" customWidth="1"/>
    <col min="10502" max="10502" width="11.125" style="341" customWidth="1"/>
    <col min="10503" max="10503" width="6.5" style="341" customWidth="1"/>
    <col min="10504" max="10504" width="7.875" style="341" customWidth="1"/>
    <col min="10505" max="10505" width="9.375" style="341" customWidth="1"/>
    <col min="10506" max="10506" width="7.125" style="341" customWidth="1"/>
    <col min="10507" max="10507" width="7.875" style="341" customWidth="1"/>
    <col min="10508" max="10508" width="8.125" style="341" bestFit="1" customWidth="1"/>
    <col min="10509" max="10509" width="9.125" style="341" customWidth="1"/>
    <col min="10510" max="10510" width="5.5" style="341" customWidth="1"/>
    <col min="10511" max="10511" width="7.875" style="341" bestFit="1" customWidth="1"/>
    <col min="10512" max="10512" width="10.5" style="341" bestFit="1" customWidth="1"/>
    <col min="10513" max="10513" width="12.75" style="341" bestFit="1" customWidth="1"/>
    <col min="10514" max="10514" width="0.75" style="341" customWidth="1"/>
    <col min="10515" max="10519" width="13.75" style="341" customWidth="1"/>
    <col min="10520" max="10520" width="9.75" style="341" bestFit="1" customWidth="1"/>
    <col min="10521" max="10521" width="10.5" style="341" bestFit="1" customWidth="1"/>
    <col min="10522" max="10523" width="9" style="341"/>
    <col min="10524" max="10524" width="9.75" style="341" bestFit="1" customWidth="1"/>
    <col min="10525" max="10526" width="9" style="341"/>
    <col min="10527" max="10527" width="8.625" style="341" bestFit="1" customWidth="1"/>
    <col min="10528" max="10752" width="9" style="341"/>
    <col min="10753" max="10753" width="1.5" style="341" customWidth="1"/>
    <col min="10754" max="10754" width="18.5" style="341" customWidth="1"/>
    <col min="10755" max="10755" width="7.125" style="341" customWidth="1"/>
    <col min="10756" max="10756" width="7.375" style="341" customWidth="1"/>
    <col min="10757" max="10757" width="7.5" style="341" customWidth="1"/>
    <col min="10758" max="10758" width="11.125" style="341" customWidth="1"/>
    <col min="10759" max="10759" width="6.5" style="341" customWidth="1"/>
    <col min="10760" max="10760" width="7.875" style="341" customWidth="1"/>
    <col min="10761" max="10761" width="9.375" style="341" customWidth="1"/>
    <col min="10762" max="10762" width="7.125" style="341" customWidth="1"/>
    <col min="10763" max="10763" width="7.875" style="341" customWidth="1"/>
    <col min="10764" max="10764" width="8.125" style="341" bestFit="1" customWidth="1"/>
    <col min="10765" max="10765" width="9.125" style="341" customWidth="1"/>
    <col min="10766" max="10766" width="5.5" style="341" customWidth="1"/>
    <col min="10767" max="10767" width="7.875" style="341" bestFit="1" customWidth="1"/>
    <col min="10768" max="10768" width="10.5" style="341" bestFit="1" customWidth="1"/>
    <col min="10769" max="10769" width="12.75" style="341" bestFit="1" customWidth="1"/>
    <col min="10770" max="10770" width="0.75" style="341" customWidth="1"/>
    <col min="10771" max="10775" width="13.75" style="341" customWidth="1"/>
    <col min="10776" max="10776" width="9.75" style="341" bestFit="1" customWidth="1"/>
    <col min="10777" max="10777" width="10.5" style="341" bestFit="1" customWidth="1"/>
    <col min="10778" max="10779" width="9" style="341"/>
    <col min="10780" max="10780" width="9.75" style="341" bestFit="1" customWidth="1"/>
    <col min="10781" max="10782" width="9" style="341"/>
    <col min="10783" max="10783" width="8.625" style="341" bestFit="1" customWidth="1"/>
    <col min="10784" max="11008" width="9" style="341"/>
    <col min="11009" max="11009" width="1.5" style="341" customWidth="1"/>
    <col min="11010" max="11010" width="18.5" style="341" customWidth="1"/>
    <col min="11011" max="11011" width="7.125" style="341" customWidth="1"/>
    <col min="11012" max="11012" width="7.375" style="341" customWidth="1"/>
    <col min="11013" max="11013" width="7.5" style="341" customWidth="1"/>
    <col min="11014" max="11014" width="11.125" style="341" customWidth="1"/>
    <col min="11015" max="11015" width="6.5" style="341" customWidth="1"/>
    <col min="11016" max="11016" width="7.875" style="341" customWidth="1"/>
    <col min="11017" max="11017" width="9.375" style="341" customWidth="1"/>
    <col min="11018" max="11018" width="7.125" style="341" customWidth="1"/>
    <col min="11019" max="11019" width="7.875" style="341" customWidth="1"/>
    <col min="11020" max="11020" width="8.125" style="341" bestFit="1" customWidth="1"/>
    <col min="11021" max="11021" width="9.125" style="341" customWidth="1"/>
    <col min="11022" max="11022" width="5.5" style="341" customWidth="1"/>
    <col min="11023" max="11023" width="7.875" style="341" bestFit="1" customWidth="1"/>
    <col min="11024" max="11024" width="10.5" style="341" bestFit="1" customWidth="1"/>
    <col min="11025" max="11025" width="12.75" style="341" bestFit="1" customWidth="1"/>
    <col min="11026" max="11026" width="0.75" style="341" customWidth="1"/>
    <col min="11027" max="11031" width="13.75" style="341" customWidth="1"/>
    <col min="11032" max="11032" width="9.75" style="341" bestFit="1" customWidth="1"/>
    <col min="11033" max="11033" width="10.5" style="341" bestFit="1" customWidth="1"/>
    <col min="11034" max="11035" width="9" style="341"/>
    <col min="11036" max="11036" width="9.75" style="341" bestFit="1" customWidth="1"/>
    <col min="11037" max="11038" width="9" style="341"/>
    <col min="11039" max="11039" width="8.625" style="341" bestFit="1" customWidth="1"/>
    <col min="11040" max="11264" width="9" style="341"/>
    <col min="11265" max="11265" width="1.5" style="341" customWidth="1"/>
    <col min="11266" max="11266" width="18.5" style="341" customWidth="1"/>
    <col min="11267" max="11267" width="7.125" style="341" customWidth="1"/>
    <col min="11268" max="11268" width="7.375" style="341" customWidth="1"/>
    <col min="11269" max="11269" width="7.5" style="341" customWidth="1"/>
    <col min="11270" max="11270" width="11.125" style="341" customWidth="1"/>
    <col min="11271" max="11271" width="6.5" style="341" customWidth="1"/>
    <col min="11272" max="11272" width="7.875" style="341" customWidth="1"/>
    <col min="11273" max="11273" width="9.375" style="341" customWidth="1"/>
    <col min="11274" max="11274" width="7.125" style="341" customWidth="1"/>
    <col min="11275" max="11275" width="7.875" style="341" customWidth="1"/>
    <col min="11276" max="11276" width="8.125" style="341" bestFit="1" customWidth="1"/>
    <col min="11277" max="11277" width="9.125" style="341" customWidth="1"/>
    <col min="11278" max="11278" width="5.5" style="341" customWidth="1"/>
    <col min="11279" max="11279" width="7.875" style="341" bestFit="1" customWidth="1"/>
    <col min="11280" max="11280" width="10.5" style="341" bestFit="1" customWidth="1"/>
    <col min="11281" max="11281" width="12.75" style="341" bestFit="1" customWidth="1"/>
    <col min="11282" max="11282" width="0.75" style="341" customWidth="1"/>
    <col min="11283" max="11287" width="13.75" style="341" customWidth="1"/>
    <col min="11288" max="11288" width="9.75" style="341" bestFit="1" customWidth="1"/>
    <col min="11289" max="11289" width="10.5" style="341" bestFit="1" customWidth="1"/>
    <col min="11290" max="11291" width="9" style="341"/>
    <col min="11292" max="11292" width="9.75" style="341" bestFit="1" customWidth="1"/>
    <col min="11293" max="11294" width="9" style="341"/>
    <col min="11295" max="11295" width="8.625" style="341" bestFit="1" customWidth="1"/>
    <col min="11296" max="11520" width="9" style="341"/>
    <col min="11521" max="11521" width="1.5" style="341" customWidth="1"/>
    <col min="11522" max="11522" width="18.5" style="341" customWidth="1"/>
    <col min="11523" max="11523" width="7.125" style="341" customWidth="1"/>
    <col min="11524" max="11524" width="7.375" style="341" customWidth="1"/>
    <col min="11525" max="11525" width="7.5" style="341" customWidth="1"/>
    <col min="11526" max="11526" width="11.125" style="341" customWidth="1"/>
    <col min="11527" max="11527" width="6.5" style="341" customWidth="1"/>
    <col min="11528" max="11528" width="7.875" style="341" customWidth="1"/>
    <col min="11529" max="11529" width="9.375" style="341" customWidth="1"/>
    <col min="11530" max="11530" width="7.125" style="341" customWidth="1"/>
    <col min="11531" max="11531" width="7.875" style="341" customWidth="1"/>
    <col min="11532" max="11532" width="8.125" style="341" bestFit="1" customWidth="1"/>
    <col min="11533" max="11533" width="9.125" style="341" customWidth="1"/>
    <col min="11534" max="11534" width="5.5" style="341" customWidth="1"/>
    <col min="11535" max="11535" width="7.875" style="341" bestFit="1" customWidth="1"/>
    <col min="11536" max="11536" width="10.5" style="341" bestFit="1" customWidth="1"/>
    <col min="11537" max="11537" width="12.75" style="341" bestFit="1" customWidth="1"/>
    <col min="11538" max="11538" width="0.75" style="341" customWidth="1"/>
    <col min="11539" max="11543" width="13.75" style="341" customWidth="1"/>
    <col min="11544" max="11544" width="9.75" style="341" bestFit="1" customWidth="1"/>
    <col min="11545" max="11545" width="10.5" style="341" bestFit="1" customWidth="1"/>
    <col min="11546" max="11547" width="9" style="341"/>
    <col min="11548" max="11548" width="9.75" style="341" bestFit="1" customWidth="1"/>
    <col min="11549" max="11550" width="9" style="341"/>
    <col min="11551" max="11551" width="8.625" style="341" bestFit="1" customWidth="1"/>
    <col min="11552" max="11776" width="9" style="341"/>
    <col min="11777" max="11777" width="1.5" style="341" customWidth="1"/>
    <col min="11778" max="11778" width="18.5" style="341" customWidth="1"/>
    <col min="11779" max="11779" width="7.125" style="341" customWidth="1"/>
    <col min="11780" max="11780" width="7.375" style="341" customWidth="1"/>
    <col min="11781" max="11781" width="7.5" style="341" customWidth="1"/>
    <col min="11782" max="11782" width="11.125" style="341" customWidth="1"/>
    <col min="11783" max="11783" width="6.5" style="341" customWidth="1"/>
    <col min="11784" max="11784" width="7.875" style="341" customWidth="1"/>
    <col min="11785" max="11785" width="9.375" style="341" customWidth="1"/>
    <col min="11786" max="11786" width="7.125" style="341" customWidth="1"/>
    <col min="11787" max="11787" width="7.875" style="341" customWidth="1"/>
    <col min="11788" max="11788" width="8.125" style="341" bestFit="1" customWidth="1"/>
    <col min="11789" max="11789" width="9.125" style="341" customWidth="1"/>
    <col min="11790" max="11790" width="5.5" style="341" customWidth="1"/>
    <col min="11791" max="11791" width="7.875" style="341" bestFit="1" customWidth="1"/>
    <col min="11792" max="11792" width="10.5" style="341" bestFit="1" customWidth="1"/>
    <col min="11793" max="11793" width="12.75" style="341" bestFit="1" customWidth="1"/>
    <col min="11794" max="11794" width="0.75" style="341" customWidth="1"/>
    <col min="11795" max="11799" width="13.75" style="341" customWidth="1"/>
    <col min="11800" max="11800" width="9.75" style="341" bestFit="1" customWidth="1"/>
    <col min="11801" max="11801" width="10.5" style="341" bestFit="1" customWidth="1"/>
    <col min="11802" max="11803" width="9" style="341"/>
    <col min="11804" max="11804" width="9.75" style="341" bestFit="1" customWidth="1"/>
    <col min="11805" max="11806" width="9" style="341"/>
    <col min="11807" max="11807" width="8.625" style="341" bestFit="1" customWidth="1"/>
    <col min="11808" max="12032" width="9" style="341"/>
    <col min="12033" max="12033" width="1.5" style="341" customWidth="1"/>
    <col min="12034" max="12034" width="18.5" style="341" customWidth="1"/>
    <col min="12035" max="12035" width="7.125" style="341" customWidth="1"/>
    <col min="12036" max="12036" width="7.375" style="341" customWidth="1"/>
    <col min="12037" max="12037" width="7.5" style="341" customWidth="1"/>
    <col min="12038" max="12038" width="11.125" style="341" customWidth="1"/>
    <col min="12039" max="12039" width="6.5" style="341" customWidth="1"/>
    <col min="12040" max="12040" width="7.875" style="341" customWidth="1"/>
    <col min="12041" max="12041" width="9.375" style="341" customWidth="1"/>
    <col min="12042" max="12042" width="7.125" style="341" customWidth="1"/>
    <col min="12043" max="12043" width="7.875" style="341" customWidth="1"/>
    <col min="12044" max="12044" width="8.125" style="341" bestFit="1" customWidth="1"/>
    <col min="12045" max="12045" width="9.125" style="341" customWidth="1"/>
    <col min="12046" max="12046" width="5.5" style="341" customWidth="1"/>
    <col min="12047" max="12047" width="7.875" style="341" bestFit="1" customWidth="1"/>
    <col min="12048" max="12048" width="10.5" style="341" bestFit="1" customWidth="1"/>
    <col min="12049" max="12049" width="12.75" style="341" bestFit="1" customWidth="1"/>
    <col min="12050" max="12050" width="0.75" style="341" customWidth="1"/>
    <col min="12051" max="12055" width="13.75" style="341" customWidth="1"/>
    <col min="12056" max="12056" width="9.75" style="341" bestFit="1" customWidth="1"/>
    <col min="12057" max="12057" width="10.5" style="341" bestFit="1" customWidth="1"/>
    <col min="12058" max="12059" width="9" style="341"/>
    <col min="12060" max="12060" width="9.75" style="341" bestFit="1" customWidth="1"/>
    <col min="12061" max="12062" width="9" style="341"/>
    <col min="12063" max="12063" width="8.625" style="341" bestFit="1" customWidth="1"/>
    <col min="12064" max="12288" width="9" style="341"/>
    <col min="12289" max="12289" width="1.5" style="341" customWidth="1"/>
    <col min="12290" max="12290" width="18.5" style="341" customWidth="1"/>
    <col min="12291" max="12291" width="7.125" style="341" customWidth="1"/>
    <col min="12292" max="12292" width="7.375" style="341" customWidth="1"/>
    <col min="12293" max="12293" width="7.5" style="341" customWidth="1"/>
    <col min="12294" max="12294" width="11.125" style="341" customWidth="1"/>
    <col min="12295" max="12295" width="6.5" style="341" customWidth="1"/>
    <col min="12296" max="12296" width="7.875" style="341" customWidth="1"/>
    <col min="12297" max="12297" width="9.375" style="341" customWidth="1"/>
    <col min="12298" max="12298" width="7.125" style="341" customWidth="1"/>
    <col min="12299" max="12299" width="7.875" style="341" customWidth="1"/>
    <col min="12300" max="12300" width="8.125" style="341" bestFit="1" customWidth="1"/>
    <col min="12301" max="12301" width="9.125" style="341" customWidth="1"/>
    <col min="12302" max="12302" width="5.5" style="341" customWidth="1"/>
    <col min="12303" max="12303" width="7.875" style="341" bestFit="1" customWidth="1"/>
    <col min="12304" max="12304" width="10.5" style="341" bestFit="1" customWidth="1"/>
    <col min="12305" max="12305" width="12.75" style="341" bestFit="1" customWidth="1"/>
    <col min="12306" max="12306" width="0.75" style="341" customWidth="1"/>
    <col min="12307" max="12311" width="13.75" style="341" customWidth="1"/>
    <col min="12312" max="12312" width="9.75" style="341" bestFit="1" customWidth="1"/>
    <col min="12313" max="12313" width="10.5" style="341" bestFit="1" customWidth="1"/>
    <col min="12314" max="12315" width="9" style="341"/>
    <col min="12316" max="12316" width="9.75" style="341" bestFit="1" customWidth="1"/>
    <col min="12317" max="12318" width="9" style="341"/>
    <col min="12319" max="12319" width="8.625" style="341" bestFit="1" customWidth="1"/>
    <col min="12320" max="12544" width="9" style="341"/>
    <col min="12545" max="12545" width="1.5" style="341" customWidth="1"/>
    <col min="12546" max="12546" width="18.5" style="341" customWidth="1"/>
    <col min="12547" max="12547" width="7.125" style="341" customWidth="1"/>
    <col min="12548" max="12548" width="7.375" style="341" customWidth="1"/>
    <col min="12549" max="12549" width="7.5" style="341" customWidth="1"/>
    <col min="12550" max="12550" width="11.125" style="341" customWidth="1"/>
    <col min="12551" max="12551" width="6.5" style="341" customWidth="1"/>
    <col min="12552" max="12552" width="7.875" style="341" customWidth="1"/>
    <col min="12553" max="12553" width="9.375" style="341" customWidth="1"/>
    <col min="12554" max="12554" width="7.125" style="341" customWidth="1"/>
    <col min="12555" max="12555" width="7.875" style="341" customWidth="1"/>
    <col min="12556" max="12556" width="8.125" style="341" bestFit="1" customWidth="1"/>
    <col min="12557" max="12557" width="9.125" style="341" customWidth="1"/>
    <col min="12558" max="12558" width="5.5" style="341" customWidth="1"/>
    <col min="12559" max="12559" width="7.875" style="341" bestFit="1" customWidth="1"/>
    <col min="12560" max="12560" width="10.5" style="341" bestFit="1" customWidth="1"/>
    <col min="12561" max="12561" width="12.75" style="341" bestFit="1" customWidth="1"/>
    <col min="12562" max="12562" width="0.75" style="341" customWidth="1"/>
    <col min="12563" max="12567" width="13.75" style="341" customWidth="1"/>
    <col min="12568" max="12568" width="9.75" style="341" bestFit="1" customWidth="1"/>
    <col min="12569" max="12569" width="10.5" style="341" bestFit="1" customWidth="1"/>
    <col min="12570" max="12571" width="9" style="341"/>
    <col min="12572" max="12572" width="9.75" style="341" bestFit="1" customWidth="1"/>
    <col min="12573" max="12574" width="9" style="341"/>
    <col min="12575" max="12575" width="8.625" style="341" bestFit="1" customWidth="1"/>
    <col min="12576" max="12800" width="9" style="341"/>
    <col min="12801" max="12801" width="1.5" style="341" customWidth="1"/>
    <col min="12802" max="12802" width="18.5" style="341" customWidth="1"/>
    <col min="12803" max="12803" width="7.125" style="341" customWidth="1"/>
    <col min="12804" max="12804" width="7.375" style="341" customWidth="1"/>
    <col min="12805" max="12805" width="7.5" style="341" customWidth="1"/>
    <col min="12806" max="12806" width="11.125" style="341" customWidth="1"/>
    <col min="12807" max="12807" width="6.5" style="341" customWidth="1"/>
    <col min="12808" max="12808" width="7.875" style="341" customWidth="1"/>
    <col min="12809" max="12809" width="9.375" style="341" customWidth="1"/>
    <col min="12810" max="12810" width="7.125" style="341" customWidth="1"/>
    <col min="12811" max="12811" width="7.875" style="341" customWidth="1"/>
    <col min="12812" max="12812" width="8.125" style="341" bestFit="1" customWidth="1"/>
    <col min="12813" max="12813" width="9.125" style="341" customWidth="1"/>
    <col min="12814" max="12814" width="5.5" style="341" customWidth="1"/>
    <col min="12815" max="12815" width="7.875" style="341" bestFit="1" customWidth="1"/>
    <col min="12816" max="12816" width="10.5" style="341" bestFit="1" customWidth="1"/>
    <col min="12817" max="12817" width="12.75" style="341" bestFit="1" customWidth="1"/>
    <col min="12818" max="12818" width="0.75" style="341" customWidth="1"/>
    <col min="12819" max="12823" width="13.75" style="341" customWidth="1"/>
    <col min="12824" max="12824" width="9.75" style="341" bestFit="1" customWidth="1"/>
    <col min="12825" max="12825" width="10.5" style="341" bestFit="1" customWidth="1"/>
    <col min="12826" max="12827" width="9" style="341"/>
    <col min="12828" max="12828" width="9.75" style="341" bestFit="1" customWidth="1"/>
    <col min="12829" max="12830" width="9" style="341"/>
    <col min="12831" max="12831" width="8.625" style="341" bestFit="1" customWidth="1"/>
    <col min="12832" max="13056" width="9" style="341"/>
    <col min="13057" max="13057" width="1.5" style="341" customWidth="1"/>
    <col min="13058" max="13058" width="18.5" style="341" customWidth="1"/>
    <col min="13059" max="13059" width="7.125" style="341" customWidth="1"/>
    <col min="13060" max="13060" width="7.375" style="341" customWidth="1"/>
    <col min="13061" max="13061" width="7.5" style="341" customWidth="1"/>
    <col min="13062" max="13062" width="11.125" style="341" customWidth="1"/>
    <col min="13063" max="13063" width="6.5" style="341" customWidth="1"/>
    <col min="13064" max="13064" width="7.875" style="341" customWidth="1"/>
    <col min="13065" max="13065" width="9.375" style="341" customWidth="1"/>
    <col min="13066" max="13066" width="7.125" style="341" customWidth="1"/>
    <col min="13067" max="13067" width="7.875" style="341" customWidth="1"/>
    <col min="13068" max="13068" width="8.125" style="341" bestFit="1" customWidth="1"/>
    <col min="13069" max="13069" width="9.125" style="341" customWidth="1"/>
    <col min="13070" max="13070" width="5.5" style="341" customWidth="1"/>
    <col min="13071" max="13071" width="7.875" style="341" bestFit="1" customWidth="1"/>
    <col min="13072" max="13072" width="10.5" style="341" bestFit="1" customWidth="1"/>
    <col min="13073" max="13073" width="12.75" style="341" bestFit="1" customWidth="1"/>
    <col min="13074" max="13074" width="0.75" style="341" customWidth="1"/>
    <col min="13075" max="13079" width="13.75" style="341" customWidth="1"/>
    <col min="13080" max="13080" width="9.75" style="341" bestFit="1" customWidth="1"/>
    <col min="13081" max="13081" width="10.5" style="341" bestFit="1" customWidth="1"/>
    <col min="13082" max="13083" width="9" style="341"/>
    <col min="13084" max="13084" width="9.75" style="341" bestFit="1" customWidth="1"/>
    <col min="13085" max="13086" width="9" style="341"/>
    <col min="13087" max="13087" width="8.625" style="341" bestFit="1" customWidth="1"/>
    <col min="13088" max="13312" width="9" style="341"/>
    <col min="13313" max="13313" width="1.5" style="341" customWidth="1"/>
    <col min="13314" max="13314" width="18.5" style="341" customWidth="1"/>
    <col min="13315" max="13315" width="7.125" style="341" customWidth="1"/>
    <col min="13316" max="13316" width="7.375" style="341" customWidth="1"/>
    <col min="13317" max="13317" width="7.5" style="341" customWidth="1"/>
    <col min="13318" max="13318" width="11.125" style="341" customWidth="1"/>
    <col min="13319" max="13319" width="6.5" style="341" customWidth="1"/>
    <col min="13320" max="13320" width="7.875" style="341" customWidth="1"/>
    <col min="13321" max="13321" width="9.375" style="341" customWidth="1"/>
    <col min="13322" max="13322" width="7.125" style="341" customWidth="1"/>
    <col min="13323" max="13323" width="7.875" style="341" customWidth="1"/>
    <col min="13324" max="13324" width="8.125" style="341" bestFit="1" customWidth="1"/>
    <col min="13325" max="13325" width="9.125" style="341" customWidth="1"/>
    <col min="13326" max="13326" width="5.5" style="341" customWidth="1"/>
    <col min="13327" max="13327" width="7.875" style="341" bestFit="1" customWidth="1"/>
    <col min="13328" max="13328" width="10.5" style="341" bestFit="1" customWidth="1"/>
    <col min="13329" max="13329" width="12.75" style="341" bestFit="1" customWidth="1"/>
    <col min="13330" max="13330" width="0.75" style="341" customWidth="1"/>
    <col min="13331" max="13335" width="13.75" style="341" customWidth="1"/>
    <col min="13336" max="13336" width="9.75" style="341" bestFit="1" customWidth="1"/>
    <col min="13337" max="13337" width="10.5" style="341" bestFit="1" customWidth="1"/>
    <col min="13338" max="13339" width="9" style="341"/>
    <col min="13340" max="13340" width="9.75" style="341" bestFit="1" customWidth="1"/>
    <col min="13341" max="13342" width="9" style="341"/>
    <col min="13343" max="13343" width="8.625" style="341" bestFit="1" customWidth="1"/>
    <col min="13344" max="13568" width="9" style="341"/>
    <col min="13569" max="13569" width="1.5" style="341" customWidth="1"/>
    <col min="13570" max="13570" width="18.5" style="341" customWidth="1"/>
    <col min="13571" max="13571" width="7.125" style="341" customWidth="1"/>
    <col min="13572" max="13572" width="7.375" style="341" customWidth="1"/>
    <col min="13573" max="13573" width="7.5" style="341" customWidth="1"/>
    <col min="13574" max="13574" width="11.125" style="341" customWidth="1"/>
    <col min="13575" max="13575" width="6.5" style="341" customWidth="1"/>
    <col min="13576" max="13576" width="7.875" style="341" customWidth="1"/>
    <col min="13577" max="13577" width="9.375" style="341" customWidth="1"/>
    <col min="13578" max="13578" width="7.125" style="341" customWidth="1"/>
    <col min="13579" max="13579" width="7.875" style="341" customWidth="1"/>
    <col min="13580" max="13580" width="8.125" style="341" bestFit="1" customWidth="1"/>
    <col min="13581" max="13581" width="9.125" style="341" customWidth="1"/>
    <col min="13582" max="13582" width="5.5" style="341" customWidth="1"/>
    <col min="13583" max="13583" width="7.875" style="341" bestFit="1" customWidth="1"/>
    <col min="13584" max="13584" width="10.5" style="341" bestFit="1" customWidth="1"/>
    <col min="13585" max="13585" width="12.75" style="341" bestFit="1" customWidth="1"/>
    <col min="13586" max="13586" width="0.75" style="341" customWidth="1"/>
    <col min="13587" max="13591" width="13.75" style="341" customWidth="1"/>
    <col min="13592" max="13592" width="9.75" style="341" bestFit="1" customWidth="1"/>
    <col min="13593" max="13593" width="10.5" style="341" bestFit="1" customWidth="1"/>
    <col min="13594" max="13595" width="9" style="341"/>
    <col min="13596" max="13596" width="9.75" style="341" bestFit="1" customWidth="1"/>
    <col min="13597" max="13598" width="9" style="341"/>
    <col min="13599" max="13599" width="8.625" style="341" bestFit="1" customWidth="1"/>
    <col min="13600" max="13824" width="9" style="341"/>
    <col min="13825" max="13825" width="1.5" style="341" customWidth="1"/>
    <col min="13826" max="13826" width="18.5" style="341" customWidth="1"/>
    <col min="13827" max="13827" width="7.125" style="341" customWidth="1"/>
    <col min="13828" max="13828" width="7.375" style="341" customWidth="1"/>
    <col min="13829" max="13829" width="7.5" style="341" customWidth="1"/>
    <col min="13830" max="13830" width="11.125" style="341" customWidth="1"/>
    <col min="13831" max="13831" width="6.5" style="341" customWidth="1"/>
    <col min="13832" max="13832" width="7.875" style="341" customWidth="1"/>
    <col min="13833" max="13833" width="9.375" style="341" customWidth="1"/>
    <col min="13834" max="13834" width="7.125" style="341" customWidth="1"/>
    <col min="13835" max="13835" width="7.875" style="341" customWidth="1"/>
    <col min="13836" max="13836" width="8.125" style="341" bestFit="1" customWidth="1"/>
    <col min="13837" max="13837" width="9.125" style="341" customWidth="1"/>
    <col min="13838" max="13838" width="5.5" style="341" customWidth="1"/>
    <col min="13839" max="13839" width="7.875" style="341" bestFit="1" customWidth="1"/>
    <col min="13840" max="13840" width="10.5" style="341" bestFit="1" customWidth="1"/>
    <col min="13841" max="13841" width="12.75" style="341" bestFit="1" customWidth="1"/>
    <col min="13842" max="13842" width="0.75" style="341" customWidth="1"/>
    <col min="13843" max="13847" width="13.75" style="341" customWidth="1"/>
    <col min="13848" max="13848" width="9.75" style="341" bestFit="1" customWidth="1"/>
    <col min="13849" max="13849" width="10.5" style="341" bestFit="1" customWidth="1"/>
    <col min="13850" max="13851" width="9" style="341"/>
    <col min="13852" max="13852" width="9.75" style="341" bestFit="1" customWidth="1"/>
    <col min="13853" max="13854" width="9" style="341"/>
    <col min="13855" max="13855" width="8.625" style="341" bestFit="1" customWidth="1"/>
    <col min="13856" max="14080" width="9" style="341"/>
    <col min="14081" max="14081" width="1.5" style="341" customWidth="1"/>
    <col min="14082" max="14082" width="18.5" style="341" customWidth="1"/>
    <col min="14083" max="14083" width="7.125" style="341" customWidth="1"/>
    <col min="14084" max="14084" width="7.375" style="341" customWidth="1"/>
    <col min="14085" max="14085" width="7.5" style="341" customWidth="1"/>
    <col min="14086" max="14086" width="11.125" style="341" customWidth="1"/>
    <col min="14087" max="14087" width="6.5" style="341" customWidth="1"/>
    <col min="14088" max="14088" width="7.875" style="341" customWidth="1"/>
    <col min="14089" max="14089" width="9.375" style="341" customWidth="1"/>
    <col min="14090" max="14090" width="7.125" style="341" customWidth="1"/>
    <col min="14091" max="14091" width="7.875" style="341" customWidth="1"/>
    <col min="14092" max="14092" width="8.125" style="341" bestFit="1" customWidth="1"/>
    <col min="14093" max="14093" width="9.125" style="341" customWidth="1"/>
    <col min="14094" max="14094" width="5.5" style="341" customWidth="1"/>
    <col min="14095" max="14095" width="7.875" style="341" bestFit="1" customWidth="1"/>
    <col min="14096" max="14096" width="10.5" style="341" bestFit="1" customWidth="1"/>
    <col min="14097" max="14097" width="12.75" style="341" bestFit="1" customWidth="1"/>
    <col min="14098" max="14098" width="0.75" style="341" customWidth="1"/>
    <col min="14099" max="14103" width="13.75" style="341" customWidth="1"/>
    <col min="14104" max="14104" width="9.75" style="341" bestFit="1" customWidth="1"/>
    <col min="14105" max="14105" width="10.5" style="341" bestFit="1" customWidth="1"/>
    <col min="14106" max="14107" width="9" style="341"/>
    <col min="14108" max="14108" width="9.75" style="341" bestFit="1" customWidth="1"/>
    <col min="14109" max="14110" width="9" style="341"/>
    <col min="14111" max="14111" width="8.625" style="341" bestFit="1" customWidth="1"/>
    <col min="14112" max="14336" width="9" style="341"/>
    <col min="14337" max="14337" width="1.5" style="341" customWidth="1"/>
    <col min="14338" max="14338" width="18.5" style="341" customWidth="1"/>
    <col min="14339" max="14339" width="7.125" style="341" customWidth="1"/>
    <col min="14340" max="14340" width="7.375" style="341" customWidth="1"/>
    <col min="14341" max="14341" width="7.5" style="341" customWidth="1"/>
    <col min="14342" max="14342" width="11.125" style="341" customWidth="1"/>
    <col min="14343" max="14343" width="6.5" style="341" customWidth="1"/>
    <col min="14344" max="14344" width="7.875" style="341" customWidth="1"/>
    <col min="14345" max="14345" width="9.375" style="341" customWidth="1"/>
    <col min="14346" max="14346" width="7.125" style="341" customWidth="1"/>
    <col min="14347" max="14347" width="7.875" style="341" customWidth="1"/>
    <col min="14348" max="14348" width="8.125" style="341" bestFit="1" customWidth="1"/>
    <col min="14349" max="14349" width="9.125" style="341" customWidth="1"/>
    <col min="14350" max="14350" width="5.5" style="341" customWidth="1"/>
    <col min="14351" max="14351" width="7.875" style="341" bestFit="1" customWidth="1"/>
    <col min="14352" max="14352" width="10.5" style="341" bestFit="1" customWidth="1"/>
    <col min="14353" max="14353" width="12.75" style="341" bestFit="1" customWidth="1"/>
    <col min="14354" max="14354" width="0.75" style="341" customWidth="1"/>
    <col min="14355" max="14359" width="13.75" style="341" customWidth="1"/>
    <col min="14360" max="14360" width="9.75" style="341" bestFit="1" customWidth="1"/>
    <col min="14361" max="14361" width="10.5" style="341" bestFit="1" customWidth="1"/>
    <col min="14362" max="14363" width="9" style="341"/>
    <col min="14364" max="14364" width="9.75" style="341" bestFit="1" customWidth="1"/>
    <col min="14365" max="14366" width="9" style="341"/>
    <col min="14367" max="14367" width="8.625" style="341" bestFit="1" customWidth="1"/>
    <col min="14368" max="14592" width="9" style="341"/>
    <col min="14593" max="14593" width="1.5" style="341" customWidth="1"/>
    <col min="14594" max="14594" width="18.5" style="341" customWidth="1"/>
    <col min="14595" max="14595" width="7.125" style="341" customWidth="1"/>
    <col min="14596" max="14596" width="7.375" style="341" customWidth="1"/>
    <col min="14597" max="14597" width="7.5" style="341" customWidth="1"/>
    <col min="14598" max="14598" width="11.125" style="341" customWidth="1"/>
    <col min="14599" max="14599" width="6.5" style="341" customWidth="1"/>
    <col min="14600" max="14600" width="7.875" style="341" customWidth="1"/>
    <col min="14601" max="14601" width="9.375" style="341" customWidth="1"/>
    <col min="14602" max="14602" width="7.125" style="341" customWidth="1"/>
    <col min="14603" max="14603" width="7.875" style="341" customWidth="1"/>
    <col min="14604" max="14604" width="8.125" style="341" bestFit="1" customWidth="1"/>
    <col min="14605" max="14605" width="9.125" style="341" customWidth="1"/>
    <col min="14606" max="14606" width="5.5" style="341" customWidth="1"/>
    <col min="14607" max="14607" width="7.875" style="341" bestFit="1" customWidth="1"/>
    <col min="14608" max="14608" width="10.5" style="341" bestFit="1" customWidth="1"/>
    <col min="14609" max="14609" width="12.75" style="341" bestFit="1" customWidth="1"/>
    <col min="14610" max="14610" width="0.75" style="341" customWidth="1"/>
    <col min="14611" max="14615" width="13.75" style="341" customWidth="1"/>
    <col min="14616" max="14616" width="9.75" style="341" bestFit="1" customWidth="1"/>
    <col min="14617" max="14617" width="10.5" style="341" bestFit="1" customWidth="1"/>
    <col min="14618" max="14619" width="9" style="341"/>
    <col min="14620" max="14620" width="9.75" style="341" bestFit="1" customWidth="1"/>
    <col min="14621" max="14622" width="9" style="341"/>
    <col min="14623" max="14623" width="8.625" style="341" bestFit="1" customWidth="1"/>
    <col min="14624" max="14848" width="9" style="341"/>
    <col min="14849" max="14849" width="1.5" style="341" customWidth="1"/>
    <col min="14850" max="14850" width="18.5" style="341" customWidth="1"/>
    <col min="14851" max="14851" width="7.125" style="341" customWidth="1"/>
    <col min="14852" max="14852" width="7.375" style="341" customWidth="1"/>
    <col min="14853" max="14853" width="7.5" style="341" customWidth="1"/>
    <col min="14854" max="14854" width="11.125" style="341" customWidth="1"/>
    <col min="14855" max="14855" width="6.5" style="341" customWidth="1"/>
    <col min="14856" max="14856" width="7.875" style="341" customWidth="1"/>
    <col min="14857" max="14857" width="9.375" style="341" customWidth="1"/>
    <col min="14858" max="14858" width="7.125" style="341" customWidth="1"/>
    <col min="14859" max="14859" width="7.875" style="341" customWidth="1"/>
    <col min="14860" max="14860" width="8.125" style="341" bestFit="1" customWidth="1"/>
    <col min="14861" max="14861" width="9.125" style="341" customWidth="1"/>
    <col min="14862" max="14862" width="5.5" style="341" customWidth="1"/>
    <col min="14863" max="14863" width="7.875" style="341" bestFit="1" customWidth="1"/>
    <col min="14864" max="14864" width="10.5" style="341" bestFit="1" customWidth="1"/>
    <col min="14865" max="14865" width="12.75" style="341" bestFit="1" customWidth="1"/>
    <col min="14866" max="14866" width="0.75" style="341" customWidth="1"/>
    <col min="14867" max="14871" width="13.75" style="341" customWidth="1"/>
    <col min="14872" max="14872" width="9.75" style="341" bestFit="1" customWidth="1"/>
    <col min="14873" max="14873" width="10.5" style="341" bestFit="1" customWidth="1"/>
    <col min="14874" max="14875" width="9" style="341"/>
    <col min="14876" max="14876" width="9.75" style="341" bestFit="1" customWidth="1"/>
    <col min="14877" max="14878" width="9" style="341"/>
    <col min="14879" max="14879" width="8.625" style="341" bestFit="1" customWidth="1"/>
    <col min="14880" max="15104" width="9" style="341"/>
    <col min="15105" max="15105" width="1.5" style="341" customWidth="1"/>
    <col min="15106" max="15106" width="18.5" style="341" customWidth="1"/>
    <col min="15107" max="15107" width="7.125" style="341" customWidth="1"/>
    <col min="15108" max="15108" width="7.375" style="341" customWidth="1"/>
    <col min="15109" max="15109" width="7.5" style="341" customWidth="1"/>
    <col min="15110" max="15110" width="11.125" style="341" customWidth="1"/>
    <col min="15111" max="15111" width="6.5" style="341" customWidth="1"/>
    <col min="15112" max="15112" width="7.875" style="341" customWidth="1"/>
    <col min="15113" max="15113" width="9.375" style="341" customWidth="1"/>
    <col min="15114" max="15114" width="7.125" style="341" customWidth="1"/>
    <col min="15115" max="15115" width="7.875" style="341" customWidth="1"/>
    <col min="15116" max="15116" width="8.125" style="341" bestFit="1" customWidth="1"/>
    <col min="15117" max="15117" width="9.125" style="341" customWidth="1"/>
    <col min="15118" max="15118" width="5.5" style="341" customWidth="1"/>
    <col min="15119" max="15119" width="7.875" style="341" bestFit="1" customWidth="1"/>
    <col min="15120" max="15120" width="10.5" style="341" bestFit="1" customWidth="1"/>
    <col min="15121" max="15121" width="12.75" style="341" bestFit="1" customWidth="1"/>
    <col min="15122" max="15122" width="0.75" style="341" customWidth="1"/>
    <col min="15123" max="15127" width="13.75" style="341" customWidth="1"/>
    <col min="15128" max="15128" width="9.75" style="341" bestFit="1" customWidth="1"/>
    <col min="15129" max="15129" width="10.5" style="341" bestFit="1" customWidth="1"/>
    <col min="15130" max="15131" width="9" style="341"/>
    <col min="15132" max="15132" width="9.75" style="341" bestFit="1" customWidth="1"/>
    <col min="15133" max="15134" width="9" style="341"/>
    <col min="15135" max="15135" width="8.625" style="341" bestFit="1" customWidth="1"/>
    <col min="15136" max="15360" width="9" style="341"/>
    <col min="15361" max="15361" width="1.5" style="341" customWidth="1"/>
    <col min="15362" max="15362" width="18.5" style="341" customWidth="1"/>
    <col min="15363" max="15363" width="7.125" style="341" customWidth="1"/>
    <col min="15364" max="15364" width="7.375" style="341" customWidth="1"/>
    <col min="15365" max="15365" width="7.5" style="341" customWidth="1"/>
    <col min="15366" max="15366" width="11.125" style="341" customWidth="1"/>
    <col min="15367" max="15367" width="6.5" style="341" customWidth="1"/>
    <col min="15368" max="15368" width="7.875" style="341" customWidth="1"/>
    <col min="15369" max="15369" width="9.375" style="341" customWidth="1"/>
    <col min="15370" max="15370" width="7.125" style="341" customWidth="1"/>
    <col min="15371" max="15371" width="7.875" style="341" customWidth="1"/>
    <col min="15372" max="15372" width="8.125" style="341" bestFit="1" customWidth="1"/>
    <col min="15373" max="15373" width="9.125" style="341" customWidth="1"/>
    <col min="15374" max="15374" width="5.5" style="341" customWidth="1"/>
    <col min="15375" max="15375" width="7.875" style="341" bestFit="1" customWidth="1"/>
    <col min="15376" max="15376" width="10.5" style="341" bestFit="1" customWidth="1"/>
    <col min="15377" max="15377" width="12.75" style="341" bestFit="1" customWidth="1"/>
    <col min="15378" max="15378" width="0.75" style="341" customWidth="1"/>
    <col min="15379" max="15383" width="13.75" style="341" customWidth="1"/>
    <col min="15384" max="15384" width="9.75" style="341" bestFit="1" customWidth="1"/>
    <col min="15385" max="15385" width="10.5" style="341" bestFit="1" customWidth="1"/>
    <col min="15386" max="15387" width="9" style="341"/>
    <col min="15388" max="15388" width="9.75" style="341" bestFit="1" customWidth="1"/>
    <col min="15389" max="15390" width="9" style="341"/>
    <col min="15391" max="15391" width="8.625" style="341" bestFit="1" customWidth="1"/>
    <col min="15392" max="15616" width="9" style="341"/>
    <col min="15617" max="15617" width="1.5" style="341" customWidth="1"/>
    <col min="15618" max="15618" width="18.5" style="341" customWidth="1"/>
    <col min="15619" max="15619" width="7.125" style="341" customWidth="1"/>
    <col min="15620" max="15620" width="7.375" style="341" customWidth="1"/>
    <col min="15621" max="15621" width="7.5" style="341" customWidth="1"/>
    <col min="15622" max="15622" width="11.125" style="341" customWidth="1"/>
    <col min="15623" max="15623" width="6.5" style="341" customWidth="1"/>
    <col min="15624" max="15624" width="7.875" style="341" customWidth="1"/>
    <col min="15625" max="15625" width="9.375" style="341" customWidth="1"/>
    <col min="15626" max="15626" width="7.125" style="341" customWidth="1"/>
    <col min="15627" max="15627" width="7.875" style="341" customWidth="1"/>
    <col min="15628" max="15628" width="8.125" style="341" bestFit="1" customWidth="1"/>
    <col min="15629" max="15629" width="9.125" style="341" customWidth="1"/>
    <col min="15630" max="15630" width="5.5" style="341" customWidth="1"/>
    <col min="15631" max="15631" width="7.875" style="341" bestFit="1" customWidth="1"/>
    <col min="15632" max="15632" width="10.5" style="341" bestFit="1" customWidth="1"/>
    <col min="15633" max="15633" width="12.75" style="341" bestFit="1" customWidth="1"/>
    <col min="15634" max="15634" width="0.75" style="341" customWidth="1"/>
    <col min="15635" max="15639" width="13.75" style="341" customWidth="1"/>
    <col min="15640" max="15640" width="9.75" style="341" bestFit="1" customWidth="1"/>
    <col min="15641" max="15641" width="10.5" style="341" bestFit="1" customWidth="1"/>
    <col min="15642" max="15643" width="9" style="341"/>
    <col min="15644" max="15644" width="9.75" style="341" bestFit="1" customWidth="1"/>
    <col min="15645" max="15646" width="9" style="341"/>
    <col min="15647" max="15647" width="8.625" style="341" bestFit="1" customWidth="1"/>
    <col min="15648" max="15872" width="9" style="341"/>
    <col min="15873" max="15873" width="1.5" style="341" customWidth="1"/>
    <col min="15874" max="15874" width="18.5" style="341" customWidth="1"/>
    <col min="15875" max="15875" width="7.125" style="341" customWidth="1"/>
    <col min="15876" max="15876" width="7.375" style="341" customWidth="1"/>
    <col min="15877" max="15877" width="7.5" style="341" customWidth="1"/>
    <col min="15878" max="15878" width="11.125" style="341" customWidth="1"/>
    <col min="15879" max="15879" width="6.5" style="341" customWidth="1"/>
    <col min="15880" max="15880" width="7.875" style="341" customWidth="1"/>
    <col min="15881" max="15881" width="9.375" style="341" customWidth="1"/>
    <col min="15882" max="15882" width="7.125" style="341" customWidth="1"/>
    <col min="15883" max="15883" width="7.875" style="341" customWidth="1"/>
    <col min="15884" max="15884" width="8.125" style="341" bestFit="1" customWidth="1"/>
    <col min="15885" max="15885" width="9.125" style="341" customWidth="1"/>
    <col min="15886" max="15886" width="5.5" style="341" customWidth="1"/>
    <col min="15887" max="15887" width="7.875" style="341" bestFit="1" customWidth="1"/>
    <col min="15888" max="15888" width="10.5" style="341" bestFit="1" customWidth="1"/>
    <col min="15889" max="15889" width="12.75" style="341" bestFit="1" customWidth="1"/>
    <col min="15890" max="15890" width="0.75" style="341" customWidth="1"/>
    <col min="15891" max="15895" width="13.75" style="341" customWidth="1"/>
    <col min="15896" max="15896" width="9.75" style="341" bestFit="1" customWidth="1"/>
    <col min="15897" max="15897" width="10.5" style="341" bestFit="1" customWidth="1"/>
    <col min="15898" max="15899" width="9" style="341"/>
    <col min="15900" max="15900" width="9.75" style="341" bestFit="1" customWidth="1"/>
    <col min="15901" max="15902" width="9" style="341"/>
    <col min="15903" max="15903" width="8.625" style="341" bestFit="1" customWidth="1"/>
    <col min="15904" max="16128" width="9" style="341"/>
    <col min="16129" max="16129" width="1.5" style="341" customWidth="1"/>
    <col min="16130" max="16130" width="18.5" style="341" customWidth="1"/>
    <col min="16131" max="16131" width="7.125" style="341" customWidth="1"/>
    <col min="16132" max="16132" width="7.375" style="341" customWidth="1"/>
    <col min="16133" max="16133" width="7.5" style="341" customWidth="1"/>
    <col min="16134" max="16134" width="11.125" style="341" customWidth="1"/>
    <col min="16135" max="16135" width="6.5" style="341" customWidth="1"/>
    <col min="16136" max="16136" width="7.875" style="341" customWidth="1"/>
    <col min="16137" max="16137" width="9.375" style="341" customWidth="1"/>
    <col min="16138" max="16138" width="7.125" style="341" customWidth="1"/>
    <col min="16139" max="16139" width="7.875" style="341" customWidth="1"/>
    <col min="16140" max="16140" width="8.125" style="341" bestFit="1" customWidth="1"/>
    <col min="16141" max="16141" width="9.125" style="341" customWidth="1"/>
    <col min="16142" max="16142" width="5.5" style="341" customWidth="1"/>
    <col min="16143" max="16143" width="7.875" style="341" bestFit="1" customWidth="1"/>
    <col min="16144" max="16144" width="10.5" style="341" bestFit="1" customWidth="1"/>
    <col min="16145" max="16145" width="12.75" style="341" bestFit="1" customWidth="1"/>
    <col min="16146" max="16146" width="0.75" style="341" customWidth="1"/>
    <col min="16147" max="16151" width="13.75" style="341" customWidth="1"/>
    <col min="16152" max="16152" width="9.75" style="341" bestFit="1" customWidth="1"/>
    <col min="16153" max="16153" width="10.5" style="341" bestFit="1" customWidth="1"/>
    <col min="16154" max="16155" width="9" style="341"/>
    <col min="16156" max="16156" width="9.75" style="341" bestFit="1" customWidth="1"/>
    <col min="16157" max="16158" width="9" style="341"/>
    <col min="16159" max="16159" width="8.625" style="341" bestFit="1" customWidth="1"/>
    <col min="16160" max="16384" width="9" style="341"/>
  </cols>
  <sheetData>
    <row r="1" spans="1:26" x14ac:dyDescent="0.2">
      <c r="B1" s="342" t="s">
        <v>170</v>
      </c>
      <c r="E1" s="344"/>
      <c r="F1" s="344"/>
      <c r="G1" s="344"/>
      <c r="H1" s="344"/>
      <c r="I1" s="344"/>
      <c r="J1" s="344"/>
      <c r="L1" s="344"/>
    </row>
    <row r="2" spans="1:26" x14ac:dyDescent="0.2">
      <c r="B2" s="347" t="s">
        <v>371</v>
      </c>
      <c r="D2" s="344"/>
      <c r="E2" s="344"/>
      <c r="F2" s="344"/>
      <c r="G2" s="344"/>
      <c r="H2" s="344"/>
      <c r="I2" s="344"/>
      <c r="L2" s="344"/>
      <c r="Q2" s="400">
        <v>44196</v>
      </c>
    </row>
    <row r="3" spans="1:26" x14ac:dyDescent="0.2">
      <c r="B3" s="341" t="s">
        <v>171</v>
      </c>
      <c r="C3" s="400">
        <f>+'TFCs -Market Value '!D3</f>
        <v>44764</v>
      </c>
      <c r="D3" s="344"/>
      <c r="E3" s="344"/>
      <c r="F3" s="344"/>
      <c r="G3" s="344"/>
      <c r="H3" s="344"/>
      <c r="I3" s="344"/>
      <c r="L3" s="344"/>
    </row>
    <row r="4" spans="1:26" x14ac:dyDescent="0.2">
      <c r="C4" s="400"/>
      <c r="D4" s="344"/>
      <c r="E4" s="344"/>
      <c r="F4" s="344"/>
      <c r="G4" s="344"/>
      <c r="H4" s="344"/>
      <c r="I4" s="344"/>
      <c r="J4" s="344"/>
      <c r="L4" s="344"/>
    </row>
    <row r="5" spans="1:26" s="347" customFormat="1" ht="50.1" customHeight="1" x14ac:dyDescent="0.2">
      <c r="A5" s="401"/>
      <c r="B5" s="352" t="s">
        <v>355</v>
      </c>
      <c r="C5" s="352" t="s">
        <v>357</v>
      </c>
      <c r="D5" s="352" t="s">
        <v>372</v>
      </c>
      <c r="E5" s="352" t="s">
        <v>373</v>
      </c>
      <c r="F5" s="352" t="s">
        <v>374</v>
      </c>
      <c r="G5" s="352" t="s">
        <v>375</v>
      </c>
      <c r="H5" s="352" t="s">
        <v>359</v>
      </c>
      <c r="I5" s="352" t="s">
        <v>376</v>
      </c>
      <c r="J5" s="352" t="s">
        <v>377</v>
      </c>
      <c r="K5" s="352" t="s">
        <v>378</v>
      </c>
      <c r="L5" s="352" t="s">
        <v>379</v>
      </c>
      <c r="M5" s="352" t="s">
        <v>380</v>
      </c>
      <c r="N5" s="352" t="s">
        <v>23</v>
      </c>
      <c r="O5" s="402" t="s">
        <v>381</v>
      </c>
      <c r="P5" s="352" t="s">
        <v>382</v>
      </c>
      <c r="Q5" s="352" t="s">
        <v>383</v>
      </c>
      <c r="S5" s="352" t="s">
        <v>502</v>
      </c>
      <c r="T5" s="352" t="s">
        <v>731</v>
      </c>
      <c r="U5"/>
      <c r="V5"/>
      <c r="W5"/>
      <c r="X5"/>
    </row>
    <row r="6" spans="1:26" ht="18" x14ac:dyDescent="0.25">
      <c r="B6" s="382" t="s">
        <v>370</v>
      </c>
      <c r="C6" s="384"/>
      <c r="D6" s="384"/>
      <c r="E6" s="384"/>
      <c r="F6" s="384"/>
      <c r="G6" s="385"/>
      <c r="H6" s="385"/>
      <c r="I6" s="386"/>
      <c r="J6" s="388"/>
      <c r="K6" s="386"/>
      <c r="L6" s="388"/>
      <c r="M6" s="389"/>
      <c r="N6" s="385"/>
      <c r="O6" s="405"/>
      <c r="P6" s="405"/>
      <c r="Q6" s="406"/>
      <c r="Z6" s="365"/>
    </row>
    <row r="7" spans="1:26" x14ac:dyDescent="0.2">
      <c r="B7" s="370"/>
      <c r="C7" s="375"/>
      <c r="D7" s="375"/>
      <c r="E7" s="375"/>
      <c r="F7" s="375"/>
      <c r="G7" s="361"/>
      <c r="H7" s="361"/>
      <c r="I7" s="355"/>
      <c r="J7" s="363"/>
      <c r="K7" s="355"/>
      <c r="L7" s="381"/>
      <c r="M7" s="374"/>
      <c r="N7" s="361"/>
      <c r="O7" s="403"/>
      <c r="P7" s="403"/>
      <c r="Q7" s="364"/>
      <c r="Z7" s="365"/>
    </row>
    <row r="8" spans="1:26" s="993" customFormat="1" x14ac:dyDescent="0.2">
      <c r="B8" s="994"/>
      <c r="C8" s="995"/>
      <c r="D8" s="995"/>
      <c r="E8" s="995"/>
      <c r="F8" s="995"/>
      <c r="G8" s="996"/>
      <c r="H8" s="997"/>
      <c r="I8" s="998"/>
      <c r="J8" s="999"/>
      <c r="K8" s="998"/>
      <c r="L8" s="999"/>
      <c r="M8" s="1000"/>
      <c r="N8" s="1001"/>
      <c r="O8" s="1002"/>
      <c r="P8" s="1002"/>
      <c r="Q8" s="1003"/>
      <c r="S8" s="1004"/>
      <c r="T8" s="1004"/>
      <c r="U8" s="1004"/>
      <c r="V8" s="1004"/>
      <c r="W8" s="1004"/>
      <c r="X8" s="1004"/>
      <c r="Z8" s="1005"/>
    </row>
    <row r="9" spans="1:26" s="1041" customFormat="1" x14ac:dyDescent="0.2">
      <c r="B9" s="1042"/>
      <c r="C9" s="1043"/>
      <c r="D9" s="1043"/>
      <c r="E9" s="1043"/>
      <c r="F9" s="1043"/>
      <c r="G9" s="1044"/>
      <c r="H9" s="1045"/>
      <c r="I9" s="1046"/>
      <c r="J9" s="1047"/>
      <c r="K9" s="1046"/>
      <c r="L9" s="1047"/>
      <c r="M9" s="1048"/>
      <c r="N9" s="1049"/>
      <c r="O9" s="1050"/>
      <c r="P9" s="1050"/>
      <c r="Q9" s="1051"/>
      <c r="S9" s="882"/>
      <c r="T9" s="339"/>
      <c r="U9" s="882"/>
      <c r="V9" s="1027"/>
      <c r="W9" s="339"/>
      <c r="X9" s="339"/>
      <c r="Z9" s="1052"/>
    </row>
    <row r="10" spans="1:26" s="1137" customFormat="1" x14ac:dyDescent="0.2">
      <c r="B10" s="1138"/>
      <c r="C10" s="1139"/>
      <c r="D10" s="1139"/>
      <c r="E10" s="1139"/>
      <c r="F10" s="1139"/>
      <c r="G10" s="1140"/>
      <c r="H10" s="1141"/>
      <c r="I10" s="1142"/>
      <c r="J10" s="1143"/>
      <c r="K10" s="1142"/>
      <c r="L10" s="1143"/>
      <c r="M10" s="1144"/>
      <c r="N10" s="1145"/>
      <c r="O10" s="1146"/>
      <c r="P10" s="1146"/>
      <c r="Q10" s="1147"/>
      <c r="S10" s="1152"/>
      <c r="T10" s="1152"/>
      <c r="U10" s="1148"/>
      <c r="V10" s="1150"/>
      <c r="W10" s="1149"/>
      <c r="X10" s="1149"/>
      <c r="Z10" s="1151"/>
    </row>
    <row r="11" spans="1:26" s="1122" customFormat="1" ht="22.5" x14ac:dyDescent="0.2">
      <c r="B11" s="1123" t="s">
        <v>384</v>
      </c>
      <c r="C11" s="1125">
        <v>42193</v>
      </c>
      <c r="D11" s="1125">
        <v>44204</v>
      </c>
      <c r="E11" s="1125">
        <v>44385</v>
      </c>
      <c r="F11" s="1125"/>
      <c r="G11" s="1155">
        <v>17360</v>
      </c>
      <c r="H11" s="1156">
        <f>4995-1-1-1-1-1-1</f>
        <v>4989</v>
      </c>
      <c r="I11" s="1128">
        <f>+G11*H11</f>
        <v>86609040</v>
      </c>
      <c r="J11" s="1157">
        <f>E11-D11</f>
        <v>181</v>
      </c>
      <c r="K11" s="1128">
        <f>+$T$11-$D$11</f>
        <v>102</v>
      </c>
      <c r="L11" s="1157">
        <f>+$T$11-$D$11</f>
        <v>102</v>
      </c>
      <c r="M11" s="1132">
        <f>(I11*N11)/2</f>
        <v>3776154.1439999999</v>
      </c>
      <c r="N11" s="1158">
        <v>8.72E-2</v>
      </c>
      <c r="O11" s="1159">
        <f>+M11/J11</f>
        <v>20862.730077348064</v>
      </c>
      <c r="P11" s="1159">
        <f>(+O11*K11)*0</f>
        <v>0</v>
      </c>
      <c r="Q11" s="1160">
        <f>+L11*O11</f>
        <v>2127998.4678895026</v>
      </c>
      <c r="S11" s="1165">
        <v>44305</v>
      </c>
      <c r="T11" s="1165">
        <f>+S11+1</f>
        <v>44306</v>
      </c>
      <c r="U11" s="1161"/>
      <c r="V11" s="1163"/>
      <c r="W11" s="1162"/>
      <c r="X11" s="1162"/>
      <c r="Z11" s="1164"/>
    </row>
    <row r="12" spans="1:26" s="372" customFormat="1" x14ac:dyDescent="0.2">
      <c r="A12" s="354"/>
      <c r="B12" s="647"/>
      <c r="C12" s="648"/>
      <c r="D12" s="648"/>
      <c r="E12" s="648"/>
      <c r="F12" s="648"/>
      <c r="G12" s="649"/>
      <c r="H12" s="650"/>
      <c r="I12" s="651"/>
      <c r="J12" s="652"/>
      <c r="K12" s="651"/>
      <c r="L12" s="652"/>
      <c r="M12" s="653"/>
      <c r="N12" s="654"/>
      <c r="O12" s="655"/>
      <c r="P12" s="655"/>
      <c r="Q12" s="656"/>
      <c r="S12" s="1006"/>
      <c r="T12"/>
      <c r="U12" s="1006"/>
      <c r="V12" s="891"/>
      <c r="W12"/>
      <c r="X12"/>
      <c r="Z12" s="369"/>
    </row>
    <row r="13" spans="1:26" s="354" customFormat="1" ht="12.75" thickBot="1" x14ac:dyDescent="0.25">
      <c r="B13" s="371"/>
      <c r="C13" s="375"/>
      <c r="D13" s="375"/>
      <c r="E13" s="375"/>
      <c r="F13" s="375"/>
      <c r="G13" s="223"/>
      <c r="H13" s="404"/>
      <c r="I13" s="355"/>
      <c r="J13" s="363"/>
      <c r="K13" s="355"/>
      <c r="L13" s="363"/>
      <c r="M13" s="364"/>
      <c r="N13" s="361"/>
      <c r="O13" s="378">
        <f>SUM(O12)</f>
        <v>0</v>
      </c>
      <c r="P13" s="378">
        <f>SUM(P8:P12)</f>
        <v>0</v>
      </c>
      <c r="Q13" s="378">
        <f>SUM(Q8:Q11)</f>
        <v>2127998.4678895026</v>
      </c>
      <c r="S13" s="920" t="s">
        <v>517</v>
      </c>
      <c r="T13"/>
      <c r="U13"/>
      <c r="V13"/>
      <c r="W13"/>
      <c r="X13"/>
      <c r="Z13" s="377"/>
    </row>
    <row r="14" spans="1:26" ht="12.75" thickTop="1" x14ac:dyDescent="0.2">
      <c r="B14" s="358"/>
      <c r="C14" s="360"/>
      <c r="D14" s="375"/>
      <c r="E14" s="375"/>
      <c r="F14" s="375"/>
      <c r="G14" s="361"/>
      <c r="H14" s="361"/>
      <c r="I14" s="355"/>
      <c r="J14" s="363"/>
      <c r="K14" s="355"/>
      <c r="L14" s="381"/>
      <c r="M14" s="374"/>
      <c r="N14" s="361"/>
      <c r="O14" s="403"/>
      <c r="P14" s="403">
        <v>0</v>
      </c>
      <c r="Q14" s="243">
        <v>2582248.7999999998</v>
      </c>
      <c r="Z14" s="365"/>
    </row>
    <row r="15" spans="1:26" x14ac:dyDescent="0.2">
      <c r="B15" s="358"/>
      <c r="C15" s="360"/>
      <c r="D15" s="375"/>
      <c r="E15" s="375"/>
      <c r="F15" s="375"/>
      <c r="G15" s="361"/>
      <c r="H15" s="361"/>
      <c r="I15" s="355"/>
      <c r="J15" s="363"/>
      <c r="K15" s="355"/>
      <c r="L15" s="381"/>
      <c r="M15" s="374"/>
      <c r="N15" s="361"/>
      <c r="O15" s="223">
        <f>+O14-O13</f>
        <v>0</v>
      </c>
      <c r="P15" s="223">
        <f>+P14-P13</f>
        <v>0</v>
      </c>
      <c r="Q15" s="223">
        <f>+Q14-Q13</f>
        <v>454250.33211049717</v>
      </c>
      <c r="Z15" s="365"/>
    </row>
    <row r="16" spans="1:26" x14ac:dyDescent="0.2">
      <c r="B16" s="358"/>
      <c r="C16" s="360"/>
      <c r="D16" s="375"/>
      <c r="E16" s="375"/>
      <c r="F16" s="375"/>
      <c r="G16" s="361"/>
      <c r="H16" s="361"/>
      <c r="I16" s="355"/>
      <c r="J16" s="363"/>
      <c r="K16" s="355"/>
      <c r="L16" s="381"/>
      <c r="M16" s="374"/>
      <c r="N16" s="361"/>
      <c r="O16" s="223"/>
      <c r="P16" s="223"/>
      <c r="Q16" s="223"/>
      <c r="Z16" s="365"/>
    </row>
    <row r="17" spans="1:24" s="396" customFormat="1" x14ac:dyDescent="0.2">
      <c r="A17" s="395"/>
      <c r="F17" s="408"/>
      <c r="I17" s="408"/>
      <c r="M17" s="398"/>
      <c r="O17" s="409">
        <f>+O9*3</f>
        <v>0</v>
      </c>
      <c r="P17" s="409"/>
      <c r="Q17" s="398"/>
      <c r="S17"/>
      <c r="T17"/>
      <c r="U17"/>
      <c r="V17"/>
      <c r="W17"/>
      <c r="X17"/>
    </row>
    <row r="18" spans="1:24" x14ac:dyDescent="0.2">
      <c r="F18" s="399"/>
      <c r="H18" s="341">
        <v>3581</v>
      </c>
      <c r="I18" s="399"/>
      <c r="L18" s="341" t="s">
        <v>385</v>
      </c>
      <c r="M18" s="365"/>
      <c r="Q18" s="365"/>
    </row>
    <row r="19" spans="1:24" x14ac:dyDescent="0.2">
      <c r="F19" s="399"/>
      <c r="H19" s="341">
        <f>+H18*2</f>
        <v>7162</v>
      </c>
      <c r="I19" s="399"/>
      <c r="K19" s="396"/>
      <c r="M19" s="398"/>
      <c r="O19" s="409"/>
      <c r="P19" s="409"/>
      <c r="Q19" s="398"/>
      <c r="R19" s="396"/>
    </row>
    <row r="20" spans="1:24" x14ac:dyDescent="0.2">
      <c r="K20" s="396"/>
      <c r="M20" s="398"/>
      <c r="O20" s="409"/>
      <c r="P20" s="409"/>
      <c r="Q20" s="398"/>
      <c r="R20" s="396"/>
    </row>
    <row r="21" spans="1:24" x14ac:dyDescent="0.2">
      <c r="K21" s="396"/>
      <c r="M21" s="398"/>
      <c r="O21" s="409"/>
      <c r="P21" s="409"/>
      <c r="Q21" s="407"/>
      <c r="R21" s="396"/>
    </row>
    <row r="22" spans="1:24" x14ac:dyDescent="0.2">
      <c r="K22" s="396"/>
      <c r="M22" s="398"/>
      <c r="O22" s="409"/>
      <c r="P22" s="409"/>
      <c r="Q22" s="396"/>
      <c r="R22" s="396"/>
    </row>
    <row r="23" spans="1:24" x14ac:dyDescent="0.2">
      <c r="K23" s="396"/>
      <c r="M23" s="398"/>
      <c r="O23" s="409"/>
      <c r="P23" s="409"/>
      <c r="Q23" s="396"/>
      <c r="R23" s="396"/>
    </row>
    <row r="24" spans="1:24" x14ac:dyDescent="0.2">
      <c r="K24" s="396"/>
      <c r="M24" s="398"/>
      <c r="O24" s="409"/>
      <c r="P24" s="409"/>
      <c r="Q24" s="398"/>
      <c r="R24" s="396"/>
    </row>
    <row r="25" spans="1:24" x14ac:dyDescent="0.2">
      <c r="K25" s="396"/>
      <c r="M25" s="398"/>
      <c r="O25" s="409"/>
      <c r="P25" s="409"/>
      <c r="Q25" s="396"/>
      <c r="R25" s="396"/>
    </row>
    <row r="26" spans="1:24" x14ac:dyDescent="0.2">
      <c r="K26" s="396"/>
      <c r="M26" s="398"/>
      <c r="O26" s="409"/>
      <c r="P26" s="409"/>
      <c r="Q26" s="396"/>
      <c r="R26" s="396"/>
    </row>
    <row r="27" spans="1:24" x14ac:dyDescent="0.2">
      <c r="K27" s="396"/>
      <c r="M27" s="398"/>
      <c r="O27" s="409"/>
      <c r="P27" s="409"/>
      <c r="Q27" s="396"/>
      <c r="R27" s="396"/>
    </row>
    <row r="28" spans="1:24" x14ac:dyDescent="0.2">
      <c r="K28" s="396"/>
      <c r="M28" s="398"/>
      <c r="O28" s="409"/>
      <c r="P28" s="409"/>
      <c r="Q28" s="396"/>
      <c r="R28" s="396"/>
    </row>
    <row r="29" spans="1:24" x14ac:dyDescent="0.2">
      <c r="K29" s="396"/>
      <c r="M29" s="396"/>
      <c r="O29" s="409"/>
      <c r="P29" s="409"/>
      <c r="Q29" s="396"/>
      <c r="R29" s="396"/>
    </row>
    <row r="30" spans="1:24" x14ac:dyDescent="0.2">
      <c r="K30" s="396"/>
      <c r="M30" s="396"/>
      <c r="O30" s="409"/>
      <c r="P30" s="409"/>
      <c r="Q30" s="396"/>
      <c r="R30" s="396"/>
    </row>
    <row r="31" spans="1:24" x14ac:dyDescent="0.2">
      <c r="K31" s="396"/>
      <c r="M31" s="396"/>
      <c r="O31" s="409"/>
      <c r="P31" s="409"/>
      <c r="Q31" s="396"/>
      <c r="R31" s="396"/>
    </row>
    <row r="32" spans="1:24" x14ac:dyDescent="0.2">
      <c r="K32" s="396"/>
      <c r="M32" s="396"/>
      <c r="O32" s="409"/>
      <c r="P32" s="409"/>
      <c r="Q32" s="396"/>
      <c r="R32" s="396"/>
    </row>
    <row r="33" spans="11:18" x14ac:dyDescent="0.2">
      <c r="K33" s="396"/>
      <c r="M33" s="396"/>
      <c r="O33" s="409"/>
      <c r="P33" s="409"/>
      <c r="Q33" s="396"/>
      <c r="R33" s="396"/>
    </row>
    <row r="34" spans="11:18" x14ac:dyDescent="0.2">
      <c r="K34" s="396"/>
      <c r="M34" s="396"/>
      <c r="O34" s="409"/>
      <c r="P34" s="409"/>
      <c r="Q34" s="396"/>
      <c r="R34" s="396"/>
    </row>
    <row r="35" spans="11:18" x14ac:dyDescent="0.2">
      <c r="K35" s="396"/>
      <c r="M35" s="396"/>
      <c r="O35" s="409"/>
      <c r="P35" s="409"/>
      <c r="Q35" s="396"/>
      <c r="R35" s="396"/>
    </row>
    <row r="36" spans="11:18" x14ac:dyDescent="0.2">
      <c r="K36" s="396"/>
      <c r="M36" s="396"/>
      <c r="O36" s="409"/>
      <c r="P36" s="409"/>
      <c r="Q36" s="396"/>
      <c r="R36" s="396"/>
    </row>
    <row r="37" spans="11:18" x14ac:dyDescent="0.2">
      <c r="K37" s="396"/>
      <c r="M37" s="396"/>
      <c r="O37" s="409"/>
      <c r="P37" s="409"/>
      <c r="Q37" s="396"/>
      <c r="R37" s="396"/>
    </row>
  </sheetData>
  <pageMargins left="0.19685039370078741" right="0" top="0.19685039370078741" bottom="0.19685039370078741" header="0.19685039370078741" footer="0.19685039370078741"/>
  <pageSetup paperSize="9" scale="81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87"/>
  <sheetViews>
    <sheetView view="pageBreakPreview" topLeftCell="A11" zoomScale="110" zoomScaleNormal="110" zoomScaleSheetLayoutView="110" workbookViewId="0">
      <selection activeCell="F29" sqref="F29"/>
    </sheetView>
  </sheetViews>
  <sheetFormatPr defaultColWidth="9" defaultRowHeight="13.5" customHeight="1" x14ac:dyDescent="0.15"/>
  <cols>
    <col min="1" max="1" width="13" style="22" bestFit="1" customWidth="1"/>
    <col min="2" max="2" width="60" style="22" bestFit="1" customWidth="1"/>
    <col min="3" max="3" width="1" style="49" customWidth="1"/>
    <col min="4" max="4" width="12.5" style="26" customWidth="1"/>
    <col min="5" max="5" width="1" style="40" customWidth="1"/>
    <col min="6" max="6" width="13.125" style="26" customWidth="1"/>
    <col min="7" max="7" width="1" style="45" customWidth="1"/>
    <col min="8" max="9" width="11.75" style="26" bestFit="1" customWidth="1"/>
    <col min="10" max="10" width="15.125" style="26" bestFit="1" customWidth="1"/>
    <col min="11" max="11" width="11.5" style="26" bestFit="1" customWidth="1"/>
    <col min="12" max="12" width="12.375" style="26" bestFit="1" customWidth="1"/>
    <col min="13" max="13" width="11.75" style="22" bestFit="1" customWidth="1"/>
    <col min="14" max="14" width="11.125" style="22" customWidth="1"/>
    <col min="15" max="16" width="9" style="22"/>
    <col min="17" max="18" width="12.375" style="22" bestFit="1" customWidth="1"/>
    <col min="19" max="19" width="10.5" style="22" bestFit="1" customWidth="1"/>
    <col min="20" max="20" width="11.375" style="22" bestFit="1" customWidth="1"/>
    <col min="21" max="21" width="14.125" style="22" bestFit="1" customWidth="1"/>
    <col min="22" max="22" width="14.125" style="22" customWidth="1"/>
    <col min="23" max="16384" width="9" style="22"/>
  </cols>
  <sheetData>
    <row r="1" spans="1:21" ht="60.75" x14ac:dyDescent="0.15">
      <c r="A1" s="155" t="str">
        <f>+PIB!A2</f>
        <v>CAPITAL GROWTH FUND</v>
      </c>
    </row>
    <row r="2" spans="1:21" ht="13.5" customHeight="1" thickBot="1" x14ac:dyDescent="0.2">
      <c r="I2" s="26">
        <f>12500*1.14</f>
        <v>14249.999999999998</v>
      </c>
      <c r="J2" s="26">
        <v>44763</v>
      </c>
      <c r="K2" s="26">
        <v>44763</v>
      </c>
      <c r="L2" s="26">
        <f>+K2-J2</f>
        <v>0</v>
      </c>
    </row>
    <row r="3" spans="1:21" ht="26.25" thickBot="1" x14ac:dyDescent="0.2">
      <c r="A3" s="51" t="s">
        <v>49</v>
      </c>
      <c r="B3" s="52"/>
      <c r="D3" s="34" t="s">
        <v>62</v>
      </c>
      <c r="E3" s="41"/>
      <c r="F3" s="34" t="s">
        <v>63</v>
      </c>
      <c r="G3" s="46"/>
      <c r="H3" s="35" t="s">
        <v>25</v>
      </c>
    </row>
    <row r="4" spans="1:21" ht="13.5" customHeight="1" x14ac:dyDescent="0.15">
      <c r="J4" s="883">
        <v>4990</v>
      </c>
    </row>
    <row r="5" spans="1:21" ht="13.5" customHeight="1" thickBot="1" x14ac:dyDescent="0.2">
      <c r="A5" s="23" t="s">
        <v>40</v>
      </c>
      <c r="J5" s="883"/>
      <c r="L5" s="26">
        <f>54218*2</f>
        <v>108436</v>
      </c>
    </row>
    <row r="6" spans="1:21" ht="13.5" customHeight="1" x14ac:dyDescent="0.15">
      <c r="A6" s="25" t="s">
        <v>73</v>
      </c>
      <c r="B6" s="22" t="s">
        <v>74</v>
      </c>
      <c r="D6" s="28">
        <f>+'Equity - CIAP MA'!J145</f>
        <v>24981706652.726925</v>
      </c>
      <c r="F6" s="28">
        <v>24981706652.830002</v>
      </c>
      <c r="H6" s="837">
        <f>+D6-F6</f>
        <v>-0.10307693481445313</v>
      </c>
      <c r="J6" s="883"/>
    </row>
    <row r="7" spans="1:21" ht="13.5" customHeight="1" thickBot="1" x14ac:dyDescent="0.2">
      <c r="A7" s="23" t="s">
        <v>175</v>
      </c>
      <c r="B7" s="22" t="s">
        <v>176</v>
      </c>
      <c r="D7" s="30">
        <f>+'Equity - CIAP MA'!M145</f>
        <v>-4227747350.7044177</v>
      </c>
      <c r="F7" s="30">
        <v>-4227747350.6300001</v>
      </c>
      <c r="H7" s="436">
        <f>+D7-F7</f>
        <v>-7.4417591094970703E-2</v>
      </c>
      <c r="I7" s="26">
        <f>-H6</f>
        <v>0.10307693481445313</v>
      </c>
      <c r="J7" s="883">
        <f>H6-'Daily Trade Summary'!O34-'Daily Trade Summary'!O35</f>
        <v>27596848.02875682</v>
      </c>
      <c r="K7" s="107">
        <f>J7/2</f>
        <v>13798424.01437841</v>
      </c>
      <c r="L7" s="26">
        <f>K7-H6</f>
        <v>13798424.117455345</v>
      </c>
    </row>
    <row r="8" spans="1:21" ht="13.5" customHeight="1" x14ac:dyDescent="0.15">
      <c r="A8" s="23"/>
      <c r="D8" s="26">
        <f>SUM(D6:D7)</f>
        <v>20753959302.022507</v>
      </c>
      <c r="H8" s="26">
        <f>SUM(H6:H7)</f>
        <v>-0.17749452590942383</v>
      </c>
      <c r="M8" s="490"/>
      <c r="N8" s="490"/>
      <c r="O8" s="490">
        <f>+H11-Q12</f>
        <v>-0.46447577327489853</v>
      </c>
    </row>
    <row r="9" spans="1:21" ht="13.5" customHeight="1" x14ac:dyDescent="0.15">
      <c r="A9" s="23" t="s">
        <v>41</v>
      </c>
    </row>
    <row r="10" spans="1:21" ht="13.5" customHeight="1" thickBot="1" x14ac:dyDescent="0.2">
      <c r="A10" s="23"/>
      <c r="I10" s="26" t="s">
        <v>427</v>
      </c>
      <c r="J10" s="26">
        <f>+'T-Bills Amortization '!M81</f>
        <v>566187.84530386736</v>
      </c>
      <c r="K10" s="26">
        <f>+H11-J10</f>
        <v>-566187.89749321749</v>
      </c>
    </row>
    <row r="11" spans="1:21" ht="13.5" customHeight="1" x14ac:dyDescent="0.15">
      <c r="A11" s="20" t="s">
        <v>34</v>
      </c>
      <c r="B11" s="22" t="s">
        <v>35</v>
      </c>
      <c r="D11" s="28">
        <f>+I11+J11</f>
        <v>3216381447.0978107</v>
      </c>
      <c r="E11" s="42"/>
      <c r="F11" s="28">
        <v>3216381447.1500001</v>
      </c>
      <c r="H11" s="837">
        <f>+D11-F11</f>
        <v>-5.2189350128173828E-2</v>
      </c>
      <c r="I11" s="26">
        <f>+PIB!N17-PIB!L17-'PIB Ammortization'!W14</f>
        <v>0</v>
      </c>
      <c r="J11" s="26">
        <f>+'T-Bills'!P53+'T-Bills Amortization '!Q41</f>
        <v>3216381447.0978107</v>
      </c>
      <c r="K11" s="107">
        <v>49518</v>
      </c>
      <c r="M11" s="28">
        <f>+'T-Bills'!R53</f>
        <v>3208908653.9000001</v>
      </c>
      <c r="N11" s="931"/>
      <c r="O11" s="22" t="s">
        <v>34</v>
      </c>
      <c r="P11" s="22" t="s">
        <v>507</v>
      </c>
      <c r="Q11" s="26">
        <f>H11</f>
        <v>-5.2189350128173828E-2</v>
      </c>
      <c r="R11" s="909" t="s">
        <v>500</v>
      </c>
      <c r="S11" s="490"/>
      <c r="T11" s="833"/>
      <c r="U11" s="107"/>
    </row>
    <row r="12" spans="1:21" ht="13.5" customHeight="1" x14ac:dyDescent="0.15">
      <c r="A12" s="20" t="s">
        <v>181</v>
      </c>
      <c r="B12" s="22" t="s">
        <v>36</v>
      </c>
      <c r="D12" s="29">
        <f>+I12+J12</f>
        <v>-7472793.1978107328</v>
      </c>
      <c r="E12" s="42"/>
      <c r="F12" s="29">
        <v>-7472793.5599999996</v>
      </c>
      <c r="H12" s="440">
        <f>D12-F12</f>
        <v>0.36218926683068275</v>
      </c>
      <c r="I12" s="26">
        <f>+PIB!X17</f>
        <v>0</v>
      </c>
      <c r="J12" s="107">
        <f>+'T-Bills'!S53</f>
        <v>-7472793.1978107328</v>
      </c>
      <c r="K12" s="107"/>
      <c r="L12" s="107"/>
      <c r="M12" s="29">
        <v>3035378374.5900002</v>
      </c>
      <c r="N12" s="931"/>
      <c r="O12" s="66" t="s">
        <v>50</v>
      </c>
      <c r="P12" s="22" t="s">
        <v>508</v>
      </c>
      <c r="Q12" s="26">
        <f>-PIB!AD22</f>
        <v>0.4122864231467247</v>
      </c>
      <c r="R12" s="909" t="s">
        <v>500</v>
      </c>
      <c r="S12" s="490"/>
      <c r="T12" s="833"/>
      <c r="U12" s="107"/>
    </row>
    <row r="13" spans="1:21" ht="13.5" customHeight="1" x14ac:dyDescent="0.15">
      <c r="A13" s="20" t="s">
        <v>481</v>
      </c>
      <c r="B13" s="22" t="s">
        <v>326</v>
      </c>
      <c r="D13" s="29">
        <f>+PIB!O17+'PIB Ammortization'!W14</f>
        <v>0</v>
      </c>
      <c r="E13" s="42"/>
      <c r="F13" s="29">
        <v>0</v>
      </c>
      <c r="G13" s="45">
        <v>-3410274</v>
      </c>
      <c r="H13" s="440">
        <f>D13-F13</f>
        <v>0</v>
      </c>
      <c r="I13" s="26">
        <f>+H13/3</f>
        <v>0</v>
      </c>
      <c r="J13" s="107">
        <v>148954</v>
      </c>
      <c r="K13" s="107"/>
      <c r="L13" s="107"/>
      <c r="M13" s="450">
        <f>+M11-M12</f>
        <v>173530279.30999994</v>
      </c>
      <c r="N13" s="931"/>
      <c r="O13" s="22" t="s">
        <v>37</v>
      </c>
      <c r="P13" s="66" t="s">
        <v>512</v>
      </c>
      <c r="Q13" s="26">
        <f>-H14</f>
        <v>0</v>
      </c>
      <c r="R13" s="909" t="s">
        <v>499</v>
      </c>
      <c r="S13" s="490"/>
    </row>
    <row r="14" spans="1:21" ht="13.5" customHeight="1" thickBot="1" x14ac:dyDescent="0.2">
      <c r="A14" s="20" t="s">
        <v>385</v>
      </c>
      <c r="B14" s="22" t="s">
        <v>38</v>
      </c>
      <c r="D14" s="29">
        <f>+PIB!L17</f>
        <v>0</v>
      </c>
      <c r="E14" s="42"/>
      <c r="F14" s="29">
        <v>0</v>
      </c>
      <c r="H14" s="440">
        <f>+D14-F14</f>
        <v>0</v>
      </c>
      <c r="J14" s="107"/>
      <c r="K14" s="340"/>
      <c r="M14" s="29">
        <f>+H12+H11</f>
        <v>0.30999991670250893</v>
      </c>
      <c r="N14" s="931"/>
      <c r="O14" s="66" t="s">
        <v>58</v>
      </c>
      <c r="P14" s="66" t="s">
        <v>509</v>
      </c>
      <c r="Q14" s="26">
        <f>'PIB Accrual And Income'!P23</f>
        <v>0.95009714365005493</v>
      </c>
      <c r="R14" s="909" t="s">
        <v>499</v>
      </c>
      <c r="S14" s="490"/>
    </row>
    <row r="15" spans="1:21" ht="13.5" customHeight="1" thickBot="1" x14ac:dyDescent="0.2">
      <c r="A15" s="32" t="s">
        <v>385</v>
      </c>
      <c r="B15" s="33" t="s">
        <v>29</v>
      </c>
      <c r="C15" s="36"/>
      <c r="D15" s="38">
        <f>SUM(D11:D14)</f>
        <v>3208908653.9000001</v>
      </c>
      <c r="E15" s="43"/>
      <c r="F15" s="38">
        <f>SUM(F11:F14)</f>
        <v>3208908653.5900002</v>
      </c>
      <c r="H15" s="38">
        <f>SUM(H11:H14)</f>
        <v>0.30999991670250893</v>
      </c>
      <c r="I15" s="26">
        <f>'T-Bills Amortization '!M62+'T-Bills Amortization '!M63</f>
        <v>110302.89205269869</v>
      </c>
      <c r="J15" s="26">
        <f>'T-Bills Amortization '!M74</f>
        <v>155749.22077922078</v>
      </c>
      <c r="K15" s="107">
        <f>+H11+J15</f>
        <v>155749.16858987065</v>
      </c>
      <c r="M15" s="451">
        <f>+M13-M14</f>
        <v>173530279.00000003</v>
      </c>
      <c r="N15" s="932"/>
      <c r="O15" s="66" t="s">
        <v>516</v>
      </c>
      <c r="P15" s="22" t="s">
        <v>510</v>
      </c>
      <c r="Q15" s="26">
        <f>-'PIB Ammortization'!X16</f>
        <v>0</v>
      </c>
      <c r="R15" s="910" t="s">
        <v>525</v>
      </c>
    </row>
    <row r="16" spans="1:21" s="49" customFormat="1" ht="13.5" customHeight="1" x14ac:dyDescent="0.15">
      <c r="A16" s="53"/>
      <c r="B16" s="36"/>
      <c r="C16" s="36" t="e">
        <f>#REF!</f>
        <v>#REF!</v>
      </c>
      <c r="D16" s="135"/>
      <c r="E16" s="43"/>
      <c r="F16" s="48"/>
      <c r="G16" s="45"/>
      <c r="H16" s="48"/>
      <c r="I16" s="45">
        <f>+H11-I15</f>
        <v>-110302.94424204882</v>
      </c>
      <c r="J16" s="45">
        <f>J15-I15</f>
        <v>45446.328726522086</v>
      </c>
      <c r="K16" s="26"/>
      <c r="L16" s="45"/>
      <c r="Q16" s="834"/>
      <c r="S16" s="1216"/>
    </row>
    <row r="17" spans="1:23" s="49" customFormat="1" ht="13.5" customHeight="1" thickBot="1" x14ac:dyDescent="0.2">
      <c r="A17" s="54" t="s">
        <v>66</v>
      </c>
      <c r="B17" s="36"/>
      <c r="C17" s="36" t="e">
        <f>#REF!</f>
        <v>#REF!</v>
      </c>
      <c r="D17" s="48"/>
      <c r="E17" s="43"/>
      <c r="F17" s="48"/>
      <c r="G17" s="43"/>
      <c r="H17" s="48"/>
      <c r="I17" s="45"/>
      <c r="J17" s="45">
        <f>H11-Q12</f>
        <v>-0.46447577327489853</v>
      </c>
      <c r="K17" s="45" t="e">
        <f>'T-Bills Amortization '!M61-'T-Bills Amortization '!#REF!</f>
        <v>#REF!</v>
      </c>
      <c r="L17" s="45"/>
      <c r="Q17" s="834">
        <f>+Q14+Q12-Q11</f>
        <v>1.4145729169249535</v>
      </c>
    </row>
    <row r="18" spans="1:23" s="49" customFormat="1" ht="13.5" customHeight="1" x14ac:dyDescent="0.15">
      <c r="A18" s="53">
        <v>10202030101</v>
      </c>
      <c r="B18" s="49" t="s">
        <v>68</v>
      </c>
      <c r="C18" s="36"/>
      <c r="D18" s="55">
        <f>'TDR accrual '!C23</f>
        <v>0</v>
      </c>
      <c r="E18" s="43"/>
      <c r="F18" s="55">
        <v>0</v>
      </c>
      <c r="G18" s="43"/>
      <c r="H18" s="55">
        <f>+D18-F18</f>
        <v>0</v>
      </c>
      <c r="I18" s="45"/>
      <c r="J18" s="45"/>
      <c r="K18" s="45"/>
      <c r="L18" s="45"/>
      <c r="Q18" s="834"/>
    </row>
    <row r="19" spans="1:23" s="49" customFormat="1" ht="13.5" customHeight="1" x14ac:dyDescent="0.15">
      <c r="A19" s="54" t="s">
        <v>77</v>
      </c>
      <c r="C19" s="36"/>
      <c r="D19" s="79"/>
      <c r="E19" s="43"/>
      <c r="F19" s="79"/>
      <c r="G19" s="43"/>
      <c r="H19" s="79"/>
      <c r="I19" s="45"/>
      <c r="J19" s="45"/>
      <c r="K19" s="45"/>
      <c r="L19" s="45"/>
    </row>
    <row r="20" spans="1:23" s="49" customFormat="1" ht="13.5" customHeight="1" x14ac:dyDescent="0.15">
      <c r="A20" s="54" t="s">
        <v>78</v>
      </c>
      <c r="B20" s="49" t="s">
        <v>81</v>
      </c>
      <c r="C20" s="36"/>
      <c r="D20" s="79">
        <f>+'TFCs -Market Value '!N13</f>
        <v>0</v>
      </c>
      <c r="E20" s="43"/>
      <c r="F20" s="440">
        <v>0</v>
      </c>
      <c r="G20" s="43"/>
      <c r="H20" s="79">
        <f>+D20-F20</f>
        <v>0</v>
      </c>
      <c r="I20" s="45"/>
      <c r="J20" s="45"/>
      <c r="K20" s="45"/>
      <c r="L20" s="45"/>
      <c r="Q20" s="835"/>
      <c r="R20" s="45"/>
      <c r="S20" s="834"/>
      <c r="T20" s="835"/>
      <c r="U20" s="835"/>
      <c r="V20" s="835"/>
      <c r="W20" s="835"/>
    </row>
    <row r="21" spans="1:23" s="49" customFormat="1" ht="13.5" customHeight="1" thickBot="1" x14ac:dyDescent="0.2">
      <c r="A21" s="54" t="s">
        <v>79</v>
      </c>
      <c r="B21" s="22" t="s">
        <v>80</v>
      </c>
      <c r="C21" s="36"/>
      <c r="D21" s="56">
        <f>+'TFCs -Market Value '!O13</f>
        <v>0</v>
      </c>
      <c r="E21" s="43"/>
      <c r="F21" s="436">
        <v>0</v>
      </c>
      <c r="G21" s="43"/>
      <c r="H21" s="56">
        <f>+D21-F21</f>
        <v>0</v>
      </c>
      <c r="I21" s="45"/>
      <c r="J21" s="45"/>
      <c r="K21" s="45"/>
      <c r="L21" s="45"/>
      <c r="R21" s="45"/>
      <c r="U21" s="45"/>
    </row>
    <row r="22" spans="1:23" s="49" customFormat="1" ht="13.5" customHeight="1" thickBot="1" x14ac:dyDescent="0.2">
      <c r="A22" s="53"/>
      <c r="B22" s="36"/>
      <c r="C22" s="36"/>
      <c r="D22" s="57"/>
      <c r="E22" s="43"/>
      <c r="F22" s="57"/>
      <c r="G22" s="43"/>
      <c r="H22" s="57"/>
      <c r="I22" s="45"/>
      <c r="J22" s="45"/>
      <c r="K22" s="45"/>
      <c r="L22" s="45"/>
      <c r="Q22" s="835"/>
      <c r="R22" s="45"/>
      <c r="S22" s="834"/>
      <c r="T22" s="835"/>
      <c r="U22" s="835"/>
      <c r="V22" s="835"/>
    </row>
    <row r="23" spans="1:23" ht="13.5" customHeight="1" thickBot="1" x14ac:dyDescent="0.2">
      <c r="A23" s="23" t="s">
        <v>42</v>
      </c>
      <c r="G23" s="40"/>
      <c r="J23" s="26" t="e">
        <f>'TDR accrual '!H27-'DPA - HBL'!#REF!</f>
        <v>#REF!</v>
      </c>
    </row>
    <row r="24" spans="1:23" ht="13.5" customHeight="1" x14ac:dyDescent="0.15">
      <c r="A24" s="20" t="s">
        <v>39</v>
      </c>
      <c r="B24" s="24" t="s">
        <v>43</v>
      </c>
      <c r="C24" s="50"/>
      <c r="D24" s="28">
        <f>'TDR accrual '!J23</f>
        <v>1234393.8536734246</v>
      </c>
      <c r="F24" s="28">
        <v>1234394.3700000001</v>
      </c>
      <c r="G24" s="40"/>
      <c r="H24" s="837">
        <f>+D24-F24</f>
        <v>-0.51632657554000616</v>
      </c>
      <c r="I24" s="114">
        <v>572347.67123287672</v>
      </c>
      <c r="J24" s="113" t="e">
        <f>'TDR accrual '!H21+'DPA - HBL'!#REF!</f>
        <v>#REF!</v>
      </c>
      <c r="K24" s="26" t="e">
        <f>J24-H24</f>
        <v>#REF!</v>
      </c>
    </row>
    <row r="25" spans="1:23" ht="13.5" customHeight="1" x14ac:dyDescent="0.15">
      <c r="A25" s="20" t="s">
        <v>44</v>
      </c>
      <c r="B25" s="22" t="s">
        <v>45</v>
      </c>
      <c r="D25" s="29">
        <f>+'TFCs -Accrued Income'!P13</f>
        <v>0</v>
      </c>
      <c r="F25" s="29"/>
      <c r="G25" s="40"/>
      <c r="H25" s="440">
        <f>D25-F25</f>
        <v>0</v>
      </c>
      <c r="I25" s="114">
        <f>+I24+H24</f>
        <v>572347.15490630118</v>
      </c>
      <c r="J25" s="113">
        <f>+H12/3</f>
        <v>0.12072975561022758</v>
      </c>
      <c r="K25" s="107"/>
      <c r="L25" s="107"/>
    </row>
    <row r="26" spans="1:23" ht="13.5" customHeight="1" thickBot="1" x14ac:dyDescent="0.2">
      <c r="A26" s="20" t="s">
        <v>46</v>
      </c>
      <c r="B26" s="22" t="s">
        <v>47</v>
      </c>
      <c r="D26" s="29">
        <f>+'PIB Accrual And Income'!N16</f>
        <v>0</v>
      </c>
      <c r="E26" s="40">
        <v>0</v>
      </c>
      <c r="F26" s="29">
        <v>0.02</v>
      </c>
      <c r="G26" s="40">
        <v>0</v>
      </c>
      <c r="H26" s="440">
        <f>D26-F26</f>
        <v>-0.02</v>
      </c>
      <c r="I26" s="114"/>
      <c r="J26" s="113"/>
      <c r="K26" s="107"/>
      <c r="L26" s="966"/>
    </row>
    <row r="27" spans="1:23" ht="13.5" customHeight="1" thickBot="1" x14ac:dyDescent="0.2">
      <c r="A27" s="32" t="s">
        <v>64</v>
      </c>
      <c r="B27" s="33" t="s">
        <v>29</v>
      </c>
      <c r="C27" s="36"/>
      <c r="D27" s="38">
        <f>+SUM(D24:D26)</f>
        <v>1234393.8536734246</v>
      </c>
      <c r="E27" s="43"/>
      <c r="F27" s="38">
        <v>1087707.3999999999</v>
      </c>
      <c r="G27" s="43"/>
      <c r="H27" s="38">
        <f>+SUM(H24:H26)</f>
        <v>-0.53632657554000618</v>
      </c>
      <c r="I27" s="26">
        <f>+H25/4</f>
        <v>0</v>
      </c>
      <c r="J27" s="836"/>
    </row>
    <row r="28" spans="1:23" ht="13.5" customHeight="1" thickBot="1" x14ac:dyDescent="0.2">
      <c r="G28" s="40"/>
      <c r="J28" s="26" t="s">
        <v>1</v>
      </c>
    </row>
    <row r="29" spans="1:23" ht="26.25" thickBot="1" x14ac:dyDescent="0.2">
      <c r="A29" s="51" t="s">
        <v>48</v>
      </c>
      <c r="B29" s="52"/>
      <c r="D29" s="34" t="s">
        <v>62</v>
      </c>
      <c r="E29" s="41"/>
      <c r="F29" s="34" t="s">
        <v>63</v>
      </c>
      <c r="G29" s="41"/>
      <c r="H29" s="35" t="s">
        <v>25</v>
      </c>
    </row>
    <row r="30" spans="1:23" ht="13.5" customHeight="1" thickBot="1" x14ac:dyDescent="0.2">
      <c r="A30" s="21"/>
      <c r="G30" s="40"/>
    </row>
    <row r="31" spans="1:23" ht="13.5" customHeight="1" x14ac:dyDescent="0.15">
      <c r="A31" s="106">
        <v>4010203010101</v>
      </c>
      <c r="B31" s="22" t="s">
        <v>84</v>
      </c>
      <c r="D31" s="28"/>
      <c r="F31" s="28"/>
      <c r="G31" s="40"/>
      <c r="H31" s="28">
        <f>D31-F31</f>
        <v>0</v>
      </c>
    </row>
    <row r="32" spans="1:23" ht="13.5" customHeight="1" thickBot="1" x14ac:dyDescent="0.2">
      <c r="A32" s="21"/>
      <c r="D32" s="105">
        <f>SUM(D31)</f>
        <v>0</v>
      </c>
      <c r="F32" s="105">
        <f>SUM(F31)</f>
        <v>0</v>
      </c>
      <c r="G32" s="40"/>
      <c r="H32" s="105">
        <f>SUM(H31)</f>
        <v>0</v>
      </c>
    </row>
    <row r="33" spans="1:12" ht="13.5" customHeight="1" thickBot="1" x14ac:dyDescent="0.2">
      <c r="A33" s="23" t="s">
        <v>87</v>
      </c>
      <c r="G33" s="40"/>
    </row>
    <row r="34" spans="1:12" ht="13.5" customHeight="1" thickBot="1" x14ac:dyDescent="0.2">
      <c r="A34" s="20" t="s">
        <v>89</v>
      </c>
      <c r="B34" s="22" t="s">
        <v>88</v>
      </c>
      <c r="D34" s="31"/>
      <c r="F34" s="31">
        <v>0</v>
      </c>
      <c r="G34" s="40"/>
      <c r="H34" s="31">
        <f>+D34-F34</f>
        <v>0</v>
      </c>
    </row>
    <row r="35" spans="1:12" ht="13.5" customHeight="1" thickBot="1" x14ac:dyDescent="0.2">
      <c r="A35" s="37" t="s">
        <v>65</v>
      </c>
      <c r="B35" s="33" t="s">
        <v>29</v>
      </c>
      <c r="C35" s="36"/>
      <c r="D35" s="39">
        <f>SUM(D34)</f>
        <v>0</v>
      </c>
      <c r="E35" s="44"/>
      <c r="F35" s="39">
        <f>SUM(F34)</f>
        <v>0</v>
      </c>
      <c r="G35" s="44"/>
      <c r="H35" s="39">
        <f>SUM(H34)</f>
        <v>0</v>
      </c>
    </row>
    <row r="36" spans="1:12" s="49" customFormat="1" ht="13.5" customHeight="1" x14ac:dyDescent="0.15">
      <c r="A36" s="115"/>
      <c r="B36" s="36"/>
      <c r="C36" s="36"/>
      <c r="D36" s="48"/>
      <c r="E36" s="44"/>
      <c r="F36" s="48"/>
      <c r="G36" s="44"/>
      <c r="H36" s="48"/>
      <c r="I36" s="45"/>
      <c r="J36" s="45"/>
      <c r="K36" s="45"/>
      <c r="L36" s="45"/>
    </row>
    <row r="37" spans="1:12" ht="13.5" customHeight="1" thickBot="1" x14ac:dyDescent="0.2">
      <c r="A37" s="23" t="s">
        <v>52</v>
      </c>
      <c r="G37" s="40"/>
    </row>
    <row r="38" spans="1:12" ht="13.5" customHeight="1" thickBot="1" x14ac:dyDescent="0.2">
      <c r="A38" s="20" t="s">
        <v>50</v>
      </c>
      <c r="B38" s="22" t="s">
        <v>51</v>
      </c>
      <c r="D38" s="31"/>
      <c r="F38" s="31">
        <v>0</v>
      </c>
      <c r="G38" s="40"/>
      <c r="H38" s="31">
        <f>+D38-F38</f>
        <v>0</v>
      </c>
    </row>
    <row r="39" spans="1:12" ht="13.5" customHeight="1" thickBot="1" x14ac:dyDescent="0.2">
      <c r="A39" s="37" t="s">
        <v>65</v>
      </c>
      <c r="B39" s="33" t="s">
        <v>29</v>
      </c>
      <c r="C39" s="36"/>
      <c r="D39" s="39">
        <f>SUM(D38)</f>
        <v>0</v>
      </c>
      <c r="E39" s="44">
        <f>((+'PIB Accrual And Income'!M16))</f>
        <v>0</v>
      </c>
      <c r="F39" s="39">
        <f>SUM(F38)</f>
        <v>0</v>
      </c>
      <c r="G39" s="44">
        <f>((+'PIB Accrual And Income'!O16))</f>
        <v>0</v>
      </c>
      <c r="H39" s="39">
        <f>SUM(H38)</f>
        <v>0</v>
      </c>
    </row>
    <row r="40" spans="1:12" ht="13.5" customHeight="1" x14ac:dyDescent="0.15">
      <c r="A40" s="20"/>
      <c r="B40" s="36"/>
      <c r="C40" s="36"/>
      <c r="E40" s="40">
        <f>(+'T-Bills Amortization '!M41)</f>
        <v>1220513.1606286301</v>
      </c>
      <c r="G40" s="40">
        <f>(+'T-Bills Amortization '!O41)</f>
        <v>0</v>
      </c>
    </row>
    <row r="41" spans="1:12" ht="13.5" customHeight="1" thickBot="1" x14ac:dyDescent="0.2">
      <c r="A41" s="23" t="s">
        <v>53</v>
      </c>
      <c r="E41" s="40">
        <f>(+'TFCs -Accrued Income'!O13)</f>
        <v>0</v>
      </c>
      <c r="G41" s="40">
        <f>(+'TFCs -Accrued Income'!Q13)</f>
        <v>2127998.4678895026</v>
      </c>
    </row>
    <row r="42" spans="1:12" ht="13.5" customHeight="1" x14ac:dyDescent="0.15">
      <c r="A42" s="20" t="s">
        <v>54</v>
      </c>
      <c r="B42" s="22" t="s">
        <v>55</v>
      </c>
      <c r="D42" s="28"/>
      <c r="E42" s="40">
        <f>(+'TDR accrual '!H23)</f>
        <v>15457.962555068494</v>
      </c>
      <c r="F42" s="28"/>
      <c r="G42" s="40">
        <f>(+'TDR accrual '!J23)</f>
        <v>1234393.8536734246</v>
      </c>
      <c r="H42" s="28">
        <f>+D42-F42</f>
        <v>0</v>
      </c>
      <c r="I42" s="107"/>
    </row>
    <row r="43" spans="1:12" ht="13.5" customHeight="1" x14ac:dyDescent="0.15">
      <c r="A43" s="20"/>
      <c r="B43" s="22" t="s">
        <v>76</v>
      </c>
      <c r="D43" s="29"/>
      <c r="F43" s="29"/>
      <c r="H43" s="29"/>
    </row>
    <row r="44" spans="1:12" ht="13.5" customHeight="1" x14ac:dyDescent="0.15">
      <c r="A44" s="20" t="s">
        <v>56</v>
      </c>
      <c r="B44" s="22" t="s">
        <v>57</v>
      </c>
      <c r="D44" s="29"/>
      <c r="F44" s="29"/>
      <c r="H44" s="29">
        <f>+D44-F44</f>
        <v>0</v>
      </c>
    </row>
    <row r="45" spans="1:12" ht="13.5" customHeight="1" thickBot="1" x14ac:dyDescent="0.2">
      <c r="A45" s="20" t="s">
        <v>58</v>
      </c>
      <c r="B45" s="22" t="s">
        <v>59</v>
      </c>
      <c r="D45" s="30"/>
      <c r="F45" s="30"/>
      <c r="H45" s="30">
        <f>+D45-F45</f>
        <v>0</v>
      </c>
      <c r="J45" s="22"/>
      <c r="K45" s="22"/>
      <c r="L45" s="22"/>
    </row>
    <row r="46" spans="1:12" s="23" customFormat="1" ht="13.5" customHeight="1" thickBot="1" x14ac:dyDescent="0.2">
      <c r="A46" s="37"/>
      <c r="B46" s="33" t="s">
        <v>29</v>
      </c>
      <c r="C46" s="36"/>
      <c r="D46" s="39">
        <f>SUM(D42:D45)</f>
        <v>0</v>
      </c>
      <c r="E46" s="43"/>
      <c r="F46" s="39">
        <f>SUM(F42:F45)</f>
        <v>0</v>
      </c>
      <c r="G46" s="47"/>
      <c r="H46" s="39">
        <f>SUM(H42:H45)</f>
        <v>0</v>
      </c>
      <c r="I46" s="27"/>
    </row>
    <row r="47" spans="1:12" ht="13.5" customHeight="1" x14ac:dyDescent="0.15">
      <c r="A47" s="20"/>
      <c r="G47" s="40">
        <v>0</v>
      </c>
      <c r="J47" s="22"/>
      <c r="K47" s="22"/>
      <c r="L47" s="22"/>
    </row>
    <row r="48" spans="1:12" ht="13.5" customHeight="1" thickBot="1" x14ac:dyDescent="0.2">
      <c r="A48" s="25" t="s">
        <v>61</v>
      </c>
      <c r="G48" s="40">
        <v>0</v>
      </c>
      <c r="J48" s="22"/>
      <c r="K48" s="22"/>
      <c r="L48" s="22"/>
    </row>
    <row r="49" spans="1:13" ht="13.5" customHeight="1" x14ac:dyDescent="0.15">
      <c r="A49" s="20" t="s">
        <v>72</v>
      </c>
      <c r="B49" s="22" t="s">
        <v>60</v>
      </c>
      <c r="D49" s="28"/>
      <c r="E49" s="42">
        <v>0</v>
      </c>
      <c r="F49" s="28"/>
      <c r="G49" s="42">
        <v>0</v>
      </c>
      <c r="H49" s="28">
        <f>+D49-F49</f>
        <v>0</v>
      </c>
      <c r="J49" s="22"/>
      <c r="K49" s="22"/>
      <c r="L49" s="22"/>
    </row>
    <row r="50" spans="1:13" ht="13.5" customHeight="1" thickBot="1" x14ac:dyDescent="0.2">
      <c r="A50" s="20" t="s">
        <v>85</v>
      </c>
      <c r="B50" s="22" t="s">
        <v>86</v>
      </c>
      <c r="D50" s="30"/>
      <c r="F50" s="30">
        <v>0</v>
      </c>
      <c r="G50" s="40"/>
      <c r="H50" s="30">
        <f>+D50-F50</f>
        <v>0</v>
      </c>
      <c r="J50" s="22"/>
      <c r="K50" s="22"/>
      <c r="L50" s="22"/>
    </row>
    <row r="51" spans="1:13" ht="13.5" customHeight="1" thickBot="1" x14ac:dyDescent="0.2">
      <c r="A51" s="37"/>
      <c r="B51" s="33" t="s">
        <v>29</v>
      </c>
      <c r="C51" s="36"/>
      <c r="D51" s="39">
        <f>+D49</f>
        <v>0</v>
      </c>
      <c r="E51" s="43"/>
      <c r="F51" s="39">
        <f>+F49</f>
        <v>0</v>
      </c>
      <c r="G51" s="47"/>
      <c r="H51" s="39">
        <f>+H49</f>
        <v>0</v>
      </c>
    </row>
    <row r="53" spans="1:13" ht="13.5" customHeight="1" x14ac:dyDescent="0.15">
      <c r="A53" s="66" t="s">
        <v>71</v>
      </c>
      <c r="B53" s="22" t="s">
        <v>90</v>
      </c>
      <c r="H53" s="26">
        <f>+D53-F53</f>
        <v>0</v>
      </c>
    </row>
    <row r="55" spans="1:13" ht="13.5" customHeight="1" x14ac:dyDescent="0.15">
      <c r="B55" s="22" t="s">
        <v>75</v>
      </c>
      <c r="H55" s="26">
        <f>+D55-F55</f>
        <v>0</v>
      </c>
    </row>
    <row r="58" spans="1:13" ht="13.5" customHeight="1" thickBot="1" x14ac:dyDescent="0.2">
      <c r="A58" s="37"/>
      <c r="B58" s="33" t="s">
        <v>70</v>
      </c>
      <c r="C58" s="36"/>
      <c r="D58" s="39">
        <f>+D51+D46+D39+D53</f>
        <v>0</v>
      </c>
      <c r="E58" s="43"/>
      <c r="F58" s="39">
        <f>+F51+F46+F39+F53</f>
        <v>0</v>
      </c>
      <c r="G58" s="47"/>
      <c r="H58" s="39">
        <f>+H51+H46+H39+H53</f>
        <v>0</v>
      </c>
    </row>
    <row r="59" spans="1:13" ht="13.5" customHeight="1" x14ac:dyDescent="0.15">
      <c r="M59" s="22">
        <v>30000</v>
      </c>
    </row>
    <row r="60" spans="1:13" ht="13.5" customHeight="1" x14ac:dyDescent="0.15">
      <c r="M60" s="22">
        <f>+M59/14</f>
        <v>2142.8571428571427</v>
      </c>
    </row>
    <row r="61" spans="1:13" ht="13.5" customHeight="1" x14ac:dyDescent="0.15">
      <c r="C61" s="22"/>
      <c r="D61" s="22"/>
    </row>
    <row r="62" spans="1:13" ht="13.5" customHeight="1" x14ac:dyDescent="0.15">
      <c r="E62" s="40">
        <v>0</v>
      </c>
    </row>
    <row r="63" spans="1:13" ht="13.5" customHeight="1" x14ac:dyDescent="0.15">
      <c r="G63" s="45">
        <f>SUM(G57:G62)</f>
        <v>0</v>
      </c>
    </row>
    <row r="65" spans="5:11" ht="13.5" customHeight="1" x14ac:dyDescent="0.15">
      <c r="G65" s="45">
        <f>+G9+G63</f>
        <v>0</v>
      </c>
    </row>
    <row r="67" spans="5:11" ht="13.5" customHeight="1" x14ac:dyDescent="0.15">
      <c r="K67" s="26">
        <f>+J67-E67</f>
        <v>0</v>
      </c>
    </row>
    <row r="74" spans="5:11" ht="13.5" customHeight="1" x14ac:dyDescent="0.15">
      <c r="E74" s="40">
        <f>ROUND(E72/0.95,4)+0.00005</f>
        <v>5.0000000000000002E-5</v>
      </c>
    </row>
    <row r="75" spans="5:11" ht="13.5" customHeight="1" x14ac:dyDescent="0.15">
      <c r="E75" s="40">
        <f>ROUNDDOWN(E73/0.95,4)+0.00005</f>
        <v>5.0000000000000002E-5</v>
      </c>
    </row>
    <row r="76" spans="5:11" ht="13.5" customHeight="1" x14ac:dyDescent="0.15">
      <c r="E76" s="40">
        <f>ROUNDDOWN(E74/0.95,4)+0.00005</f>
        <v>5.0000000000000002E-5</v>
      </c>
    </row>
    <row r="83" spans="5:7" ht="13.5" customHeight="1" x14ac:dyDescent="0.15">
      <c r="G83" s="45" t="s">
        <v>432</v>
      </c>
    </row>
    <row r="86" spans="5:7" ht="13.5" customHeight="1" x14ac:dyDescent="0.15">
      <c r="E86" s="40">
        <v>-5.4999999999999997E-3</v>
      </c>
    </row>
    <row r="87" spans="5:7" ht="13.5" customHeight="1" x14ac:dyDescent="0.15">
      <c r="E87" s="40">
        <v>-4.0000000000000002E-4</v>
      </c>
    </row>
  </sheetData>
  <pageMargins left="0.7" right="0.7" top="0.75" bottom="0.75" header="0.3" footer="0.3"/>
  <pageSetup scale="74" orientation="portrait" horizontalDpi="4294967295" verticalDpi="4294967295" r:id="rId1"/>
  <ignoredErrors>
    <ignoredError sqref="D15:D17" formula="1"/>
    <ignoredError sqref="C16:C17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"/>
  <sheetViews>
    <sheetView topLeftCell="A182" workbookViewId="0">
      <selection activeCell="B208" sqref="B208"/>
    </sheetView>
  </sheetViews>
  <sheetFormatPr defaultRowHeight="11.25" x14ac:dyDescent="0.15"/>
  <cols>
    <col min="1" max="1" width="15.125" bestFit="1" customWidth="1"/>
    <col min="2" max="2" width="8.75" style="1039"/>
  </cols>
  <sheetData>
    <row r="1" spans="1:2" x14ac:dyDescent="0.15">
      <c r="A1" s="892" t="s">
        <v>684</v>
      </c>
    </row>
    <row r="4" spans="1:2" x14ac:dyDescent="0.15">
      <c r="A4" s="892" t="s">
        <v>67</v>
      </c>
      <c r="B4" s="1099" t="s">
        <v>414</v>
      </c>
    </row>
    <row r="6" spans="1:2" x14ac:dyDescent="0.15">
      <c r="A6" s="661">
        <v>44562</v>
      </c>
    </row>
    <row r="7" spans="1:2" x14ac:dyDescent="0.15">
      <c r="A7" s="661">
        <f>+A6+1</f>
        <v>44563</v>
      </c>
    </row>
    <row r="8" spans="1:2" x14ac:dyDescent="0.15">
      <c r="A8" s="661">
        <f t="shared" ref="A8:A71" si="0">+A7+1</f>
        <v>44564</v>
      </c>
      <c r="B8" s="1039">
        <v>346</v>
      </c>
    </row>
    <row r="9" spans="1:2" x14ac:dyDescent="0.15">
      <c r="A9" s="661">
        <f t="shared" si="0"/>
        <v>44565</v>
      </c>
      <c r="B9" s="1039">
        <v>7532</v>
      </c>
    </row>
    <row r="10" spans="1:2" x14ac:dyDescent="0.15">
      <c r="A10" s="661">
        <f t="shared" si="0"/>
        <v>44566</v>
      </c>
      <c r="B10" s="1039">
        <v>1079</v>
      </c>
    </row>
    <row r="11" spans="1:2" x14ac:dyDescent="0.15">
      <c r="A11" s="661">
        <f t="shared" si="0"/>
        <v>44567</v>
      </c>
      <c r="B11" s="1039">
        <v>546</v>
      </c>
    </row>
    <row r="12" spans="1:2" x14ac:dyDescent="0.15">
      <c r="A12" s="661">
        <f t="shared" si="0"/>
        <v>44568</v>
      </c>
      <c r="B12" s="1039">
        <v>804</v>
      </c>
    </row>
    <row r="13" spans="1:2" x14ac:dyDescent="0.15">
      <c r="A13" s="661">
        <f t="shared" si="0"/>
        <v>44569</v>
      </c>
    </row>
    <row r="14" spans="1:2" x14ac:dyDescent="0.15">
      <c r="A14" s="661">
        <f t="shared" si="0"/>
        <v>44570</v>
      </c>
    </row>
    <row r="15" spans="1:2" x14ac:dyDescent="0.15">
      <c r="A15" s="661">
        <f t="shared" si="0"/>
        <v>44571</v>
      </c>
      <c r="B15" s="1039">
        <v>2263</v>
      </c>
    </row>
    <row r="16" spans="1:2" x14ac:dyDescent="0.15">
      <c r="A16" s="661">
        <f t="shared" si="0"/>
        <v>44572</v>
      </c>
      <c r="B16" s="1039">
        <v>1634</v>
      </c>
    </row>
    <row r="17" spans="1:2" x14ac:dyDescent="0.15">
      <c r="A17" s="661">
        <f t="shared" si="0"/>
        <v>44573</v>
      </c>
      <c r="B17" s="1039">
        <v>306</v>
      </c>
    </row>
    <row r="18" spans="1:2" x14ac:dyDescent="0.15">
      <c r="A18" s="661">
        <f t="shared" si="0"/>
        <v>44574</v>
      </c>
      <c r="B18" s="1039">
        <v>603</v>
      </c>
    </row>
    <row r="19" spans="1:2" x14ac:dyDescent="0.15">
      <c r="A19" s="661">
        <f t="shared" si="0"/>
        <v>44575</v>
      </c>
      <c r="B19" s="1039">
        <v>20</v>
      </c>
    </row>
    <row r="20" spans="1:2" x14ac:dyDescent="0.15">
      <c r="A20" s="661">
        <f t="shared" si="0"/>
        <v>44576</v>
      </c>
    </row>
    <row r="21" spans="1:2" x14ac:dyDescent="0.15">
      <c r="A21" s="661">
        <f t="shared" si="0"/>
        <v>44577</v>
      </c>
    </row>
    <row r="22" spans="1:2" x14ac:dyDescent="0.15">
      <c r="A22" s="661">
        <f t="shared" si="0"/>
        <v>44578</v>
      </c>
      <c r="B22" s="1039">
        <v>686</v>
      </c>
    </row>
    <row r="23" spans="1:2" x14ac:dyDescent="0.15">
      <c r="A23" s="661">
        <f t="shared" si="0"/>
        <v>44579</v>
      </c>
    </row>
    <row r="24" spans="1:2" x14ac:dyDescent="0.15">
      <c r="A24" s="661">
        <f t="shared" si="0"/>
        <v>44580</v>
      </c>
    </row>
    <row r="25" spans="1:2" x14ac:dyDescent="0.15">
      <c r="A25" s="661">
        <f t="shared" si="0"/>
        <v>44581</v>
      </c>
    </row>
    <row r="26" spans="1:2" x14ac:dyDescent="0.15">
      <c r="A26" s="661">
        <f t="shared" si="0"/>
        <v>44582</v>
      </c>
    </row>
    <row r="27" spans="1:2" x14ac:dyDescent="0.15">
      <c r="A27" s="661">
        <f t="shared" si="0"/>
        <v>44583</v>
      </c>
    </row>
    <row r="28" spans="1:2" x14ac:dyDescent="0.15">
      <c r="A28" s="661">
        <f t="shared" si="0"/>
        <v>44584</v>
      </c>
    </row>
    <row r="29" spans="1:2" x14ac:dyDescent="0.15">
      <c r="A29" s="661">
        <f t="shared" si="0"/>
        <v>44585</v>
      </c>
    </row>
    <row r="30" spans="1:2" x14ac:dyDescent="0.15">
      <c r="A30" s="661">
        <f t="shared" si="0"/>
        <v>44586</v>
      </c>
    </row>
    <row r="31" spans="1:2" x14ac:dyDescent="0.15">
      <c r="A31" s="661">
        <f t="shared" si="0"/>
        <v>44587</v>
      </c>
    </row>
    <row r="32" spans="1:2" x14ac:dyDescent="0.15">
      <c r="A32" s="661">
        <f t="shared" si="0"/>
        <v>44588</v>
      </c>
      <c r="B32" s="1039">
        <v>1200</v>
      </c>
    </row>
    <row r="33" spans="1:2" x14ac:dyDescent="0.15">
      <c r="A33" s="661">
        <f t="shared" si="0"/>
        <v>44589</v>
      </c>
    </row>
    <row r="34" spans="1:2" x14ac:dyDescent="0.15">
      <c r="A34" s="661">
        <f t="shared" si="0"/>
        <v>44590</v>
      </c>
    </row>
    <row r="35" spans="1:2" x14ac:dyDescent="0.15">
      <c r="A35" s="661">
        <f t="shared" si="0"/>
        <v>44591</v>
      </c>
    </row>
    <row r="36" spans="1:2" x14ac:dyDescent="0.15">
      <c r="A36" s="661">
        <f t="shared" si="0"/>
        <v>44592</v>
      </c>
      <c r="B36" s="1039">
        <v>15274.85662080699</v>
      </c>
    </row>
    <row r="37" spans="1:2" x14ac:dyDescent="0.15">
      <c r="A37" s="661">
        <f t="shared" si="0"/>
        <v>44593</v>
      </c>
    </row>
    <row r="38" spans="1:2" x14ac:dyDescent="0.15">
      <c r="A38" s="661">
        <f t="shared" si="0"/>
        <v>44594</v>
      </c>
    </row>
    <row r="39" spans="1:2" x14ac:dyDescent="0.15">
      <c r="A39" s="661">
        <f t="shared" si="0"/>
        <v>44595</v>
      </c>
    </row>
    <row r="40" spans="1:2" x14ac:dyDescent="0.15">
      <c r="A40" s="661">
        <f t="shared" si="0"/>
        <v>44596</v>
      </c>
      <c r="B40" s="1039">
        <v>2607</v>
      </c>
    </row>
    <row r="41" spans="1:2" x14ac:dyDescent="0.15">
      <c r="A41" s="661">
        <f t="shared" si="0"/>
        <v>44597</v>
      </c>
    </row>
    <row r="42" spans="1:2" x14ac:dyDescent="0.15">
      <c r="A42" s="661">
        <f t="shared" si="0"/>
        <v>44598</v>
      </c>
    </row>
    <row r="43" spans="1:2" x14ac:dyDescent="0.15">
      <c r="A43" s="661">
        <f t="shared" si="0"/>
        <v>44599</v>
      </c>
      <c r="B43" s="1039">
        <v>470</v>
      </c>
    </row>
    <row r="44" spans="1:2" x14ac:dyDescent="0.15">
      <c r="A44" s="661">
        <f t="shared" si="0"/>
        <v>44600</v>
      </c>
      <c r="B44" s="1039">
        <v>925</v>
      </c>
    </row>
    <row r="45" spans="1:2" x14ac:dyDescent="0.15">
      <c r="A45" s="661">
        <f t="shared" si="0"/>
        <v>44601</v>
      </c>
      <c r="B45" s="1039">
        <v>1424</v>
      </c>
    </row>
    <row r="46" spans="1:2" x14ac:dyDescent="0.15">
      <c r="A46" s="661">
        <f t="shared" si="0"/>
        <v>44602</v>
      </c>
      <c r="B46" s="1039">
        <v>3763</v>
      </c>
    </row>
    <row r="47" spans="1:2" x14ac:dyDescent="0.15">
      <c r="A47" s="661">
        <f t="shared" si="0"/>
        <v>44603</v>
      </c>
      <c r="B47" s="1039">
        <v>166</v>
      </c>
    </row>
    <row r="48" spans="1:2" x14ac:dyDescent="0.15">
      <c r="A48" s="661">
        <f t="shared" si="0"/>
        <v>44604</v>
      </c>
    </row>
    <row r="49" spans="1:2" x14ac:dyDescent="0.15">
      <c r="A49" s="661">
        <f t="shared" si="0"/>
        <v>44605</v>
      </c>
    </row>
    <row r="50" spans="1:2" x14ac:dyDescent="0.15">
      <c r="A50" s="661">
        <f t="shared" si="0"/>
        <v>44606</v>
      </c>
      <c r="B50" s="1039">
        <v>108</v>
      </c>
    </row>
    <row r="51" spans="1:2" x14ac:dyDescent="0.15">
      <c r="A51" s="661">
        <f t="shared" si="0"/>
        <v>44607</v>
      </c>
    </row>
    <row r="52" spans="1:2" x14ac:dyDescent="0.15">
      <c r="A52" s="661">
        <f t="shared" si="0"/>
        <v>44608</v>
      </c>
    </row>
    <row r="53" spans="1:2" x14ac:dyDescent="0.15">
      <c r="A53" s="661">
        <f t="shared" si="0"/>
        <v>44609</v>
      </c>
      <c r="B53" s="1039">
        <v>2338</v>
      </c>
    </row>
    <row r="54" spans="1:2" x14ac:dyDescent="0.15">
      <c r="A54" s="661">
        <f t="shared" si="0"/>
        <v>44610</v>
      </c>
      <c r="B54" s="1039">
        <v>305</v>
      </c>
    </row>
    <row r="55" spans="1:2" x14ac:dyDescent="0.15">
      <c r="A55" s="661">
        <f t="shared" si="0"/>
        <v>44611</v>
      </c>
    </row>
    <row r="56" spans="1:2" x14ac:dyDescent="0.15">
      <c r="A56" s="661">
        <f t="shared" si="0"/>
        <v>44612</v>
      </c>
    </row>
    <row r="57" spans="1:2" x14ac:dyDescent="0.15">
      <c r="A57" s="661">
        <f t="shared" si="0"/>
        <v>44613</v>
      </c>
      <c r="B57" s="1039">
        <v>85</v>
      </c>
    </row>
    <row r="58" spans="1:2" x14ac:dyDescent="0.15">
      <c r="A58" s="661">
        <f t="shared" si="0"/>
        <v>44614</v>
      </c>
      <c r="B58" s="1039">
        <v>1149</v>
      </c>
    </row>
    <row r="59" spans="1:2" x14ac:dyDescent="0.15">
      <c r="A59" s="661">
        <f t="shared" si="0"/>
        <v>44615</v>
      </c>
    </row>
    <row r="60" spans="1:2" x14ac:dyDescent="0.15">
      <c r="A60" s="661">
        <f t="shared" si="0"/>
        <v>44616</v>
      </c>
      <c r="B60" s="1039">
        <v>1957</v>
      </c>
    </row>
    <row r="61" spans="1:2" x14ac:dyDescent="0.15">
      <c r="A61" s="661">
        <f t="shared" si="0"/>
        <v>44617</v>
      </c>
    </row>
    <row r="62" spans="1:2" x14ac:dyDescent="0.15">
      <c r="A62" s="661">
        <f t="shared" si="0"/>
        <v>44618</v>
      </c>
    </row>
    <row r="63" spans="1:2" x14ac:dyDescent="0.15">
      <c r="A63" s="661">
        <f t="shared" si="0"/>
        <v>44619</v>
      </c>
    </row>
    <row r="64" spans="1:2" x14ac:dyDescent="0.15">
      <c r="A64" s="661">
        <f t="shared" si="0"/>
        <v>44620</v>
      </c>
      <c r="B64" s="1039">
        <f>15371+79</f>
        <v>15450</v>
      </c>
    </row>
    <row r="65" spans="1:2" x14ac:dyDescent="0.15">
      <c r="A65" s="661">
        <f t="shared" si="0"/>
        <v>44621</v>
      </c>
      <c r="B65" s="1039">
        <v>890</v>
      </c>
    </row>
    <row r="66" spans="1:2" x14ac:dyDescent="0.15">
      <c r="A66" s="661">
        <f t="shared" si="0"/>
        <v>44622</v>
      </c>
      <c r="B66" s="1039">
        <v>1075</v>
      </c>
    </row>
    <row r="67" spans="1:2" x14ac:dyDescent="0.15">
      <c r="A67" s="661">
        <f t="shared" si="0"/>
        <v>44623</v>
      </c>
    </row>
    <row r="68" spans="1:2" x14ac:dyDescent="0.15">
      <c r="A68" s="661">
        <f t="shared" si="0"/>
        <v>44624</v>
      </c>
      <c r="B68" s="1039">
        <v>4</v>
      </c>
    </row>
    <row r="69" spans="1:2" x14ac:dyDescent="0.15">
      <c r="A69" s="661">
        <f t="shared" si="0"/>
        <v>44625</v>
      </c>
    </row>
    <row r="70" spans="1:2" x14ac:dyDescent="0.15">
      <c r="A70" s="661">
        <f t="shared" si="0"/>
        <v>44626</v>
      </c>
    </row>
    <row r="71" spans="1:2" x14ac:dyDescent="0.15">
      <c r="A71" s="661">
        <f t="shared" si="0"/>
        <v>44627</v>
      </c>
    </row>
    <row r="72" spans="1:2" x14ac:dyDescent="0.15">
      <c r="A72" s="661">
        <f t="shared" ref="A72:A135" si="1">+A71+1</f>
        <v>44628</v>
      </c>
    </row>
    <row r="73" spans="1:2" x14ac:dyDescent="0.15">
      <c r="A73" s="661">
        <f t="shared" si="1"/>
        <v>44629</v>
      </c>
    </row>
    <row r="74" spans="1:2" x14ac:dyDescent="0.15">
      <c r="A74" s="661">
        <f t="shared" si="1"/>
        <v>44630</v>
      </c>
      <c r="B74" s="1039">
        <v>1127</v>
      </c>
    </row>
    <row r="75" spans="1:2" x14ac:dyDescent="0.15">
      <c r="A75" s="661">
        <f t="shared" si="1"/>
        <v>44631</v>
      </c>
      <c r="B75" s="1039">
        <v>29</v>
      </c>
    </row>
    <row r="76" spans="1:2" x14ac:dyDescent="0.15">
      <c r="A76" s="661">
        <f t="shared" si="1"/>
        <v>44632</v>
      </c>
    </row>
    <row r="77" spans="1:2" x14ac:dyDescent="0.15">
      <c r="A77" s="661">
        <f t="shared" si="1"/>
        <v>44633</v>
      </c>
    </row>
    <row r="78" spans="1:2" x14ac:dyDescent="0.15">
      <c r="A78" s="661">
        <f t="shared" si="1"/>
        <v>44634</v>
      </c>
    </row>
    <row r="79" spans="1:2" x14ac:dyDescent="0.15">
      <c r="A79" s="661">
        <f t="shared" si="1"/>
        <v>44635</v>
      </c>
      <c r="B79" s="1039">
        <v>98</v>
      </c>
    </row>
    <row r="80" spans="1:2" x14ac:dyDescent="0.15">
      <c r="A80" s="661">
        <f t="shared" si="1"/>
        <v>44636</v>
      </c>
    </row>
    <row r="81" spans="1:2" x14ac:dyDescent="0.15">
      <c r="A81" s="661">
        <f t="shared" si="1"/>
        <v>44637</v>
      </c>
    </row>
    <row r="82" spans="1:2" x14ac:dyDescent="0.15">
      <c r="A82" s="661">
        <f t="shared" si="1"/>
        <v>44638</v>
      </c>
    </row>
    <row r="83" spans="1:2" x14ac:dyDescent="0.15">
      <c r="A83" s="661">
        <f t="shared" si="1"/>
        <v>44639</v>
      </c>
    </row>
    <row r="84" spans="1:2" x14ac:dyDescent="0.15">
      <c r="A84" s="661">
        <f t="shared" si="1"/>
        <v>44640</v>
      </c>
    </row>
    <row r="85" spans="1:2" x14ac:dyDescent="0.15">
      <c r="A85" s="661">
        <f t="shared" si="1"/>
        <v>44641</v>
      </c>
    </row>
    <row r="86" spans="1:2" x14ac:dyDescent="0.15">
      <c r="A86" s="661">
        <f t="shared" si="1"/>
        <v>44642</v>
      </c>
    </row>
    <row r="87" spans="1:2" x14ac:dyDescent="0.15">
      <c r="A87" s="661">
        <f t="shared" si="1"/>
        <v>44643</v>
      </c>
    </row>
    <row r="88" spans="1:2" x14ac:dyDescent="0.15">
      <c r="A88" s="661">
        <f t="shared" si="1"/>
        <v>44644</v>
      </c>
    </row>
    <row r="89" spans="1:2" x14ac:dyDescent="0.15">
      <c r="A89" s="661">
        <f t="shared" si="1"/>
        <v>44645</v>
      </c>
    </row>
    <row r="90" spans="1:2" x14ac:dyDescent="0.15">
      <c r="A90" s="661">
        <f t="shared" si="1"/>
        <v>44646</v>
      </c>
    </row>
    <row r="91" spans="1:2" x14ac:dyDescent="0.15">
      <c r="A91" s="661">
        <f t="shared" si="1"/>
        <v>44647</v>
      </c>
    </row>
    <row r="92" spans="1:2" x14ac:dyDescent="0.15">
      <c r="A92" s="661">
        <f t="shared" si="1"/>
        <v>44648</v>
      </c>
      <c r="B92" s="1039">
        <v>2199</v>
      </c>
    </row>
    <row r="93" spans="1:2" x14ac:dyDescent="0.15">
      <c r="A93" s="661">
        <f t="shared" si="1"/>
        <v>44649</v>
      </c>
      <c r="B93" s="1039">
        <v>863</v>
      </c>
    </row>
    <row r="94" spans="1:2" x14ac:dyDescent="0.15">
      <c r="A94" s="661">
        <f t="shared" si="1"/>
        <v>44650</v>
      </c>
      <c r="B94" s="1039">
        <v>502</v>
      </c>
    </row>
    <row r="95" spans="1:2" x14ac:dyDescent="0.15">
      <c r="A95" s="661">
        <f t="shared" si="1"/>
        <v>44651</v>
      </c>
      <c r="B95" s="1039">
        <f>15480+693</f>
        <v>16173</v>
      </c>
    </row>
    <row r="96" spans="1:2" x14ac:dyDescent="0.15">
      <c r="A96" s="661">
        <f t="shared" si="1"/>
        <v>44652</v>
      </c>
      <c r="B96" s="1039">
        <v>68</v>
      </c>
    </row>
    <row r="97" spans="1:2" x14ac:dyDescent="0.15">
      <c r="A97" s="661">
        <f t="shared" si="1"/>
        <v>44653</v>
      </c>
    </row>
    <row r="98" spans="1:2" x14ac:dyDescent="0.15">
      <c r="A98" s="661">
        <f t="shared" si="1"/>
        <v>44654</v>
      </c>
    </row>
    <row r="99" spans="1:2" x14ac:dyDescent="0.15">
      <c r="A99" s="661">
        <f t="shared" si="1"/>
        <v>44655</v>
      </c>
      <c r="B99" s="1039">
        <v>195</v>
      </c>
    </row>
    <row r="100" spans="1:2" x14ac:dyDescent="0.15">
      <c r="A100" s="661">
        <f t="shared" si="1"/>
        <v>44656</v>
      </c>
      <c r="B100" s="1039">
        <v>107</v>
      </c>
    </row>
    <row r="101" spans="1:2" x14ac:dyDescent="0.15">
      <c r="A101" s="661">
        <f t="shared" si="1"/>
        <v>44657</v>
      </c>
      <c r="B101" s="1039">
        <v>74</v>
      </c>
    </row>
    <row r="102" spans="1:2" x14ac:dyDescent="0.15">
      <c r="A102" s="661">
        <f t="shared" si="1"/>
        <v>44658</v>
      </c>
      <c r="B102" s="1039">
        <v>658</v>
      </c>
    </row>
    <row r="103" spans="1:2" x14ac:dyDescent="0.15">
      <c r="A103" s="661">
        <f t="shared" si="1"/>
        <v>44659</v>
      </c>
      <c r="B103" s="1039">
        <v>170</v>
      </c>
    </row>
    <row r="104" spans="1:2" x14ac:dyDescent="0.15">
      <c r="A104" s="661">
        <f t="shared" si="1"/>
        <v>44660</v>
      </c>
    </row>
    <row r="105" spans="1:2" x14ac:dyDescent="0.15">
      <c r="A105" s="661">
        <f t="shared" si="1"/>
        <v>44661</v>
      </c>
    </row>
    <row r="106" spans="1:2" x14ac:dyDescent="0.15">
      <c r="A106" s="661">
        <f t="shared" si="1"/>
        <v>44662</v>
      </c>
      <c r="B106" s="1039">
        <v>664</v>
      </c>
    </row>
    <row r="107" spans="1:2" x14ac:dyDescent="0.15">
      <c r="A107" s="661">
        <f t="shared" si="1"/>
        <v>44663</v>
      </c>
      <c r="B107" s="1039">
        <v>463</v>
      </c>
    </row>
    <row r="108" spans="1:2" x14ac:dyDescent="0.15">
      <c r="A108" s="661">
        <f t="shared" si="1"/>
        <v>44664</v>
      </c>
      <c r="B108" s="1039">
        <v>96</v>
      </c>
    </row>
    <row r="109" spans="1:2" x14ac:dyDescent="0.15">
      <c r="A109" s="661">
        <f t="shared" si="1"/>
        <v>44665</v>
      </c>
      <c r="B109" s="1039">
        <v>1689</v>
      </c>
    </row>
    <row r="110" spans="1:2" x14ac:dyDescent="0.15">
      <c r="A110" s="661">
        <f t="shared" si="1"/>
        <v>44666</v>
      </c>
      <c r="B110" s="1039">
        <v>1232</v>
      </c>
    </row>
    <row r="111" spans="1:2" x14ac:dyDescent="0.15">
      <c r="A111" s="661">
        <f t="shared" si="1"/>
        <v>44667</v>
      </c>
    </row>
    <row r="112" spans="1:2" x14ac:dyDescent="0.15">
      <c r="A112" s="661">
        <f t="shared" si="1"/>
        <v>44668</v>
      </c>
    </row>
    <row r="113" spans="1:2" x14ac:dyDescent="0.15">
      <c r="A113" s="661">
        <f t="shared" si="1"/>
        <v>44669</v>
      </c>
      <c r="B113" s="1039">
        <v>3132</v>
      </c>
    </row>
    <row r="114" spans="1:2" x14ac:dyDescent="0.15">
      <c r="A114" s="661">
        <f t="shared" si="1"/>
        <v>44670</v>
      </c>
      <c r="B114" s="1039">
        <v>274</v>
      </c>
    </row>
    <row r="115" spans="1:2" x14ac:dyDescent="0.15">
      <c r="A115" s="661">
        <f t="shared" si="1"/>
        <v>44671</v>
      </c>
      <c r="B115" s="1039">
        <v>758</v>
      </c>
    </row>
    <row r="116" spans="1:2" x14ac:dyDescent="0.15">
      <c r="A116" s="661">
        <f t="shared" si="1"/>
        <v>44672</v>
      </c>
      <c r="B116" s="1039">
        <v>3419</v>
      </c>
    </row>
    <row r="117" spans="1:2" x14ac:dyDescent="0.15">
      <c r="A117" s="661">
        <f t="shared" si="1"/>
        <v>44673</v>
      </c>
      <c r="B117" s="1039">
        <v>3455</v>
      </c>
    </row>
    <row r="118" spans="1:2" x14ac:dyDescent="0.15">
      <c r="A118" s="661">
        <f t="shared" si="1"/>
        <v>44674</v>
      </c>
    </row>
    <row r="119" spans="1:2" x14ac:dyDescent="0.15">
      <c r="A119" s="661">
        <f t="shared" si="1"/>
        <v>44675</v>
      </c>
    </row>
    <row r="120" spans="1:2" x14ac:dyDescent="0.15">
      <c r="A120" s="661">
        <f t="shared" si="1"/>
        <v>44676</v>
      </c>
      <c r="B120" s="1039">
        <v>11753</v>
      </c>
    </row>
    <row r="121" spans="1:2" x14ac:dyDescent="0.15">
      <c r="A121" s="661">
        <f t="shared" si="1"/>
        <v>44677</v>
      </c>
    </row>
    <row r="122" spans="1:2" x14ac:dyDescent="0.15">
      <c r="A122" s="661">
        <f t="shared" si="1"/>
        <v>44678</v>
      </c>
      <c r="B122" s="1039">
        <v>1936</v>
      </c>
    </row>
    <row r="123" spans="1:2" x14ac:dyDescent="0.15">
      <c r="A123" s="661">
        <f t="shared" si="1"/>
        <v>44679</v>
      </c>
      <c r="B123" s="1039">
        <v>12845</v>
      </c>
    </row>
    <row r="124" spans="1:2" x14ac:dyDescent="0.15">
      <c r="A124" s="661">
        <f t="shared" si="1"/>
        <v>44680</v>
      </c>
    </row>
    <row r="125" spans="1:2" x14ac:dyDescent="0.15">
      <c r="A125" s="661">
        <f t="shared" si="1"/>
        <v>44681</v>
      </c>
      <c r="B125" s="1039">
        <v>16004</v>
      </c>
    </row>
    <row r="126" spans="1:2" x14ac:dyDescent="0.15">
      <c r="A126" s="661">
        <f t="shared" si="1"/>
        <v>44682</v>
      </c>
    </row>
    <row r="127" spans="1:2" x14ac:dyDescent="0.15">
      <c r="A127" s="661">
        <f t="shared" si="1"/>
        <v>44683</v>
      </c>
    </row>
    <row r="128" spans="1:2" x14ac:dyDescent="0.15">
      <c r="A128" s="661">
        <f t="shared" si="1"/>
        <v>44684</v>
      </c>
    </row>
    <row r="129" spans="1:2" x14ac:dyDescent="0.15">
      <c r="A129" s="661">
        <f t="shared" si="1"/>
        <v>44685</v>
      </c>
    </row>
    <row r="130" spans="1:2" x14ac:dyDescent="0.15">
      <c r="A130" s="661">
        <f t="shared" si="1"/>
        <v>44686</v>
      </c>
    </row>
    <row r="131" spans="1:2" x14ac:dyDescent="0.15">
      <c r="A131" s="661">
        <f t="shared" si="1"/>
        <v>44687</v>
      </c>
      <c r="B131" s="1039">
        <v>12905</v>
      </c>
    </row>
    <row r="132" spans="1:2" x14ac:dyDescent="0.15">
      <c r="A132" s="661">
        <f t="shared" si="1"/>
        <v>44688</v>
      </c>
    </row>
    <row r="133" spans="1:2" x14ac:dyDescent="0.15">
      <c r="A133" s="661">
        <f t="shared" si="1"/>
        <v>44689</v>
      </c>
    </row>
    <row r="134" spans="1:2" x14ac:dyDescent="0.15">
      <c r="A134" s="661">
        <f t="shared" si="1"/>
        <v>44690</v>
      </c>
      <c r="B134" s="1039">
        <v>2691</v>
      </c>
    </row>
    <row r="135" spans="1:2" x14ac:dyDescent="0.15">
      <c r="A135" s="661">
        <f t="shared" si="1"/>
        <v>44691</v>
      </c>
      <c r="B135" s="1039">
        <v>1844</v>
      </c>
    </row>
    <row r="136" spans="1:2" x14ac:dyDescent="0.15">
      <c r="A136" s="661">
        <f t="shared" ref="A136:A199" si="2">+A135+1</f>
        <v>44692</v>
      </c>
      <c r="B136" s="1039">
        <v>893</v>
      </c>
    </row>
    <row r="137" spans="1:2" x14ac:dyDescent="0.15">
      <c r="A137" s="661">
        <f t="shared" si="2"/>
        <v>44693</v>
      </c>
      <c r="B137" s="1039">
        <v>536</v>
      </c>
    </row>
    <row r="138" spans="1:2" x14ac:dyDescent="0.15">
      <c r="A138" s="661">
        <f t="shared" si="2"/>
        <v>44694</v>
      </c>
      <c r="B138" s="1039">
        <v>1757</v>
      </c>
    </row>
    <row r="139" spans="1:2" x14ac:dyDescent="0.15">
      <c r="A139" s="661">
        <f t="shared" si="2"/>
        <v>44695</v>
      </c>
    </row>
    <row r="140" spans="1:2" x14ac:dyDescent="0.15">
      <c r="A140" s="661">
        <f t="shared" si="2"/>
        <v>44696</v>
      </c>
    </row>
    <row r="141" spans="1:2" x14ac:dyDescent="0.15">
      <c r="A141" s="661">
        <f t="shared" si="2"/>
        <v>44697</v>
      </c>
      <c r="B141" s="1039">
        <v>5</v>
      </c>
    </row>
    <row r="142" spans="1:2" x14ac:dyDescent="0.15">
      <c r="A142" s="661">
        <f t="shared" si="2"/>
        <v>44698</v>
      </c>
      <c r="B142" s="1039">
        <v>714</v>
      </c>
    </row>
    <row r="143" spans="1:2" x14ac:dyDescent="0.15">
      <c r="A143" s="661">
        <f t="shared" si="2"/>
        <v>44699</v>
      </c>
      <c r="B143" s="1039">
        <v>1292</v>
      </c>
    </row>
    <row r="144" spans="1:2" x14ac:dyDescent="0.15">
      <c r="A144" s="661">
        <f t="shared" si="2"/>
        <v>44700</v>
      </c>
      <c r="B144" s="1039">
        <v>994</v>
      </c>
    </row>
    <row r="145" spans="1:2" x14ac:dyDescent="0.15">
      <c r="A145" s="661">
        <f t="shared" si="2"/>
        <v>44701</v>
      </c>
      <c r="B145" s="1039">
        <v>6468</v>
      </c>
    </row>
    <row r="146" spans="1:2" x14ac:dyDescent="0.15">
      <c r="A146" s="661">
        <f t="shared" si="2"/>
        <v>44702</v>
      </c>
    </row>
    <row r="147" spans="1:2" x14ac:dyDescent="0.15">
      <c r="A147" s="661">
        <f t="shared" si="2"/>
        <v>44703</v>
      </c>
    </row>
    <row r="148" spans="1:2" x14ac:dyDescent="0.15">
      <c r="A148" s="661">
        <f t="shared" si="2"/>
        <v>44704</v>
      </c>
      <c r="B148" s="1039">
        <v>811</v>
      </c>
    </row>
    <row r="149" spans="1:2" x14ac:dyDescent="0.15">
      <c r="A149" s="661">
        <f t="shared" si="2"/>
        <v>44705</v>
      </c>
      <c r="B149" s="1039">
        <v>238</v>
      </c>
    </row>
    <row r="150" spans="1:2" x14ac:dyDescent="0.15">
      <c r="A150" s="661">
        <f t="shared" si="2"/>
        <v>44706</v>
      </c>
      <c r="B150" s="1039">
        <v>4578</v>
      </c>
    </row>
    <row r="151" spans="1:2" x14ac:dyDescent="0.15">
      <c r="A151" s="661">
        <f t="shared" si="2"/>
        <v>44707</v>
      </c>
      <c r="B151" s="1039">
        <v>2310</v>
      </c>
    </row>
    <row r="152" spans="1:2" x14ac:dyDescent="0.15">
      <c r="A152" s="661">
        <f t="shared" si="2"/>
        <v>44708</v>
      </c>
      <c r="B152" s="1039">
        <v>1299</v>
      </c>
    </row>
    <row r="153" spans="1:2" x14ac:dyDescent="0.15">
      <c r="A153" s="661">
        <f t="shared" si="2"/>
        <v>44709</v>
      </c>
    </row>
    <row r="154" spans="1:2" x14ac:dyDescent="0.15">
      <c r="A154" s="661">
        <f t="shared" si="2"/>
        <v>44710</v>
      </c>
    </row>
    <row r="155" spans="1:2" x14ac:dyDescent="0.15">
      <c r="A155" s="661">
        <f t="shared" si="2"/>
        <v>44711</v>
      </c>
      <c r="B155" s="1039">
        <v>24</v>
      </c>
    </row>
    <row r="156" spans="1:2" x14ac:dyDescent="0.15">
      <c r="A156" s="661">
        <f t="shared" si="2"/>
        <v>44712</v>
      </c>
      <c r="B156" s="1039">
        <f>16706+86</f>
        <v>16792</v>
      </c>
    </row>
    <row r="157" spans="1:2" x14ac:dyDescent="0.15">
      <c r="A157" s="661">
        <f t="shared" si="2"/>
        <v>44713</v>
      </c>
      <c r="B157" s="1039">
        <v>113</v>
      </c>
    </row>
    <row r="158" spans="1:2" x14ac:dyDescent="0.15">
      <c r="A158" s="661">
        <f t="shared" si="2"/>
        <v>44714</v>
      </c>
      <c r="B158" s="1039">
        <v>68</v>
      </c>
    </row>
    <row r="159" spans="1:2" x14ac:dyDescent="0.15">
      <c r="A159" s="661">
        <f t="shared" si="2"/>
        <v>44715</v>
      </c>
      <c r="B159" s="1039">
        <v>2850</v>
      </c>
    </row>
    <row r="160" spans="1:2" x14ac:dyDescent="0.15">
      <c r="A160" s="661">
        <f t="shared" si="2"/>
        <v>44716</v>
      </c>
    </row>
    <row r="161" spans="1:2" x14ac:dyDescent="0.15">
      <c r="A161" s="661">
        <f t="shared" si="2"/>
        <v>44717</v>
      </c>
    </row>
    <row r="162" spans="1:2" x14ac:dyDescent="0.15">
      <c r="A162" s="661">
        <f t="shared" si="2"/>
        <v>44718</v>
      </c>
    </row>
    <row r="163" spans="1:2" x14ac:dyDescent="0.15">
      <c r="A163" s="661">
        <f t="shared" si="2"/>
        <v>44719</v>
      </c>
      <c r="B163" s="1039">
        <v>6</v>
      </c>
    </row>
    <row r="164" spans="1:2" x14ac:dyDescent="0.15">
      <c r="A164" s="661">
        <f t="shared" si="2"/>
        <v>44720</v>
      </c>
      <c r="B164" s="1039">
        <v>512</v>
      </c>
    </row>
    <row r="165" spans="1:2" x14ac:dyDescent="0.15">
      <c r="A165" s="661">
        <f t="shared" si="2"/>
        <v>44721</v>
      </c>
      <c r="B165" s="1039">
        <v>97</v>
      </c>
    </row>
    <row r="166" spans="1:2" x14ac:dyDescent="0.15">
      <c r="A166" s="661">
        <f t="shared" si="2"/>
        <v>44722</v>
      </c>
      <c r="B166" s="1039">
        <v>868</v>
      </c>
    </row>
    <row r="167" spans="1:2" x14ac:dyDescent="0.15">
      <c r="A167" s="661">
        <f t="shared" si="2"/>
        <v>44723</v>
      </c>
    </row>
    <row r="168" spans="1:2" x14ac:dyDescent="0.15">
      <c r="A168" s="661">
        <f t="shared" si="2"/>
        <v>44724</v>
      </c>
    </row>
    <row r="169" spans="1:2" x14ac:dyDescent="0.15">
      <c r="A169" s="661">
        <f t="shared" si="2"/>
        <v>44725</v>
      </c>
      <c r="B169" s="1039">
        <v>1624</v>
      </c>
    </row>
    <row r="170" spans="1:2" x14ac:dyDescent="0.15">
      <c r="A170" s="661">
        <f t="shared" si="2"/>
        <v>44726</v>
      </c>
      <c r="B170" s="1039">
        <v>563</v>
      </c>
    </row>
    <row r="171" spans="1:2" x14ac:dyDescent="0.15">
      <c r="A171" s="661">
        <f t="shared" si="2"/>
        <v>44727</v>
      </c>
      <c r="B171" s="1039">
        <v>3573</v>
      </c>
    </row>
    <row r="172" spans="1:2" x14ac:dyDescent="0.15">
      <c r="A172" s="661">
        <f t="shared" si="2"/>
        <v>44728</v>
      </c>
      <c r="B172" s="1039">
        <v>988</v>
      </c>
    </row>
    <row r="173" spans="1:2" x14ac:dyDescent="0.15">
      <c r="A173" s="661">
        <f t="shared" si="2"/>
        <v>44729</v>
      </c>
      <c r="B173" s="1039">
        <v>2759</v>
      </c>
    </row>
    <row r="174" spans="1:2" x14ac:dyDescent="0.15">
      <c r="A174" s="661">
        <f t="shared" si="2"/>
        <v>44730</v>
      </c>
    </row>
    <row r="175" spans="1:2" x14ac:dyDescent="0.15">
      <c r="A175" s="661">
        <f t="shared" si="2"/>
        <v>44731</v>
      </c>
    </row>
    <row r="176" spans="1:2" x14ac:dyDescent="0.15">
      <c r="A176" s="661">
        <f t="shared" si="2"/>
        <v>44732</v>
      </c>
      <c r="B176" s="1039">
        <v>501</v>
      </c>
    </row>
    <row r="177" spans="1:2" x14ac:dyDescent="0.15">
      <c r="A177" s="661">
        <f t="shared" si="2"/>
        <v>44733</v>
      </c>
      <c r="B177" s="1039">
        <v>1484</v>
      </c>
    </row>
    <row r="178" spans="1:2" x14ac:dyDescent="0.15">
      <c r="A178" s="661">
        <f t="shared" si="2"/>
        <v>44734</v>
      </c>
      <c r="B178" s="1039">
        <v>838</v>
      </c>
    </row>
    <row r="179" spans="1:2" x14ac:dyDescent="0.15">
      <c r="A179" s="661">
        <f t="shared" si="2"/>
        <v>44735</v>
      </c>
      <c r="B179" s="1039">
        <v>80</v>
      </c>
    </row>
    <row r="180" spans="1:2" x14ac:dyDescent="0.15">
      <c r="A180" s="661">
        <f t="shared" si="2"/>
        <v>44736</v>
      </c>
      <c r="B180" s="1039">
        <v>730</v>
      </c>
    </row>
    <row r="181" spans="1:2" x14ac:dyDescent="0.15">
      <c r="A181" s="661">
        <f t="shared" si="2"/>
        <v>44737</v>
      </c>
    </row>
    <row r="182" spans="1:2" x14ac:dyDescent="0.15">
      <c r="A182" s="661">
        <f t="shared" si="2"/>
        <v>44738</v>
      </c>
    </row>
    <row r="183" spans="1:2" x14ac:dyDescent="0.15">
      <c r="A183" s="661">
        <f t="shared" si="2"/>
        <v>44739</v>
      </c>
      <c r="B183" s="1039">
        <v>1174</v>
      </c>
    </row>
    <row r="184" spans="1:2" x14ac:dyDescent="0.15">
      <c r="A184" s="661">
        <f t="shared" si="2"/>
        <v>44740</v>
      </c>
      <c r="B184" s="1039">
        <v>411</v>
      </c>
    </row>
    <row r="185" spans="1:2" x14ac:dyDescent="0.15">
      <c r="A185" s="661">
        <f t="shared" si="2"/>
        <v>44741</v>
      </c>
      <c r="B185" s="1039">
        <v>260</v>
      </c>
    </row>
    <row r="186" spans="1:2" x14ac:dyDescent="0.15">
      <c r="A186" s="661">
        <f t="shared" si="2"/>
        <v>44742</v>
      </c>
      <c r="B186" s="1039">
        <f>7061+18289</f>
        <v>25350</v>
      </c>
    </row>
    <row r="187" spans="1:2" x14ac:dyDescent="0.15">
      <c r="A187" s="661">
        <f t="shared" si="2"/>
        <v>44743</v>
      </c>
      <c r="B187" s="1039">
        <v>11063</v>
      </c>
    </row>
    <row r="188" spans="1:2" x14ac:dyDescent="0.15">
      <c r="A188" s="661">
        <f t="shared" si="2"/>
        <v>44744</v>
      </c>
    </row>
    <row r="189" spans="1:2" x14ac:dyDescent="0.15">
      <c r="A189" s="661">
        <f t="shared" si="2"/>
        <v>44745</v>
      </c>
    </row>
    <row r="190" spans="1:2" x14ac:dyDescent="0.15">
      <c r="A190" s="661">
        <f t="shared" si="2"/>
        <v>44746</v>
      </c>
      <c r="B190" s="1039">
        <v>1081</v>
      </c>
    </row>
    <row r="191" spans="1:2" x14ac:dyDescent="0.15">
      <c r="A191" s="661">
        <f t="shared" si="2"/>
        <v>44747</v>
      </c>
      <c r="B191" s="1039">
        <v>603</v>
      </c>
    </row>
    <row r="192" spans="1:2" x14ac:dyDescent="0.15">
      <c r="A192" s="661">
        <f t="shared" si="2"/>
        <v>44748</v>
      </c>
      <c r="B192" s="1039">
        <v>83</v>
      </c>
    </row>
    <row r="193" spans="1:2" x14ac:dyDescent="0.15">
      <c r="A193" s="661">
        <f t="shared" si="2"/>
        <v>44749</v>
      </c>
      <c r="B193" s="1039">
        <v>821</v>
      </c>
    </row>
    <row r="194" spans="1:2" x14ac:dyDescent="0.15">
      <c r="A194" s="661">
        <f t="shared" si="2"/>
        <v>44750</v>
      </c>
    </row>
    <row r="195" spans="1:2" x14ac:dyDescent="0.15">
      <c r="A195" s="661">
        <f t="shared" si="2"/>
        <v>44751</v>
      </c>
    </row>
    <row r="196" spans="1:2" x14ac:dyDescent="0.15">
      <c r="A196" s="661">
        <f t="shared" si="2"/>
        <v>44752</v>
      </c>
    </row>
    <row r="197" spans="1:2" x14ac:dyDescent="0.15">
      <c r="A197" s="661">
        <f t="shared" si="2"/>
        <v>44753</v>
      </c>
    </row>
    <row r="198" spans="1:2" x14ac:dyDescent="0.15">
      <c r="A198" s="661">
        <f t="shared" si="2"/>
        <v>44754</v>
      </c>
    </row>
    <row r="199" spans="1:2" x14ac:dyDescent="0.15">
      <c r="A199" s="661">
        <f t="shared" si="2"/>
        <v>44755</v>
      </c>
      <c r="B199" s="1039">
        <v>5189</v>
      </c>
    </row>
    <row r="200" spans="1:2" x14ac:dyDescent="0.15">
      <c r="A200" s="661">
        <f t="shared" ref="A200:A263" si="3">+A199+1</f>
        <v>44756</v>
      </c>
      <c r="B200" s="1039">
        <v>443</v>
      </c>
    </row>
    <row r="201" spans="1:2" x14ac:dyDescent="0.15">
      <c r="A201" s="661">
        <f t="shared" si="3"/>
        <v>44757</v>
      </c>
      <c r="B201" s="1039">
        <v>253</v>
      </c>
    </row>
    <row r="202" spans="1:2" x14ac:dyDescent="0.15">
      <c r="A202" s="661">
        <f t="shared" si="3"/>
        <v>44758</v>
      </c>
    </row>
    <row r="203" spans="1:2" x14ac:dyDescent="0.15">
      <c r="A203" s="661">
        <f t="shared" si="3"/>
        <v>44759</v>
      </c>
    </row>
    <row r="204" spans="1:2" x14ac:dyDescent="0.15">
      <c r="A204" s="661">
        <f t="shared" si="3"/>
        <v>44760</v>
      </c>
      <c r="B204" s="1039">
        <v>1013</v>
      </c>
    </row>
    <row r="205" spans="1:2" x14ac:dyDescent="0.15">
      <c r="A205" s="661">
        <f t="shared" si="3"/>
        <v>44761</v>
      </c>
      <c r="B205" s="1039">
        <v>5124</v>
      </c>
    </row>
    <row r="206" spans="1:2" x14ac:dyDescent="0.15">
      <c r="A206" s="661">
        <f t="shared" si="3"/>
        <v>44762</v>
      </c>
      <c r="B206" s="1039">
        <v>104</v>
      </c>
    </row>
    <row r="207" spans="1:2" x14ac:dyDescent="0.15">
      <c r="A207" s="661">
        <f t="shared" si="3"/>
        <v>44763</v>
      </c>
      <c r="B207" s="1039">
        <v>1393</v>
      </c>
    </row>
    <row r="208" spans="1:2" x14ac:dyDescent="0.15">
      <c r="A208" s="661">
        <f t="shared" si="3"/>
        <v>44764</v>
      </c>
      <c r="B208" s="1039">
        <v>1820</v>
      </c>
    </row>
    <row r="209" spans="1:1" x14ac:dyDescent="0.15">
      <c r="A209" s="661">
        <f t="shared" si="3"/>
        <v>44765</v>
      </c>
    </row>
    <row r="210" spans="1:1" x14ac:dyDescent="0.15">
      <c r="A210" s="661">
        <f t="shared" si="3"/>
        <v>44766</v>
      </c>
    </row>
    <row r="211" spans="1:1" x14ac:dyDescent="0.15">
      <c r="A211" s="661">
        <f t="shared" si="3"/>
        <v>44767</v>
      </c>
    </row>
    <row r="212" spans="1:1" x14ac:dyDescent="0.15">
      <c r="A212" s="661">
        <f t="shared" si="3"/>
        <v>44768</v>
      </c>
    </row>
    <row r="213" spans="1:1" x14ac:dyDescent="0.15">
      <c r="A213" s="661">
        <f t="shared" si="3"/>
        <v>44769</v>
      </c>
    </row>
    <row r="214" spans="1:1" x14ac:dyDescent="0.15">
      <c r="A214" s="661">
        <f t="shared" si="3"/>
        <v>44770</v>
      </c>
    </row>
    <row r="215" spans="1:1" x14ac:dyDescent="0.15">
      <c r="A215" s="661">
        <f t="shared" si="3"/>
        <v>44771</v>
      </c>
    </row>
    <row r="216" spans="1:1" x14ac:dyDescent="0.15">
      <c r="A216" s="661">
        <f t="shared" si="3"/>
        <v>44772</v>
      </c>
    </row>
    <row r="217" spans="1:1" x14ac:dyDescent="0.15">
      <c r="A217" s="661">
        <f t="shared" si="3"/>
        <v>44773</v>
      </c>
    </row>
    <row r="218" spans="1:1" x14ac:dyDescent="0.15">
      <c r="A218" s="661">
        <f t="shared" si="3"/>
        <v>44774</v>
      </c>
    </row>
    <row r="219" spans="1:1" x14ac:dyDescent="0.15">
      <c r="A219" s="661">
        <f t="shared" si="3"/>
        <v>44775</v>
      </c>
    </row>
    <row r="220" spans="1:1" x14ac:dyDescent="0.15">
      <c r="A220" s="661">
        <f t="shared" si="3"/>
        <v>44776</v>
      </c>
    </row>
    <row r="221" spans="1:1" x14ac:dyDescent="0.15">
      <c r="A221" s="661">
        <f t="shared" si="3"/>
        <v>44777</v>
      </c>
    </row>
    <row r="222" spans="1:1" x14ac:dyDescent="0.15">
      <c r="A222" s="661">
        <f t="shared" si="3"/>
        <v>44778</v>
      </c>
    </row>
    <row r="223" spans="1:1" x14ac:dyDescent="0.15">
      <c r="A223" s="661">
        <f t="shared" si="3"/>
        <v>44779</v>
      </c>
    </row>
    <row r="224" spans="1:1" x14ac:dyDescent="0.15">
      <c r="A224" s="661">
        <f t="shared" si="3"/>
        <v>44780</v>
      </c>
    </row>
    <row r="225" spans="1:1" x14ac:dyDescent="0.15">
      <c r="A225" s="661">
        <f t="shared" si="3"/>
        <v>44781</v>
      </c>
    </row>
    <row r="226" spans="1:1" x14ac:dyDescent="0.15">
      <c r="A226" s="661">
        <f t="shared" si="3"/>
        <v>44782</v>
      </c>
    </row>
    <row r="227" spans="1:1" x14ac:dyDescent="0.15">
      <c r="A227" s="661">
        <f t="shared" si="3"/>
        <v>44783</v>
      </c>
    </row>
    <row r="228" spans="1:1" x14ac:dyDescent="0.15">
      <c r="A228" s="661">
        <f t="shared" si="3"/>
        <v>44784</v>
      </c>
    </row>
    <row r="229" spans="1:1" x14ac:dyDescent="0.15">
      <c r="A229" s="661">
        <f t="shared" si="3"/>
        <v>44785</v>
      </c>
    </row>
    <row r="230" spans="1:1" x14ac:dyDescent="0.15">
      <c r="A230" s="661">
        <f t="shared" si="3"/>
        <v>44786</v>
      </c>
    </row>
    <row r="231" spans="1:1" x14ac:dyDescent="0.15">
      <c r="A231" s="661">
        <f t="shared" si="3"/>
        <v>44787</v>
      </c>
    </row>
    <row r="232" spans="1:1" x14ac:dyDescent="0.15">
      <c r="A232" s="661">
        <f t="shared" si="3"/>
        <v>44788</v>
      </c>
    </row>
    <row r="233" spans="1:1" x14ac:dyDescent="0.15">
      <c r="A233" s="661">
        <f t="shared" si="3"/>
        <v>44789</v>
      </c>
    </row>
    <row r="234" spans="1:1" x14ac:dyDescent="0.15">
      <c r="A234" s="661">
        <f t="shared" si="3"/>
        <v>44790</v>
      </c>
    </row>
    <row r="235" spans="1:1" x14ac:dyDescent="0.15">
      <c r="A235" s="661">
        <f t="shared" si="3"/>
        <v>44791</v>
      </c>
    </row>
    <row r="236" spans="1:1" x14ac:dyDescent="0.15">
      <c r="A236" s="661">
        <f t="shared" si="3"/>
        <v>44792</v>
      </c>
    </row>
    <row r="237" spans="1:1" x14ac:dyDescent="0.15">
      <c r="A237" s="661">
        <f t="shared" si="3"/>
        <v>44793</v>
      </c>
    </row>
    <row r="238" spans="1:1" x14ac:dyDescent="0.15">
      <c r="A238" s="661">
        <f t="shared" si="3"/>
        <v>44794</v>
      </c>
    </row>
    <row r="239" spans="1:1" x14ac:dyDescent="0.15">
      <c r="A239" s="661">
        <f t="shared" si="3"/>
        <v>44795</v>
      </c>
    </row>
    <row r="240" spans="1:1" x14ac:dyDescent="0.15">
      <c r="A240" s="661">
        <f t="shared" si="3"/>
        <v>44796</v>
      </c>
    </row>
    <row r="241" spans="1:1" x14ac:dyDescent="0.15">
      <c r="A241" s="661">
        <f t="shared" si="3"/>
        <v>44797</v>
      </c>
    </row>
    <row r="242" spans="1:1" x14ac:dyDescent="0.15">
      <c r="A242" s="661">
        <f t="shared" si="3"/>
        <v>44798</v>
      </c>
    </row>
    <row r="243" spans="1:1" x14ac:dyDescent="0.15">
      <c r="A243" s="661">
        <f t="shared" si="3"/>
        <v>44799</v>
      </c>
    </row>
    <row r="244" spans="1:1" x14ac:dyDescent="0.15">
      <c r="A244" s="661">
        <f t="shared" si="3"/>
        <v>44800</v>
      </c>
    </row>
    <row r="245" spans="1:1" x14ac:dyDescent="0.15">
      <c r="A245" s="661">
        <f t="shared" si="3"/>
        <v>44801</v>
      </c>
    </row>
    <row r="246" spans="1:1" x14ac:dyDescent="0.15">
      <c r="A246" s="661">
        <f t="shared" si="3"/>
        <v>44802</v>
      </c>
    </row>
    <row r="247" spans="1:1" x14ac:dyDescent="0.15">
      <c r="A247" s="661">
        <f t="shared" si="3"/>
        <v>44803</v>
      </c>
    </row>
    <row r="248" spans="1:1" x14ac:dyDescent="0.15">
      <c r="A248" s="661">
        <f t="shared" si="3"/>
        <v>44804</v>
      </c>
    </row>
    <row r="249" spans="1:1" x14ac:dyDescent="0.15">
      <c r="A249" s="661">
        <f t="shared" si="3"/>
        <v>44805</v>
      </c>
    </row>
    <row r="250" spans="1:1" x14ac:dyDescent="0.15">
      <c r="A250" s="661">
        <f t="shared" si="3"/>
        <v>44806</v>
      </c>
    </row>
    <row r="251" spans="1:1" x14ac:dyDescent="0.15">
      <c r="A251" s="661">
        <f t="shared" si="3"/>
        <v>44807</v>
      </c>
    </row>
    <row r="252" spans="1:1" x14ac:dyDescent="0.15">
      <c r="A252" s="661">
        <f t="shared" si="3"/>
        <v>44808</v>
      </c>
    </row>
    <row r="253" spans="1:1" x14ac:dyDescent="0.15">
      <c r="A253" s="661">
        <f t="shared" si="3"/>
        <v>44809</v>
      </c>
    </row>
    <row r="254" spans="1:1" x14ac:dyDescent="0.15">
      <c r="A254" s="661">
        <f t="shared" si="3"/>
        <v>44810</v>
      </c>
    </row>
    <row r="255" spans="1:1" x14ac:dyDescent="0.15">
      <c r="A255" s="661">
        <f t="shared" si="3"/>
        <v>44811</v>
      </c>
    </row>
    <row r="256" spans="1:1" x14ac:dyDescent="0.15">
      <c r="A256" s="661">
        <f t="shared" si="3"/>
        <v>44812</v>
      </c>
    </row>
    <row r="257" spans="1:1" x14ac:dyDescent="0.15">
      <c r="A257" s="661">
        <f t="shared" si="3"/>
        <v>44813</v>
      </c>
    </row>
    <row r="258" spans="1:1" x14ac:dyDescent="0.15">
      <c r="A258" s="661">
        <f t="shared" si="3"/>
        <v>44814</v>
      </c>
    </row>
    <row r="259" spans="1:1" x14ac:dyDescent="0.15">
      <c r="A259" s="661">
        <f t="shared" si="3"/>
        <v>44815</v>
      </c>
    </row>
    <row r="260" spans="1:1" x14ac:dyDescent="0.15">
      <c r="A260" s="661">
        <f t="shared" si="3"/>
        <v>44816</v>
      </c>
    </row>
    <row r="261" spans="1:1" x14ac:dyDescent="0.15">
      <c r="A261" s="661">
        <f t="shared" si="3"/>
        <v>44817</v>
      </c>
    </row>
    <row r="262" spans="1:1" x14ac:dyDescent="0.15">
      <c r="A262" s="661">
        <f t="shared" si="3"/>
        <v>44818</v>
      </c>
    </row>
    <row r="263" spans="1:1" x14ac:dyDescent="0.15">
      <c r="A263" s="661">
        <f t="shared" si="3"/>
        <v>44819</v>
      </c>
    </row>
    <row r="264" spans="1:1" x14ac:dyDescent="0.15">
      <c r="A264" s="661">
        <f t="shared" ref="A264:A327" si="4">+A263+1</f>
        <v>44820</v>
      </c>
    </row>
    <row r="265" spans="1:1" x14ac:dyDescent="0.15">
      <c r="A265" s="661">
        <f t="shared" si="4"/>
        <v>44821</v>
      </c>
    </row>
    <row r="266" spans="1:1" x14ac:dyDescent="0.15">
      <c r="A266" s="661">
        <f t="shared" si="4"/>
        <v>44822</v>
      </c>
    </row>
    <row r="267" spans="1:1" x14ac:dyDescent="0.15">
      <c r="A267" s="661">
        <f t="shared" si="4"/>
        <v>44823</v>
      </c>
    </row>
    <row r="268" spans="1:1" x14ac:dyDescent="0.15">
      <c r="A268" s="661">
        <f t="shared" si="4"/>
        <v>44824</v>
      </c>
    </row>
    <row r="269" spans="1:1" x14ac:dyDescent="0.15">
      <c r="A269" s="661">
        <f t="shared" si="4"/>
        <v>44825</v>
      </c>
    </row>
    <row r="270" spans="1:1" x14ac:dyDescent="0.15">
      <c r="A270" s="661">
        <f t="shared" si="4"/>
        <v>44826</v>
      </c>
    </row>
    <row r="271" spans="1:1" x14ac:dyDescent="0.15">
      <c r="A271" s="661">
        <f t="shared" si="4"/>
        <v>44827</v>
      </c>
    </row>
    <row r="272" spans="1:1" x14ac:dyDescent="0.15">
      <c r="A272" s="661">
        <f t="shared" si="4"/>
        <v>44828</v>
      </c>
    </row>
    <row r="273" spans="1:1" x14ac:dyDescent="0.15">
      <c r="A273" s="661">
        <f t="shared" si="4"/>
        <v>44829</v>
      </c>
    </row>
    <row r="274" spans="1:1" x14ac:dyDescent="0.15">
      <c r="A274" s="661">
        <f t="shared" si="4"/>
        <v>44830</v>
      </c>
    </row>
    <row r="275" spans="1:1" x14ac:dyDescent="0.15">
      <c r="A275" s="661">
        <f t="shared" si="4"/>
        <v>44831</v>
      </c>
    </row>
    <row r="276" spans="1:1" x14ac:dyDescent="0.15">
      <c r="A276" s="661">
        <f t="shared" si="4"/>
        <v>44832</v>
      </c>
    </row>
    <row r="277" spans="1:1" x14ac:dyDescent="0.15">
      <c r="A277" s="661">
        <f t="shared" si="4"/>
        <v>44833</v>
      </c>
    </row>
    <row r="278" spans="1:1" x14ac:dyDescent="0.15">
      <c r="A278" s="661">
        <f t="shared" si="4"/>
        <v>44834</v>
      </c>
    </row>
    <row r="279" spans="1:1" x14ac:dyDescent="0.15">
      <c r="A279" s="661">
        <f t="shared" si="4"/>
        <v>44835</v>
      </c>
    </row>
    <row r="280" spans="1:1" x14ac:dyDescent="0.15">
      <c r="A280" s="661">
        <f t="shared" si="4"/>
        <v>44836</v>
      </c>
    </row>
    <row r="281" spans="1:1" x14ac:dyDescent="0.15">
      <c r="A281" s="661">
        <f t="shared" si="4"/>
        <v>44837</v>
      </c>
    </row>
    <row r="282" spans="1:1" x14ac:dyDescent="0.15">
      <c r="A282" s="661">
        <f t="shared" si="4"/>
        <v>44838</v>
      </c>
    </row>
    <row r="283" spans="1:1" x14ac:dyDescent="0.15">
      <c r="A283" s="661">
        <f t="shared" si="4"/>
        <v>44839</v>
      </c>
    </row>
    <row r="284" spans="1:1" x14ac:dyDescent="0.15">
      <c r="A284" s="661">
        <f t="shared" si="4"/>
        <v>44840</v>
      </c>
    </row>
    <row r="285" spans="1:1" x14ac:dyDescent="0.15">
      <c r="A285" s="661">
        <f t="shared" si="4"/>
        <v>44841</v>
      </c>
    </row>
    <row r="286" spans="1:1" x14ac:dyDescent="0.15">
      <c r="A286" s="661">
        <f t="shared" si="4"/>
        <v>44842</v>
      </c>
    </row>
    <row r="287" spans="1:1" x14ac:dyDescent="0.15">
      <c r="A287" s="661">
        <f t="shared" si="4"/>
        <v>44843</v>
      </c>
    </row>
    <row r="288" spans="1:1" x14ac:dyDescent="0.15">
      <c r="A288" s="661">
        <f t="shared" si="4"/>
        <v>44844</v>
      </c>
    </row>
    <row r="289" spans="1:2" x14ac:dyDescent="0.15">
      <c r="A289" s="661">
        <f t="shared" si="4"/>
        <v>44845</v>
      </c>
    </row>
    <row r="290" spans="1:2" x14ac:dyDescent="0.15">
      <c r="A290" s="661">
        <f t="shared" si="4"/>
        <v>44846</v>
      </c>
      <c r="B290" s="858"/>
    </row>
    <row r="291" spans="1:2" x14ac:dyDescent="0.15">
      <c r="A291" s="661">
        <f t="shared" si="4"/>
        <v>44847</v>
      </c>
    </row>
    <row r="292" spans="1:2" x14ac:dyDescent="0.15">
      <c r="A292" s="661">
        <f t="shared" si="4"/>
        <v>44848</v>
      </c>
    </row>
    <row r="293" spans="1:2" x14ac:dyDescent="0.15">
      <c r="A293" s="661">
        <f t="shared" si="4"/>
        <v>44849</v>
      </c>
    </row>
    <row r="294" spans="1:2" x14ac:dyDescent="0.15">
      <c r="A294" s="661">
        <f t="shared" si="4"/>
        <v>44850</v>
      </c>
    </row>
    <row r="295" spans="1:2" x14ac:dyDescent="0.15">
      <c r="A295" s="661">
        <f t="shared" si="4"/>
        <v>44851</v>
      </c>
    </row>
    <row r="296" spans="1:2" x14ac:dyDescent="0.15">
      <c r="A296" s="661">
        <f t="shared" si="4"/>
        <v>44852</v>
      </c>
    </row>
    <row r="297" spans="1:2" x14ac:dyDescent="0.15">
      <c r="A297" s="661">
        <f t="shared" si="4"/>
        <v>44853</v>
      </c>
    </row>
    <row r="298" spans="1:2" x14ac:dyDescent="0.15">
      <c r="A298" s="661">
        <f t="shared" si="4"/>
        <v>44854</v>
      </c>
    </row>
    <row r="299" spans="1:2" x14ac:dyDescent="0.15">
      <c r="A299" s="661">
        <f t="shared" si="4"/>
        <v>44855</v>
      </c>
    </row>
    <row r="300" spans="1:2" x14ac:dyDescent="0.15">
      <c r="A300" s="661">
        <f t="shared" si="4"/>
        <v>44856</v>
      </c>
    </row>
    <row r="301" spans="1:2" x14ac:dyDescent="0.15">
      <c r="A301" s="661">
        <f t="shared" si="4"/>
        <v>44857</v>
      </c>
    </row>
    <row r="302" spans="1:2" x14ac:dyDescent="0.15">
      <c r="A302" s="661">
        <f t="shared" si="4"/>
        <v>44858</v>
      </c>
    </row>
    <row r="303" spans="1:2" x14ac:dyDescent="0.15">
      <c r="A303" s="661">
        <f t="shared" si="4"/>
        <v>44859</v>
      </c>
    </row>
    <row r="304" spans="1:2" x14ac:dyDescent="0.15">
      <c r="A304" s="661">
        <f t="shared" si="4"/>
        <v>44860</v>
      </c>
    </row>
    <row r="305" spans="1:1" x14ac:dyDescent="0.15">
      <c r="A305" s="661">
        <f t="shared" si="4"/>
        <v>44861</v>
      </c>
    </row>
    <row r="306" spans="1:1" x14ac:dyDescent="0.15">
      <c r="A306" s="661">
        <f t="shared" si="4"/>
        <v>44862</v>
      </c>
    </row>
    <row r="307" spans="1:1" x14ac:dyDescent="0.15">
      <c r="A307" s="661">
        <f t="shared" si="4"/>
        <v>44863</v>
      </c>
    </row>
    <row r="308" spans="1:1" x14ac:dyDescent="0.15">
      <c r="A308" s="661">
        <f t="shared" si="4"/>
        <v>44864</v>
      </c>
    </row>
    <row r="309" spans="1:1" x14ac:dyDescent="0.15">
      <c r="A309" s="661">
        <f t="shared" si="4"/>
        <v>44865</v>
      </c>
    </row>
    <row r="310" spans="1:1" x14ac:dyDescent="0.15">
      <c r="A310" s="661">
        <f t="shared" si="4"/>
        <v>44866</v>
      </c>
    </row>
    <row r="311" spans="1:1" x14ac:dyDescent="0.15">
      <c r="A311" s="661">
        <f t="shared" si="4"/>
        <v>44867</v>
      </c>
    </row>
    <row r="312" spans="1:1" x14ac:dyDescent="0.15">
      <c r="A312" s="661">
        <f t="shared" si="4"/>
        <v>44868</v>
      </c>
    </row>
    <row r="313" spans="1:1" x14ac:dyDescent="0.15">
      <c r="A313" s="661">
        <f t="shared" si="4"/>
        <v>44869</v>
      </c>
    </row>
    <row r="314" spans="1:1" x14ac:dyDescent="0.15">
      <c r="A314" s="661">
        <f t="shared" si="4"/>
        <v>44870</v>
      </c>
    </row>
    <row r="315" spans="1:1" x14ac:dyDescent="0.15">
      <c r="A315" s="661">
        <f t="shared" si="4"/>
        <v>44871</v>
      </c>
    </row>
    <row r="316" spans="1:1" x14ac:dyDescent="0.15">
      <c r="A316" s="661">
        <f t="shared" si="4"/>
        <v>44872</v>
      </c>
    </row>
    <row r="317" spans="1:1" x14ac:dyDescent="0.15">
      <c r="A317" s="661">
        <f t="shared" si="4"/>
        <v>44873</v>
      </c>
    </row>
    <row r="318" spans="1:1" x14ac:dyDescent="0.15">
      <c r="A318" s="661">
        <f t="shared" si="4"/>
        <v>44874</v>
      </c>
    </row>
    <row r="319" spans="1:1" x14ac:dyDescent="0.15">
      <c r="A319" s="661">
        <f t="shared" si="4"/>
        <v>44875</v>
      </c>
    </row>
    <row r="320" spans="1:1" x14ac:dyDescent="0.15">
      <c r="A320" s="661">
        <f t="shared" si="4"/>
        <v>44876</v>
      </c>
    </row>
    <row r="321" spans="1:1" x14ac:dyDescent="0.15">
      <c r="A321" s="661">
        <f t="shared" si="4"/>
        <v>44877</v>
      </c>
    </row>
    <row r="322" spans="1:1" x14ac:dyDescent="0.15">
      <c r="A322" s="661">
        <f t="shared" si="4"/>
        <v>44878</v>
      </c>
    </row>
    <row r="323" spans="1:1" x14ac:dyDescent="0.15">
      <c r="A323" s="661">
        <f t="shared" si="4"/>
        <v>44879</v>
      </c>
    </row>
    <row r="324" spans="1:1" x14ac:dyDescent="0.15">
      <c r="A324" s="661">
        <f t="shared" si="4"/>
        <v>44880</v>
      </c>
    </row>
    <row r="325" spans="1:1" x14ac:dyDescent="0.15">
      <c r="A325" s="661">
        <f t="shared" si="4"/>
        <v>44881</v>
      </c>
    </row>
    <row r="326" spans="1:1" x14ac:dyDescent="0.15">
      <c r="A326" s="661">
        <f t="shared" si="4"/>
        <v>44882</v>
      </c>
    </row>
    <row r="327" spans="1:1" x14ac:dyDescent="0.15">
      <c r="A327" s="661">
        <f t="shared" si="4"/>
        <v>44883</v>
      </c>
    </row>
    <row r="328" spans="1:1" x14ac:dyDescent="0.15">
      <c r="A328" s="661">
        <f t="shared" ref="A328:A370" si="5">+A327+1</f>
        <v>44884</v>
      </c>
    </row>
    <row r="329" spans="1:1" x14ac:dyDescent="0.15">
      <c r="A329" s="661">
        <f t="shared" si="5"/>
        <v>44885</v>
      </c>
    </row>
    <row r="330" spans="1:1" x14ac:dyDescent="0.15">
      <c r="A330" s="661">
        <f t="shared" si="5"/>
        <v>44886</v>
      </c>
    </row>
    <row r="331" spans="1:1" x14ac:dyDescent="0.15">
      <c r="A331" s="661">
        <f t="shared" si="5"/>
        <v>44887</v>
      </c>
    </row>
    <row r="332" spans="1:1" x14ac:dyDescent="0.15">
      <c r="A332" s="661">
        <f t="shared" si="5"/>
        <v>44888</v>
      </c>
    </row>
    <row r="333" spans="1:1" x14ac:dyDescent="0.15">
      <c r="A333" s="661">
        <f t="shared" si="5"/>
        <v>44889</v>
      </c>
    </row>
    <row r="334" spans="1:1" x14ac:dyDescent="0.15">
      <c r="A334" s="661">
        <f t="shared" si="5"/>
        <v>44890</v>
      </c>
    </row>
    <row r="335" spans="1:1" x14ac:dyDescent="0.15">
      <c r="A335" s="661">
        <f t="shared" si="5"/>
        <v>44891</v>
      </c>
    </row>
    <row r="336" spans="1:1" x14ac:dyDescent="0.15">
      <c r="A336" s="661">
        <f t="shared" si="5"/>
        <v>44892</v>
      </c>
    </row>
    <row r="337" spans="1:2" ht="15" x14ac:dyDescent="0.25">
      <c r="A337" s="661">
        <f t="shared" si="5"/>
        <v>44893</v>
      </c>
      <c r="B337" s="1220"/>
    </row>
    <row r="338" spans="1:2" x14ac:dyDescent="0.15">
      <c r="A338" s="661">
        <f t="shared" si="5"/>
        <v>44894</v>
      </c>
    </row>
    <row r="339" spans="1:2" x14ac:dyDescent="0.15">
      <c r="A339" s="661">
        <f t="shared" si="5"/>
        <v>44895</v>
      </c>
    </row>
    <row r="340" spans="1:2" x14ac:dyDescent="0.15">
      <c r="A340" s="661">
        <f t="shared" si="5"/>
        <v>44896</v>
      </c>
    </row>
    <row r="341" spans="1:2" x14ac:dyDescent="0.15">
      <c r="A341" s="661">
        <f t="shared" si="5"/>
        <v>44897</v>
      </c>
    </row>
    <row r="342" spans="1:2" x14ac:dyDescent="0.15">
      <c r="A342" s="661">
        <f t="shared" si="5"/>
        <v>44898</v>
      </c>
    </row>
    <row r="343" spans="1:2" x14ac:dyDescent="0.15">
      <c r="A343" s="661">
        <f t="shared" si="5"/>
        <v>44899</v>
      </c>
    </row>
    <row r="344" spans="1:2" x14ac:dyDescent="0.15">
      <c r="A344" s="661">
        <f t="shared" si="5"/>
        <v>44900</v>
      </c>
    </row>
    <row r="345" spans="1:2" x14ac:dyDescent="0.15">
      <c r="A345" s="661">
        <f t="shared" si="5"/>
        <v>44901</v>
      </c>
    </row>
    <row r="346" spans="1:2" x14ac:dyDescent="0.15">
      <c r="A346" s="661">
        <f t="shared" si="5"/>
        <v>44902</v>
      </c>
    </row>
    <row r="347" spans="1:2" x14ac:dyDescent="0.15">
      <c r="A347" s="661">
        <f t="shared" si="5"/>
        <v>44903</v>
      </c>
    </row>
    <row r="348" spans="1:2" x14ac:dyDescent="0.15">
      <c r="A348" s="661">
        <f t="shared" si="5"/>
        <v>44904</v>
      </c>
    </row>
    <row r="349" spans="1:2" x14ac:dyDescent="0.15">
      <c r="A349" s="661">
        <f t="shared" si="5"/>
        <v>44905</v>
      </c>
    </row>
    <row r="350" spans="1:2" x14ac:dyDescent="0.15">
      <c r="A350" s="661">
        <f t="shared" si="5"/>
        <v>44906</v>
      </c>
    </row>
    <row r="351" spans="1:2" x14ac:dyDescent="0.15">
      <c r="A351" s="661">
        <f t="shared" si="5"/>
        <v>44907</v>
      </c>
    </row>
    <row r="352" spans="1:2" x14ac:dyDescent="0.15">
      <c r="A352" s="661">
        <f t="shared" si="5"/>
        <v>44908</v>
      </c>
    </row>
    <row r="353" spans="1:1" x14ac:dyDescent="0.15">
      <c r="A353" s="661">
        <f t="shared" si="5"/>
        <v>44909</v>
      </c>
    </row>
    <row r="354" spans="1:1" x14ac:dyDescent="0.15">
      <c r="A354" s="661">
        <f t="shared" si="5"/>
        <v>44910</v>
      </c>
    </row>
    <row r="355" spans="1:1" x14ac:dyDescent="0.15">
      <c r="A355" s="661">
        <f t="shared" si="5"/>
        <v>44911</v>
      </c>
    </row>
    <row r="356" spans="1:1" x14ac:dyDescent="0.15">
      <c r="A356" s="661">
        <f t="shared" si="5"/>
        <v>44912</v>
      </c>
    </row>
    <row r="357" spans="1:1" x14ac:dyDescent="0.15">
      <c r="A357" s="661">
        <f t="shared" si="5"/>
        <v>44913</v>
      </c>
    </row>
    <row r="358" spans="1:1" x14ac:dyDescent="0.15">
      <c r="A358" s="661">
        <f t="shared" si="5"/>
        <v>44914</v>
      </c>
    </row>
    <row r="359" spans="1:1" x14ac:dyDescent="0.15">
      <c r="A359" s="661">
        <f t="shared" si="5"/>
        <v>44915</v>
      </c>
    </row>
    <row r="360" spans="1:1" x14ac:dyDescent="0.15">
      <c r="A360" s="661">
        <f t="shared" si="5"/>
        <v>44916</v>
      </c>
    </row>
    <row r="361" spans="1:1" x14ac:dyDescent="0.15">
      <c r="A361" s="661">
        <f t="shared" si="5"/>
        <v>44917</v>
      </c>
    </row>
    <row r="362" spans="1:1" x14ac:dyDescent="0.15">
      <c r="A362" s="661">
        <f t="shared" si="5"/>
        <v>44918</v>
      </c>
    </row>
    <row r="363" spans="1:1" x14ac:dyDescent="0.15">
      <c r="A363" s="661">
        <f t="shared" si="5"/>
        <v>44919</v>
      </c>
    </row>
    <row r="364" spans="1:1" x14ac:dyDescent="0.15">
      <c r="A364" s="661">
        <f t="shared" si="5"/>
        <v>44920</v>
      </c>
    </row>
    <row r="365" spans="1:1" x14ac:dyDescent="0.15">
      <c r="A365" s="661">
        <f t="shared" si="5"/>
        <v>44921</v>
      </c>
    </row>
    <row r="366" spans="1:1" x14ac:dyDescent="0.15">
      <c r="A366" s="661">
        <f t="shared" si="5"/>
        <v>44922</v>
      </c>
    </row>
    <row r="367" spans="1:1" x14ac:dyDescent="0.15">
      <c r="A367" s="661">
        <f t="shared" si="5"/>
        <v>44923</v>
      </c>
    </row>
    <row r="368" spans="1:1" x14ac:dyDescent="0.15">
      <c r="A368" s="661">
        <f t="shared" si="5"/>
        <v>44924</v>
      </c>
    </row>
    <row r="369" spans="1:2" x14ac:dyDescent="0.15">
      <c r="A369" s="661">
        <f t="shared" si="5"/>
        <v>44925</v>
      </c>
    </row>
    <row r="370" spans="1:2" x14ac:dyDescent="0.15">
      <c r="A370" s="661">
        <f t="shared" si="5"/>
        <v>44926</v>
      </c>
    </row>
    <row r="372" spans="1:2" s="892" customFormat="1" x14ac:dyDescent="0.15">
      <c r="A372" s="892" t="s">
        <v>402</v>
      </c>
      <c r="B372" s="1039">
        <f>SUBTOTAL(9,B6:B371)</f>
        <v>274982.85662080697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3"/>
  <sheetViews>
    <sheetView topLeftCell="A200" workbookViewId="0">
      <selection activeCell="B208" sqref="B208"/>
    </sheetView>
  </sheetViews>
  <sheetFormatPr defaultRowHeight="11.25" x14ac:dyDescent="0.15"/>
  <cols>
    <col min="1" max="1" width="13.75" bestFit="1" customWidth="1"/>
    <col min="2" max="2" width="8.75" style="1039"/>
    <col min="3" max="3" width="16.75" style="858" bestFit="1" customWidth="1"/>
    <col min="4" max="4" width="25.875" style="858" bestFit="1" customWidth="1"/>
    <col min="5" max="5" width="10.5" style="858" bestFit="1" customWidth="1"/>
    <col min="6" max="6" width="10.125" bestFit="1" customWidth="1"/>
    <col min="7" max="7" width="14.875" bestFit="1" customWidth="1"/>
    <col min="8" max="8" width="10.125" bestFit="1" customWidth="1"/>
  </cols>
  <sheetData>
    <row r="1" spans="1:5" x14ac:dyDescent="0.15">
      <c r="A1" s="892" t="s">
        <v>684</v>
      </c>
    </row>
    <row r="4" spans="1:5" x14ac:dyDescent="0.15">
      <c r="A4" s="892" t="s">
        <v>67</v>
      </c>
      <c r="B4" s="1099" t="s">
        <v>414</v>
      </c>
      <c r="C4" s="1026" t="s">
        <v>687</v>
      </c>
      <c r="D4" s="1026" t="s">
        <v>688</v>
      </c>
    </row>
    <row r="6" spans="1:5" x14ac:dyDescent="0.15">
      <c r="A6" s="661">
        <v>44562</v>
      </c>
      <c r="C6" s="858">
        <f>+SUMIF('YTD Purchases'!C:C,'NCCPL Working'!A6, 'YTD Purchases'!F:F)+SUMIF('YTD Sales'!B:B,'NCCPL Working'!A6,'YTD Sales'!F:F)</f>
        <v>0</v>
      </c>
      <c r="D6" s="858">
        <f>ROUND(C6/100000*6,0)</f>
        <v>0</v>
      </c>
      <c r="E6" s="858">
        <f>+D6-B6</f>
        <v>0</v>
      </c>
    </row>
    <row r="7" spans="1:5" x14ac:dyDescent="0.15">
      <c r="A7" s="661">
        <f>+A6+1</f>
        <v>44563</v>
      </c>
      <c r="C7" s="858">
        <f>+SUMIF('YTD Purchases'!C:C,'NCCPL Working'!A7, 'YTD Purchases'!F:F)+SUMIF('YTD Sales'!B:B,'NCCPL Working'!A7,'YTD Sales'!F:F)</f>
        <v>0</v>
      </c>
      <c r="D7" s="858">
        <f>ROUND(C7/100000*6,0)</f>
        <v>0</v>
      </c>
      <c r="E7" s="858">
        <f t="shared" ref="E7:E70" si="0">+D7-B7</f>
        <v>0</v>
      </c>
    </row>
    <row r="8" spans="1:5" x14ac:dyDescent="0.15">
      <c r="A8" s="661">
        <f t="shared" ref="A8:A71" si="1">+A7+1</f>
        <v>44564</v>
      </c>
      <c r="B8" s="1039">
        <v>346</v>
      </c>
      <c r="C8" s="858">
        <f>+SUMIF('YTD Purchases'!C:C,'NCCPL Working'!A8, 'YTD Purchases'!F:F)+SUMIF('YTD Sales'!B:B,'NCCPL Working'!A8,'YTD Sales'!F:F)</f>
        <v>5772151.5800000001</v>
      </c>
      <c r="D8" s="858">
        <f t="shared" ref="D8:D11" si="2">ROUND(C8/100000*6,0)</f>
        <v>346</v>
      </c>
      <c r="E8" s="858">
        <f t="shared" si="0"/>
        <v>0</v>
      </c>
    </row>
    <row r="9" spans="1:5" x14ac:dyDescent="0.15">
      <c r="A9" s="661">
        <f t="shared" si="1"/>
        <v>44565</v>
      </c>
      <c r="B9" s="1039">
        <v>7532</v>
      </c>
      <c r="C9" s="858">
        <f>+SUMIF('YTD Purchases'!C:C,'NCCPL Working'!A9, 'YTD Purchases'!F:F)+SUMIF('YTD Sales'!B:B,'NCCPL Working'!A9,'YTD Sales'!F:F)</f>
        <v>125526342.22902456</v>
      </c>
      <c r="D9" s="858">
        <f t="shared" si="2"/>
        <v>7532</v>
      </c>
      <c r="E9" s="858">
        <f t="shared" si="0"/>
        <v>0</v>
      </c>
    </row>
    <row r="10" spans="1:5" x14ac:dyDescent="0.15">
      <c r="A10" s="661">
        <f t="shared" si="1"/>
        <v>44566</v>
      </c>
      <c r="B10" s="1039">
        <v>1079</v>
      </c>
      <c r="C10" s="858">
        <f>+SUMIF('YTD Purchases'!C:C,'NCCPL Working'!A10, 'YTD Purchases'!F:F)+SUMIF('YTD Sales'!B:B,'NCCPL Working'!A10,'YTD Sales'!F:F)</f>
        <v>17988697.95832007</v>
      </c>
      <c r="D10" s="858">
        <f t="shared" si="2"/>
        <v>1079</v>
      </c>
      <c r="E10" s="858">
        <f t="shared" si="0"/>
        <v>0</v>
      </c>
    </row>
    <row r="11" spans="1:5" x14ac:dyDescent="0.15">
      <c r="A11" s="661">
        <f t="shared" si="1"/>
        <v>44567</v>
      </c>
      <c r="B11" s="1039">
        <v>546</v>
      </c>
      <c r="C11" s="858">
        <f>+SUMIF('YTD Purchases'!C:C,'NCCPL Working'!A11, 'YTD Purchases'!F:F)+SUMIF('YTD Sales'!B:B,'NCCPL Working'!A11,'YTD Sales'!F:F)</f>
        <v>9100530</v>
      </c>
      <c r="D11" s="858">
        <f t="shared" si="2"/>
        <v>546</v>
      </c>
      <c r="E11" s="858">
        <f t="shared" si="0"/>
        <v>0</v>
      </c>
    </row>
    <row r="12" spans="1:5" x14ac:dyDescent="0.15">
      <c r="A12" s="661">
        <f t="shared" si="1"/>
        <v>44568</v>
      </c>
      <c r="B12" s="1039">
        <v>804</v>
      </c>
      <c r="C12" s="858">
        <f>+SUMIF('YTD Purchases'!C:C,'NCCPL Working'!A12, 'YTD Purchases'!F:F)+SUMIF('YTD Sales'!B:B,'NCCPL Working'!A12,'YTD Sales'!F:F)</f>
        <v>13400602.6</v>
      </c>
      <c r="D12" s="858">
        <f t="shared" ref="D12:D13" si="3">ROUND(C12/100000*6,0)</f>
        <v>804</v>
      </c>
      <c r="E12" s="858">
        <f t="shared" si="0"/>
        <v>0</v>
      </c>
    </row>
    <row r="13" spans="1:5" x14ac:dyDescent="0.15">
      <c r="A13" s="661">
        <f t="shared" si="1"/>
        <v>44569</v>
      </c>
      <c r="C13" s="858">
        <f>+SUMIF('YTD Purchases'!C:C,'NCCPL Working'!A13, 'YTD Purchases'!F:F)+SUMIF('YTD Sales'!B:B,'NCCPL Working'!A13,'YTD Sales'!F:F)</f>
        <v>0</v>
      </c>
      <c r="D13" s="858">
        <f t="shared" si="3"/>
        <v>0</v>
      </c>
      <c r="E13" s="858">
        <f t="shared" si="0"/>
        <v>0</v>
      </c>
    </row>
    <row r="14" spans="1:5" x14ac:dyDescent="0.15">
      <c r="A14" s="661">
        <f t="shared" si="1"/>
        <v>44570</v>
      </c>
      <c r="C14" s="858">
        <f>+SUMIF('YTD Purchases'!C:C,'NCCPL Working'!A14, 'YTD Purchases'!F:F)+SUMIF('YTD Sales'!B:B,'NCCPL Working'!A14,'YTD Sales'!F:F)</f>
        <v>0</v>
      </c>
      <c r="D14" s="858">
        <f t="shared" ref="D14:D77" si="4">ROUND(C14/100000*6,0)</f>
        <v>0</v>
      </c>
      <c r="E14" s="858">
        <f t="shared" si="0"/>
        <v>0</v>
      </c>
    </row>
    <row r="15" spans="1:5" x14ac:dyDescent="0.15">
      <c r="A15" s="661">
        <f t="shared" si="1"/>
        <v>44571</v>
      </c>
      <c r="B15" s="1039">
        <v>2263</v>
      </c>
      <c r="C15" s="858">
        <f>+SUMIF('YTD Purchases'!C:C,'NCCPL Working'!A15, 'YTD Purchases'!F:F)+SUMIF('YTD Sales'!B:B,'NCCPL Working'!A15,'YTD Sales'!F:F)</f>
        <v>37723911</v>
      </c>
      <c r="D15" s="858">
        <f t="shared" si="4"/>
        <v>2263</v>
      </c>
      <c r="E15" s="858">
        <f t="shared" si="0"/>
        <v>0</v>
      </c>
    </row>
    <row r="16" spans="1:5" x14ac:dyDescent="0.15">
      <c r="A16" s="661">
        <f t="shared" si="1"/>
        <v>44572</v>
      </c>
      <c r="B16" s="1039">
        <v>1634</v>
      </c>
      <c r="C16" s="858">
        <f>+SUMIF('YTD Purchases'!C:C,'NCCPL Working'!A16, 'YTD Purchases'!F:F)+SUMIF('YTD Sales'!B:B,'NCCPL Working'!A16,'YTD Sales'!F:F)</f>
        <v>27226232.579999998</v>
      </c>
      <c r="D16" s="858">
        <f t="shared" si="4"/>
        <v>1634</v>
      </c>
      <c r="E16" s="858">
        <f t="shared" si="0"/>
        <v>0</v>
      </c>
    </row>
    <row r="17" spans="1:6" x14ac:dyDescent="0.15">
      <c r="A17" s="661">
        <f t="shared" si="1"/>
        <v>44573</v>
      </c>
      <c r="B17" s="1039">
        <v>306</v>
      </c>
      <c r="C17" s="858">
        <f>+SUMIF('YTD Purchases'!C:C,'NCCPL Working'!A17, 'YTD Purchases'!F:F)+SUMIF('YTD Sales'!B:B,'NCCPL Working'!A17,'YTD Sales'!F:F)</f>
        <v>5105233</v>
      </c>
      <c r="D17" s="858">
        <f t="shared" si="4"/>
        <v>306</v>
      </c>
      <c r="E17" s="858">
        <f t="shared" si="0"/>
        <v>0</v>
      </c>
    </row>
    <row r="18" spans="1:6" x14ac:dyDescent="0.15">
      <c r="A18" s="661">
        <f t="shared" si="1"/>
        <v>44574</v>
      </c>
      <c r="B18" s="1039">
        <v>603</v>
      </c>
      <c r="C18" s="858">
        <f>+SUMIF('YTD Purchases'!C:C,'NCCPL Working'!A18, 'YTD Purchases'!F:F)+SUMIF('YTD Sales'!B:B,'NCCPL Working'!A18,'YTD Sales'!F:F)</f>
        <v>10054517.450000001</v>
      </c>
      <c r="D18" s="858">
        <f t="shared" si="4"/>
        <v>603</v>
      </c>
      <c r="E18" s="858">
        <f t="shared" si="0"/>
        <v>0</v>
      </c>
    </row>
    <row r="19" spans="1:6" x14ac:dyDescent="0.15">
      <c r="A19" s="661">
        <f t="shared" si="1"/>
        <v>44575</v>
      </c>
      <c r="B19" s="1039">
        <v>20</v>
      </c>
      <c r="C19" s="858">
        <f>+SUMIF('YTD Purchases'!C:C,'NCCPL Working'!A19, 'YTD Purchases'!F:F)+SUMIF('YTD Sales'!B:B,'NCCPL Working'!A19,'YTD Sales'!F:F)</f>
        <v>326175</v>
      </c>
      <c r="D19" s="858">
        <f t="shared" si="4"/>
        <v>20</v>
      </c>
      <c r="E19" s="858">
        <f t="shared" si="0"/>
        <v>0</v>
      </c>
    </row>
    <row r="20" spans="1:6" x14ac:dyDescent="0.15">
      <c r="A20" s="661">
        <f t="shared" si="1"/>
        <v>44576</v>
      </c>
      <c r="C20" s="858">
        <f>+SUMIF('YTD Purchases'!C:C,'NCCPL Working'!A20, 'YTD Purchases'!F:F)+SUMIF('YTD Sales'!B:B,'NCCPL Working'!A20,'YTD Sales'!F:F)</f>
        <v>0</v>
      </c>
      <c r="D20" s="858">
        <f t="shared" si="4"/>
        <v>0</v>
      </c>
      <c r="E20" s="858">
        <f t="shared" si="0"/>
        <v>0</v>
      </c>
    </row>
    <row r="21" spans="1:6" x14ac:dyDescent="0.15">
      <c r="A21" s="661">
        <f t="shared" si="1"/>
        <v>44577</v>
      </c>
      <c r="C21" s="858">
        <f>+SUMIF('YTD Purchases'!C:C,'NCCPL Working'!A21, 'YTD Purchases'!F:F)+SUMIF('YTD Sales'!B:B,'NCCPL Working'!A21,'YTD Sales'!F:F)</f>
        <v>0</v>
      </c>
      <c r="D21" s="858">
        <f t="shared" si="4"/>
        <v>0</v>
      </c>
      <c r="E21" s="858">
        <f t="shared" si="0"/>
        <v>0</v>
      </c>
    </row>
    <row r="22" spans="1:6" x14ac:dyDescent="0.15">
      <c r="A22" s="661">
        <f t="shared" si="1"/>
        <v>44578</v>
      </c>
      <c r="B22" s="1039">
        <v>686</v>
      </c>
      <c r="C22" s="858">
        <f>+SUMIF('YTD Purchases'!C:C,'NCCPL Working'!A22, 'YTD Purchases'!F:F)+SUMIF('YTD Sales'!B:B,'NCCPL Working'!A22,'YTD Sales'!F:F)</f>
        <v>11435269.15</v>
      </c>
      <c r="D22" s="858">
        <f t="shared" si="4"/>
        <v>686</v>
      </c>
      <c r="E22" s="858">
        <f t="shared" si="0"/>
        <v>0</v>
      </c>
    </row>
    <row r="23" spans="1:6" x14ac:dyDescent="0.15">
      <c r="A23" s="661">
        <f t="shared" si="1"/>
        <v>44579</v>
      </c>
      <c r="C23" s="858">
        <f>+SUMIF('YTD Purchases'!C:C,'NCCPL Working'!A23, 'YTD Purchases'!F:F)+SUMIF('YTD Sales'!B:B,'NCCPL Working'!A23,'YTD Sales'!F:F)</f>
        <v>0</v>
      </c>
      <c r="D23" s="858">
        <f t="shared" si="4"/>
        <v>0</v>
      </c>
      <c r="E23" s="858">
        <f t="shared" si="0"/>
        <v>0</v>
      </c>
    </row>
    <row r="24" spans="1:6" x14ac:dyDescent="0.15">
      <c r="A24" s="661">
        <f t="shared" si="1"/>
        <v>44580</v>
      </c>
      <c r="C24" s="858">
        <f>+SUMIF('YTD Purchases'!C:C,'NCCPL Working'!A24, 'YTD Purchases'!F:F)+SUMIF('YTD Sales'!B:B,'NCCPL Working'!A24,'YTD Sales'!F:F)</f>
        <v>0</v>
      </c>
      <c r="D24" s="858">
        <f t="shared" si="4"/>
        <v>0</v>
      </c>
      <c r="E24" s="858">
        <f t="shared" si="0"/>
        <v>0</v>
      </c>
    </row>
    <row r="25" spans="1:6" x14ac:dyDescent="0.15">
      <c r="A25" s="661">
        <f t="shared" si="1"/>
        <v>44581</v>
      </c>
      <c r="C25" s="858">
        <f>+SUMIF('YTD Purchases'!C:C,'NCCPL Working'!A25, 'YTD Purchases'!F:F)+SUMIF('YTD Sales'!B:B,'NCCPL Working'!A25,'YTD Sales'!F:F)</f>
        <v>0</v>
      </c>
      <c r="D25" s="858">
        <f t="shared" si="4"/>
        <v>0</v>
      </c>
      <c r="E25" s="858">
        <f t="shared" si="0"/>
        <v>0</v>
      </c>
    </row>
    <row r="26" spans="1:6" x14ac:dyDescent="0.15">
      <c r="A26" s="661">
        <f t="shared" si="1"/>
        <v>44582</v>
      </c>
      <c r="C26" s="858">
        <f>+SUMIF('YTD Purchases'!C:C,'NCCPL Working'!A26, 'YTD Purchases'!F:F)+SUMIF('YTD Sales'!B:B,'NCCPL Working'!A26,'YTD Sales'!F:F)</f>
        <v>0</v>
      </c>
      <c r="D26" s="858">
        <f t="shared" si="4"/>
        <v>0</v>
      </c>
      <c r="E26" s="858">
        <f t="shared" si="0"/>
        <v>0</v>
      </c>
    </row>
    <row r="27" spans="1:6" x14ac:dyDescent="0.15">
      <c r="A27" s="661">
        <f t="shared" si="1"/>
        <v>44583</v>
      </c>
      <c r="C27" s="858">
        <f>+SUMIF('YTD Purchases'!C:C,'NCCPL Working'!A27, 'YTD Purchases'!F:F)+SUMIF('YTD Sales'!B:B,'NCCPL Working'!A27,'YTD Sales'!F:F)</f>
        <v>0</v>
      </c>
      <c r="D27" s="858">
        <f t="shared" si="4"/>
        <v>0</v>
      </c>
      <c r="E27" s="858">
        <f t="shared" si="0"/>
        <v>0</v>
      </c>
    </row>
    <row r="28" spans="1:6" x14ac:dyDescent="0.15">
      <c r="A28" s="661">
        <f t="shared" si="1"/>
        <v>44584</v>
      </c>
      <c r="C28" s="858">
        <f>+SUMIF('YTD Purchases'!C:C,'NCCPL Working'!A28, 'YTD Purchases'!F:F)+SUMIF('YTD Sales'!B:B,'NCCPL Working'!A28,'YTD Sales'!F:F)</f>
        <v>0</v>
      </c>
      <c r="D28" s="858">
        <f t="shared" si="4"/>
        <v>0</v>
      </c>
      <c r="E28" s="858">
        <f t="shared" si="0"/>
        <v>0</v>
      </c>
    </row>
    <row r="29" spans="1:6" x14ac:dyDescent="0.15">
      <c r="A29" s="661">
        <f t="shared" si="1"/>
        <v>44585</v>
      </c>
      <c r="C29" s="858">
        <f>+SUMIF('YTD Purchases'!C:C,'NCCPL Working'!A29, 'YTD Purchases'!F:F)+SUMIF('YTD Sales'!B:B,'NCCPL Working'!A29,'YTD Sales'!F:F)</f>
        <v>0</v>
      </c>
      <c r="D29" s="858">
        <f t="shared" si="4"/>
        <v>0</v>
      </c>
      <c r="E29" s="858">
        <f t="shared" si="0"/>
        <v>0</v>
      </c>
    </row>
    <row r="30" spans="1:6" x14ac:dyDescent="0.15">
      <c r="A30" s="661">
        <f t="shared" si="1"/>
        <v>44586</v>
      </c>
      <c r="C30" s="858">
        <f>+SUMIF('YTD Purchases'!C:C,'NCCPL Working'!A30, 'YTD Purchases'!F:F)+SUMIF('YTD Sales'!B:B,'NCCPL Working'!A30,'YTD Sales'!F:F)</f>
        <v>0</v>
      </c>
      <c r="D30" s="858">
        <f t="shared" si="4"/>
        <v>0</v>
      </c>
      <c r="E30" s="858">
        <f t="shared" si="0"/>
        <v>0</v>
      </c>
    </row>
    <row r="31" spans="1:6" x14ac:dyDescent="0.15">
      <c r="A31" s="661">
        <f t="shared" si="1"/>
        <v>44587</v>
      </c>
      <c r="C31" s="858">
        <f>+SUMIF('YTD Purchases'!C:C,'NCCPL Working'!A31, 'YTD Purchases'!F:F)+SUMIF('YTD Sales'!B:B,'NCCPL Working'!A31,'YTD Sales'!F:F)</f>
        <v>0</v>
      </c>
      <c r="D31" s="858">
        <f t="shared" si="4"/>
        <v>0</v>
      </c>
      <c r="E31" s="858">
        <f t="shared" si="0"/>
        <v>0</v>
      </c>
    </row>
    <row r="32" spans="1:6" x14ac:dyDescent="0.15">
      <c r="A32" s="661">
        <f t="shared" si="1"/>
        <v>44588</v>
      </c>
      <c r="B32" s="1039">
        <v>1200</v>
      </c>
      <c r="C32" s="858">
        <f>+SUMIF('YTD Purchases'!C:C,'NCCPL Working'!A32, 'YTD Purchases'!F:F)+SUMIF('YTD Sales'!B:B,'NCCPL Working'!A32,'YTD Sales'!F:F)</f>
        <v>19993304.473333333</v>
      </c>
      <c r="D32" s="858">
        <f t="shared" si="4"/>
        <v>1200</v>
      </c>
      <c r="E32" s="858">
        <f t="shared" si="0"/>
        <v>0</v>
      </c>
      <c r="F32" s="1007"/>
    </row>
    <row r="33" spans="1:5" x14ac:dyDescent="0.15">
      <c r="A33" s="661">
        <f t="shared" si="1"/>
        <v>44589</v>
      </c>
      <c r="C33" s="858">
        <f>+SUMIF('YTD Purchases'!C:C,'NCCPL Working'!A33, 'YTD Purchases'!F:F)+SUMIF('YTD Sales'!B:B,'NCCPL Working'!A33,'YTD Sales'!F:F)</f>
        <v>0</v>
      </c>
      <c r="D33" s="858">
        <f t="shared" si="4"/>
        <v>0</v>
      </c>
      <c r="E33" s="858">
        <f t="shared" si="0"/>
        <v>0</v>
      </c>
    </row>
    <row r="34" spans="1:5" x14ac:dyDescent="0.15">
      <c r="A34" s="661">
        <f t="shared" si="1"/>
        <v>44590</v>
      </c>
      <c r="C34" s="858">
        <f>+SUMIF('YTD Purchases'!C:C,'NCCPL Working'!A34, 'YTD Purchases'!F:F)+SUMIF('YTD Sales'!B:B,'NCCPL Working'!A34,'YTD Sales'!F:F)</f>
        <v>0</v>
      </c>
      <c r="D34" s="858">
        <f t="shared" si="4"/>
        <v>0</v>
      </c>
      <c r="E34" s="858">
        <f t="shared" si="0"/>
        <v>0</v>
      </c>
    </row>
    <row r="35" spans="1:5" x14ac:dyDescent="0.15">
      <c r="A35" s="661">
        <f t="shared" si="1"/>
        <v>44591</v>
      </c>
      <c r="C35" s="858">
        <f>+SUMIF('YTD Purchases'!C:C,'NCCPL Working'!A35, 'YTD Purchases'!F:F)+SUMIF('YTD Sales'!B:B,'NCCPL Working'!A35,'YTD Sales'!F:F)</f>
        <v>0</v>
      </c>
      <c r="D35" s="858">
        <f t="shared" si="4"/>
        <v>0</v>
      </c>
      <c r="E35" s="858">
        <f t="shared" si="0"/>
        <v>0</v>
      </c>
    </row>
    <row r="36" spans="1:5" x14ac:dyDescent="0.15">
      <c r="A36" s="661">
        <f t="shared" si="1"/>
        <v>44592</v>
      </c>
      <c r="C36" s="858">
        <f>+SUMIF('YTD Purchases'!C:C,'NCCPL Working'!A36, 'YTD Purchases'!F:F)+SUMIF('YTD Sales'!B:B,'NCCPL Working'!A36,'YTD Sales'!F:F)</f>
        <v>0</v>
      </c>
      <c r="D36" s="858">
        <f t="shared" si="4"/>
        <v>0</v>
      </c>
      <c r="E36" s="858">
        <f t="shared" si="0"/>
        <v>0</v>
      </c>
    </row>
    <row r="37" spans="1:5" x14ac:dyDescent="0.15">
      <c r="A37" s="661">
        <f t="shared" si="1"/>
        <v>44593</v>
      </c>
      <c r="C37" s="858">
        <f>+SUMIF('YTD Purchases'!C:C,'NCCPL Working'!A37, 'YTD Purchases'!F:F)+SUMIF('YTD Sales'!B:B,'NCCPL Working'!A37,'YTD Sales'!F:F)</f>
        <v>0</v>
      </c>
      <c r="D37" s="858">
        <f t="shared" si="4"/>
        <v>0</v>
      </c>
      <c r="E37" s="858">
        <f t="shared" si="0"/>
        <v>0</v>
      </c>
    </row>
    <row r="38" spans="1:5" x14ac:dyDescent="0.15">
      <c r="A38" s="661">
        <f t="shared" si="1"/>
        <v>44594</v>
      </c>
      <c r="C38" s="858">
        <f>+SUMIF('YTD Purchases'!C:C,'NCCPL Working'!A38, 'YTD Purchases'!F:F)+SUMIF('YTD Sales'!B:B,'NCCPL Working'!A38,'YTD Sales'!F:F)</f>
        <v>0</v>
      </c>
      <c r="D38" s="858">
        <f t="shared" si="4"/>
        <v>0</v>
      </c>
      <c r="E38" s="858">
        <f t="shared" si="0"/>
        <v>0</v>
      </c>
    </row>
    <row r="39" spans="1:5" x14ac:dyDescent="0.15">
      <c r="A39" s="661">
        <f t="shared" si="1"/>
        <v>44595</v>
      </c>
      <c r="C39" s="858">
        <f>+SUMIF('YTD Purchases'!C:C,'NCCPL Working'!A39, 'YTD Purchases'!F:F)+SUMIF('YTD Sales'!B:B,'NCCPL Working'!A39,'YTD Sales'!F:F)</f>
        <v>0</v>
      </c>
      <c r="D39" s="858">
        <f t="shared" si="4"/>
        <v>0</v>
      </c>
      <c r="E39" s="858">
        <f t="shared" si="0"/>
        <v>0</v>
      </c>
    </row>
    <row r="40" spans="1:5" x14ac:dyDescent="0.15">
      <c r="A40" s="661">
        <f t="shared" si="1"/>
        <v>44596</v>
      </c>
      <c r="B40" s="1039">
        <v>2607</v>
      </c>
      <c r="C40" s="858">
        <f>+SUMIF('YTD Purchases'!C:C,'NCCPL Working'!A40, 'YTD Purchases'!F:F)+SUMIF('YTD Sales'!B:B,'NCCPL Working'!A40,'YTD Sales'!F:F)</f>
        <v>43453590.798822008</v>
      </c>
      <c r="D40" s="858">
        <f t="shared" si="4"/>
        <v>2607</v>
      </c>
      <c r="E40" s="858">
        <f t="shared" si="0"/>
        <v>0</v>
      </c>
    </row>
    <row r="41" spans="1:5" x14ac:dyDescent="0.15">
      <c r="A41" s="661">
        <f t="shared" si="1"/>
        <v>44597</v>
      </c>
      <c r="C41" s="858">
        <f>+SUMIF('YTD Purchases'!C:C,'NCCPL Working'!A41, 'YTD Purchases'!F:F)+SUMIF('YTD Sales'!B:B,'NCCPL Working'!A41,'YTD Sales'!F:F)</f>
        <v>0</v>
      </c>
      <c r="D41" s="858">
        <f t="shared" si="4"/>
        <v>0</v>
      </c>
      <c r="E41" s="858">
        <f t="shared" si="0"/>
        <v>0</v>
      </c>
    </row>
    <row r="42" spans="1:5" x14ac:dyDescent="0.15">
      <c r="A42" s="661">
        <f t="shared" si="1"/>
        <v>44598</v>
      </c>
      <c r="C42" s="858">
        <f>+SUMIF('YTD Purchases'!C:C,'NCCPL Working'!A42, 'YTD Purchases'!F:F)+SUMIF('YTD Sales'!B:B,'NCCPL Working'!A42,'YTD Sales'!F:F)</f>
        <v>0</v>
      </c>
      <c r="D42" s="858">
        <f t="shared" si="4"/>
        <v>0</v>
      </c>
      <c r="E42" s="858">
        <f t="shared" si="0"/>
        <v>0</v>
      </c>
    </row>
    <row r="43" spans="1:5" x14ac:dyDescent="0.15">
      <c r="A43" s="661">
        <f t="shared" si="1"/>
        <v>44599</v>
      </c>
      <c r="B43" s="1039">
        <v>470</v>
      </c>
      <c r="C43" s="858">
        <f>+SUMIF('YTD Purchases'!C:C,'NCCPL Working'!A43, 'YTD Purchases'!F:F)+SUMIF('YTD Sales'!B:B,'NCCPL Working'!A43,'YTD Sales'!F:F)</f>
        <v>7834540.8986666668</v>
      </c>
      <c r="D43" s="858">
        <f t="shared" si="4"/>
        <v>470</v>
      </c>
      <c r="E43" s="858">
        <f t="shared" si="0"/>
        <v>0</v>
      </c>
    </row>
    <row r="44" spans="1:5" x14ac:dyDescent="0.15">
      <c r="A44" s="661">
        <f t="shared" si="1"/>
        <v>44600</v>
      </c>
      <c r="B44" s="1039">
        <v>925</v>
      </c>
      <c r="C44" s="858">
        <f>+SUMIF('YTD Purchases'!C:C,'NCCPL Working'!A44, 'YTD Purchases'!F:F)+SUMIF('YTD Sales'!B:B,'NCCPL Working'!A44,'YTD Sales'!F:F)</f>
        <v>15417131.090000002</v>
      </c>
      <c r="D44" s="858">
        <f t="shared" si="4"/>
        <v>925</v>
      </c>
      <c r="E44" s="858">
        <f t="shared" si="0"/>
        <v>0</v>
      </c>
    </row>
    <row r="45" spans="1:5" x14ac:dyDescent="0.15">
      <c r="A45" s="661">
        <f t="shared" si="1"/>
        <v>44601</v>
      </c>
      <c r="B45" s="1039">
        <v>1424</v>
      </c>
      <c r="C45" s="858">
        <f>+SUMIF('YTD Purchases'!C:C,'NCCPL Working'!A45, 'YTD Purchases'!F:F)+SUMIF('YTD Sales'!B:B,'NCCPL Working'!A45,'YTD Sales'!F:F)</f>
        <v>23730883.350000001</v>
      </c>
      <c r="D45" s="858">
        <f t="shared" si="4"/>
        <v>1424</v>
      </c>
      <c r="E45" s="858">
        <f t="shared" si="0"/>
        <v>0</v>
      </c>
    </row>
    <row r="46" spans="1:5" x14ac:dyDescent="0.15">
      <c r="A46" s="661">
        <f t="shared" si="1"/>
        <v>44602</v>
      </c>
      <c r="B46" s="1039">
        <v>3763</v>
      </c>
      <c r="C46" s="858">
        <f>+SUMIF('YTD Purchases'!C:C,'NCCPL Working'!A46, 'YTD Purchases'!F:F)+SUMIF('YTD Sales'!B:B,'NCCPL Working'!A46,'YTD Sales'!F:F)</f>
        <v>62710704</v>
      </c>
      <c r="D46" s="858">
        <f t="shared" si="4"/>
        <v>3763</v>
      </c>
      <c r="E46" s="858">
        <f t="shared" si="0"/>
        <v>0</v>
      </c>
    </row>
    <row r="47" spans="1:5" x14ac:dyDescent="0.15">
      <c r="A47" s="661">
        <f t="shared" si="1"/>
        <v>44603</v>
      </c>
      <c r="B47" s="1039">
        <v>166</v>
      </c>
      <c r="C47" s="858">
        <f>+SUMIF('YTD Purchases'!C:C,'NCCPL Working'!A47, 'YTD Purchases'!F:F)+SUMIF('YTD Sales'!B:B,'NCCPL Working'!A47,'YTD Sales'!F:F)</f>
        <v>2771051</v>
      </c>
      <c r="D47" s="858">
        <f t="shared" si="4"/>
        <v>166</v>
      </c>
      <c r="E47" s="858">
        <f t="shared" si="0"/>
        <v>0</v>
      </c>
    </row>
    <row r="48" spans="1:5" x14ac:dyDescent="0.15">
      <c r="A48" s="661">
        <f t="shared" si="1"/>
        <v>44604</v>
      </c>
      <c r="C48" s="858">
        <f>+SUMIF('YTD Purchases'!C:C,'NCCPL Working'!A48, 'YTD Purchases'!F:F)+SUMIF('YTD Sales'!B:B,'NCCPL Working'!A48,'YTD Sales'!F:F)</f>
        <v>0</v>
      </c>
      <c r="D48" s="858">
        <f t="shared" si="4"/>
        <v>0</v>
      </c>
      <c r="E48" s="858">
        <f t="shared" si="0"/>
        <v>0</v>
      </c>
    </row>
    <row r="49" spans="1:8" x14ac:dyDescent="0.15">
      <c r="A49" s="661">
        <f t="shared" si="1"/>
        <v>44605</v>
      </c>
      <c r="C49" s="858">
        <f>+SUMIF('YTD Purchases'!C:C,'NCCPL Working'!A49, 'YTD Purchases'!F:F)+SUMIF('YTD Sales'!B:B,'NCCPL Working'!A49,'YTD Sales'!F:F)</f>
        <v>0</v>
      </c>
      <c r="D49" s="858">
        <f t="shared" si="4"/>
        <v>0</v>
      </c>
      <c r="E49" s="858">
        <f t="shared" si="0"/>
        <v>0</v>
      </c>
    </row>
    <row r="50" spans="1:8" x14ac:dyDescent="0.15">
      <c r="A50" s="661">
        <f t="shared" si="1"/>
        <v>44606</v>
      </c>
      <c r="B50" s="1039">
        <v>108</v>
      </c>
      <c r="C50" s="858">
        <f>+SUMIF('YTD Purchases'!C:C,'NCCPL Working'!A50, 'YTD Purchases'!F:F)+SUMIF('YTD Sales'!B:B,'NCCPL Working'!A50,'YTD Sales'!F:F)</f>
        <v>1799947</v>
      </c>
      <c r="D50" s="858">
        <f t="shared" si="4"/>
        <v>108</v>
      </c>
      <c r="E50" s="858">
        <f t="shared" si="0"/>
        <v>0</v>
      </c>
    </row>
    <row r="51" spans="1:8" x14ac:dyDescent="0.15">
      <c r="A51" s="661">
        <f t="shared" si="1"/>
        <v>44607</v>
      </c>
      <c r="C51" s="858">
        <f>+SUMIF('YTD Purchases'!C:C,'NCCPL Working'!A51, 'YTD Purchases'!F:F)+SUMIF('YTD Sales'!B:B,'NCCPL Working'!A51,'YTD Sales'!F:F)</f>
        <v>0</v>
      </c>
      <c r="D51" s="858">
        <f t="shared" si="4"/>
        <v>0</v>
      </c>
      <c r="E51" s="858">
        <f t="shared" si="0"/>
        <v>0</v>
      </c>
    </row>
    <row r="52" spans="1:8" x14ac:dyDescent="0.15">
      <c r="A52" s="661">
        <f t="shared" si="1"/>
        <v>44608</v>
      </c>
      <c r="C52" s="858">
        <f>+SUMIF('YTD Purchases'!C:C,'NCCPL Working'!A52, 'YTD Purchases'!F:F)+SUMIF('YTD Sales'!B:B,'NCCPL Working'!A52,'YTD Sales'!F:F)</f>
        <v>0</v>
      </c>
      <c r="D52" s="858">
        <f t="shared" si="4"/>
        <v>0</v>
      </c>
      <c r="E52" s="858">
        <f t="shared" si="0"/>
        <v>0</v>
      </c>
    </row>
    <row r="53" spans="1:8" x14ac:dyDescent="0.15">
      <c r="A53" s="661">
        <f t="shared" si="1"/>
        <v>44609</v>
      </c>
      <c r="B53" s="1039">
        <v>2338</v>
      </c>
      <c r="C53" s="858">
        <f>+SUMIF('YTD Purchases'!C:C,'NCCPL Working'!A53, 'YTD Purchases'!F:F)+SUMIF('YTD Sales'!B:B,'NCCPL Working'!A53,'YTD Sales'!F:F)</f>
        <v>38964993</v>
      </c>
      <c r="D53" s="858">
        <f t="shared" si="4"/>
        <v>2338</v>
      </c>
      <c r="E53" s="858">
        <f t="shared" si="0"/>
        <v>0</v>
      </c>
      <c r="G53" s="1007"/>
      <c r="H53" s="858"/>
    </row>
    <row r="54" spans="1:8" x14ac:dyDescent="0.15">
      <c r="A54" s="661">
        <f t="shared" si="1"/>
        <v>44610</v>
      </c>
      <c r="B54" s="1039">
        <v>305</v>
      </c>
      <c r="C54" s="858">
        <f>+SUMIF('YTD Purchases'!C:C,'NCCPL Working'!A54, 'YTD Purchases'!F:F)+SUMIF('YTD Sales'!B:B,'NCCPL Working'!A54,'YTD Sales'!F:F)</f>
        <v>5090698</v>
      </c>
      <c r="D54" s="858">
        <f t="shared" si="4"/>
        <v>305</v>
      </c>
      <c r="E54" s="858">
        <f t="shared" si="0"/>
        <v>0</v>
      </c>
    </row>
    <row r="55" spans="1:8" x14ac:dyDescent="0.15">
      <c r="A55" s="661">
        <f t="shared" si="1"/>
        <v>44611</v>
      </c>
      <c r="C55" s="858">
        <f>+SUMIF('YTD Purchases'!C:C,'NCCPL Working'!A55, 'YTD Purchases'!F:F)+SUMIF('YTD Sales'!B:B,'NCCPL Working'!A55,'YTD Sales'!F:F)</f>
        <v>0</v>
      </c>
      <c r="D55" s="858">
        <f t="shared" si="4"/>
        <v>0</v>
      </c>
      <c r="E55" s="858">
        <f t="shared" si="0"/>
        <v>0</v>
      </c>
    </row>
    <row r="56" spans="1:8" x14ac:dyDescent="0.15">
      <c r="A56" s="661">
        <f t="shared" si="1"/>
        <v>44612</v>
      </c>
      <c r="C56" s="858">
        <f>+SUMIF('YTD Purchases'!C:C,'NCCPL Working'!A56, 'YTD Purchases'!F:F)+SUMIF('YTD Sales'!B:B,'NCCPL Working'!A56,'YTD Sales'!F:F)</f>
        <v>0</v>
      </c>
      <c r="D56" s="858">
        <f t="shared" si="4"/>
        <v>0</v>
      </c>
      <c r="E56" s="858">
        <f t="shared" si="0"/>
        <v>0</v>
      </c>
    </row>
    <row r="57" spans="1:8" x14ac:dyDescent="0.15">
      <c r="A57" s="661">
        <f t="shared" si="1"/>
        <v>44613</v>
      </c>
      <c r="B57" s="1039">
        <v>85</v>
      </c>
      <c r="C57" s="858">
        <f>+SUMIF('YTD Purchases'!C:C,'NCCPL Working'!A57, 'YTD Purchases'!F:F)+SUMIF('YTD Sales'!B:B,'NCCPL Working'!A57,'YTD Sales'!F:F)</f>
        <v>1410510</v>
      </c>
      <c r="D57" s="858">
        <f t="shared" si="4"/>
        <v>85</v>
      </c>
      <c r="E57" s="858">
        <f t="shared" si="0"/>
        <v>0</v>
      </c>
    </row>
    <row r="58" spans="1:8" x14ac:dyDescent="0.15">
      <c r="A58" s="661">
        <f t="shared" si="1"/>
        <v>44614</v>
      </c>
      <c r="B58" s="1039">
        <v>1149</v>
      </c>
      <c r="C58" s="858">
        <f>+SUMIF('YTD Purchases'!C:C,'NCCPL Working'!A58, 'YTD Purchases'!F:F)+SUMIF('YTD Sales'!B:B,'NCCPL Working'!A58,'YTD Sales'!F:F)</f>
        <v>19144368.539999999</v>
      </c>
      <c r="D58" s="858">
        <f t="shared" si="4"/>
        <v>1149</v>
      </c>
      <c r="E58" s="858">
        <f t="shared" si="0"/>
        <v>0</v>
      </c>
    </row>
    <row r="59" spans="1:8" x14ac:dyDescent="0.15">
      <c r="A59" s="661">
        <f t="shared" si="1"/>
        <v>44615</v>
      </c>
      <c r="C59" s="858">
        <f>+SUMIF('YTD Purchases'!C:C,'NCCPL Working'!A59, 'YTD Purchases'!F:F)+SUMIF('YTD Sales'!B:B,'NCCPL Working'!A59,'YTD Sales'!F:F)</f>
        <v>0</v>
      </c>
      <c r="D59" s="858">
        <f t="shared" si="4"/>
        <v>0</v>
      </c>
      <c r="E59" s="858">
        <f t="shared" si="0"/>
        <v>0</v>
      </c>
    </row>
    <row r="60" spans="1:8" x14ac:dyDescent="0.15">
      <c r="A60" s="661">
        <f t="shared" si="1"/>
        <v>44616</v>
      </c>
      <c r="B60" s="1039">
        <v>1957</v>
      </c>
      <c r="C60" s="858">
        <f>+SUMIF('YTD Purchases'!C:C,'NCCPL Working'!A60, 'YTD Purchases'!F:F)+SUMIF('YTD Sales'!B:B,'NCCPL Working'!A60,'YTD Sales'!F:F)</f>
        <v>32624966.715</v>
      </c>
      <c r="D60" s="858">
        <f t="shared" si="4"/>
        <v>1957</v>
      </c>
      <c r="E60" s="858">
        <f t="shared" si="0"/>
        <v>0</v>
      </c>
    </row>
    <row r="61" spans="1:8" x14ac:dyDescent="0.15">
      <c r="A61" s="661">
        <f t="shared" si="1"/>
        <v>44617</v>
      </c>
      <c r="C61" s="858">
        <f>+SUMIF('YTD Purchases'!C:C,'NCCPL Working'!A61, 'YTD Purchases'!F:F)+SUMIF('YTD Sales'!B:B,'NCCPL Working'!A61,'YTD Sales'!F:F)</f>
        <v>0</v>
      </c>
      <c r="D61" s="858">
        <f t="shared" si="4"/>
        <v>0</v>
      </c>
      <c r="E61" s="858">
        <f t="shared" si="0"/>
        <v>0</v>
      </c>
    </row>
    <row r="62" spans="1:8" x14ac:dyDescent="0.15">
      <c r="A62" s="661">
        <f t="shared" si="1"/>
        <v>44618</v>
      </c>
      <c r="C62" s="858">
        <f>+SUMIF('YTD Purchases'!C:C,'NCCPL Working'!A62, 'YTD Purchases'!F:F)+SUMIF('YTD Sales'!B:B,'NCCPL Working'!A62,'YTD Sales'!F:F)</f>
        <v>0</v>
      </c>
      <c r="D62" s="858">
        <f t="shared" si="4"/>
        <v>0</v>
      </c>
      <c r="E62" s="858">
        <f t="shared" si="0"/>
        <v>0</v>
      </c>
    </row>
    <row r="63" spans="1:8" x14ac:dyDescent="0.15">
      <c r="A63" s="661">
        <f t="shared" si="1"/>
        <v>44619</v>
      </c>
      <c r="C63" s="858">
        <f>+SUMIF('YTD Purchases'!C:C,'NCCPL Working'!A63, 'YTD Purchases'!F:F)+SUMIF('YTD Sales'!B:B,'NCCPL Working'!A63,'YTD Sales'!F:F)</f>
        <v>0</v>
      </c>
      <c r="D63" s="858">
        <f t="shared" si="4"/>
        <v>0</v>
      </c>
      <c r="E63" s="858">
        <f t="shared" si="0"/>
        <v>0</v>
      </c>
    </row>
    <row r="64" spans="1:8" x14ac:dyDescent="0.15">
      <c r="A64" s="661">
        <f t="shared" si="1"/>
        <v>44620</v>
      </c>
      <c r="B64" s="1039">
        <v>79</v>
      </c>
      <c r="C64" s="858">
        <f>+SUMIF('YTD Purchases'!C:C,'NCCPL Working'!A64, 'YTD Purchases'!F:F)+SUMIF('YTD Sales'!B:B,'NCCPL Working'!A64,'YTD Sales'!F:F)</f>
        <v>1314652</v>
      </c>
      <c r="D64" s="858">
        <f t="shared" si="4"/>
        <v>79</v>
      </c>
      <c r="E64" s="858">
        <f t="shared" si="0"/>
        <v>0</v>
      </c>
    </row>
    <row r="65" spans="1:5" x14ac:dyDescent="0.15">
      <c r="A65" s="661">
        <f t="shared" si="1"/>
        <v>44621</v>
      </c>
      <c r="B65" s="1039">
        <v>890</v>
      </c>
      <c r="C65" s="858">
        <f>+SUMIF('YTD Purchases'!C:C,'NCCPL Working'!A65, 'YTD Purchases'!F:F)+SUMIF('YTD Sales'!B:B,'NCCPL Working'!A65,'YTD Sales'!F:F)</f>
        <v>14832239.900000002</v>
      </c>
      <c r="D65" s="858">
        <f t="shared" si="4"/>
        <v>890</v>
      </c>
      <c r="E65" s="858">
        <f t="shared" si="0"/>
        <v>0</v>
      </c>
    </row>
    <row r="66" spans="1:5" x14ac:dyDescent="0.15">
      <c r="A66" s="661">
        <f t="shared" si="1"/>
        <v>44622</v>
      </c>
      <c r="B66" s="1039">
        <v>1075</v>
      </c>
      <c r="C66" s="858">
        <f>+SUMIF('YTD Purchases'!C:C,'NCCPL Working'!A66, 'YTD Purchases'!F:F)+SUMIF('YTD Sales'!B:B,'NCCPL Working'!A66,'YTD Sales'!F:F)</f>
        <v>17923228</v>
      </c>
      <c r="D66" s="858">
        <f t="shared" si="4"/>
        <v>1075</v>
      </c>
      <c r="E66" s="858">
        <f t="shared" si="0"/>
        <v>0</v>
      </c>
    </row>
    <row r="67" spans="1:5" x14ac:dyDescent="0.15">
      <c r="A67" s="661">
        <f t="shared" si="1"/>
        <v>44623</v>
      </c>
      <c r="C67" s="858">
        <f>+SUMIF('YTD Purchases'!C:C,'NCCPL Working'!A67, 'YTD Purchases'!F:F)+SUMIF('YTD Sales'!B:B,'NCCPL Working'!A67,'YTD Sales'!F:F)</f>
        <v>0</v>
      </c>
      <c r="D67" s="858">
        <f t="shared" si="4"/>
        <v>0</v>
      </c>
      <c r="E67" s="858">
        <f t="shared" si="0"/>
        <v>0</v>
      </c>
    </row>
    <row r="68" spans="1:5" x14ac:dyDescent="0.15">
      <c r="A68" s="661">
        <f t="shared" si="1"/>
        <v>44624</v>
      </c>
      <c r="B68" s="1039">
        <v>4</v>
      </c>
      <c r="C68" s="858">
        <f>+SUMIF('YTD Purchases'!C:C,'NCCPL Working'!A68, 'YTD Purchases'!F:F)+SUMIF('YTD Sales'!B:B,'NCCPL Working'!A68,'YTD Sales'!F:F)</f>
        <v>69869.8</v>
      </c>
      <c r="D68" s="858">
        <f t="shared" si="4"/>
        <v>4</v>
      </c>
      <c r="E68" s="858">
        <f t="shared" si="0"/>
        <v>0</v>
      </c>
    </row>
    <row r="69" spans="1:5" x14ac:dyDescent="0.15">
      <c r="A69" s="661">
        <f t="shared" si="1"/>
        <v>44625</v>
      </c>
      <c r="C69" s="858">
        <f>+SUMIF('YTD Purchases'!C:C,'NCCPL Working'!A69, 'YTD Purchases'!F:F)+SUMIF('YTD Sales'!B:B,'NCCPL Working'!A69,'YTD Sales'!F:F)</f>
        <v>0</v>
      </c>
      <c r="D69" s="858">
        <f t="shared" si="4"/>
        <v>0</v>
      </c>
      <c r="E69" s="858">
        <f t="shared" si="0"/>
        <v>0</v>
      </c>
    </row>
    <row r="70" spans="1:5" x14ac:dyDescent="0.15">
      <c r="A70" s="661">
        <f t="shared" si="1"/>
        <v>44626</v>
      </c>
      <c r="C70" s="858">
        <f>+SUMIF('YTD Purchases'!C:C,'NCCPL Working'!A70, 'YTD Purchases'!F:F)+SUMIF('YTD Sales'!B:B,'NCCPL Working'!A70,'YTD Sales'!F:F)</f>
        <v>0</v>
      </c>
      <c r="D70" s="858">
        <f t="shared" si="4"/>
        <v>0</v>
      </c>
      <c r="E70" s="858">
        <f t="shared" si="0"/>
        <v>0</v>
      </c>
    </row>
    <row r="71" spans="1:5" x14ac:dyDescent="0.15">
      <c r="A71" s="661">
        <f t="shared" si="1"/>
        <v>44627</v>
      </c>
      <c r="C71" s="858">
        <f>+SUMIF('YTD Purchases'!C:C,'NCCPL Working'!A71, 'YTD Purchases'!F:F)+SUMIF('YTD Sales'!B:B,'NCCPL Working'!A71,'YTD Sales'!F:F)</f>
        <v>0</v>
      </c>
      <c r="D71" s="858">
        <f t="shared" si="4"/>
        <v>0</v>
      </c>
      <c r="E71" s="858">
        <f t="shared" ref="E71:E134" si="5">+D71-B71</f>
        <v>0</v>
      </c>
    </row>
    <row r="72" spans="1:5" x14ac:dyDescent="0.15">
      <c r="A72" s="661">
        <f t="shared" ref="A72:A135" si="6">+A71+1</f>
        <v>44628</v>
      </c>
      <c r="C72" s="858">
        <f>+SUMIF('YTD Purchases'!C:C,'NCCPL Working'!A72, 'YTD Purchases'!F:F)+SUMIF('YTD Sales'!B:B,'NCCPL Working'!A72,'YTD Sales'!F:F)</f>
        <v>0</v>
      </c>
      <c r="D72" s="858">
        <f t="shared" si="4"/>
        <v>0</v>
      </c>
      <c r="E72" s="858">
        <f t="shared" si="5"/>
        <v>0</v>
      </c>
    </row>
    <row r="73" spans="1:5" x14ac:dyDescent="0.15">
      <c r="A73" s="661">
        <f t="shared" si="6"/>
        <v>44629</v>
      </c>
      <c r="C73" s="858">
        <f>+SUMIF('YTD Purchases'!C:C,'NCCPL Working'!A73, 'YTD Purchases'!F:F)+SUMIF('YTD Sales'!B:B,'NCCPL Working'!A73,'YTD Sales'!F:F)</f>
        <v>0</v>
      </c>
      <c r="D73" s="858">
        <f t="shared" si="4"/>
        <v>0</v>
      </c>
      <c r="E73" s="858">
        <f t="shared" si="5"/>
        <v>0</v>
      </c>
    </row>
    <row r="74" spans="1:5" x14ac:dyDescent="0.15">
      <c r="A74" s="661">
        <f t="shared" si="6"/>
        <v>44630</v>
      </c>
      <c r="B74" s="1039">
        <v>1127</v>
      </c>
      <c r="C74" s="858">
        <f>+SUMIF('YTD Purchases'!C:C,'NCCPL Working'!A74, 'YTD Purchases'!F:F)+SUMIF('YTD Sales'!B:B,'NCCPL Working'!A74,'YTD Sales'!F:F)</f>
        <v>18790353</v>
      </c>
      <c r="D74" s="858">
        <f t="shared" si="4"/>
        <v>1127</v>
      </c>
      <c r="E74" s="858">
        <f t="shared" si="5"/>
        <v>0</v>
      </c>
    </row>
    <row r="75" spans="1:5" x14ac:dyDescent="0.15">
      <c r="A75" s="661">
        <f t="shared" si="6"/>
        <v>44631</v>
      </c>
      <c r="B75" s="1039">
        <v>29</v>
      </c>
      <c r="C75" s="858">
        <f>+SUMIF('YTD Purchases'!C:C,'NCCPL Working'!A75, 'YTD Purchases'!F:F)+SUMIF('YTD Sales'!B:B,'NCCPL Working'!A75,'YTD Sales'!F:F)</f>
        <v>484036.01923076925</v>
      </c>
      <c r="D75" s="858">
        <f t="shared" si="4"/>
        <v>29</v>
      </c>
      <c r="E75" s="858">
        <f t="shared" si="5"/>
        <v>0</v>
      </c>
    </row>
    <row r="76" spans="1:5" x14ac:dyDescent="0.15">
      <c r="A76" s="661">
        <f t="shared" si="6"/>
        <v>44632</v>
      </c>
      <c r="C76" s="858">
        <f>+SUMIF('YTD Purchases'!C:C,'NCCPL Working'!A76, 'YTD Purchases'!F:F)+SUMIF('YTD Sales'!B:B,'NCCPL Working'!A76,'YTD Sales'!F:F)</f>
        <v>0</v>
      </c>
      <c r="D76" s="858">
        <f t="shared" si="4"/>
        <v>0</v>
      </c>
      <c r="E76" s="858">
        <f t="shared" si="5"/>
        <v>0</v>
      </c>
    </row>
    <row r="77" spans="1:5" x14ac:dyDescent="0.15">
      <c r="A77" s="661">
        <f t="shared" si="6"/>
        <v>44633</v>
      </c>
      <c r="C77" s="858">
        <f>+SUMIF('YTD Purchases'!C:C,'NCCPL Working'!A77, 'YTD Purchases'!F:F)+SUMIF('YTD Sales'!B:B,'NCCPL Working'!A77,'YTD Sales'!F:F)</f>
        <v>0</v>
      </c>
      <c r="D77" s="858">
        <f t="shared" si="4"/>
        <v>0</v>
      </c>
      <c r="E77" s="858">
        <f t="shared" si="5"/>
        <v>0</v>
      </c>
    </row>
    <row r="78" spans="1:5" x14ac:dyDescent="0.15">
      <c r="A78" s="661">
        <f t="shared" si="6"/>
        <v>44634</v>
      </c>
      <c r="C78" s="858">
        <f>+SUMIF('YTD Purchases'!C:C,'NCCPL Working'!A78, 'YTD Purchases'!F:F)+SUMIF('YTD Sales'!B:B,'NCCPL Working'!A78,'YTD Sales'!F:F)</f>
        <v>0</v>
      </c>
      <c r="D78" s="858">
        <f t="shared" ref="D78:D141" si="7">ROUND(C78/100000*6,0)</f>
        <v>0</v>
      </c>
      <c r="E78" s="858">
        <f t="shared" si="5"/>
        <v>0</v>
      </c>
    </row>
    <row r="79" spans="1:5" x14ac:dyDescent="0.15">
      <c r="A79" s="661">
        <f t="shared" si="6"/>
        <v>44635</v>
      </c>
      <c r="B79" s="1039">
        <v>98</v>
      </c>
      <c r="C79" s="858">
        <f>+SUMIF('YTD Purchases'!C:C,'NCCPL Working'!A79, 'YTD Purchases'!F:F)+SUMIF('YTD Sales'!B:B,'NCCPL Working'!A79,'YTD Sales'!F:F)</f>
        <v>1631088</v>
      </c>
      <c r="D79" s="858">
        <f t="shared" si="7"/>
        <v>98</v>
      </c>
      <c r="E79" s="858">
        <f t="shared" si="5"/>
        <v>0</v>
      </c>
    </row>
    <row r="80" spans="1:5" x14ac:dyDescent="0.15">
      <c r="A80" s="661">
        <f t="shared" si="6"/>
        <v>44636</v>
      </c>
      <c r="C80" s="858">
        <f>+SUMIF('YTD Purchases'!C:C,'NCCPL Working'!A80, 'YTD Purchases'!F:F)+SUMIF('YTD Sales'!B:B,'NCCPL Working'!A80,'YTD Sales'!F:F)</f>
        <v>0</v>
      </c>
      <c r="D80" s="858">
        <f t="shared" si="7"/>
        <v>0</v>
      </c>
      <c r="E80" s="858">
        <f t="shared" si="5"/>
        <v>0</v>
      </c>
    </row>
    <row r="81" spans="1:5" x14ac:dyDescent="0.15">
      <c r="A81" s="661">
        <f t="shared" si="6"/>
        <v>44637</v>
      </c>
      <c r="C81" s="858">
        <f>+SUMIF('YTD Purchases'!C:C,'NCCPL Working'!A81, 'YTD Purchases'!F:F)+SUMIF('YTD Sales'!B:B,'NCCPL Working'!A81,'YTD Sales'!F:F)</f>
        <v>0</v>
      </c>
      <c r="D81" s="858">
        <f t="shared" si="7"/>
        <v>0</v>
      </c>
      <c r="E81" s="858">
        <f t="shared" si="5"/>
        <v>0</v>
      </c>
    </row>
    <row r="82" spans="1:5" x14ac:dyDescent="0.15">
      <c r="A82" s="661">
        <f t="shared" si="6"/>
        <v>44638</v>
      </c>
      <c r="C82" s="858">
        <f>+SUMIF('YTD Purchases'!C:C,'NCCPL Working'!A82, 'YTD Purchases'!F:F)+SUMIF('YTD Sales'!B:B,'NCCPL Working'!A82,'YTD Sales'!F:F)</f>
        <v>0</v>
      </c>
      <c r="D82" s="858">
        <f t="shared" si="7"/>
        <v>0</v>
      </c>
      <c r="E82" s="858">
        <f t="shared" si="5"/>
        <v>0</v>
      </c>
    </row>
    <row r="83" spans="1:5" x14ac:dyDescent="0.15">
      <c r="A83" s="661">
        <f t="shared" si="6"/>
        <v>44639</v>
      </c>
      <c r="C83" s="858">
        <f>+SUMIF('YTD Purchases'!C:C,'NCCPL Working'!A83, 'YTD Purchases'!F:F)+SUMIF('YTD Sales'!B:B,'NCCPL Working'!A83,'YTD Sales'!F:F)</f>
        <v>0</v>
      </c>
      <c r="D83" s="858">
        <f t="shared" si="7"/>
        <v>0</v>
      </c>
      <c r="E83" s="858">
        <f t="shared" si="5"/>
        <v>0</v>
      </c>
    </row>
    <row r="84" spans="1:5" x14ac:dyDescent="0.15">
      <c r="A84" s="661">
        <f t="shared" si="6"/>
        <v>44640</v>
      </c>
      <c r="C84" s="858">
        <f>+SUMIF('YTD Purchases'!C:C,'NCCPL Working'!A84, 'YTD Purchases'!F:F)+SUMIF('YTD Sales'!B:B,'NCCPL Working'!A84,'YTD Sales'!F:F)</f>
        <v>0</v>
      </c>
      <c r="D84" s="858">
        <f t="shared" si="7"/>
        <v>0</v>
      </c>
      <c r="E84" s="858">
        <f t="shared" si="5"/>
        <v>0</v>
      </c>
    </row>
    <row r="85" spans="1:5" x14ac:dyDescent="0.15">
      <c r="A85" s="661">
        <f t="shared" si="6"/>
        <v>44641</v>
      </c>
      <c r="C85" s="858">
        <f>+SUMIF('YTD Purchases'!C:C,'NCCPL Working'!A85, 'YTD Purchases'!F:F)+SUMIF('YTD Sales'!B:B,'NCCPL Working'!A85,'YTD Sales'!F:F)</f>
        <v>0</v>
      </c>
      <c r="D85" s="858">
        <f t="shared" si="7"/>
        <v>0</v>
      </c>
      <c r="E85" s="858">
        <f t="shared" si="5"/>
        <v>0</v>
      </c>
    </row>
    <row r="86" spans="1:5" x14ac:dyDescent="0.15">
      <c r="A86" s="661">
        <f t="shared" si="6"/>
        <v>44642</v>
      </c>
      <c r="C86" s="858">
        <f>+SUMIF('YTD Purchases'!C:C,'NCCPL Working'!A86, 'YTD Purchases'!F:F)+SUMIF('YTD Sales'!B:B,'NCCPL Working'!A86,'YTD Sales'!F:F)</f>
        <v>0</v>
      </c>
      <c r="D86" s="858">
        <f t="shared" si="7"/>
        <v>0</v>
      </c>
      <c r="E86" s="858">
        <f t="shared" si="5"/>
        <v>0</v>
      </c>
    </row>
    <row r="87" spans="1:5" x14ac:dyDescent="0.15">
      <c r="A87" s="661">
        <f t="shared" si="6"/>
        <v>44643</v>
      </c>
      <c r="C87" s="858">
        <f>+SUMIF('YTD Purchases'!C:C,'NCCPL Working'!A87, 'YTD Purchases'!F:F)+SUMIF('YTD Sales'!B:B,'NCCPL Working'!A87,'YTD Sales'!F:F)</f>
        <v>0</v>
      </c>
      <c r="D87" s="858">
        <f t="shared" si="7"/>
        <v>0</v>
      </c>
      <c r="E87" s="858">
        <f t="shared" si="5"/>
        <v>0</v>
      </c>
    </row>
    <row r="88" spans="1:5" x14ac:dyDescent="0.15">
      <c r="A88" s="661">
        <f t="shared" si="6"/>
        <v>44644</v>
      </c>
      <c r="C88" s="858">
        <f>+SUMIF('YTD Purchases'!C:C,'NCCPL Working'!A88, 'YTD Purchases'!F:F)+SUMIF('YTD Sales'!B:B,'NCCPL Working'!A88,'YTD Sales'!F:F)</f>
        <v>0</v>
      </c>
      <c r="D88" s="858">
        <f t="shared" si="7"/>
        <v>0</v>
      </c>
      <c r="E88" s="858">
        <f t="shared" si="5"/>
        <v>0</v>
      </c>
    </row>
    <row r="89" spans="1:5" x14ac:dyDescent="0.15">
      <c r="A89" s="661">
        <f t="shared" si="6"/>
        <v>44645</v>
      </c>
      <c r="C89" s="858">
        <f>+SUMIF('YTD Purchases'!C:C,'NCCPL Working'!A89, 'YTD Purchases'!F:F)+SUMIF('YTD Sales'!B:B,'NCCPL Working'!A89,'YTD Sales'!F:F)</f>
        <v>0</v>
      </c>
      <c r="D89" s="858">
        <f t="shared" si="7"/>
        <v>0</v>
      </c>
      <c r="E89" s="858">
        <f t="shared" si="5"/>
        <v>0</v>
      </c>
    </row>
    <row r="90" spans="1:5" x14ac:dyDescent="0.15">
      <c r="A90" s="661">
        <f t="shared" si="6"/>
        <v>44646</v>
      </c>
      <c r="C90" s="858">
        <f>+SUMIF('YTD Purchases'!C:C,'NCCPL Working'!A90, 'YTD Purchases'!F:F)+SUMIF('YTD Sales'!B:B,'NCCPL Working'!A90,'YTD Sales'!F:F)</f>
        <v>0</v>
      </c>
      <c r="D90" s="858">
        <f t="shared" si="7"/>
        <v>0</v>
      </c>
      <c r="E90" s="858">
        <f t="shared" si="5"/>
        <v>0</v>
      </c>
    </row>
    <row r="91" spans="1:5" x14ac:dyDescent="0.15">
      <c r="A91" s="661">
        <f t="shared" si="6"/>
        <v>44647</v>
      </c>
      <c r="C91" s="858">
        <f>+SUMIF('YTD Purchases'!C:C,'NCCPL Working'!A91, 'YTD Purchases'!F:F)+SUMIF('YTD Sales'!B:B,'NCCPL Working'!A91,'YTD Sales'!F:F)</f>
        <v>0</v>
      </c>
      <c r="D91" s="858">
        <f t="shared" si="7"/>
        <v>0</v>
      </c>
      <c r="E91" s="858">
        <f t="shared" si="5"/>
        <v>0</v>
      </c>
    </row>
    <row r="92" spans="1:5" x14ac:dyDescent="0.15">
      <c r="A92" s="661">
        <f t="shared" si="6"/>
        <v>44648</v>
      </c>
      <c r="B92" s="1039">
        <v>2199</v>
      </c>
      <c r="C92" s="858">
        <f>+SUMIF('YTD Purchases'!C:C,'NCCPL Working'!A92, 'YTD Purchases'!F:F)+SUMIF('YTD Sales'!B:B,'NCCPL Working'!A92,'YTD Sales'!F:F)</f>
        <v>36646452.746968642</v>
      </c>
      <c r="D92" s="858">
        <f t="shared" si="7"/>
        <v>2199</v>
      </c>
      <c r="E92" s="858">
        <f t="shared" si="5"/>
        <v>0</v>
      </c>
    </row>
    <row r="93" spans="1:5" x14ac:dyDescent="0.15">
      <c r="A93" s="661">
        <f t="shared" si="6"/>
        <v>44649</v>
      </c>
      <c r="B93" s="1039">
        <v>863</v>
      </c>
      <c r="C93" s="858">
        <f>+SUMIF('YTD Purchases'!C:C,'NCCPL Working'!A93, 'YTD Purchases'!F:F)+SUMIF('YTD Sales'!B:B,'NCCPL Working'!A93,'YTD Sales'!F:F)</f>
        <v>14380088</v>
      </c>
      <c r="D93" s="858">
        <f t="shared" si="7"/>
        <v>863</v>
      </c>
      <c r="E93" s="858">
        <f t="shared" si="5"/>
        <v>0</v>
      </c>
    </row>
    <row r="94" spans="1:5" x14ac:dyDescent="0.15">
      <c r="A94" s="661">
        <f t="shared" si="6"/>
        <v>44650</v>
      </c>
      <c r="B94" s="1039">
        <v>502</v>
      </c>
      <c r="C94" s="858">
        <f>+SUMIF('YTD Purchases'!C:C,'NCCPL Working'!A94, 'YTD Purchases'!F:F)+SUMIF('YTD Sales'!B:B,'NCCPL Working'!A94,'YTD Sales'!F:F)</f>
        <v>8373493</v>
      </c>
      <c r="D94" s="858">
        <f t="shared" si="7"/>
        <v>502</v>
      </c>
      <c r="E94" s="858">
        <f t="shared" si="5"/>
        <v>0</v>
      </c>
    </row>
    <row r="95" spans="1:5" x14ac:dyDescent="0.15">
      <c r="A95" s="661">
        <f t="shared" si="6"/>
        <v>44651</v>
      </c>
      <c r="B95" s="1039">
        <v>693</v>
      </c>
      <c r="C95" s="858">
        <f>+SUMIF('YTD Purchases'!C:C,'NCCPL Working'!A95, 'YTD Purchases'!F:F)+SUMIF('YTD Sales'!B:B,'NCCPL Working'!A95,'YTD Sales'!F:F)</f>
        <v>11551069</v>
      </c>
      <c r="D95" s="858">
        <f>ROUND(C95/100000*6,0)</f>
        <v>693</v>
      </c>
      <c r="E95" s="858">
        <f t="shared" si="5"/>
        <v>0</v>
      </c>
    </row>
    <row r="96" spans="1:5" x14ac:dyDescent="0.15">
      <c r="A96" s="661">
        <f t="shared" si="6"/>
        <v>44652</v>
      </c>
      <c r="B96" s="1039">
        <v>68</v>
      </c>
      <c r="C96" s="858">
        <f>+SUMIF('YTD Purchases'!C:C,'NCCPL Working'!A96, 'YTD Purchases'!F:F)+SUMIF('YTD Sales'!B:B,'NCCPL Working'!A96,'YTD Sales'!F:F)</f>
        <v>1131314.5</v>
      </c>
      <c r="D96" s="858">
        <f t="shared" si="7"/>
        <v>68</v>
      </c>
      <c r="E96" s="858">
        <f t="shared" si="5"/>
        <v>0</v>
      </c>
    </row>
    <row r="97" spans="1:5" x14ac:dyDescent="0.15">
      <c r="A97" s="661">
        <f t="shared" si="6"/>
        <v>44653</v>
      </c>
      <c r="C97" s="858">
        <f>+SUMIF('YTD Purchases'!C:C,'NCCPL Working'!A97, 'YTD Purchases'!F:F)+SUMIF('YTD Sales'!B:B,'NCCPL Working'!A97,'YTD Sales'!F:F)</f>
        <v>0</v>
      </c>
      <c r="D97" s="858">
        <f t="shared" si="7"/>
        <v>0</v>
      </c>
      <c r="E97" s="858">
        <f t="shared" si="5"/>
        <v>0</v>
      </c>
    </row>
    <row r="98" spans="1:5" x14ac:dyDescent="0.15">
      <c r="A98" s="661">
        <f t="shared" si="6"/>
        <v>44654</v>
      </c>
      <c r="C98" s="858">
        <f>+SUMIF('YTD Purchases'!C:C,'NCCPL Working'!A98, 'YTD Purchases'!F:F)+SUMIF('YTD Sales'!B:B,'NCCPL Working'!A98,'YTD Sales'!F:F)</f>
        <v>0</v>
      </c>
      <c r="D98" s="858">
        <f t="shared" si="7"/>
        <v>0</v>
      </c>
      <c r="E98" s="858">
        <f t="shared" si="5"/>
        <v>0</v>
      </c>
    </row>
    <row r="99" spans="1:5" x14ac:dyDescent="0.15">
      <c r="A99" s="661">
        <f t="shared" si="6"/>
        <v>44655</v>
      </c>
      <c r="B99" s="1039">
        <v>195</v>
      </c>
      <c r="C99" s="858">
        <f>+SUMIF('YTD Purchases'!C:C,'NCCPL Working'!A99, 'YTD Purchases'!F:F)+SUMIF('YTD Sales'!B:B,'NCCPL Working'!A99,'YTD Sales'!F:F)</f>
        <v>3255903</v>
      </c>
      <c r="D99" s="858">
        <f t="shared" si="7"/>
        <v>195</v>
      </c>
      <c r="E99" s="858">
        <f t="shared" si="5"/>
        <v>0</v>
      </c>
    </row>
    <row r="100" spans="1:5" x14ac:dyDescent="0.15">
      <c r="A100" s="661">
        <f t="shared" si="6"/>
        <v>44656</v>
      </c>
      <c r="B100" s="1039">
        <v>107</v>
      </c>
      <c r="C100" s="858">
        <f>+SUMIF('YTD Purchases'!C:C,'NCCPL Working'!A100, 'YTD Purchases'!F:F)+SUMIF('YTD Sales'!B:B,'NCCPL Working'!A100,'YTD Sales'!F:F)</f>
        <v>1776815</v>
      </c>
      <c r="D100" s="858">
        <f t="shared" si="7"/>
        <v>107</v>
      </c>
      <c r="E100" s="858">
        <f t="shared" si="5"/>
        <v>0</v>
      </c>
    </row>
    <row r="101" spans="1:5" x14ac:dyDescent="0.15">
      <c r="A101" s="661">
        <f t="shared" si="6"/>
        <v>44657</v>
      </c>
      <c r="B101" s="1039">
        <v>74</v>
      </c>
      <c r="C101" s="858">
        <f>+SUMIF('YTD Purchases'!C:C,'NCCPL Working'!A101, 'YTD Purchases'!F:F)+SUMIF('YTD Sales'!B:B,'NCCPL Working'!A101,'YTD Sales'!F:F)</f>
        <v>1227455</v>
      </c>
      <c r="D101" s="858">
        <f t="shared" si="7"/>
        <v>74</v>
      </c>
      <c r="E101" s="858">
        <f t="shared" si="5"/>
        <v>0</v>
      </c>
    </row>
    <row r="102" spans="1:5" x14ac:dyDescent="0.15">
      <c r="A102" s="661">
        <f t="shared" si="6"/>
        <v>44658</v>
      </c>
      <c r="B102" s="1039">
        <v>658</v>
      </c>
      <c r="C102" s="858">
        <f>+SUMIF('YTD Purchases'!C:C,'NCCPL Working'!A102, 'YTD Purchases'!F:F)+SUMIF('YTD Sales'!B:B,'NCCPL Working'!A102,'YTD Sales'!F:F)</f>
        <v>10964166.560000001</v>
      </c>
      <c r="D102" s="858">
        <f t="shared" si="7"/>
        <v>658</v>
      </c>
      <c r="E102" s="858">
        <f t="shared" si="5"/>
        <v>0</v>
      </c>
    </row>
    <row r="103" spans="1:5" x14ac:dyDescent="0.15">
      <c r="A103" s="661">
        <f t="shared" si="6"/>
        <v>44659</v>
      </c>
      <c r="B103" s="1039">
        <v>170</v>
      </c>
      <c r="C103" s="858">
        <f>+SUMIF('YTD Purchases'!C:C,'NCCPL Working'!A103, 'YTD Purchases'!F:F)+SUMIF('YTD Sales'!B:B,'NCCPL Working'!A103,'YTD Sales'!F:F)</f>
        <v>2834487.1349206353</v>
      </c>
      <c r="D103" s="858">
        <f t="shared" si="7"/>
        <v>170</v>
      </c>
      <c r="E103" s="858">
        <f t="shared" si="5"/>
        <v>0</v>
      </c>
    </row>
    <row r="104" spans="1:5" x14ac:dyDescent="0.15">
      <c r="A104" s="661">
        <f t="shared" si="6"/>
        <v>44660</v>
      </c>
      <c r="C104" s="858">
        <f>+SUMIF('YTD Purchases'!C:C,'NCCPL Working'!A104, 'YTD Purchases'!F:F)+SUMIF('YTD Sales'!B:B,'NCCPL Working'!A104,'YTD Sales'!F:F)</f>
        <v>0</v>
      </c>
      <c r="D104" s="858">
        <f t="shared" si="7"/>
        <v>0</v>
      </c>
      <c r="E104" s="858">
        <f t="shared" si="5"/>
        <v>0</v>
      </c>
    </row>
    <row r="105" spans="1:5" x14ac:dyDescent="0.15">
      <c r="A105" s="661">
        <f t="shared" si="6"/>
        <v>44661</v>
      </c>
      <c r="C105" s="858">
        <f>+SUMIF('YTD Purchases'!C:C,'NCCPL Working'!A105, 'YTD Purchases'!F:F)+SUMIF('YTD Sales'!B:B,'NCCPL Working'!A105,'YTD Sales'!F:F)</f>
        <v>0</v>
      </c>
      <c r="D105" s="858">
        <f t="shared" si="7"/>
        <v>0</v>
      </c>
      <c r="E105" s="858">
        <f t="shared" si="5"/>
        <v>0</v>
      </c>
    </row>
    <row r="106" spans="1:5" x14ac:dyDescent="0.15">
      <c r="A106" s="661">
        <f t="shared" si="6"/>
        <v>44662</v>
      </c>
      <c r="B106" s="1039">
        <v>664</v>
      </c>
      <c r="C106" s="858">
        <f>+SUMIF('YTD Purchases'!C:C,'NCCPL Working'!A106, 'YTD Purchases'!F:F)+SUMIF('YTD Sales'!B:B,'NCCPL Working'!A106,'YTD Sales'!F:F)</f>
        <v>11059938</v>
      </c>
      <c r="D106" s="858">
        <f t="shared" si="7"/>
        <v>664</v>
      </c>
      <c r="E106" s="858">
        <f t="shared" si="5"/>
        <v>0</v>
      </c>
    </row>
    <row r="107" spans="1:5" x14ac:dyDescent="0.15">
      <c r="A107" s="661">
        <f t="shared" si="6"/>
        <v>44663</v>
      </c>
      <c r="B107" s="1039">
        <v>463</v>
      </c>
      <c r="C107" s="858">
        <f>+SUMIF('YTD Purchases'!C:C,'NCCPL Working'!A107, 'YTD Purchases'!F:F)+SUMIF('YTD Sales'!B:B,'NCCPL Working'!A107,'YTD Sales'!F:F)</f>
        <v>7723988.25</v>
      </c>
      <c r="D107" s="858">
        <f t="shared" si="7"/>
        <v>463</v>
      </c>
      <c r="E107" s="858">
        <f t="shared" si="5"/>
        <v>0</v>
      </c>
    </row>
    <row r="108" spans="1:5" x14ac:dyDescent="0.15">
      <c r="A108" s="661">
        <f t="shared" si="6"/>
        <v>44664</v>
      </c>
      <c r="B108" s="1039">
        <v>96</v>
      </c>
      <c r="C108" s="858">
        <f>+SUMIF('YTD Purchases'!C:C,'NCCPL Working'!A108, 'YTD Purchases'!F:F)+SUMIF('YTD Sales'!B:B,'NCCPL Working'!A108,'YTD Sales'!F:F)</f>
        <v>1596329</v>
      </c>
      <c r="D108" s="858">
        <f t="shared" si="7"/>
        <v>96</v>
      </c>
      <c r="E108" s="858">
        <f t="shared" si="5"/>
        <v>0</v>
      </c>
    </row>
    <row r="109" spans="1:5" x14ac:dyDescent="0.15">
      <c r="A109" s="661">
        <f t="shared" si="6"/>
        <v>44665</v>
      </c>
      <c r="B109" s="1039">
        <v>1689</v>
      </c>
      <c r="C109" s="858">
        <f>+SUMIF('YTD Purchases'!C:C,'NCCPL Working'!A109, 'YTD Purchases'!F:F)+SUMIF('YTD Sales'!B:B,'NCCPL Working'!A109,'YTD Sales'!F:F)</f>
        <v>28150575</v>
      </c>
      <c r="D109" s="858">
        <f t="shared" si="7"/>
        <v>1689</v>
      </c>
      <c r="E109" s="858">
        <f t="shared" si="5"/>
        <v>0</v>
      </c>
    </row>
    <row r="110" spans="1:5" x14ac:dyDescent="0.15">
      <c r="A110" s="661">
        <f t="shared" si="6"/>
        <v>44666</v>
      </c>
      <c r="B110" s="1039">
        <v>1232</v>
      </c>
      <c r="C110" s="858">
        <f>+SUMIF('YTD Purchases'!C:C,'NCCPL Working'!A110, 'YTD Purchases'!F:F)+SUMIF('YTD Sales'!B:B,'NCCPL Working'!A110,'YTD Sales'!F:F)</f>
        <v>20537440.399999999</v>
      </c>
      <c r="D110" s="858">
        <f t="shared" si="7"/>
        <v>1232</v>
      </c>
      <c r="E110" s="858">
        <f t="shared" si="5"/>
        <v>0</v>
      </c>
    </row>
    <row r="111" spans="1:5" x14ac:dyDescent="0.15">
      <c r="A111" s="661">
        <f t="shared" si="6"/>
        <v>44667</v>
      </c>
      <c r="C111" s="858">
        <f>+SUMIF('YTD Purchases'!C:C,'NCCPL Working'!A111, 'YTD Purchases'!F:F)+SUMIF('YTD Sales'!B:B,'NCCPL Working'!A111,'YTD Sales'!F:F)</f>
        <v>0</v>
      </c>
      <c r="D111" s="858">
        <f t="shared" si="7"/>
        <v>0</v>
      </c>
      <c r="E111" s="858">
        <f t="shared" si="5"/>
        <v>0</v>
      </c>
    </row>
    <row r="112" spans="1:5" x14ac:dyDescent="0.15">
      <c r="A112" s="661">
        <f t="shared" si="6"/>
        <v>44668</v>
      </c>
      <c r="C112" s="858">
        <f>+SUMIF('YTD Purchases'!C:C,'NCCPL Working'!A112, 'YTD Purchases'!F:F)+SUMIF('YTD Sales'!B:B,'NCCPL Working'!A112,'YTD Sales'!F:F)</f>
        <v>0</v>
      </c>
      <c r="D112" s="858">
        <f t="shared" si="7"/>
        <v>0</v>
      </c>
      <c r="E112" s="858">
        <f t="shared" si="5"/>
        <v>0</v>
      </c>
    </row>
    <row r="113" spans="1:5" x14ac:dyDescent="0.15">
      <c r="A113" s="661">
        <f t="shared" si="6"/>
        <v>44669</v>
      </c>
      <c r="B113" s="1039">
        <v>3132</v>
      </c>
      <c r="C113" s="858">
        <f>+SUMIF('YTD Purchases'!C:C,'NCCPL Working'!A113, 'YTD Purchases'!F:F)+SUMIF('YTD Sales'!B:B,'NCCPL Working'!A113,'YTD Sales'!F:F)</f>
        <v>52193528.833333336</v>
      </c>
      <c r="D113" s="858">
        <f t="shared" si="7"/>
        <v>3132</v>
      </c>
      <c r="E113" s="858">
        <f t="shared" si="5"/>
        <v>0</v>
      </c>
    </row>
    <row r="114" spans="1:5" x14ac:dyDescent="0.15">
      <c r="A114" s="661">
        <f t="shared" si="6"/>
        <v>44670</v>
      </c>
      <c r="B114" s="1039">
        <v>274</v>
      </c>
      <c r="C114" s="858">
        <f>+SUMIF('YTD Purchases'!C:C,'NCCPL Working'!A114, 'YTD Purchases'!F:F)+SUMIF('YTD Sales'!B:B,'NCCPL Working'!A114,'YTD Sales'!F:F)</f>
        <v>4573752</v>
      </c>
      <c r="D114" s="858">
        <f t="shared" si="7"/>
        <v>274</v>
      </c>
      <c r="E114" s="858">
        <f t="shared" si="5"/>
        <v>0</v>
      </c>
    </row>
    <row r="115" spans="1:5" x14ac:dyDescent="0.15">
      <c r="A115" s="661">
        <f t="shared" si="6"/>
        <v>44671</v>
      </c>
      <c r="B115" s="1039">
        <v>758</v>
      </c>
      <c r="C115" s="858">
        <f>+SUMIF('YTD Purchases'!C:C,'NCCPL Working'!A115, 'YTD Purchases'!F:F)+SUMIF('YTD Sales'!B:B,'NCCPL Working'!A115,'YTD Sales'!F:F)</f>
        <v>12637053.25</v>
      </c>
      <c r="D115" s="858">
        <f t="shared" si="7"/>
        <v>758</v>
      </c>
      <c r="E115" s="858">
        <f t="shared" si="5"/>
        <v>0</v>
      </c>
    </row>
    <row r="116" spans="1:5" x14ac:dyDescent="0.15">
      <c r="A116" s="661">
        <f t="shared" si="6"/>
        <v>44672</v>
      </c>
      <c r="B116" s="1039">
        <v>3419</v>
      </c>
      <c r="C116" s="858">
        <f>+SUMIF('YTD Purchases'!C:C,'NCCPL Working'!A116, 'YTD Purchases'!F:F)+SUMIF('YTD Sales'!B:B,'NCCPL Working'!A116,'YTD Sales'!F:F)</f>
        <v>56982283.530000001</v>
      </c>
      <c r="D116" s="858">
        <f t="shared" si="7"/>
        <v>3419</v>
      </c>
      <c r="E116" s="858">
        <f t="shared" si="5"/>
        <v>0</v>
      </c>
    </row>
    <row r="117" spans="1:5" x14ac:dyDescent="0.15">
      <c r="A117" s="661">
        <f t="shared" si="6"/>
        <v>44673</v>
      </c>
      <c r="B117" s="1039">
        <v>3455</v>
      </c>
      <c r="C117" s="858">
        <f>+SUMIF('YTD Purchases'!C:C,'NCCPL Working'!A117, 'YTD Purchases'!F:F)+SUMIF('YTD Sales'!B:B,'NCCPL Working'!A117,'YTD Sales'!F:F)</f>
        <v>57590997.719999999</v>
      </c>
      <c r="D117" s="858">
        <f t="shared" si="7"/>
        <v>3455</v>
      </c>
      <c r="E117" s="858">
        <f t="shared" si="5"/>
        <v>0</v>
      </c>
    </row>
    <row r="118" spans="1:5" x14ac:dyDescent="0.15">
      <c r="A118" s="661">
        <f t="shared" si="6"/>
        <v>44674</v>
      </c>
      <c r="C118" s="858">
        <f>+SUMIF('YTD Purchases'!C:C,'NCCPL Working'!A118, 'YTD Purchases'!F:F)+SUMIF('YTD Sales'!B:B,'NCCPL Working'!A118,'YTD Sales'!F:F)</f>
        <v>0</v>
      </c>
      <c r="D118" s="858">
        <f t="shared" si="7"/>
        <v>0</v>
      </c>
      <c r="E118" s="858">
        <f t="shared" si="5"/>
        <v>0</v>
      </c>
    </row>
    <row r="119" spans="1:5" x14ac:dyDescent="0.15">
      <c r="A119" s="661">
        <f t="shared" si="6"/>
        <v>44675</v>
      </c>
      <c r="C119" s="858">
        <f>+SUMIF('YTD Purchases'!C:C,'NCCPL Working'!A119, 'YTD Purchases'!F:F)+SUMIF('YTD Sales'!B:B,'NCCPL Working'!A119,'YTD Sales'!F:F)</f>
        <v>0</v>
      </c>
      <c r="D119" s="858">
        <f t="shared" si="7"/>
        <v>0</v>
      </c>
      <c r="E119" s="858">
        <f t="shared" si="5"/>
        <v>0</v>
      </c>
    </row>
    <row r="120" spans="1:5" x14ac:dyDescent="0.15">
      <c r="A120" s="661">
        <f t="shared" si="6"/>
        <v>44676</v>
      </c>
      <c r="B120" s="1039">
        <v>11753</v>
      </c>
      <c r="C120" s="858">
        <f>+SUMIF('YTD Purchases'!C:C,'NCCPL Working'!A120, 'YTD Purchases'!F:F)+SUMIF('YTD Sales'!B:B,'NCCPL Working'!A120,'YTD Sales'!F:F)</f>
        <v>195875073.05000001</v>
      </c>
      <c r="D120" s="858">
        <f t="shared" si="7"/>
        <v>11753</v>
      </c>
      <c r="E120" s="858">
        <f t="shared" si="5"/>
        <v>0</v>
      </c>
    </row>
    <row r="121" spans="1:5" x14ac:dyDescent="0.15">
      <c r="A121" s="661">
        <f t="shared" si="6"/>
        <v>44677</v>
      </c>
      <c r="C121" s="858">
        <f>+SUMIF('YTD Purchases'!C:C,'NCCPL Working'!A121, 'YTD Purchases'!F:F)+SUMIF('YTD Sales'!B:B,'NCCPL Working'!A121,'YTD Sales'!F:F)</f>
        <v>0</v>
      </c>
      <c r="D121" s="858">
        <f t="shared" si="7"/>
        <v>0</v>
      </c>
      <c r="E121" s="858">
        <f t="shared" si="5"/>
        <v>0</v>
      </c>
    </row>
    <row r="122" spans="1:5" x14ac:dyDescent="0.15">
      <c r="A122" s="661">
        <f t="shared" si="6"/>
        <v>44678</v>
      </c>
      <c r="B122" s="1039">
        <v>1936</v>
      </c>
      <c r="C122" s="858">
        <f>+SUMIF('YTD Purchases'!C:C,'NCCPL Working'!A122, 'YTD Purchases'!F:F)+SUMIF('YTD Sales'!B:B,'NCCPL Working'!A122,'YTD Sales'!F:F)</f>
        <v>32261729.870000001</v>
      </c>
      <c r="D122" s="858">
        <f t="shared" si="7"/>
        <v>1936</v>
      </c>
      <c r="E122" s="858">
        <f t="shared" si="5"/>
        <v>0</v>
      </c>
    </row>
    <row r="123" spans="1:5" x14ac:dyDescent="0.15">
      <c r="A123" s="661">
        <f t="shared" si="6"/>
        <v>44679</v>
      </c>
      <c r="B123" s="1039">
        <v>12845</v>
      </c>
      <c r="C123" s="858">
        <f>+SUMIF('YTD Purchases'!C:C,'NCCPL Working'!A123, 'YTD Purchases'!F:F)+SUMIF('YTD Sales'!B:B,'NCCPL Working'!A123,'YTD Sales'!F:F)</f>
        <v>214078492.86839861</v>
      </c>
      <c r="D123" s="858">
        <f t="shared" si="7"/>
        <v>12845</v>
      </c>
      <c r="E123" s="858">
        <f t="shared" si="5"/>
        <v>0</v>
      </c>
    </row>
    <row r="124" spans="1:5" x14ac:dyDescent="0.15">
      <c r="A124" s="661">
        <f t="shared" si="6"/>
        <v>44680</v>
      </c>
      <c r="C124" s="858">
        <f>+SUMIF('YTD Purchases'!C:C,'NCCPL Working'!A124, 'YTD Purchases'!F:F)+SUMIF('YTD Sales'!B:B,'NCCPL Working'!A124,'YTD Sales'!F:F)</f>
        <v>0</v>
      </c>
      <c r="D124" s="858">
        <f t="shared" si="7"/>
        <v>0</v>
      </c>
      <c r="E124" s="858">
        <f t="shared" si="5"/>
        <v>0</v>
      </c>
    </row>
    <row r="125" spans="1:5" x14ac:dyDescent="0.15">
      <c r="A125" s="661">
        <f t="shared" si="6"/>
        <v>44681</v>
      </c>
      <c r="C125" s="858">
        <f>+SUMIF('YTD Purchases'!C:C,'NCCPL Working'!A125, 'YTD Purchases'!F:F)+SUMIF('YTD Sales'!B:B,'NCCPL Working'!A125,'YTD Sales'!F:F)</f>
        <v>0</v>
      </c>
      <c r="D125" s="858">
        <f t="shared" si="7"/>
        <v>0</v>
      </c>
      <c r="E125" s="858">
        <f t="shared" si="5"/>
        <v>0</v>
      </c>
    </row>
    <row r="126" spans="1:5" x14ac:dyDescent="0.15">
      <c r="A126" s="661">
        <f t="shared" si="6"/>
        <v>44682</v>
      </c>
      <c r="C126" s="858">
        <f>+SUMIF('YTD Purchases'!C:C,'NCCPL Working'!A126, 'YTD Purchases'!F:F)+SUMIF('YTD Sales'!B:B,'NCCPL Working'!A126,'YTD Sales'!F:F)</f>
        <v>0</v>
      </c>
      <c r="D126" s="858">
        <f t="shared" si="7"/>
        <v>0</v>
      </c>
      <c r="E126" s="858">
        <f t="shared" si="5"/>
        <v>0</v>
      </c>
    </row>
    <row r="127" spans="1:5" x14ac:dyDescent="0.15">
      <c r="A127" s="661">
        <f t="shared" si="6"/>
        <v>44683</v>
      </c>
      <c r="C127" s="858">
        <f>+SUMIF('YTD Purchases'!C:C,'NCCPL Working'!A127, 'YTD Purchases'!F:F)+SUMIF('YTD Sales'!B:B,'NCCPL Working'!A127,'YTD Sales'!F:F)</f>
        <v>0</v>
      </c>
      <c r="D127" s="858">
        <f t="shared" si="7"/>
        <v>0</v>
      </c>
      <c r="E127" s="858">
        <f t="shared" si="5"/>
        <v>0</v>
      </c>
    </row>
    <row r="128" spans="1:5" x14ac:dyDescent="0.15">
      <c r="A128" s="661">
        <f t="shared" si="6"/>
        <v>44684</v>
      </c>
      <c r="C128" s="858">
        <f>+SUMIF('YTD Purchases'!C:C,'NCCPL Working'!A128, 'YTD Purchases'!F:F)+SUMIF('YTD Sales'!B:B,'NCCPL Working'!A128,'YTD Sales'!F:F)</f>
        <v>0</v>
      </c>
      <c r="D128" s="858">
        <f t="shared" si="7"/>
        <v>0</v>
      </c>
      <c r="E128" s="858">
        <f t="shared" si="5"/>
        <v>0</v>
      </c>
    </row>
    <row r="129" spans="1:8" x14ac:dyDescent="0.15">
      <c r="A129" s="661">
        <f t="shared" si="6"/>
        <v>44685</v>
      </c>
      <c r="C129" s="858">
        <f>+SUMIF('YTD Purchases'!C:C,'NCCPL Working'!A129, 'YTD Purchases'!F:F)+SUMIF('YTD Sales'!B:B,'NCCPL Working'!A129,'YTD Sales'!F:F)</f>
        <v>0</v>
      </c>
      <c r="D129" s="858">
        <f t="shared" si="7"/>
        <v>0</v>
      </c>
      <c r="E129" s="858">
        <f t="shared" si="5"/>
        <v>0</v>
      </c>
    </row>
    <row r="130" spans="1:8" x14ac:dyDescent="0.15">
      <c r="A130" s="661">
        <f t="shared" si="6"/>
        <v>44686</v>
      </c>
      <c r="C130" s="858">
        <f>+SUMIF('YTD Purchases'!C:C,'NCCPL Working'!A130, 'YTD Purchases'!F:F)+SUMIF('YTD Sales'!B:B,'NCCPL Working'!A130,'YTD Sales'!F:F)</f>
        <v>0</v>
      </c>
      <c r="D130" s="858">
        <f t="shared" si="7"/>
        <v>0</v>
      </c>
      <c r="E130" s="858">
        <f t="shared" si="5"/>
        <v>0</v>
      </c>
    </row>
    <row r="131" spans="1:8" x14ac:dyDescent="0.15">
      <c r="A131" s="661">
        <f t="shared" si="6"/>
        <v>44687</v>
      </c>
      <c r="B131" s="1039">
        <v>12905</v>
      </c>
      <c r="C131" s="858">
        <f>+SUMIF('YTD Purchases'!C:C,'NCCPL Working'!A131, 'YTD Purchases'!F:F)+SUMIF('YTD Sales'!B:B,'NCCPL Working'!A131,'YTD Sales'!F:F)</f>
        <v>215076919.0130645</v>
      </c>
      <c r="D131" s="858">
        <f t="shared" si="7"/>
        <v>12905</v>
      </c>
      <c r="E131" s="858">
        <f t="shared" si="5"/>
        <v>0</v>
      </c>
    </row>
    <row r="132" spans="1:8" x14ac:dyDescent="0.15">
      <c r="A132" s="661">
        <f t="shared" si="6"/>
        <v>44688</v>
      </c>
      <c r="C132" s="858">
        <f>+SUMIF('YTD Purchases'!C:C,'NCCPL Working'!A132, 'YTD Purchases'!F:F)+SUMIF('YTD Sales'!B:B,'NCCPL Working'!A132,'YTD Sales'!F:F)</f>
        <v>0</v>
      </c>
      <c r="D132" s="858">
        <f t="shared" si="7"/>
        <v>0</v>
      </c>
      <c r="E132" s="858">
        <f t="shared" si="5"/>
        <v>0</v>
      </c>
    </row>
    <row r="133" spans="1:8" x14ac:dyDescent="0.15">
      <c r="A133" s="661">
        <f t="shared" si="6"/>
        <v>44689</v>
      </c>
      <c r="C133" s="858">
        <f>+SUMIF('YTD Purchases'!C:C,'NCCPL Working'!A133, 'YTD Purchases'!F:F)+SUMIF('YTD Sales'!B:B,'NCCPL Working'!A133,'YTD Sales'!F:F)</f>
        <v>0</v>
      </c>
      <c r="D133" s="858">
        <f t="shared" si="7"/>
        <v>0</v>
      </c>
      <c r="E133" s="858">
        <f t="shared" si="5"/>
        <v>0</v>
      </c>
    </row>
    <row r="134" spans="1:8" x14ac:dyDescent="0.15">
      <c r="A134" s="661">
        <f t="shared" si="6"/>
        <v>44690</v>
      </c>
      <c r="B134" s="1039">
        <v>2691</v>
      </c>
      <c r="C134" s="858">
        <f>+SUMIF('YTD Purchases'!C:C,'NCCPL Working'!A134, 'YTD Purchases'!F:F)+SUMIF('YTD Sales'!B:B,'NCCPL Working'!A134,'YTD Sales'!F:F)</f>
        <v>44850366.980000004</v>
      </c>
      <c r="D134" s="858">
        <f t="shared" si="7"/>
        <v>2691</v>
      </c>
      <c r="E134" s="858">
        <f t="shared" si="5"/>
        <v>0</v>
      </c>
    </row>
    <row r="135" spans="1:8" x14ac:dyDescent="0.15">
      <c r="A135" s="661">
        <f t="shared" si="6"/>
        <v>44691</v>
      </c>
      <c r="B135" s="1039">
        <v>1844</v>
      </c>
      <c r="C135" s="858">
        <f>+SUMIF('YTD Purchases'!C:C,'NCCPL Working'!A135, 'YTD Purchases'!F:F)+SUMIF('YTD Sales'!B:B,'NCCPL Working'!A135,'YTD Sales'!F:F)</f>
        <v>30739434.234285716</v>
      </c>
      <c r="D135" s="858">
        <f t="shared" si="7"/>
        <v>1844</v>
      </c>
      <c r="E135" s="858">
        <f t="shared" ref="E135:E198" si="8">+D135-B135</f>
        <v>0</v>
      </c>
    </row>
    <row r="136" spans="1:8" x14ac:dyDescent="0.15">
      <c r="A136" s="661">
        <f t="shared" ref="A136:A199" si="9">+A135+1</f>
        <v>44692</v>
      </c>
      <c r="B136" s="1039">
        <v>893</v>
      </c>
      <c r="C136" s="858">
        <f>+SUMIF('YTD Purchases'!C:C,'NCCPL Working'!A136, 'YTD Purchases'!F:F)+SUMIF('YTD Sales'!B:B,'NCCPL Working'!A136,'YTD Sales'!F:F)</f>
        <v>14889495.2582915</v>
      </c>
      <c r="D136" s="858">
        <f t="shared" si="7"/>
        <v>893</v>
      </c>
      <c r="E136" s="858">
        <f t="shared" si="8"/>
        <v>0</v>
      </c>
    </row>
    <row r="137" spans="1:8" x14ac:dyDescent="0.15">
      <c r="A137" s="661">
        <f t="shared" si="9"/>
        <v>44693</v>
      </c>
      <c r="B137" s="1039">
        <v>536</v>
      </c>
      <c r="C137" s="858">
        <f>+SUMIF('YTD Purchases'!C:C,'NCCPL Working'!A137, 'YTD Purchases'!F:F)+SUMIF('YTD Sales'!B:B,'NCCPL Working'!A137,'YTD Sales'!F:F)</f>
        <v>8935503.5</v>
      </c>
      <c r="D137" s="858">
        <f t="shared" si="7"/>
        <v>536</v>
      </c>
      <c r="E137" s="858">
        <f t="shared" si="8"/>
        <v>0</v>
      </c>
    </row>
    <row r="138" spans="1:8" x14ac:dyDescent="0.15">
      <c r="A138" s="661">
        <f t="shared" si="9"/>
        <v>44694</v>
      </c>
      <c r="B138" s="1039">
        <v>1757</v>
      </c>
      <c r="C138" s="858">
        <f>+SUMIF('YTD Purchases'!C:C,'NCCPL Working'!A138, 'YTD Purchases'!F:F)+SUMIF('YTD Sales'!B:B,'NCCPL Working'!A138,'YTD Sales'!F:F)</f>
        <v>29287009</v>
      </c>
      <c r="D138" s="858">
        <f t="shared" si="7"/>
        <v>1757</v>
      </c>
      <c r="E138" s="858">
        <f t="shared" si="8"/>
        <v>0</v>
      </c>
    </row>
    <row r="139" spans="1:8" x14ac:dyDescent="0.15">
      <c r="A139" s="661">
        <f t="shared" si="9"/>
        <v>44695</v>
      </c>
      <c r="C139" s="858">
        <f>+SUMIF('YTD Purchases'!C:C,'NCCPL Working'!A139, 'YTD Purchases'!F:F)+SUMIF('YTD Sales'!B:B,'NCCPL Working'!A139,'YTD Sales'!F:F)</f>
        <v>0</v>
      </c>
      <c r="D139" s="858">
        <f t="shared" si="7"/>
        <v>0</v>
      </c>
      <c r="E139" s="858">
        <f t="shared" si="8"/>
        <v>0</v>
      </c>
    </row>
    <row r="140" spans="1:8" x14ac:dyDescent="0.15">
      <c r="A140" s="661">
        <f t="shared" si="9"/>
        <v>44696</v>
      </c>
      <c r="C140" s="858">
        <f>+SUMIF('YTD Purchases'!C:C,'NCCPL Working'!A140, 'YTD Purchases'!F:F)+SUMIF('YTD Sales'!B:B,'NCCPL Working'!A140,'YTD Sales'!F:F)</f>
        <v>0</v>
      </c>
      <c r="D140" s="858">
        <f t="shared" si="7"/>
        <v>0</v>
      </c>
      <c r="E140" s="858">
        <f t="shared" si="8"/>
        <v>0</v>
      </c>
    </row>
    <row r="141" spans="1:8" x14ac:dyDescent="0.15">
      <c r="A141" s="661">
        <f t="shared" si="9"/>
        <v>44697</v>
      </c>
      <c r="B141" s="1039">
        <v>5</v>
      </c>
      <c r="C141" s="858">
        <f>+SUMIF('YTD Purchases'!C:C,'NCCPL Working'!A141, 'YTD Purchases'!F:F)+SUMIF('YTD Sales'!B:B,'NCCPL Working'!A141,'YTD Sales'!F:F)</f>
        <v>90875</v>
      </c>
      <c r="D141" s="858">
        <f t="shared" si="7"/>
        <v>5</v>
      </c>
      <c r="E141" s="858">
        <f t="shared" si="8"/>
        <v>0</v>
      </c>
    </row>
    <row r="142" spans="1:8" x14ac:dyDescent="0.15">
      <c r="A142" s="661">
        <f t="shared" si="9"/>
        <v>44698</v>
      </c>
      <c r="B142" s="1039">
        <v>714</v>
      </c>
      <c r="C142" s="858">
        <f>+SUMIF('YTD Purchases'!C:C,'NCCPL Working'!A142, 'YTD Purchases'!F:F)+SUMIF('YTD Sales'!B:B,'NCCPL Working'!A142,'YTD Sales'!F:F)</f>
        <v>11906132.359999999</v>
      </c>
      <c r="D142" s="858">
        <f t="shared" ref="D142:D205" si="10">ROUND(C142/100000*6,0)</f>
        <v>714</v>
      </c>
      <c r="E142" s="858">
        <f t="shared" si="8"/>
        <v>0</v>
      </c>
    </row>
    <row r="143" spans="1:8" x14ac:dyDescent="0.15">
      <c r="A143" s="661">
        <f t="shared" si="9"/>
        <v>44699</v>
      </c>
      <c r="B143" s="1039">
        <v>1292</v>
      </c>
      <c r="C143" s="858">
        <f>+SUMIF('YTD Purchases'!C:C,'NCCPL Working'!A143, 'YTD Purchases'!F:F)+SUMIF('YTD Sales'!B:B,'NCCPL Working'!A143,'YTD Sales'!F:F)</f>
        <v>21526666.133990865</v>
      </c>
      <c r="D143" s="858">
        <f t="shared" si="10"/>
        <v>1292</v>
      </c>
      <c r="E143" s="858">
        <f t="shared" si="8"/>
        <v>0</v>
      </c>
    </row>
    <row r="144" spans="1:8" x14ac:dyDescent="0.15">
      <c r="A144" s="661">
        <f t="shared" si="9"/>
        <v>44700</v>
      </c>
      <c r="B144" s="1039">
        <v>994</v>
      </c>
      <c r="C144" s="858">
        <f>+SUMIF('YTD Purchases'!C:C,'NCCPL Working'!A144, 'YTD Purchases'!F:F)+SUMIF('YTD Sales'!B:B,'NCCPL Working'!A144,'YTD Sales'!F:F)</f>
        <v>16564584.5</v>
      </c>
      <c r="D144" s="858">
        <f t="shared" si="10"/>
        <v>994</v>
      </c>
      <c r="E144" s="858">
        <f t="shared" si="8"/>
        <v>0</v>
      </c>
      <c r="G144" s="1007"/>
      <c r="H144" s="858"/>
    </row>
    <row r="145" spans="1:5" x14ac:dyDescent="0.15">
      <c r="A145" s="661">
        <f t="shared" si="9"/>
        <v>44701</v>
      </c>
      <c r="B145" s="1039">
        <v>6468</v>
      </c>
      <c r="C145" s="858">
        <f>+SUMIF('YTD Purchases'!C:C,'NCCPL Working'!A145, 'YTD Purchases'!F:F)+SUMIF('YTD Sales'!B:B,'NCCPL Working'!A145,'YTD Sales'!F:F)</f>
        <v>107806746.5</v>
      </c>
      <c r="D145" s="858">
        <f t="shared" si="10"/>
        <v>6468</v>
      </c>
      <c r="E145" s="858">
        <f t="shared" si="8"/>
        <v>0</v>
      </c>
    </row>
    <row r="146" spans="1:5" x14ac:dyDescent="0.15">
      <c r="A146" s="661">
        <f t="shared" si="9"/>
        <v>44702</v>
      </c>
      <c r="C146" s="858">
        <f>+SUMIF('YTD Purchases'!C:C,'NCCPL Working'!A146, 'YTD Purchases'!F:F)+SUMIF('YTD Sales'!B:B,'NCCPL Working'!A146,'YTD Sales'!F:F)</f>
        <v>0</v>
      </c>
      <c r="D146" s="858">
        <f t="shared" si="10"/>
        <v>0</v>
      </c>
      <c r="E146" s="858">
        <f t="shared" si="8"/>
        <v>0</v>
      </c>
    </row>
    <row r="147" spans="1:5" x14ac:dyDescent="0.15">
      <c r="A147" s="661">
        <f t="shared" si="9"/>
        <v>44703</v>
      </c>
      <c r="C147" s="858">
        <f>+SUMIF('YTD Purchases'!C:C,'NCCPL Working'!A147, 'YTD Purchases'!F:F)+SUMIF('YTD Sales'!B:B,'NCCPL Working'!A147,'YTD Sales'!F:F)</f>
        <v>0</v>
      </c>
      <c r="D147" s="858">
        <f t="shared" si="10"/>
        <v>0</v>
      </c>
      <c r="E147" s="858">
        <f t="shared" si="8"/>
        <v>0</v>
      </c>
    </row>
    <row r="148" spans="1:5" x14ac:dyDescent="0.15">
      <c r="A148" s="661">
        <f t="shared" si="9"/>
        <v>44704</v>
      </c>
      <c r="B148" s="1039">
        <v>811</v>
      </c>
      <c r="C148" s="858">
        <f>+SUMIF('YTD Purchases'!C:C,'NCCPL Working'!A148, 'YTD Purchases'!F:F)+SUMIF('YTD Sales'!B:B,'NCCPL Working'!A148,'YTD Sales'!F:F)</f>
        <v>13518404.875</v>
      </c>
      <c r="D148" s="858">
        <f t="shared" si="10"/>
        <v>811</v>
      </c>
      <c r="E148" s="858">
        <f t="shared" si="8"/>
        <v>0</v>
      </c>
    </row>
    <row r="149" spans="1:5" x14ac:dyDescent="0.15">
      <c r="A149" s="661">
        <f t="shared" si="9"/>
        <v>44705</v>
      </c>
      <c r="B149" s="1039">
        <v>238</v>
      </c>
      <c r="C149" s="858">
        <f>+SUMIF('YTD Purchases'!C:C,'NCCPL Working'!A149, 'YTD Purchases'!F:F)+SUMIF('YTD Sales'!B:B,'NCCPL Working'!A149,'YTD Sales'!F:F)</f>
        <v>3966790</v>
      </c>
      <c r="D149" s="858">
        <f t="shared" si="10"/>
        <v>238</v>
      </c>
      <c r="E149" s="858">
        <f t="shared" si="8"/>
        <v>0</v>
      </c>
    </row>
    <row r="150" spans="1:5" x14ac:dyDescent="0.15">
      <c r="A150" s="661">
        <f t="shared" si="9"/>
        <v>44706</v>
      </c>
      <c r="B150" s="1039">
        <v>4578</v>
      </c>
      <c r="C150" s="858">
        <f>+SUMIF('YTD Purchases'!C:C,'NCCPL Working'!A150, 'YTD Purchases'!F:F)+SUMIF('YTD Sales'!B:B,'NCCPL Working'!A150,'YTD Sales'!F:F)</f>
        <v>76303871.783087432</v>
      </c>
      <c r="D150" s="858">
        <f t="shared" si="10"/>
        <v>4578</v>
      </c>
      <c r="E150" s="858">
        <f t="shared" si="8"/>
        <v>0</v>
      </c>
    </row>
    <row r="151" spans="1:5" x14ac:dyDescent="0.15">
      <c r="A151" s="661">
        <f t="shared" si="9"/>
        <v>44707</v>
      </c>
      <c r="B151" s="1039">
        <v>2310</v>
      </c>
      <c r="C151" s="858">
        <f>+SUMIF('YTD Purchases'!C:C,'NCCPL Working'!A151, 'YTD Purchases'!F:F)+SUMIF('YTD Sales'!B:B,'NCCPL Working'!A151,'YTD Sales'!F:F)</f>
        <v>38495683.795002997</v>
      </c>
      <c r="D151" s="858">
        <f t="shared" si="10"/>
        <v>2310</v>
      </c>
      <c r="E151" s="858">
        <f t="shared" si="8"/>
        <v>0</v>
      </c>
    </row>
    <row r="152" spans="1:5" x14ac:dyDescent="0.15">
      <c r="A152" s="661">
        <f t="shared" si="9"/>
        <v>44708</v>
      </c>
      <c r="B152" s="1039">
        <v>1299</v>
      </c>
      <c r="C152" s="858">
        <f>+SUMIF('YTD Purchases'!C:C,'NCCPL Working'!A152, 'YTD Purchases'!F:F)+SUMIF('YTD Sales'!B:B,'NCCPL Working'!A152,'YTD Sales'!F:F)</f>
        <v>21653592</v>
      </c>
      <c r="D152" s="858">
        <f t="shared" si="10"/>
        <v>1299</v>
      </c>
      <c r="E152" s="858">
        <f t="shared" si="8"/>
        <v>0</v>
      </c>
    </row>
    <row r="153" spans="1:5" x14ac:dyDescent="0.15">
      <c r="A153" s="661">
        <f t="shared" si="9"/>
        <v>44709</v>
      </c>
      <c r="C153" s="858">
        <f>+SUMIF('YTD Purchases'!C:C,'NCCPL Working'!A153, 'YTD Purchases'!F:F)+SUMIF('YTD Sales'!B:B,'NCCPL Working'!A153,'YTD Sales'!F:F)</f>
        <v>0</v>
      </c>
      <c r="D153" s="858">
        <f t="shared" si="10"/>
        <v>0</v>
      </c>
      <c r="E153" s="858">
        <f t="shared" si="8"/>
        <v>0</v>
      </c>
    </row>
    <row r="154" spans="1:5" x14ac:dyDescent="0.15">
      <c r="A154" s="661">
        <f t="shared" si="9"/>
        <v>44710</v>
      </c>
      <c r="C154" s="858">
        <f>+SUMIF('YTD Purchases'!C:C,'NCCPL Working'!A154, 'YTD Purchases'!F:F)+SUMIF('YTD Sales'!B:B,'NCCPL Working'!A154,'YTD Sales'!F:F)</f>
        <v>0</v>
      </c>
      <c r="D154" s="858">
        <f t="shared" si="10"/>
        <v>0</v>
      </c>
      <c r="E154" s="858">
        <f t="shared" si="8"/>
        <v>0</v>
      </c>
    </row>
    <row r="155" spans="1:5" x14ac:dyDescent="0.15">
      <c r="A155" s="661">
        <f t="shared" si="9"/>
        <v>44711</v>
      </c>
      <c r="B155" s="1039">
        <v>24</v>
      </c>
      <c r="C155" s="858">
        <f>+SUMIF('YTD Purchases'!C:C,'NCCPL Working'!A155, 'YTD Purchases'!F:F)+SUMIF('YTD Sales'!B:B,'NCCPL Working'!A155,'YTD Sales'!F:F)</f>
        <v>394434</v>
      </c>
      <c r="D155" s="858">
        <f t="shared" si="10"/>
        <v>24</v>
      </c>
      <c r="E155" s="858">
        <f t="shared" si="8"/>
        <v>0</v>
      </c>
    </row>
    <row r="156" spans="1:5" x14ac:dyDescent="0.15">
      <c r="A156" s="661">
        <f t="shared" si="9"/>
        <v>44712</v>
      </c>
      <c r="B156" s="1039">
        <v>86</v>
      </c>
      <c r="C156" s="858">
        <f>+SUMIF('YTD Purchases'!C:C,'NCCPL Working'!A156, 'YTD Purchases'!F:F)+SUMIF('YTD Sales'!B:B,'NCCPL Working'!A156,'YTD Sales'!F:F)</f>
        <v>1439935</v>
      </c>
      <c r="D156" s="858">
        <f t="shared" si="10"/>
        <v>86</v>
      </c>
      <c r="E156" s="858">
        <f t="shared" si="8"/>
        <v>0</v>
      </c>
    </row>
    <row r="157" spans="1:5" x14ac:dyDescent="0.15">
      <c r="A157" s="661">
        <f t="shared" si="9"/>
        <v>44713</v>
      </c>
      <c r="B157" s="1039">
        <v>113</v>
      </c>
      <c r="C157" s="858">
        <f>+SUMIF('YTD Purchases'!C:C,'NCCPL Working'!A157, 'YTD Purchases'!F:F)+SUMIF('YTD Sales'!B:B,'NCCPL Working'!A157,'YTD Sales'!F:F)</f>
        <v>1876349</v>
      </c>
      <c r="D157" s="858">
        <f t="shared" si="10"/>
        <v>113</v>
      </c>
      <c r="E157" s="858">
        <f t="shared" si="8"/>
        <v>0</v>
      </c>
    </row>
    <row r="158" spans="1:5" x14ac:dyDescent="0.15">
      <c r="A158" s="661">
        <f t="shared" si="9"/>
        <v>44714</v>
      </c>
      <c r="B158" s="1039">
        <v>68</v>
      </c>
      <c r="C158" s="858">
        <f>+SUMIF('YTD Purchases'!C:C,'NCCPL Working'!A158, 'YTD Purchases'!F:F)+SUMIF('YTD Sales'!B:B,'NCCPL Working'!A158,'YTD Sales'!F:F)</f>
        <v>1138682</v>
      </c>
      <c r="D158" s="858">
        <f t="shared" si="10"/>
        <v>68</v>
      </c>
      <c r="E158" s="858">
        <f t="shared" si="8"/>
        <v>0</v>
      </c>
    </row>
    <row r="159" spans="1:5" x14ac:dyDescent="0.15">
      <c r="A159" s="661">
        <f t="shared" si="9"/>
        <v>44715</v>
      </c>
      <c r="B159" s="1039">
        <v>2850</v>
      </c>
      <c r="C159" s="858">
        <f>+SUMIF('YTD Purchases'!C:C,'NCCPL Working'!A159, 'YTD Purchases'!F:F)+SUMIF('YTD Sales'!B:B,'NCCPL Working'!A159,'YTD Sales'!F:F)</f>
        <v>47502948.230000004</v>
      </c>
      <c r="D159" s="858">
        <f t="shared" si="10"/>
        <v>2850</v>
      </c>
      <c r="E159" s="858">
        <f t="shared" si="8"/>
        <v>0</v>
      </c>
    </row>
    <row r="160" spans="1:5" x14ac:dyDescent="0.15">
      <c r="A160" s="661">
        <f t="shared" si="9"/>
        <v>44716</v>
      </c>
      <c r="C160" s="858">
        <f>+SUMIF('YTD Purchases'!C:C,'NCCPL Working'!A160, 'YTD Purchases'!F:F)+SUMIF('YTD Sales'!B:B,'NCCPL Working'!A160,'YTD Sales'!F:F)</f>
        <v>0</v>
      </c>
      <c r="D160" s="858">
        <f t="shared" si="10"/>
        <v>0</v>
      </c>
      <c r="E160" s="858">
        <f t="shared" si="8"/>
        <v>0</v>
      </c>
    </row>
    <row r="161" spans="1:5" x14ac:dyDescent="0.15">
      <c r="A161" s="661">
        <f t="shared" si="9"/>
        <v>44717</v>
      </c>
      <c r="C161" s="858">
        <f>+SUMIF('YTD Purchases'!C:C,'NCCPL Working'!A161, 'YTD Purchases'!F:F)+SUMIF('YTD Sales'!B:B,'NCCPL Working'!A161,'YTD Sales'!F:F)</f>
        <v>0</v>
      </c>
      <c r="D161" s="858">
        <f t="shared" si="10"/>
        <v>0</v>
      </c>
      <c r="E161" s="858">
        <f t="shared" si="8"/>
        <v>0</v>
      </c>
    </row>
    <row r="162" spans="1:5" x14ac:dyDescent="0.15">
      <c r="A162" s="661">
        <f t="shared" si="9"/>
        <v>44718</v>
      </c>
      <c r="C162" s="858">
        <f>+SUMIF('YTD Purchases'!C:C,'NCCPL Working'!A162, 'YTD Purchases'!F:F)+SUMIF('YTD Sales'!B:B,'NCCPL Working'!A162,'YTD Sales'!F:F)</f>
        <v>0</v>
      </c>
      <c r="D162" s="858">
        <f t="shared" si="10"/>
        <v>0</v>
      </c>
      <c r="E162" s="858">
        <f t="shared" si="8"/>
        <v>0</v>
      </c>
    </row>
    <row r="163" spans="1:5" x14ac:dyDescent="0.15">
      <c r="A163" s="661">
        <f t="shared" si="9"/>
        <v>44719</v>
      </c>
      <c r="B163" s="1039">
        <v>6</v>
      </c>
      <c r="C163" s="858">
        <f>+SUMIF('YTD Purchases'!C:C,'NCCPL Working'!A163, 'YTD Purchases'!F:F)+SUMIF('YTD Sales'!B:B,'NCCPL Working'!A163,'YTD Sales'!F:F)</f>
        <v>106500</v>
      </c>
      <c r="D163" s="858">
        <f t="shared" si="10"/>
        <v>6</v>
      </c>
      <c r="E163" s="858">
        <f t="shared" si="8"/>
        <v>0</v>
      </c>
    </row>
    <row r="164" spans="1:5" x14ac:dyDescent="0.15">
      <c r="A164" s="661">
        <f t="shared" si="9"/>
        <v>44720</v>
      </c>
      <c r="B164" s="1039">
        <v>512</v>
      </c>
      <c r="C164" s="858">
        <f>+SUMIF('YTD Purchases'!C:C,'NCCPL Working'!A164, 'YTD Purchases'!F:F)+SUMIF('YTD Sales'!B:B,'NCCPL Working'!A164,'YTD Sales'!F:F)</f>
        <v>8540000</v>
      </c>
      <c r="D164" s="858">
        <f t="shared" si="10"/>
        <v>512</v>
      </c>
      <c r="E164" s="858">
        <f t="shared" si="8"/>
        <v>0</v>
      </c>
    </row>
    <row r="165" spans="1:5" x14ac:dyDescent="0.15">
      <c r="A165" s="661">
        <f t="shared" si="9"/>
        <v>44721</v>
      </c>
      <c r="B165" s="1039">
        <v>97</v>
      </c>
      <c r="C165" s="858">
        <f>+SUMIF('YTD Purchases'!C:C,'NCCPL Working'!A165, 'YTD Purchases'!F:F)+SUMIF('YTD Sales'!B:B,'NCCPL Working'!A165,'YTD Sales'!F:F)</f>
        <v>1620753</v>
      </c>
      <c r="D165" s="858">
        <f t="shared" si="10"/>
        <v>97</v>
      </c>
      <c r="E165" s="858">
        <f t="shared" si="8"/>
        <v>0</v>
      </c>
    </row>
    <row r="166" spans="1:5" x14ac:dyDescent="0.15">
      <c r="A166" s="661">
        <f t="shared" si="9"/>
        <v>44722</v>
      </c>
      <c r="B166" s="1039">
        <v>868</v>
      </c>
      <c r="C166" s="858">
        <f>+SUMIF('YTD Purchases'!C:C,'NCCPL Working'!A166, 'YTD Purchases'!F:F)+SUMIF('YTD Sales'!B:B,'NCCPL Working'!A166,'YTD Sales'!F:F)</f>
        <v>14460052.699999999</v>
      </c>
      <c r="D166" s="858">
        <f t="shared" si="10"/>
        <v>868</v>
      </c>
      <c r="E166" s="858">
        <f t="shared" si="8"/>
        <v>0</v>
      </c>
    </row>
    <row r="167" spans="1:5" x14ac:dyDescent="0.15">
      <c r="A167" s="661">
        <f t="shared" si="9"/>
        <v>44723</v>
      </c>
      <c r="C167" s="858">
        <f>+SUMIF('YTD Purchases'!C:C,'NCCPL Working'!A167, 'YTD Purchases'!F:F)+SUMIF('YTD Sales'!B:B,'NCCPL Working'!A167,'YTD Sales'!F:F)</f>
        <v>0</v>
      </c>
      <c r="D167" s="858">
        <f t="shared" si="10"/>
        <v>0</v>
      </c>
      <c r="E167" s="858">
        <f t="shared" si="8"/>
        <v>0</v>
      </c>
    </row>
    <row r="168" spans="1:5" x14ac:dyDescent="0.15">
      <c r="A168" s="661">
        <f t="shared" si="9"/>
        <v>44724</v>
      </c>
      <c r="C168" s="858">
        <f>+SUMIF('YTD Purchases'!C:C,'NCCPL Working'!A168, 'YTD Purchases'!F:F)+SUMIF('YTD Sales'!B:B,'NCCPL Working'!A168,'YTD Sales'!F:F)</f>
        <v>0</v>
      </c>
      <c r="D168" s="858">
        <f t="shared" si="10"/>
        <v>0</v>
      </c>
      <c r="E168" s="858">
        <f t="shared" si="8"/>
        <v>0</v>
      </c>
    </row>
    <row r="169" spans="1:5" x14ac:dyDescent="0.15">
      <c r="A169" s="661">
        <f t="shared" si="9"/>
        <v>44725</v>
      </c>
      <c r="B169" s="1039">
        <v>1624</v>
      </c>
      <c r="C169" s="858">
        <f>+SUMIF('YTD Purchases'!C:C,'NCCPL Working'!A169, 'YTD Purchases'!F:F)+SUMIF('YTD Sales'!B:B,'NCCPL Working'!A169,'YTD Sales'!F:F)</f>
        <v>27067019.710000001</v>
      </c>
      <c r="D169" s="858">
        <f t="shared" si="10"/>
        <v>1624</v>
      </c>
      <c r="E169" s="858">
        <f t="shared" si="8"/>
        <v>0</v>
      </c>
    </row>
    <row r="170" spans="1:5" x14ac:dyDescent="0.15">
      <c r="A170" s="661">
        <f t="shared" si="9"/>
        <v>44726</v>
      </c>
      <c r="B170" s="1039">
        <v>563</v>
      </c>
      <c r="C170" s="858">
        <f>+SUMIF('YTD Purchases'!C:C,'NCCPL Working'!A170, 'YTD Purchases'!F:F)+SUMIF('YTD Sales'!B:B,'NCCPL Working'!A170,'YTD Sales'!F:F)</f>
        <v>9377027</v>
      </c>
      <c r="D170" s="858">
        <f t="shared" si="10"/>
        <v>563</v>
      </c>
      <c r="E170" s="858">
        <f t="shared" si="8"/>
        <v>0</v>
      </c>
    </row>
    <row r="171" spans="1:5" x14ac:dyDescent="0.15">
      <c r="A171" s="661">
        <f t="shared" si="9"/>
        <v>44727</v>
      </c>
      <c r="B171" s="1039">
        <v>3573</v>
      </c>
      <c r="C171" s="858">
        <f>+SUMIF('YTD Purchases'!C:C,'NCCPL Working'!A171, 'YTD Purchases'!F:F)+SUMIF('YTD Sales'!B:B,'NCCPL Working'!A171,'YTD Sales'!F:F)</f>
        <v>59546945.299999997</v>
      </c>
      <c r="D171" s="858">
        <f t="shared" si="10"/>
        <v>3573</v>
      </c>
      <c r="E171" s="858">
        <f t="shared" si="8"/>
        <v>0</v>
      </c>
    </row>
    <row r="172" spans="1:5" x14ac:dyDescent="0.15">
      <c r="A172" s="661">
        <f t="shared" si="9"/>
        <v>44728</v>
      </c>
      <c r="B172" s="1039">
        <v>988</v>
      </c>
      <c r="C172" s="858">
        <f>+SUMIF('YTD Purchases'!C:C,'NCCPL Working'!A172, 'YTD Purchases'!F:F)+SUMIF('YTD Sales'!B:B,'NCCPL Working'!A172,'YTD Sales'!F:F)</f>
        <v>16458567.75</v>
      </c>
      <c r="D172" s="858">
        <f t="shared" si="10"/>
        <v>988</v>
      </c>
      <c r="E172" s="858">
        <f t="shared" si="8"/>
        <v>0</v>
      </c>
    </row>
    <row r="173" spans="1:5" x14ac:dyDescent="0.15">
      <c r="A173" s="661">
        <f t="shared" si="9"/>
        <v>44729</v>
      </c>
      <c r="B173" s="1039">
        <v>2759</v>
      </c>
      <c r="C173" s="858">
        <f>+SUMIF('YTD Purchases'!C:C,'NCCPL Working'!A173, 'YTD Purchases'!F:F)+SUMIF('YTD Sales'!B:B,'NCCPL Working'!A173,'YTD Sales'!F:F)</f>
        <v>45988983.377692536</v>
      </c>
      <c r="D173" s="858">
        <f t="shared" si="10"/>
        <v>2759</v>
      </c>
      <c r="E173" s="858">
        <f t="shared" si="8"/>
        <v>0</v>
      </c>
    </row>
    <row r="174" spans="1:5" x14ac:dyDescent="0.15">
      <c r="A174" s="661">
        <f t="shared" si="9"/>
        <v>44730</v>
      </c>
      <c r="C174" s="858">
        <f>+SUMIF('YTD Purchases'!C:C,'NCCPL Working'!A174, 'YTD Purchases'!F:F)+SUMIF('YTD Sales'!B:B,'NCCPL Working'!A174,'YTD Sales'!F:F)</f>
        <v>0</v>
      </c>
      <c r="D174" s="858">
        <f t="shared" si="10"/>
        <v>0</v>
      </c>
      <c r="E174" s="858">
        <f t="shared" si="8"/>
        <v>0</v>
      </c>
    </row>
    <row r="175" spans="1:5" x14ac:dyDescent="0.15">
      <c r="A175" s="661">
        <f t="shared" si="9"/>
        <v>44731</v>
      </c>
      <c r="C175" s="858">
        <f>+SUMIF('YTD Purchases'!C:C,'NCCPL Working'!A175, 'YTD Purchases'!F:F)+SUMIF('YTD Sales'!B:B,'NCCPL Working'!A175,'YTD Sales'!F:F)</f>
        <v>0</v>
      </c>
      <c r="D175" s="858">
        <f t="shared" si="10"/>
        <v>0</v>
      </c>
      <c r="E175" s="858">
        <f t="shared" si="8"/>
        <v>0</v>
      </c>
    </row>
    <row r="176" spans="1:5" x14ac:dyDescent="0.15">
      <c r="A176" s="661">
        <f t="shared" si="9"/>
        <v>44732</v>
      </c>
      <c r="B176" s="1039">
        <v>501</v>
      </c>
      <c r="C176" s="858">
        <f>+SUMIF('YTD Purchases'!C:C,'NCCPL Working'!A176, 'YTD Purchases'!F:F)+SUMIF('YTD Sales'!B:B,'NCCPL Working'!A176,'YTD Sales'!F:F)</f>
        <v>8356209.5</v>
      </c>
      <c r="D176" s="858">
        <f t="shared" si="10"/>
        <v>501</v>
      </c>
      <c r="E176" s="858">
        <f t="shared" si="8"/>
        <v>0</v>
      </c>
    </row>
    <row r="177" spans="1:5" x14ac:dyDescent="0.15">
      <c r="A177" s="661">
        <f t="shared" si="9"/>
        <v>44733</v>
      </c>
      <c r="B177" s="1039">
        <v>1484</v>
      </c>
      <c r="C177" s="858">
        <f>+SUMIF('YTD Purchases'!C:C,'NCCPL Working'!A177, 'YTD Purchases'!F:F)+SUMIF('YTD Sales'!B:B,'NCCPL Working'!A177,'YTD Sales'!F:F)</f>
        <v>24736014.175749317</v>
      </c>
      <c r="D177" s="858">
        <f t="shared" si="10"/>
        <v>1484</v>
      </c>
      <c r="E177" s="858">
        <f t="shared" si="8"/>
        <v>0</v>
      </c>
    </row>
    <row r="178" spans="1:5" x14ac:dyDescent="0.15">
      <c r="A178" s="661">
        <f t="shared" si="9"/>
        <v>44734</v>
      </c>
      <c r="B178" s="1039">
        <v>838</v>
      </c>
      <c r="C178" s="858">
        <f>+SUMIF('YTD Purchases'!C:C,'NCCPL Working'!A178, 'YTD Purchases'!F:F)+SUMIF('YTD Sales'!B:B,'NCCPL Working'!A178,'YTD Sales'!F:F)</f>
        <v>13973797.5</v>
      </c>
      <c r="D178" s="858">
        <f t="shared" si="10"/>
        <v>838</v>
      </c>
      <c r="E178" s="858">
        <f t="shared" si="8"/>
        <v>0</v>
      </c>
    </row>
    <row r="179" spans="1:5" x14ac:dyDescent="0.15">
      <c r="A179" s="661">
        <f t="shared" si="9"/>
        <v>44735</v>
      </c>
      <c r="B179" s="1039">
        <v>80</v>
      </c>
      <c r="C179" s="858">
        <f>+SUMIF('YTD Purchases'!C:C,'NCCPL Working'!A179, 'YTD Purchases'!F:F)+SUMIF('YTD Sales'!B:B,'NCCPL Working'!A179,'YTD Sales'!F:F)</f>
        <v>1338834</v>
      </c>
      <c r="D179" s="858">
        <f t="shared" si="10"/>
        <v>80</v>
      </c>
      <c r="E179" s="858">
        <f t="shared" si="8"/>
        <v>0</v>
      </c>
    </row>
    <row r="180" spans="1:5" x14ac:dyDescent="0.15">
      <c r="A180" s="661">
        <f t="shared" si="9"/>
        <v>44736</v>
      </c>
      <c r="B180" s="1039">
        <v>730</v>
      </c>
      <c r="C180" s="858">
        <f>+SUMIF('YTD Purchases'!C:C,'NCCPL Working'!A180, 'YTD Purchases'!F:F)+SUMIF('YTD Sales'!B:B,'NCCPL Working'!A180,'YTD Sales'!F:F)</f>
        <v>12163651</v>
      </c>
      <c r="D180" s="858">
        <f t="shared" si="10"/>
        <v>730</v>
      </c>
      <c r="E180" s="858">
        <f t="shared" si="8"/>
        <v>0</v>
      </c>
    </row>
    <row r="181" spans="1:5" x14ac:dyDescent="0.15">
      <c r="A181" s="661">
        <f t="shared" si="9"/>
        <v>44737</v>
      </c>
      <c r="C181" s="858">
        <f>+SUMIF('YTD Purchases'!C:C,'NCCPL Working'!A181, 'YTD Purchases'!F:F)+SUMIF('YTD Sales'!B:B,'NCCPL Working'!A181,'YTD Sales'!F:F)</f>
        <v>0</v>
      </c>
      <c r="D181" s="858">
        <f t="shared" si="10"/>
        <v>0</v>
      </c>
      <c r="E181" s="858">
        <f t="shared" si="8"/>
        <v>0</v>
      </c>
    </row>
    <row r="182" spans="1:5" x14ac:dyDescent="0.15">
      <c r="A182" s="661">
        <f t="shared" si="9"/>
        <v>44738</v>
      </c>
      <c r="C182" s="858">
        <f>+SUMIF('YTD Purchases'!C:C,'NCCPL Working'!A182, 'YTD Purchases'!F:F)+SUMIF('YTD Sales'!B:B,'NCCPL Working'!A182,'YTD Sales'!F:F)</f>
        <v>0</v>
      </c>
      <c r="D182" s="858">
        <f t="shared" si="10"/>
        <v>0</v>
      </c>
      <c r="E182" s="858">
        <f t="shared" si="8"/>
        <v>0</v>
      </c>
    </row>
    <row r="183" spans="1:5" x14ac:dyDescent="0.15">
      <c r="A183" s="661">
        <f t="shared" si="9"/>
        <v>44739</v>
      </c>
      <c r="B183" s="1039">
        <v>1174</v>
      </c>
      <c r="C183" s="858">
        <f>+SUMIF('YTD Purchases'!C:C,'NCCPL Working'!A183, 'YTD Purchases'!F:F)+SUMIF('YTD Sales'!B:B,'NCCPL Working'!A183,'YTD Sales'!F:F)</f>
        <v>19574358.25</v>
      </c>
      <c r="D183" s="858">
        <f t="shared" si="10"/>
        <v>1174</v>
      </c>
      <c r="E183" s="858">
        <f t="shared" si="8"/>
        <v>0</v>
      </c>
    </row>
    <row r="184" spans="1:5" x14ac:dyDescent="0.15">
      <c r="A184" s="661">
        <f t="shared" si="9"/>
        <v>44740</v>
      </c>
      <c r="B184" s="1039">
        <v>411</v>
      </c>
      <c r="C184" s="858">
        <f>+SUMIF('YTD Purchases'!C:C,'NCCPL Working'!A184, 'YTD Purchases'!F:F)+SUMIF('YTD Sales'!B:B,'NCCPL Working'!A184,'YTD Sales'!F:F)</f>
        <v>6844618.8591681039</v>
      </c>
      <c r="D184" s="858">
        <f t="shared" si="10"/>
        <v>411</v>
      </c>
      <c r="E184" s="858">
        <f t="shared" si="8"/>
        <v>0</v>
      </c>
    </row>
    <row r="185" spans="1:5" x14ac:dyDescent="0.15">
      <c r="A185" s="661">
        <f t="shared" si="9"/>
        <v>44741</v>
      </c>
      <c r="B185" s="1039">
        <v>260</v>
      </c>
      <c r="C185" s="858">
        <f>+SUMIF('YTD Purchases'!C:C,'NCCPL Working'!A185, 'YTD Purchases'!F:F)+SUMIF('YTD Sales'!B:B,'NCCPL Working'!A185,'YTD Sales'!F:F)</f>
        <v>1504332063.5</v>
      </c>
      <c r="D185" s="858">
        <f t="shared" si="10"/>
        <v>90260</v>
      </c>
      <c r="E185" s="858">
        <f t="shared" si="8"/>
        <v>90000</v>
      </c>
    </row>
    <row r="186" spans="1:5" x14ac:dyDescent="0.15">
      <c r="A186" s="661">
        <f t="shared" si="9"/>
        <v>44742</v>
      </c>
      <c r="B186" s="1039">
        <v>7061</v>
      </c>
      <c r="C186" s="858">
        <f>+SUMIF('YTD Purchases'!C:C,'NCCPL Working'!A186, 'YTD Purchases'!F:F)+SUMIF('YTD Sales'!B:B,'NCCPL Working'!A186,'YTD Sales'!F:F)</f>
        <v>117684376.14285713</v>
      </c>
      <c r="D186" s="858">
        <f t="shared" si="10"/>
        <v>7061</v>
      </c>
      <c r="E186" s="858">
        <f t="shared" si="8"/>
        <v>0</v>
      </c>
    </row>
    <row r="187" spans="1:5" x14ac:dyDescent="0.15">
      <c r="A187" s="661">
        <f t="shared" si="9"/>
        <v>44743</v>
      </c>
      <c r="B187" s="1039">
        <v>11063</v>
      </c>
      <c r="C187" s="858">
        <f>+SUMIF('YTD Purchases'!C:C,'NCCPL Working'!A187, 'YTD Purchases'!F:F)+SUMIF('YTD Sales'!B:B,'NCCPL Working'!A187,'YTD Sales'!F:F)</f>
        <v>184380571.56</v>
      </c>
      <c r="D187" s="858">
        <f t="shared" si="10"/>
        <v>11063</v>
      </c>
      <c r="E187" s="858">
        <f t="shared" si="8"/>
        <v>0</v>
      </c>
    </row>
    <row r="188" spans="1:5" x14ac:dyDescent="0.15">
      <c r="A188" s="661">
        <f t="shared" si="9"/>
        <v>44744</v>
      </c>
      <c r="C188" s="858">
        <f>+SUMIF('YTD Purchases'!C:C,'NCCPL Working'!A188, 'YTD Purchases'!F:F)+SUMIF('YTD Sales'!B:B,'NCCPL Working'!A188,'YTD Sales'!F:F)</f>
        <v>0</v>
      </c>
      <c r="D188" s="858">
        <f t="shared" si="10"/>
        <v>0</v>
      </c>
      <c r="E188" s="858">
        <f t="shared" si="8"/>
        <v>0</v>
      </c>
    </row>
    <row r="189" spans="1:5" x14ac:dyDescent="0.15">
      <c r="A189" s="661">
        <f t="shared" si="9"/>
        <v>44745</v>
      </c>
      <c r="C189" s="858">
        <f>+SUMIF('YTD Purchases'!C:C,'NCCPL Working'!A189, 'YTD Purchases'!F:F)+SUMIF('YTD Sales'!B:B,'NCCPL Working'!A189,'YTD Sales'!F:F)</f>
        <v>0</v>
      </c>
      <c r="D189" s="858">
        <f t="shared" si="10"/>
        <v>0</v>
      </c>
      <c r="E189" s="858">
        <f t="shared" si="8"/>
        <v>0</v>
      </c>
    </row>
    <row r="190" spans="1:5" x14ac:dyDescent="0.15">
      <c r="A190" s="661">
        <f t="shared" si="9"/>
        <v>44746</v>
      </c>
      <c r="B190" s="1039">
        <v>1081</v>
      </c>
      <c r="C190" s="858">
        <f>+SUMIF('YTD Purchases'!C:C,'NCCPL Working'!A190, 'YTD Purchases'!F:F)+SUMIF('YTD Sales'!B:B,'NCCPL Working'!A190,'YTD Sales'!F:F)</f>
        <v>18022735.759999998</v>
      </c>
      <c r="D190" s="858">
        <f t="shared" si="10"/>
        <v>1081</v>
      </c>
      <c r="E190" s="858">
        <f t="shared" si="8"/>
        <v>0</v>
      </c>
    </row>
    <row r="191" spans="1:5" x14ac:dyDescent="0.15">
      <c r="A191" s="661">
        <f t="shared" si="9"/>
        <v>44747</v>
      </c>
      <c r="B191" s="1039">
        <v>603</v>
      </c>
      <c r="C191" s="858">
        <f>+SUMIF('YTD Purchases'!C:C,'NCCPL Working'!A191, 'YTD Purchases'!F:F)+SUMIF('YTD Sales'!B:B,'NCCPL Working'!A191,'YTD Sales'!F:F)</f>
        <v>10049344.49</v>
      </c>
      <c r="D191" s="858">
        <f t="shared" si="10"/>
        <v>603</v>
      </c>
      <c r="E191" s="858">
        <f t="shared" si="8"/>
        <v>0</v>
      </c>
    </row>
    <row r="192" spans="1:5" x14ac:dyDescent="0.15">
      <c r="A192" s="661">
        <f t="shared" si="9"/>
        <v>44748</v>
      </c>
      <c r="B192" s="1039">
        <v>83</v>
      </c>
      <c r="C192" s="858">
        <f>+SUMIF('YTD Purchases'!C:C,'NCCPL Working'!A192, 'YTD Purchases'!F:F)+SUMIF('YTD Sales'!B:B,'NCCPL Working'!A192,'YTD Sales'!F:F)</f>
        <v>1375735</v>
      </c>
      <c r="D192" s="858">
        <f t="shared" si="10"/>
        <v>83</v>
      </c>
      <c r="E192" s="858">
        <f t="shared" si="8"/>
        <v>0</v>
      </c>
    </row>
    <row r="193" spans="1:5" x14ac:dyDescent="0.15">
      <c r="A193" s="661">
        <f t="shared" si="9"/>
        <v>44749</v>
      </c>
      <c r="B193" s="1039">
        <v>821</v>
      </c>
      <c r="C193" s="858">
        <f>+SUMIF('YTD Purchases'!C:C,'NCCPL Working'!A193, 'YTD Purchases'!F:F)+SUMIF('YTD Sales'!B:B,'NCCPL Working'!A193,'YTD Sales'!F:F)</f>
        <v>13688104.548272727</v>
      </c>
      <c r="D193" s="858">
        <f t="shared" si="10"/>
        <v>821</v>
      </c>
      <c r="E193" s="858">
        <f t="shared" si="8"/>
        <v>0</v>
      </c>
    </row>
    <row r="194" spans="1:5" x14ac:dyDescent="0.15">
      <c r="A194" s="661">
        <f t="shared" si="9"/>
        <v>44750</v>
      </c>
      <c r="C194" s="858">
        <f>+SUMIF('YTD Purchases'!C:C,'NCCPL Working'!A194, 'YTD Purchases'!F:F)+SUMIF('YTD Sales'!B:B,'NCCPL Working'!A194,'YTD Sales'!F:F)</f>
        <v>0</v>
      </c>
      <c r="D194" s="858">
        <f t="shared" si="10"/>
        <v>0</v>
      </c>
      <c r="E194" s="858">
        <f t="shared" si="8"/>
        <v>0</v>
      </c>
    </row>
    <row r="195" spans="1:5" x14ac:dyDescent="0.15">
      <c r="A195" s="661">
        <f t="shared" si="9"/>
        <v>44751</v>
      </c>
      <c r="C195" s="858">
        <f>+SUMIF('YTD Purchases'!C:C,'NCCPL Working'!A195, 'YTD Purchases'!F:F)+SUMIF('YTD Sales'!B:B,'NCCPL Working'!A195,'YTD Sales'!F:F)</f>
        <v>0</v>
      </c>
      <c r="D195" s="858">
        <f t="shared" si="10"/>
        <v>0</v>
      </c>
      <c r="E195" s="858">
        <f t="shared" si="8"/>
        <v>0</v>
      </c>
    </row>
    <row r="196" spans="1:5" x14ac:dyDescent="0.15">
      <c r="A196" s="661">
        <f t="shared" si="9"/>
        <v>44752</v>
      </c>
      <c r="C196" s="858">
        <f>+SUMIF('YTD Purchases'!C:C,'NCCPL Working'!A196, 'YTD Purchases'!F:F)+SUMIF('YTD Sales'!B:B,'NCCPL Working'!A196,'YTD Sales'!F:F)</f>
        <v>0</v>
      </c>
      <c r="D196" s="858">
        <f t="shared" si="10"/>
        <v>0</v>
      </c>
      <c r="E196" s="858">
        <f t="shared" si="8"/>
        <v>0</v>
      </c>
    </row>
    <row r="197" spans="1:5" x14ac:dyDescent="0.15">
      <c r="A197" s="661">
        <f t="shared" si="9"/>
        <v>44753</v>
      </c>
      <c r="C197" s="858">
        <f>+SUMIF('YTD Purchases'!C:C,'NCCPL Working'!A197, 'YTD Purchases'!F:F)+SUMIF('YTD Sales'!B:B,'NCCPL Working'!A197,'YTD Sales'!F:F)</f>
        <v>0</v>
      </c>
      <c r="D197" s="858">
        <f t="shared" si="10"/>
        <v>0</v>
      </c>
      <c r="E197" s="858">
        <f t="shared" si="8"/>
        <v>0</v>
      </c>
    </row>
    <row r="198" spans="1:5" x14ac:dyDescent="0.15">
      <c r="A198" s="661">
        <f t="shared" si="9"/>
        <v>44754</v>
      </c>
      <c r="C198" s="858">
        <f>+SUMIF('YTD Purchases'!C:C,'NCCPL Working'!A198, 'YTD Purchases'!F:F)+SUMIF('YTD Sales'!B:B,'NCCPL Working'!A198,'YTD Sales'!F:F)</f>
        <v>0</v>
      </c>
      <c r="D198" s="858">
        <f t="shared" si="10"/>
        <v>0</v>
      </c>
      <c r="E198" s="858">
        <f t="shared" si="8"/>
        <v>0</v>
      </c>
    </row>
    <row r="199" spans="1:5" x14ac:dyDescent="0.15">
      <c r="A199" s="661">
        <f t="shared" si="9"/>
        <v>44755</v>
      </c>
      <c r="B199" s="1039">
        <v>5189</v>
      </c>
      <c r="C199" s="858">
        <f>+SUMIF('YTD Purchases'!C:C,'NCCPL Working'!A199, 'YTD Purchases'!F:F)+SUMIF('YTD Sales'!B:B,'NCCPL Working'!A199,'YTD Sales'!F:F)</f>
        <v>86475658.494271845</v>
      </c>
      <c r="D199" s="858">
        <f t="shared" si="10"/>
        <v>5189</v>
      </c>
      <c r="E199" s="858">
        <f t="shared" ref="E199:E262" si="11">+D199-B199</f>
        <v>0</v>
      </c>
    </row>
    <row r="200" spans="1:5" x14ac:dyDescent="0.15">
      <c r="A200" s="661">
        <f t="shared" ref="A200:A263" si="12">+A199+1</f>
        <v>44756</v>
      </c>
      <c r="B200" s="1039">
        <v>443</v>
      </c>
      <c r="C200" s="858">
        <f>+SUMIF('YTD Purchases'!C:C,'NCCPL Working'!A200, 'YTD Purchases'!F:F)+SUMIF('YTD Sales'!B:B,'NCCPL Working'!A200,'YTD Sales'!F:F)</f>
        <v>7382560.5</v>
      </c>
      <c r="D200" s="858">
        <f t="shared" si="10"/>
        <v>443</v>
      </c>
      <c r="E200" s="858">
        <f t="shared" si="11"/>
        <v>0</v>
      </c>
    </row>
    <row r="201" spans="1:5" x14ac:dyDescent="0.15">
      <c r="A201" s="661">
        <f t="shared" si="12"/>
        <v>44757</v>
      </c>
      <c r="C201" s="858">
        <f>+SUMIF('YTD Purchases'!C:C,'NCCPL Working'!A201, 'YTD Purchases'!F:F)+SUMIF('YTD Sales'!B:B,'NCCPL Working'!A201,'YTD Sales'!F:F)</f>
        <v>4217401.0049999999</v>
      </c>
      <c r="D201" s="858">
        <f t="shared" si="10"/>
        <v>253</v>
      </c>
      <c r="E201" s="858">
        <f t="shared" si="11"/>
        <v>253</v>
      </c>
    </row>
    <row r="202" spans="1:5" x14ac:dyDescent="0.15">
      <c r="A202" s="661">
        <f t="shared" si="12"/>
        <v>44758</v>
      </c>
      <c r="C202" s="858">
        <f>+SUMIF('YTD Purchases'!C:C,'NCCPL Working'!A202, 'YTD Purchases'!F:F)+SUMIF('YTD Sales'!B:B,'NCCPL Working'!A202,'YTD Sales'!F:F)</f>
        <v>0</v>
      </c>
      <c r="D202" s="858">
        <f t="shared" si="10"/>
        <v>0</v>
      </c>
      <c r="E202" s="858">
        <f t="shared" si="11"/>
        <v>0</v>
      </c>
    </row>
    <row r="203" spans="1:5" x14ac:dyDescent="0.15">
      <c r="A203" s="661">
        <f t="shared" si="12"/>
        <v>44759</v>
      </c>
      <c r="C203" s="858">
        <f>+SUMIF('YTD Purchases'!C:C,'NCCPL Working'!A203, 'YTD Purchases'!F:F)+SUMIF('YTD Sales'!B:B,'NCCPL Working'!A203,'YTD Sales'!F:F)</f>
        <v>0</v>
      </c>
      <c r="D203" s="858">
        <f t="shared" si="10"/>
        <v>0</v>
      </c>
      <c r="E203" s="858">
        <f t="shared" si="11"/>
        <v>0</v>
      </c>
    </row>
    <row r="204" spans="1:5" x14ac:dyDescent="0.15">
      <c r="A204" s="661">
        <f t="shared" si="12"/>
        <v>44760</v>
      </c>
      <c r="C204" s="858">
        <f>+SUMIF('YTD Purchases'!C:C,'NCCPL Working'!A204, 'YTD Purchases'!F:F)+SUMIF('YTD Sales'!B:B,'NCCPL Working'!A204,'YTD Sales'!F:F)</f>
        <v>16883337.085416667</v>
      </c>
      <c r="D204" s="858">
        <f t="shared" si="10"/>
        <v>1013</v>
      </c>
      <c r="E204" s="858">
        <f t="shared" si="11"/>
        <v>1013</v>
      </c>
    </row>
    <row r="205" spans="1:5" x14ac:dyDescent="0.15">
      <c r="A205" s="661">
        <f t="shared" si="12"/>
        <v>44761</v>
      </c>
      <c r="B205" s="1039">
        <v>5124</v>
      </c>
      <c r="C205" s="858">
        <f>+SUMIF('YTD Purchases'!C:C,'NCCPL Working'!A205, 'YTD Purchases'!F:F)+SUMIF('YTD Sales'!B:B,'NCCPL Working'!A205,'YTD Sales'!F:F)</f>
        <v>85396778.360217035</v>
      </c>
      <c r="D205" s="858">
        <f t="shared" si="10"/>
        <v>5124</v>
      </c>
      <c r="E205" s="858">
        <f t="shared" si="11"/>
        <v>0</v>
      </c>
    </row>
    <row r="206" spans="1:5" x14ac:dyDescent="0.15">
      <c r="A206" s="661">
        <f t="shared" si="12"/>
        <v>44762</v>
      </c>
      <c r="B206" s="1039">
        <v>104</v>
      </c>
      <c r="C206" s="858">
        <f>+SUMIF('YTD Purchases'!C:C,'NCCPL Working'!A206, 'YTD Purchases'!F:F)+SUMIF('YTD Sales'!B:B,'NCCPL Working'!A206,'YTD Sales'!F:F)</f>
        <v>1730341.4999999998</v>
      </c>
      <c r="D206" s="858">
        <f t="shared" ref="D206:D269" si="13">ROUND(C206/100000*6,0)</f>
        <v>104</v>
      </c>
      <c r="E206" s="858">
        <f t="shared" si="11"/>
        <v>0</v>
      </c>
    </row>
    <row r="207" spans="1:5" x14ac:dyDescent="0.15">
      <c r="A207" s="661">
        <f t="shared" si="12"/>
        <v>44763</v>
      </c>
      <c r="B207" s="1039">
        <v>1393</v>
      </c>
      <c r="C207" s="858">
        <f>+SUMIF('YTD Purchases'!C:C,'NCCPL Working'!A207, 'YTD Purchases'!F:F)+SUMIF('YTD Sales'!B:B,'NCCPL Working'!A207,'YTD Sales'!F:F)</f>
        <v>23215971.540266667</v>
      </c>
      <c r="D207" s="858">
        <f t="shared" si="13"/>
        <v>1393</v>
      </c>
      <c r="E207" s="858">
        <f t="shared" si="11"/>
        <v>0</v>
      </c>
    </row>
    <row r="208" spans="1:5" x14ac:dyDescent="0.15">
      <c r="A208" s="661">
        <f t="shared" si="12"/>
        <v>44764</v>
      </c>
      <c r="B208" s="1039">
        <v>1820</v>
      </c>
      <c r="C208" s="858">
        <f>+SUMIF('YTD Purchases'!C:C,'NCCPL Working'!A208, 'YTD Purchases'!F:F)+SUMIF('YTD Sales'!B:B,'NCCPL Working'!A208,'YTD Sales'!F:F)</f>
        <v>30329014.09</v>
      </c>
      <c r="D208" s="858">
        <f t="shared" si="13"/>
        <v>1820</v>
      </c>
      <c r="E208" s="858">
        <f t="shared" si="11"/>
        <v>0</v>
      </c>
    </row>
    <row r="209" spans="1:5" x14ac:dyDescent="0.15">
      <c r="A209" s="661">
        <f t="shared" si="12"/>
        <v>44765</v>
      </c>
      <c r="C209" s="858">
        <f>+SUMIF('YTD Purchases'!C:C,'NCCPL Working'!A209, 'YTD Purchases'!F:F)+SUMIF('YTD Sales'!B:B,'NCCPL Working'!A209,'YTD Sales'!F:F)</f>
        <v>0</v>
      </c>
      <c r="D209" s="858">
        <f t="shared" si="13"/>
        <v>0</v>
      </c>
      <c r="E209" s="858">
        <f t="shared" si="11"/>
        <v>0</v>
      </c>
    </row>
    <row r="210" spans="1:5" x14ac:dyDescent="0.15">
      <c r="A210" s="661">
        <f t="shared" si="12"/>
        <v>44766</v>
      </c>
      <c r="C210" s="858">
        <f>+SUMIF('YTD Purchases'!C:C,'NCCPL Working'!A210, 'YTD Purchases'!F:F)+SUMIF('YTD Sales'!B:B,'NCCPL Working'!A210,'YTD Sales'!F:F)</f>
        <v>0</v>
      </c>
      <c r="D210" s="858">
        <f t="shared" si="13"/>
        <v>0</v>
      </c>
      <c r="E210" s="858">
        <f t="shared" si="11"/>
        <v>0</v>
      </c>
    </row>
    <row r="211" spans="1:5" x14ac:dyDescent="0.15">
      <c r="A211" s="661">
        <f t="shared" si="12"/>
        <v>44767</v>
      </c>
      <c r="C211" s="858">
        <f>+SUMIF('YTD Purchases'!C:C,'NCCPL Working'!A211, 'YTD Purchases'!F:F)+SUMIF('YTD Sales'!B:B,'NCCPL Working'!A211,'YTD Sales'!F:F)</f>
        <v>0</v>
      </c>
      <c r="D211" s="858">
        <f t="shared" si="13"/>
        <v>0</v>
      </c>
      <c r="E211" s="858">
        <f t="shared" si="11"/>
        <v>0</v>
      </c>
    </row>
    <row r="212" spans="1:5" x14ac:dyDescent="0.15">
      <c r="A212" s="661">
        <f t="shared" si="12"/>
        <v>44768</v>
      </c>
      <c r="C212" s="858">
        <f>+SUMIF('YTD Purchases'!C:C,'NCCPL Working'!A212, 'YTD Purchases'!F:F)+SUMIF('YTD Sales'!B:B,'NCCPL Working'!A212,'YTD Sales'!F:F)</f>
        <v>0</v>
      </c>
      <c r="D212" s="858">
        <f t="shared" si="13"/>
        <v>0</v>
      </c>
      <c r="E212" s="858">
        <f t="shared" si="11"/>
        <v>0</v>
      </c>
    </row>
    <row r="213" spans="1:5" x14ac:dyDescent="0.15">
      <c r="A213" s="661">
        <f t="shared" si="12"/>
        <v>44769</v>
      </c>
      <c r="C213" s="858">
        <f>+SUMIF('YTD Purchases'!C:C,'NCCPL Working'!A213, 'YTD Purchases'!F:F)+SUMIF('YTD Sales'!B:B,'NCCPL Working'!A213,'YTD Sales'!F:F)</f>
        <v>0</v>
      </c>
      <c r="D213" s="858">
        <f t="shared" si="13"/>
        <v>0</v>
      </c>
      <c r="E213" s="858">
        <f t="shared" si="11"/>
        <v>0</v>
      </c>
    </row>
    <row r="214" spans="1:5" x14ac:dyDescent="0.15">
      <c r="A214" s="661">
        <f t="shared" si="12"/>
        <v>44770</v>
      </c>
      <c r="C214" s="858">
        <f>+SUMIF('YTD Purchases'!C:C,'NCCPL Working'!A214, 'YTD Purchases'!F:F)+SUMIF('YTD Sales'!B:B,'NCCPL Working'!A214,'YTD Sales'!F:F)</f>
        <v>0</v>
      </c>
      <c r="D214" s="858">
        <f t="shared" si="13"/>
        <v>0</v>
      </c>
      <c r="E214" s="858">
        <f t="shared" si="11"/>
        <v>0</v>
      </c>
    </row>
    <row r="215" spans="1:5" x14ac:dyDescent="0.15">
      <c r="A215" s="661">
        <f t="shared" si="12"/>
        <v>44771</v>
      </c>
      <c r="C215" s="858">
        <f>+SUMIF('YTD Purchases'!C:C,'NCCPL Working'!A215, 'YTD Purchases'!F:F)+SUMIF('YTD Sales'!B:B,'NCCPL Working'!A215,'YTD Sales'!F:F)</f>
        <v>0</v>
      </c>
      <c r="D215" s="858">
        <f t="shared" si="13"/>
        <v>0</v>
      </c>
      <c r="E215" s="858">
        <f t="shared" si="11"/>
        <v>0</v>
      </c>
    </row>
    <row r="216" spans="1:5" x14ac:dyDescent="0.15">
      <c r="A216" s="661">
        <f t="shared" si="12"/>
        <v>44772</v>
      </c>
      <c r="C216" s="858">
        <f>+SUMIF('YTD Purchases'!C:C,'NCCPL Working'!A216, 'YTD Purchases'!F:F)+SUMIF('YTD Sales'!B:B,'NCCPL Working'!A216,'YTD Sales'!F:F)</f>
        <v>0</v>
      </c>
      <c r="D216" s="858">
        <f t="shared" si="13"/>
        <v>0</v>
      </c>
      <c r="E216" s="858">
        <f t="shared" si="11"/>
        <v>0</v>
      </c>
    </row>
    <row r="217" spans="1:5" x14ac:dyDescent="0.15">
      <c r="A217" s="661">
        <f t="shared" si="12"/>
        <v>44773</v>
      </c>
      <c r="C217" s="858">
        <f>+SUMIF('YTD Purchases'!C:C,'NCCPL Working'!A217, 'YTD Purchases'!F:F)+SUMIF('YTD Sales'!B:B,'NCCPL Working'!A217,'YTD Sales'!F:F)</f>
        <v>0</v>
      </c>
      <c r="D217" s="858">
        <f t="shared" si="13"/>
        <v>0</v>
      </c>
      <c r="E217" s="858">
        <f t="shared" si="11"/>
        <v>0</v>
      </c>
    </row>
    <row r="218" spans="1:5" x14ac:dyDescent="0.15">
      <c r="A218" s="661">
        <f t="shared" si="12"/>
        <v>44774</v>
      </c>
      <c r="C218" s="858">
        <f>+SUMIF('YTD Purchases'!C:C,'NCCPL Working'!A218, 'YTD Purchases'!F:F)+SUMIF('YTD Sales'!B:B,'NCCPL Working'!A218,'YTD Sales'!F:F)</f>
        <v>0</v>
      </c>
      <c r="D218" s="858">
        <f t="shared" si="13"/>
        <v>0</v>
      </c>
      <c r="E218" s="858">
        <f t="shared" si="11"/>
        <v>0</v>
      </c>
    </row>
    <row r="219" spans="1:5" x14ac:dyDescent="0.15">
      <c r="A219" s="661">
        <f t="shared" si="12"/>
        <v>44775</v>
      </c>
      <c r="C219" s="858">
        <f>+SUMIF('YTD Purchases'!C:C,'NCCPL Working'!A219, 'YTD Purchases'!F:F)+SUMIF('YTD Sales'!B:B,'NCCPL Working'!A219,'YTD Sales'!F:F)</f>
        <v>0</v>
      </c>
      <c r="D219" s="858">
        <f t="shared" si="13"/>
        <v>0</v>
      </c>
      <c r="E219" s="858">
        <f t="shared" si="11"/>
        <v>0</v>
      </c>
    </row>
    <row r="220" spans="1:5" x14ac:dyDescent="0.15">
      <c r="A220" s="661">
        <f t="shared" si="12"/>
        <v>44776</v>
      </c>
      <c r="C220" s="858">
        <f>+SUMIF('YTD Purchases'!C:C,'NCCPL Working'!A220, 'YTD Purchases'!F:F)+SUMIF('YTD Sales'!B:B,'NCCPL Working'!A220,'YTD Sales'!F:F)</f>
        <v>0</v>
      </c>
      <c r="D220" s="858">
        <f t="shared" si="13"/>
        <v>0</v>
      </c>
      <c r="E220" s="858">
        <f t="shared" si="11"/>
        <v>0</v>
      </c>
    </row>
    <row r="221" spans="1:5" x14ac:dyDescent="0.15">
      <c r="A221" s="661">
        <f t="shared" si="12"/>
        <v>44777</v>
      </c>
      <c r="C221" s="858">
        <f>+SUMIF('YTD Purchases'!C:C,'NCCPL Working'!A221, 'YTD Purchases'!F:F)+SUMIF('YTD Sales'!B:B,'NCCPL Working'!A221,'YTD Sales'!F:F)</f>
        <v>0</v>
      </c>
      <c r="D221" s="858">
        <f t="shared" si="13"/>
        <v>0</v>
      </c>
      <c r="E221" s="858">
        <f t="shared" si="11"/>
        <v>0</v>
      </c>
    </row>
    <row r="222" spans="1:5" x14ac:dyDescent="0.15">
      <c r="A222" s="661">
        <f t="shared" si="12"/>
        <v>44778</v>
      </c>
      <c r="C222" s="858">
        <f>+SUMIF('YTD Purchases'!C:C,'NCCPL Working'!A222, 'YTD Purchases'!F:F)+SUMIF('YTD Sales'!B:B,'NCCPL Working'!A222,'YTD Sales'!F:F)</f>
        <v>0</v>
      </c>
      <c r="D222" s="858">
        <f t="shared" si="13"/>
        <v>0</v>
      </c>
      <c r="E222" s="858">
        <f t="shared" si="11"/>
        <v>0</v>
      </c>
    </row>
    <row r="223" spans="1:5" x14ac:dyDescent="0.15">
      <c r="A223" s="661">
        <f t="shared" si="12"/>
        <v>44779</v>
      </c>
      <c r="C223" s="858">
        <f>+SUMIF('YTD Purchases'!C:C,'NCCPL Working'!A223, 'YTD Purchases'!F:F)+SUMIF('YTD Sales'!B:B,'NCCPL Working'!A223,'YTD Sales'!F:F)</f>
        <v>0</v>
      </c>
      <c r="D223" s="858">
        <f t="shared" si="13"/>
        <v>0</v>
      </c>
      <c r="E223" s="858">
        <f t="shared" si="11"/>
        <v>0</v>
      </c>
    </row>
    <row r="224" spans="1:5" x14ac:dyDescent="0.15">
      <c r="A224" s="661">
        <f t="shared" si="12"/>
        <v>44780</v>
      </c>
      <c r="C224" s="858">
        <f>+SUMIF('YTD Purchases'!C:C,'NCCPL Working'!A224, 'YTD Purchases'!F:F)+SUMIF('YTD Sales'!B:B,'NCCPL Working'!A224,'YTD Sales'!F:F)</f>
        <v>0</v>
      </c>
      <c r="D224" s="858">
        <f t="shared" si="13"/>
        <v>0</v>
      </c>
      <c r="E224" s="858">
        <f t="shared" si="11"/>
        <v>0</v>
      </c>
    </row>
    <row r="225" spans="1:5" x14ac:dyDescent="0.15">
      <c r="A225" s="661">
        <f t="shared" si="12"/>
        <v>44781</v>
      </c>
      <c r="C225" s="858">
        <f>+SUMIF('YTD Purchases'!C:C,'NCCPL Working'!A225, 'YTD Purchases'!F:F)+SUMIF('YTD Sales'!B:B,'NCCPL Working'!A225,'YTD Sales'!F:F)</f>
        <v>0</v>
      </c>
      <c r="D225" s="858">
        <f t="shared" si="13"/>
        <v>0</v>
      </c>
      <c r="E225" s="858">
        <f t="shared" si="11"/>
        <v>0</v>
      </c>
    </row>
    <row r="226" spans="1:5" x14ac:dyDescent="0.15">
      <c r="A226" s="661">
        <f t="shared" si="12"/>
        <v>44782</v>
      </c>
      <c r="C226" s="858">
        <f>+SUMIF('YTD Purchases'!C:C,'NCCPL Working'!A226, 'YTD Purchases'!F:F)+SUMIF('YTD Sales'!B:B,'NCCPL Working'!A226,'YTD Sales'!F:F)</f>
        <v>0</v>
      </c>
      <c r="D226" s="858">
        <f t="shared" si="13"/>
        <v>0</v>
      </c>
      <c r="E226" s="858">
        <f t="shared" si="11"/>
        <v>0</v>
      </c>
    </row>
    <row r="227" spans="1:5" x14ac:dyDescent="0.15">
      <c r="A227" s="661">
        <f t="shared" si="12"/>
        <v>44783</v>
      </c>
      <c r="C227" s="858">
        <f>+SUMIF('YTD Purchases'!C:C,'NCCPL Working'!A227, 'YTD Purchases'!F:F)+SUMIF('YTD Sales'!B:B,'NCCPL Working'!A227,'YTD Sales'!F:F)</f>
        <v>0</v>
      </c>
      <c r="D227" s="858">
        <f t="shared" si="13"/>
        <v>0</v>
      </c>
      <c r="E227" s="858">
        <f t="shared" si="11"/>
        <v>0</v>
      </c>
    </row>
    <row r="228" spans="1:5" x14ac:dyDescent="0.15">
      <c r="A228" s="661">
        <f t="shared" si="12"/>
        <v>44784</v>
      </c>
      <c r="C228" s="858">
        <f>+SUMIF('YTD Purchases'!C:C,'NCCPL Working'!A228, 'YTD Purchases'!F:F)+SUMIF('YTD Sales'!B:B,'NCCPL Working'!A228,'YTD Sales'!F:F)</f>
        <v>0</v>
      </c>
      <c r="D228" s="858">
        <f t="shared" si="13"/>
        <v>0</v>
      </c>
      <c r="E228" s="858">
        <f t="shared" si="11"/>
        <v>0</v>
      </c>
    </row>
    <row r="229" spans="1:5" x14ac:dyDescent="0.15">
      <c r="A229" s="661">
        <f t="shared" si="12"/>
        <v>44785</v>
      </c>
      <c r="C229" s="858">
        <f>+SUMIF('YTD Purchases'!C:C,'NCCPL Working'!A229, 'YTD Purchases'!F:F)+SUMIF('YTD Sales'!B:B,'NCCPL Working'!A229,'YTD Sales'!F:F)</f>
        <v>0</v>
      </c>
      <c r="D229" s="858">
        <f t="shared" si="13"/>
        <v>0</v>
      </c>
      <c r="E229" s="858">
        <f t="shared" si="11"/>
        <v>0</v>
      </c>
    </row>
    <row r="230" spans="1:5" x14ac:dyDescent="0.15">
      <c r="A230" s="661">
        <f t="shared" si="12"/>
        <v>44786</v>
      </c>
      <c r="C230" s="858">
        <f>+SUMIF('YTD Purchases'!C:C,'NCCPL Working'!A230, 'YTD Purchases'!F:F)+SUMIF('YTD Sales'!B:B,'NCCPL Working'!A230,'YTD Sales'!F:F)</f>
        <v>0</v>
      </c>
      <c r="D230" s="858">
        <f t="shared" si="13"/>
        <v>0</v>
      </c>
      <c r="E230" s="858">
        <f t="shared" si="11"/>
        <v>0</v>
      </c>
    </row>
    <row r="231" spans="1:5" x14ac:dyDescent="0.15">
      <c r="A231" s="661">
        <f t="shared" si="12"/>
        <v>44787</v>
      </c>
      <c r="C231" s="858">
        <f>+SUMIF('YTD Purchases'!C:C,'NCCPL Working'!A231, 'YTD Purchases'!F:F)+SUMIF('YTD Sales'!B:B,'NCCPL Working'!A231,'YTD Sales'!F:F)</f>
        <v>0</v>
      </c>
      <c r="D231" s="858">
        <f t="shared" si="13"/>
        <v>0</v>
      </c>
      <c r="E231" s="858">
        <f t="shared" si="11"/>
        <v>0</v>
      </c>
    </row>
    <row r="232" spans="1:5" x14ac:dyDescent="0.15">
      <c r="A232" s="661">
        <f t="shared" si="12"/>
        <v>44788</v>
      </c>
      <c r="C232" s="858">
        <f>+SUMIF('YTD Purchases'!C:C,'NCCPL Working'!A232, 'YTD Purchases'!F:F)+SUMIF('YTD Sales'!B:B,'NCCPL Working'!A232,'YTD Sales'!F:F)</f>
        <v>0</v>
      </c>
      <c r="D232" s="858">
        <f t="shared" si="13"/>
        <v>0</v>
      </c>
      <c r="E232" s="858">
        <f t="shared" si="11"/>
        <v>0</v>
      </c>
    </row>
    <row r="233" spans="1:5" x14ac:dyDescent="0.15">
      <c r="A233" s="661">
        <f t="shared" si="12"/>
        <v>44789</v>
      </c>
      <c r="C233" s="858">
        <f>+SUMIF('YTD Purchases'!C:C,'NCCPL Working'!A233, 'YTD Purchases'!F:F)+SUMIF('YTD Sales'!B:B,'NCCPL Working'!A233,'YTD Sales'!F:F)</f>
        <v>0</v>
      </c>
      <c r="D233" s="858">
        <f t="shared" si="13"/>
        <v>0</v>
      </c>
      <c r="E233" s="858">
        <f t="shared" si="11"/>
        <v>0</v>
      </c>
    </row>
    <row r="234" spans="1:5" x14ac:dyDescent="0.15">
      <c r="A234" s="661">
        <f t="shared" si="12"/>
        <v>44790</v>
      </c>
      <c r="C234" s="858">
        <f>+SUMIF('YTD Purchases'!C:C,'NCCPL Working'!A234, 'YTD Purchases'!F:F)+SUMIF('YTD Sales'!B:B,'NCCPL Working'!A234,'YTD Sales'!F:F)</f>
        <v>0</v>
      </c>
      <c r="D234" s="858">
        <f t="shared" si="13"/>
        <v>0</v>
      </c>
      <c r="E234" s="858">
        <f t="shared" si="11"/>
        <v>0</v>
      </c>
    </row>
    <row r="235" spans="1:5" x14ac:dyDescent="0.15">
      <c r="A235" s="661">
        <f t="shared" si="12"/>
        <v>44791</v>
      </c>
      <c r="C235" s="858">
        <f>+SUMIF('YTD Purchases'!C:C,'NCCPL Working'!A235, 'YTD Purchases'!F:F)+SUMIF('YTD Sales'!B:B,'NCCPL Working'!A235,'YTD Sales'!F:F)</f>
        <v>0</v>
      </c>
      <c r="D235" s="858">
        <f t="shared" si="13"/>
        <v>0</v>
      </c>
      <c r="E235" s="858">
        <f t="shared" si="11"/>
        <v>0</v>
      </c>
    </row>
    <row r="236" spans="1:5" x14ac:dyDescent="0.15">
      <c r="A236" s="661">
        <f t="shared" si="12"/>
        <v>44792</v>
      </c>
      <c r="C236" s="858">
        <f>+SUMIF('YTD Purchases'!C:C,'NCCPL Working'!A236, 'YTD Purchases'!F:F)+SUMIF('YTD Sales'!B:B,'NCCPL Working'!A236,'YTD Sales'!F:F)</f>
        <v>0</v>
      </c>
      <c r="D236" s="858">
        <f t="shared" si="13"/>
        <v>0</v>
      </c>
      <c r="E236" s="858">
        <f t="shared" si="11"/>
        <v>0</v>
      </c>
    </row>
    <row r="237" spans="1:5" x14ac:dyDescent="0.15">
      <c r="A237" s="661">
        <f t="shared" si="12"/>
        <v>44793</v>
      </c>
      <c r="C237" s="858">
        <f>+SUMIF('YTD Purchases'!C:C,'NCCPL Working'!A237, 'YTD Purchases'!F:F)+SUMIF('YTD Sales'!B:B,'NCCPL Working'!A237,'YTD Sales'!F:F)</f>
        <v>0</v>
      </c>
      <c r="D237" s="858">
        <f t="shared" si="13"/>
        <v>0</v>
      </c>
      <c r="E237" s="858">
        <f t="shared" si="11"/>
        <v>0</v>
      </c>
    </row>
    <row r="238" spans="1:5" x14ac:dyDescent="0.15">
      <c r="A238" s="661">
        <f t="shared" si="12"/>
        <v>44794</v>
      </c>
      <c r="C238" s="858">
        <f>+SUMIF('YTD Purchases'!C:C,'NCCPL Working'!A238, 'YTD Purchases'!F:F)+SUMIF('YTD Sales'!B:B,'NCCPL Working'!A238,'YTD Sales'!F:F)</f>
        <v>0</v>
      </c>
      <c r="D238" s="858">
        <f t="shared" si="13"/>
        <v>0</v>
      </c>
      <c r="E238" s="858">
        <f t="shared" si="11"/>
        <v>0</v>
      </c>
    </row>
    <row r="239" spans="1:5" x14ac:dyDescent="0.15">
      <c r="A239" s="661">
        <f t="shared" si="12"/>
        <v>44795</v>
      </c>
      <c r="C239" s="858">
        <f>+SUMIF('YTD Purchases'!C:C,'NCCPL Working'!A239, 'YTD Purchases'!F:F)+SUMIF('YTD Sales'!B:B,'NCCPL Working'!A239,'YTD Sales'!F:F)</f>
        <v>0</v>
      </c>
      <c r="D239" s="858">
        <f t="shared" si="13"/>
        <v>0</v>
      </c>
      <c r="E239" s="858">
        <f t="shared" si="11"/>
        <v>0</v>
      </c>
    </row>
    <row r="240" spans="1:5" x14ac:dyDescent="0.15">
      <c r="A240" s="661">
        <f t="shared" si="12"/>
        <v>44796</v>
      </c>
      <c r="C240" s="858">
        <f>+SUMIF('YTD Purchases'!C:C,'NCCPL Working'!A240, 'YTD Purchases'!F:F)+SUMIF('YTD Sales'!B:B,'NCCPL Working'!A240,'YTD Sales'!F:F)</f>
        <v>0</v>
      </c>
      <c r="D240" s="858">
        <f t="shared" si="13"/>
        <v>0</v>
      </c>
      <c r="E240" s="858">
        <f t="shared" si="11"/>
        <v>0</v>
      </c>
    </row>
    <row r="241" spans="1:5" x14ac:dyDescent="0.15">
      <c r="A241" s="661">
        <f t="shared" si="12"/>
        <v>44797</v>
      </c>
      <c r="C241" s="858">
        <f>+SUMIF('YTD Purchases'!C:C,'NCCPL Working'!A241, 'YTD Purchases'!F:F)+SUMIF('YTD Sales'!B:B,'NCCPL Working'!A241,'YTD Sales'!F:F)</f>
        <v>0</v>
      </c>
      <c r="D241" s="858">
        <f t="shared" si="13"/>
        <v>0</v>
      </c>
      <c r="E241" s="858">
        <f t="shared" si="11"/>
        <v>0</v>
      </c>
    </row>
    <row r="242" spans="1:5" x14ac:dyDescent="0.15">
      <c r="A242" s="661">
        <f t="shared" si="12"/>
        <v>44798</v>
      </c>
      <c r="C242" s="858">
        <f>+SUMIF('YTD Purchases'!C:C,'NCCPL Working'!A242, 'YTD Purchases'!F:F)+SUMIF('YTD Sales'!B:B,'NCCPL Working'!A242,'YTD Sales'!F:F)</f>
        <v>0</v>
      </c>
      <c r="D242" s="858">
        <f t="shared" si="13"/>
        <v>0</v>
      </c>
      <c r="E242" s="858">
        <f t="shared" si="11"/>
        <v>0</v>
      </c>
    </row>
    <row r="243" spans="1:5" x14ac:dyDescent="0.15">
      <c r="A243" s="661">
        <f t="shared" si="12"/>
        <v>44799</v>
      </c>
      <c r="C243" s="858">
        <f>+SUMIF('YTD Purchases'!C:C,'NCCPL Working'!A243, 'YTD Purchases'!F:F)+SUMIF('YTD Sales'!B:B,'NCCPL Working'!A243,'YTD Sales'!F:F)</f>
        <v>0</v>
      </c>
      <c r="D243" s="858">
        <f t="shared" si="13"/>
        <v>0</v>
      </c>
      <c r="E243" s="858">
        <f t="shared" si="11"/>
        <v>0</v>
      </c>
    </row>
    <row r="244" spans="1:5" x14ac:dyDescent="0.15">
      <c r="A244" s="661">
        <f t="shared" si="12"/>
        <v>44800</v>
      </c>
      <c r="C244" s="858">
        <f>+SUMIF('YTD Purchases'!C:C,'NCCPL Working'!A244, 'YTD Purchases'!F:F)+SUMIF('YTD Sales'!B:B,'NCCPL Working'!A244,'YTD Sales'!F:F)</f>
        <v>0</v>
      </c>
      <c r="D244" s="858">
        <f t="shared" si="13"/>
        <v>0</v>
      </c>
      <c r="E244" s="858">
        <f t="shared" si="11"/>
        <v>0</v>
      </c>
    </row>
    <row r="245" spans="1:5" x14ac:dyDescent="0.15">
      <c r="A245" s="661">
        <f t="shared" si="12"/>
        <v>44801</v>
      </c>
      <c r="C245" s="858">
        <f>+SUMIF('YTD Purchases'!C:C,'NCCPL Working'!A245, 'YTD Purchases'!F:F)+SUMIF('YTD Sales'!B:B,'NCCPL Working'!A245,'YTD Sales'!F:F)</f>
        <v>0</v>
      </c>
      <c r="D245" s="858">
        <f t="shared" si="13"/>
        <v>0</v>
      </c>
      <c r="E245" s="858">
        <f t="shared" si="11"/>
        <v>0</v>
      </c>
    </row>
    <row r="246" spans="1:5" x14ac:dyDescent="0.15">
      <c r="A246" s="661">
        <f t="shared" si="12"/>
        <v>44802</v>
      </c>
      <c r="C246" s="858">
        <f>+SUMIF('YTD Purchases'!C:C,'NCCPL Working'!A246, 'YTD Purchases'!F:F)+SUMIF('YTD Sales'!B:B,'NCCPL Working'!A246,'YTD Sales'!F:F)</f>
        <v>0</v>
      </c>
      <c r="D246" s="858">
        <f t="shared" si="13"/>
        <v>0</v>
      </c>
      <c r="E246" s="858">
        <f t="shared" si="11"/>
        <v>0</v>
      </c>
    </row>
    <row r="247" spans="1:5" x14ac:dyDescent="0.15">
      <c r="A247" s="661">
        <f t="shared" si="12"/>
        <v>44803</v>
      </c>
      <c r="C247" s="858">
        <f>+SUMIF('YTD Purchases'!C:C,'NCCPL Working'!A247, 'YTD Purchases'!F:F)+SUMIF('YTD Sales'!B:B,'NCCPL Working'!A247,'YTD Sales'!F:F)</f>
        <v>0</v>
      </c>
      <c r="D247" s="858">
        <f t="shared" si="13"/>
        <v>0</v>
      </c>
      <c r="E247" s="858">
        <f t="shared" si="11"/>
        <v>0</v>
      </c>
    </row>
    <row r="248" spans="1:5" x14ac:dyDescent="0.15">
      <c r="A248" s="661">
        <f t="shared" si="12"/>
        <v>44804</v>
      </c>
      <c r="C248" s="858">
        <f>+SUMIF('YTD Purchases'!C:C,'NCCPL Working'!A248, 'YTD Purchases'!F:F)+SUMIF('YTD Sales'!B:B,'NCCPL Working'!A248,'YTD Sales'!F:F)</f>
        <v>0</v>
      </c>
      <c r="D248" s="858">
        <f t="shared" si="13"/>
        <v>0</v>
      </c>
      <c r="E248" s="858">
        <f t="shared" si="11"/>
        <v>0</v>
      </c>
    </row>
    <row r="249" spans="1:5" x14ac:dyDescent="0.15">
      <c r="A249" s="661">
        <f t="shared" si="12"/>
        <v>44805</v>
      </c>
      <c r="C249" s="858">
        <f>+SUMIF('YTD Purchases'!C:C,'NCCPL Working'!A249, 'YTD Purchases'!F:F)+SUMIF('YTD Sales'!B:B,'NCCPL Working'!A249,'YTD Sales'!F:F)</f>
        <v>0</v>
      </c>
      <c r="D249" s="858">
        <f t="shared" si="13"/>
        <v>0</v>
      </c>
      <c r="E249" s="858">
        <f t="shared" si="11"/>
        <v>0</v>
      </c>
    </row>
    <row r="250" spans="1:5" x14ac:dyDescent="0.15">
      <c r="A250" s="661">
        <f t="shared" si="12"/>
        <v>44806</v>
      </c>
      <c r="C250" s="858">
        <f>+SUMIF('YTD Purchases'!C:C,'NCCPL Working'!A250, 'YTD Purchases'!F:F)+SUMIF('YTD Sales'!B:B,'NCCPL Working'!A250,'YTD Sales'!F:F)</f>
        <v>0</v>
      </c>
      <c r="D250" s="858">
        <f t="shared" si="13"/>
        <v>0</v>
      </c>
      <c r="E250" s="858">
        <f t="shared" si="11"/>
        <v>0</v>
      </c>
    </row>
    <row r="251" spans="1:5" x14ac:dyDescent="0.15">
      <c r="A251" s="661">
        <f t="shared" si="12"/>
        <v>44807</v>
      </c>
      <c r="C251" s="858">
        <f>+SUMIF('YTD Purchases'!C:C,'NCCPL Working'!A251, 'YTD Purchases'!F:F)+SUMIF('YTD Sales'!B:B,'NCCPL Working'!A251,'YTD Sales'!F:F)</f>
        <v>0</v>
      </c>
      <c r="D251" s="858">
        <f t="shared" si="13"/>
        <v>0</v>
      </c>
      <c r="E251" s="858">
        <f t="shared" si="11"/>
        <v>0</v>
      </c>
    </row>
    <row r="252" spans="1:5" x14ac:dyDescent="0.15">
      <c r="A252" s="661">
        <f t="shared" si="12"/>
        <v>44808</v>
      </c>
      <c r="C252" s="858">
        <f>+SUMIF('YTD Purchases'!C:C,'NCCPL Working'!A252, 'YTD Purchases'!F:F)+SUMIF('YTD Sales'!B:B,'NCCPL Working'!A252,'YTD Sales'!F:F)</f>
        <v>0</v>
      </c>
      <c r="D252" s="858">
        <f t="shared" si="13"/>
        <v>0</v>
      </c>
      <c r="E252" s="858">
        <f t="shared" si="11"/>
        <v>0</v>
      </c>
    </row>
    <row r="253" spans="1:5" x14ac:dyDescent="0.15">
      <c r="A253" s="661">
        <f t="shared" si="12"/>
        <v>44809</v>
      </c>
      <c r="C253" s="858">
        <f>+SUMIF('YTD Purchases'!C:C,'NCCPL Working'!A253, 'YTD Purchases'!F:F)+SUMIF('YTD Sales'!B:B,'NCCPL Working'!A253,'YTD Sales'!F:F)</f>
        <v>0</v>
      </c>
      <c r="D253" s="858">
        <f t="shared" si="13"/>
        <v>0</v>
      </c>
      <c r="E253" s="858">
        <f t="shared" si="11"/>
        <v>0</v>
      </c>
    </row>
    <row r="254" spans="1:5" x14ac:dyDescent="0.15">
      <c r="A254" s="661">
        <f t="shared" si="12"/>
        <v>44810</v>
      </c>
      <c r="C254" s="858">
        <f>+SUMIF('YTD Purchases'!C:C,'NCCPL Working'!A254, 'YTD Purchases'!F:F)+SUMIF('YTD Sales'!B:B,'NCCPL Working'!A254,'YTD Sales'!F:F)</f>
        <v>0</v>
      </c>
      <c r="D254" s="858">
        <f t="shared" si="13"/>
        <v>0</v>
      </c>
      <c r="E254" s="858">
        <f t="shared" si="11"/>
        <v>0</v>
      </c>
    </row>
    <row r="255" spans="1:5" x14ac:dyDescent="0.15">
      <c r="A255" s="661">
        <f t="shared" si="12"/>
        <v>44811</v>
      </c>
      <c r="C255" s="858">
        <f>+SUMIF('YTD Purchases'!C:C,'NCCPL Working'!A255, 'YTD Purchases'!F:F)+SUMIF('YTD Sales'!B:B,'NCCPL Working'!A255,'YTD Sales'!F:F)</f>
        <v>0</v>
      </c>
      <c r="D255" s="858">
        <f t="shared" si="13"/>
        <v>0</v>
      </c>
      <c r="E255" s="858">
        <f t="shared" si="11"/>
        <v>0</v>
      </c>
    </row>
    <row r="256" spans="1:5" x14ac:dyDescent="0.15">
      <c r="A256" s="661">
        <f t="shared" si="12"/>
        <v>44812</v>
      </c>
      <c r="C256" s="858">
        <f>+SUMIF('YTD Purchases'!C:C,'NCCPL Working'!A256, 'YTD Purchases'!F:F)+SUMIF('YTD Sales'!B:B,'NCCPL Working'!A256,'YTD Sales'!F:F)</f>
        <v>0</v>
      </c>
      <c r="D256" s="858">
        <f t="shared" si="13"/>
        <v>0</v>
      </c>
      <c r="E256" s="858">
        <f t="shared" si="11"/>
        <v>0</v>
      </c>
    </row>
    <row r="257" spans="1:5" x14ac:dyDescent="0.15">
      <c r="A257" s="661">
        <f t="shared" si="12"/>
        <v>44813</v>
      </c>
      <c r="C257" s="858">
        <f>+SUMIF('YTD Purchases'!C:C,'NCCPL Working'!A257, 'YTD Purchases'!F:F)+SUMIF('YTD Sales'!B:B,'NCCPL Working'!A257,'YTD Sales'!F:F)</f>
        <v>0</v>
      </c>
      <c r="D257" s="858">
        <f t="shared" si="13"/>
        <v>0</v>
      </c>
      <c r="E257" s="858">
        <f t="shared" si="11"/>
        <v>0</v>
      </c>
    </row>
    <row r="258" spans="1:5" x14ac:dyDescent="0.15">
      <c r="A258" s="661">
        <f t="shared" si="12"/>
        <v>44814</v>
      </c>
      <c r="C258" s="858">
        <f>+SUMIF('YTD Purchases'!C:C,'NCCPL Working'!A258, 'YTD Purchases'!F:F)+SUMIF('YTD Sales'!B:B,'NCCPL Working'!A258,'YTD Sales'!F:F)</f>
        <v>0</v>
      </c>
      <c r="D258" s="858">
        <f t="shared" si="13"/>
        <v>0</v>
      </c>
      <c r="E258" s="858">
        <f t="shared" si="11"/>
        <v>0</v>
      </c>
    </row>
    <row r="259" spans="1:5" x14ac:dyDescent="0.15">
      <c r="A259" s="661">
        <f t="shared" si="12"/>
        <v>44815</v>
      </c>
      <c r="C259" s="858">
        <f>+SUMIF('YTD Purchases'!C:C,'NCCPL Working'!A259, 'YTD Purchases'!F:F)+SUMIF('YTD Sales'!B:B,'NCCPL Working'!A259,'YTD Sales'!F:F)</f>
        <v>0</v>
      </c>
      <c r="D259" s="858">
        <f t="shared" si="13"/>
        <v>0</v>
      </c>
      <c r="E259" s="858">
        <f t="shared" si="11"/>
        <v>0</v>
      </c>
    </row>
    <row r="260" spans="1:5" x14ac:dyDescent="0.15">
      <c r="A260" s="661">
        <f t="shared" si="12"/>
        <v>44816</v>
      </c>
      <c r="C260" s="858">
        <f>+SUMIF('YTD Purchases'!C:C,'NCCPL Working'!A260, 'YTD Purchases'!F:F)+SUMIF('YTD Sales'!B:B,'NCCPL Working'!A260,'YTD Sales'!F:F)</f>
        <v>0</v>
      </c>
      <c r="D260" s="858">
        <f t="shared" si="13"/>
        <v>0</v>
      </c>
      <c r="E260" s="858">
        <f t="shared" si="11"/>
        <v>0</v>
      </c>
    </row>
    <row r="261" spans="1:5" x14ac:dyDescent="0.15">
      <c r="A261" s="661">
        <f t="shared" si="12"/>
        <v>44817</v>
      </c>
      <c r="C261" s="858">
        <f>+SUMIF('YTD Purchases'!C:C,'NCCPL Working'!A261, 'YTD Purchases'!F:F)+SUMIF('YTD Sales'!B:B,'NCCPL Working'!A261,'YTD Sales'!F:F)</f>
        <v>0</v>
      </c>
      <c r="D261" s="858">
        <f t="shared" si="13"/>
        <v>0</v>
      </c>
      <c r="E261" s="858">
        <f t="shared" si="11"/>
        <v>0</v>
      </c>
    </row>
    <row r="262" spans="1:5" x14ac:dyDescent="0.15">
      <c r="A262" s="661">
        <f t="shared" si="12"/>
        <v>44818</v>
      </c>
      <c r="C262" s="858">
        <f>+SUMIF('YTD Purchases'!C:C,'NCCPL Working'!A262, 'YTD Purchases'!F:F)+SUMIF('YTD Sales'!B:B,'NCCPL Working'!A262,'YTD Sales'!F:F)</f>
        <v>0</v>
      </c>
      <c r="D262" s="858">
        <f t="shared" si="13"/>
        <v>0</v>
      </c>
      <c r="E262" s="858">
        <f t="shared" si="11"/>
        <v>0</v>
      </c>
    </row>
    <row r="263" spans="1:5" x14ac:dyDescent="0.15">
      <c r="A263" s="661">
        <f t="shared" si="12"/>
        <v>44819</v>
      </c>
      <c r="C263" s="858">
        <f>+SUMIF('YTD Purchases'!C:C,'NCCPL Working'!A263, 'YTD Purchases'!F:F)+SUMIF('YTD Sales'!B:B,'NCCPL Working'!A263,'YTD Sales'!F:F)</f>
        <v>0</v>
      </c>
      <c r="D263" s="858">
        <f t="shared" si="13"/>
        <v>0</v>
      </c>
      <c r="E263" s="858">
        <f t="shared" ref="E263:E326" si="14">+D263-B263</f>
        <v>0</v>
      </c>
    </row>
    <row r="264" spans="1:5" x14ac:dyDescent="0.15">
      <c r="A264" s="661">
        <f t="shared" ref="A264:A327" si="15">+A263+1</f>
        <v>44820</v>
      </c>
      <c r="C264" s="858">
        <f>+SUMIF('YTD Purchases'!C:C,'NCCPL Working'!A264, 'YTD Purchases'!F:F)+SUMIF('YTD Sales'!B:B,'NCCPL Working'!A264,'YTD Sales'!F:F)</f>
        <v>0</v>
      </c>
      <c r="D264" s="858">
        <f t="shared" si="13"/>
        <v>0</v>
      </c>
      <c r="E264" s="858">
        <f t="shared" si="14"/>
        <v>0</v>
      </c>
    </row>
    <row r="265" spans="1:5" x14ac:dyDescent="0.15">
      <c r="A265" s="661">
        <f t="shared" si="15"/>
        <v>44821</v>
      </c>
      <c r="C265" s="858">
        <f>+SUMIF('YTD Purchases'!C:C,'NCCPL Working'!A265, 'YTD Purchases'!F:F)+SUMIF('YTD Sales'!B:B,'NCCPL Working'!A265,'YTD Sales'!F:F)</f>
        <v>0</v>
      </c>
      <c r="D265" s="858">
        <f t="shared" si="13"/>
        <v>0</v>
      </c>
      <c r="E265" s="858">
        <f t="shared" si="14"/>
        <v>0</v>
      </c>
    </row>
    <row r="266" spans="1:5" x14ac:dyDescent="0.15">
      <c r="A266" s="661">
        <f t="shared" si="15"/>
        <v>44822</v>
      </c>
      <c r="C266" s="858">
        <f>+SUMIF('YTD Purchases'!C:C,'NCCPL Working'!A266, 'YTD Purchases'!F:F)+SUMIF('YTD Sales'!B:B,'NCCPL Working'!A266,'YTD Sales'!F:F)</f>
        <v>0</v>
      </c>
      <c r="D266" s="858">
        <f t="shared" si="13"/>
        <v>0</v>
      </c>
      <c r="E266" s="858">
        <f t="shared" si="14"/>
        <v>0</v>
      </c>
    </row>
    <row r="267" spans="1:5" x14ac:dyDescent="0.15">
      <c r="A267" s="661">
        <f t="shared" si="15"/>
        <v>44823</v>
      </c>
      <c r="C267" s="858">
        <f>+SUMIF('YTD Purchases'!C:C,'NCCPL Working'!A267, 'YTD Purchases'!F:F)+SUMIF('YTD Sales'!B:B,'NCCPL Working'!A267,'YTD Sales'!F:F)</f>
        <v>0</v>
      </c>
      <c r="D267" s="858">
        <f t="shared" si="13"/>
        <v>0</v>
      </c>
      <c r="E267" s="858">
        <f t="shared" si="14"/>
        <v>0</v>
      </c>
    </row>
    <row r="268" spans="1:5" x14ac:dyDescent="0.15">
      <c r="A268" s="661">
        <f t="shared" si="15"/>
        <v>44824</v>
      </c>
      <c r="C268" s="858">
        <f>+SUMIF('YTD Purchases'!C:C,'NCCPL Working'!A268, 'YTD Purchases'!F:F)+SUMIF('YTD Sales'!B:B,'NCCPL Working'!A268,'YTD Sales'!F:F)</f>
        <v>0</v>
      </c>
      <c r="D268" s="858">
        <f t="shared" si="13"/>
        <v>0</v>
      </c>
      <c r="E268" s="858">
        <f t="shared" si="14"/>
        <v>0</v>
      </c>
    </row>
    <row r="269" spans="1:5" x14ac:dyDescent="0.15">
      <c r="A269" s="661">
        <f t="shared" si="15"/>
        <v>44825</v>
      </c>
      <c r="C269" s="858">
        <f>+SUMIF('YTD Purchases'!C:C,'NCCPL Working'!A269, 'YTD Purchases'!F:F)+SUMIF('YTD Sales'!B:B,'NCCPL Working'!A269,'YTD Sales'!F:F)</f>
        <v>0</v>
      </c>
      <c r="D269" s="858">
        <f t="shared" si="13"/>
        <v>0</v>
      </c>
      <c r="E269" s="858">
        <f t="shared" si="14"/>
        <v>0</v>
      </c>
    </row>
    <row r="270" spans="1:5" x14ac:dyDescent="0.15">
      <c r="A270" s="661">
        <f t="shared" si="15"/>
        <v>44826</v>
      </c>
      <c r="C270" s="858">
        <f>+SUMIF('YTD Purchases'!C:C,'NCCPL Working'!A270, 'YTD Purchases'!F:F)+SUMIF('YTD Sales'!B:B,'NCCPL Working'!A270,'YTD Sales'!F:F)</f>
        <v>0</v>
      </c>
      <c r="D270" s="858">
        <f t="shared" ref="D270:D333" si="16">ROUND(C270/100000*6,0)</f>
        <v>0</v>
      </c>
      <c r="E270" s="858">
        <f t="shared" si="14"/>
        <v>0</v>
      </c>
    </row>
    <row r="271" spans="1:5" x14ac:dyDescent="0.15">
      <c r="A271" s="661">
        <f t="shared" si="15"/>
        <v>44827</v>
      </c>
      <c r="C271" s="858">
        <f>+SUMIF('YTD Purchases'!C:C,'NCCPL Working'!A271, 'YTD Purchases'!F:F)+SUMIF('YTD Sales'!B:B,'NCCPL Working'!A271,'YTD Sales'!F:F)</f>
        <v>0</v>
      </c>
      <c r="D271" s="858">
        <f t="shared" si="16"/>
        <v>0</v>
      </c>
      <c r="E271" s="858">
        <f t="shared" si="14"/>
        <v>0</v>
      </c>
    </row>
    <row r="272" spans="1:5" x14ac:dyDescent="0.15">
      <c r="A272" s="661">
        <f t="shared" si="15"/>
        <v>44828</v>
      </c>
      <c r="C272" s="858">
        <f>+SUMIF('YTD Purchases'!C:C,'NCCPL Working'!A272, 'YTD Purchases'!F:F)+SUMIF('YTD Sales'!B:B,'NCCPL Working'!A272,'YTD Sales'!F:F)</f>
        <v>0</v>
      </c>
      <c r="D272" s="858">
        <f t="shared" si="16"/>
        <v>0</v>
      </c>
      <c r="E272" s="858">
        <f t="shared" si="14"/>
        <v>0</v>
      </c>
    </row>
    <row r="273" spans="1:5" x14ac:dyDescent="0.15">
      <c r="A273" s="661">
        <f t="shared" si="15"/>
        <v>44829</v>
      </c>
      <c r="C273" s="858">
        <f>+SUMIF('YTD Purchases'!C:C,'NCCPL Working'!A273, 'YTD Purchases'!F:F)+SUMIF('YTD Sales'!B:B,'NCCPL Working'!A273,'YTD Sales'!F:F)</f>
        <v>0</v>
      </c>
      <c r="D273" s="858">
        <f t="shared" si="16"/>
        <v>0</v>
      </c>
      <c r="E273" s="858">
        <f t="shared" si="14"/>
        <v>0</v>
      </c>
    </row>
    <row r="274" spans="1:5" x14ac:dyDescent="0.15">
      <c r="A274" s="661">
        <f t="shared" si="15"/>
        <v>44830</v>
      </c>
      <c r="C274" s="858">
        <f>+SUMIF('YTD Purchases'!C:C,'NCCPL Working'!A274, 'YTD Purchases'!F:F)+SUMIF('YTD Sales'!B:B,'NCCPL Working'!A274,'YTD Sales'!F:F)</f>
        <v>0</v>
      </c>
      <c r="D274" s="858">
        <f t="shared" si="16"/>
        <v>0</v>
      </c>
      <c r="E274" s="858">
        <f t="shared" si="14"/>
        <v>0</v>
      </c>
    </row>
    <row r="275" spans="1:5" x14ac:dyDescent="0.15">
      <c r="A275" s="661">
        <f t="shared" si="15"/>
        <v>44831</v>
      </c>
      <c r="C275" s="858">
        <f>+SUMIF('YTD Purchases'!C:C,'NCCPL Working'!A275, 'YTD Purchases'!F:F)+SUMIF('YTD Sales'!B:B,'NCCPL Working'!A275,'YTD Sales'!F:F)</f>
        <v>0</v>
      </c>
      <c r="D275" s="858">
        <f t="shared" si="16"/>
        <v>0</v>
      </c>
      <c r="E275" s="858">
        <f t="shared" si="14"/>
        <v>0</v>
      </c>
    </row>
    <row r="276" spans="1:5" x14ac:dyDescent="0.15">
      <c r="A276" s="661">
        <f t="shared" si="15"/>
        <v>44832</v>
      </c>
      <c r="C276" s="858">
        <f>+SUMIF('YTD Purchases'!C:C,'NCCPL Working'!A276, 'YTD Purchases'!F:F)+SUMIF('YTD Sales'!B:B,'NCCPL Working'!A276,'YTD Sales'!F:F)</f>
        <v>0</v>
      </c>
      <c r="D276" s="858">
        <f t="shared" si="16"/>
        <v>0</v>
      </c>
      <c r="E276" s="858">
        <f t="shared" si="14"/>
        <v>0</v>
      </c>
    </row>
    <row r="277" spans="1:5" x14ac:dyDescent="0.15">
      <c r="A277" s="661">
        <f t="shared" si="15"/>
        <v>44833</v>
      </c>
      <c r="C277" s="858">
        <f>+SUMIF('YTD Purchases'!C:C,'NCCPL Working'!A277, 'YTD Purchases'!F:F)+SUMIF('YTD Sales'!B:B,'NCCPL Working'!A277,'YTD Sales'!F:F)</f>
        <v>0</v>
      </c>
      <c r="D277" s="858">
        <f t="shared" si="16"/>
        <v>0</v>
      </c>
      <c r="E277" s="858">
        <f t="shared" si="14"/>
        <v>0</v>
      </c>
    </row>
    <row r="278" spans="1:5" x14ac:dyDescent="0.15">
      <c r="A278" s="661">
        <f t="shared" si="15"/>
        <v>44834</v>
      </c>
      <c r="C278" s="858">
        <f>+SUMIF('YTD Purchases'!C:C,'NCCPL Working'!A278, 'YTD Purchases'!F:F)+SUMIF('YTD Sales'!B:B,'NCCPL Working'!A278,'YTD Sales'!F:F)</f>
        <v>0</v>
      </c>
      <c r="D278" s="858">
        <f t="shared" si="16"/>
        <v>0</v>
      </c>
      <c r="E278" s="858">
        <f t="shared" si="14"/>
        <v>0</v>
      </c>
    </row>
    <row r="279" spans="1:5" x14ac:dyDescent="0.15">
      <c r="A279" s="661">
        <f t="shared" si="15"/>
        <v>44835</v>
      </c>
      <c r="C279" s="858">
        <f>+SUMIF('YTD Purchases'!C:C,'NCCPL Working'!A279, 'YTD Purchases'!F:F)+SUMIF('YTD Sales'!B:B,'NCCPL Working'!A279,'YTD Sales'!F:F)</f>
        <v>0</v>
      </c>
      <c r="D279" s="858">
        <f t="shared" si="16"/>
        <v>0</v>
      </c>
      <c r="E279" s="858">
        <f t="shared" si="14"/>
        <v>0</v>
      </c>
    </row>
    <row r="280" spans="1:5" x14ac:dyDescent="0.15">
      <c r="A280" s="661">
        <f t="shared" si="15"/>
        <v>44836</v>
      </c>
      <c r="C280" s="858">
        <f>+SUMIF('YTD Purchases'!C:C,'NCCPL Working'!A280, 'YTD Purchases'!F:F)+SUMIF('YTD Sales'!B:B,'NCCPL Working'!A280,'YTD Sales'!F:F)</f>
        <v>0</v>
      </c>
      <c r="D280" s="858">
        <f t="shared" si="16"/>
        <v>0</v>
      </c>
      <c r="E280" s="858">
        <f t="shared" si="14"/>
        <v>0</v>
      </c>
    </row>
    <row r="281" spans="1:5" x14ac:dyDescent="0.15">
      <c r="A281" s="661">
        <f t="shared" si="15"/>
        <v>44837</v>
      </c>
      <c r="C281" s="858">
        <f>+SUMIF('YTD Purchases'!C:C,'NCCPL Working'!A281, 'YTD Purchases'!F:F)+SUMIF('YTD Sales'!B:B,'NCCPL Working'!A281,'YTD Sales'!F:F)</f>
        <v>0</v>
      </c>
      <c r="D281" s="858">
        <f t="shared" si="16"/>
        <v>0</v>
      </c>
      <c r="E281" s="858">
        <f t="shared" si="14"/>
        <v>0</v>
      </c>
    </row>
    <row r="282" spans="1:5" x14ac:dyDescent="0.15">
      <c r="A282" s="661">
        <f t="shared" si="15"/>
        <v>44838</v>
      </c>
      <c r="C282" s="858">
        <f>+SUMIF('YTD Purchases'!C:C,'NCCPL Working'!A282, 'YTD Purchases'!F:F)+SUMIF('YTD Sales'!B:B,'NCCPL Working'!A282,'YTD Sales'!F:F)</f>
        <v>0</v>
      </c>
      <c r="D282" s="858">
        <f t="shared" si="16"/>
        <v>0</v>
      </c>
      <c r="E282" s="858">
        <f t="shared" si="14"/>
        <v>0</v>
      </c>
    </row>
    <row r="283" spans="1:5" x14ac:dyDescent="0.15">
      <c r="A283" s="661">
        <f t="shared" si="15"/>
        <v>44839</v>
      </c>
      <c r="C283" s="858">
        <f>+SUMIF('YTD Purchases'!C:C,'NCCPL Working'!A283, 'YTD Purchases'!F:F)+SUMIF('YTD Sales'!B:B,'NCCPL Working'!A283,'YTD Sales'!F:F)</f>
        <v>0</v>
      </c>
      <c r="D283" s="858">
        <f t="shared" si="16"/>
        <v>0</v>
      </c>
      <c r="E283" s="858">
        <f t="shared" si="14"/>
        <v>0</v>
      </c>
    </row>
    <row r="284" spans="1:5" x14ac:dyDescent="0.15">
      <c r="A284" s="661">
        <f t="shared" si="15"/>
        <v>44840</v>
      </c>
      <c r="C284" s="858">
        <f>+SUMIF('YTD Purchases'!C:C,'NCCPL Working'!A284, 'YTD Purchases'!F:F)+SUMIF('YTD Sales'!B:B,'NCCPL Working'!A284,'YTD Sales'!F:F)</f>
        <v>0</v>
      </c>
      <c r="D284" s="858">
        <f t="shared" si="16"/>
        <v>0</v>
      </c>
      <c r="E284" s="858">
        <f t="shared" si="14"/>
        <v>0</v>
      </c>
    </row>
    <row r="285" spans="1:5" x14ac:dyDescent="0.15">
      <c r="A285" s="661">
        <f t="shared" si="15"/>
        <v>44841</v>
      </c>
      <c r="C285" s="858">
        <f>+SUMIF('YTD Purchases'!C:C,'NCCPL Working'!A285, 'YTD Purchases'!F:F)+SUMIF('YTD Sales'!B:B,'NCCPL Working'!A285,'YTD Sales'!F:F)</f>
        <v>0</v>
      </c>
      <c r="D285" s="858">
        <f t="shared" si="16"/>
        <v>0</v>
      </c>
      <c r="E285" s="858">
        <f t="shared" si="14"/>
        <v>0</v>
      </c>
    </row>
    <row r="286" spans="1:5" x14ac:dyDescent="0.15">
      <c r="A286" s="661">
        <f t="shared" si="15"/>
        <v>44842</v>
      </c>
      <c r="C286" s="858">
        <f>+SUMIF('YTD Purchases'!C:C,'NCCPL Working'!A286, 'YTD Purchases'!F:F)+SUMIF('YTD Sales'!B:B,'NCCPL Working'!A286,'YTD Sales'!F:F)</f>
        <v>0</v>
      </c>
      <c r="D286" s="858">
        <f t="shared" si="16"/>
        <v>0</v>
      </c>
      <c r="E286" s="858">
        <f t="shared" si="14"/>
        <v>0</v>
      </c>
    </row>
    <row r="287" spans="1:5" x14ac:dyDescent="0.15">
      <c r="A287" s="661">
        <f t="shared" si="15"/>
        <v>44843</v>
      </c>
      <c r="C287" s="858">
        <f>+SUMIF('YTD Purchases'!C:C,'NCCPL Working'!A287, 'YTD Purchases'!F:F)+SUMIF('YTD Sales'!B:B,'NCCPL Working'!A287,'YTD Sales'!F:F)</f>
        <v>0</v>
      </c>
      <c r="D287" s="858">
        <f t="shared" si="16"/>
        <v>0</v>
      </c>
      <c r="E287" s="858">
        <f t="shared" si="14"/>
        <v>0</v>
      </c>
    </row>
    <row r="288" spans="1:5" x14ac:dyDescent="0.15">
      <c r="A288" s="661">
        <f t="shared" si="15"/>
        <v>44844</v>
      </c>
      <c r="C288" s="858">
        <f>+SUMIF('YTD Purchases'!C:C,'NCCPL Working'!A288, 'YTD Purchases'!F:F)+SUMIF('YTD Sales'!B:B,'NCCPL Working'!A288,'YTD Sales'!F:F)</f>
        <v>0</v>
      </c>
      <c r="D288" s="858">
        <f t="shared" si="16"/>
        <v>0</v>
      </c>
      <c r="E288" s="858">
        <f t="shared" si="14"/>
        <v>0</v>
      </c>
    </row>
    <row r="289" spans="1:5" x14ac:dyDescent="0.15">
      <c r="A289" s="661">
        <f t="shared" si="15"/>
        <v>44845</v>
      </c>
      <c r="C289" s="858">
        <f>+SUMIF('YTD Purchases'!C:C,'NCCPL Working'!A289, 'YTD Purchases'!F:F)+SUMIF('YTD Sales'!B:B,'NCCPL Working'!A289,'YTD Sales'!F:F)</f>
        <v>0</v>
      </c>
      <c r="D289" s="858">
        <f t="shared" si="16"/>
        <v>0</v>
      </c>
      <c r="E289" s="858">
        <f t="shared" si="14"/>
        <v>0</v>
      </c>
    </row>
    <row r="290" spans="1:5" x14ac:dyDescent="0.15">
      <c r="A290" s="661">
        <f t="shared" si="15"/>
        <v>44846</v>
      </c>
      <c r="C290" s="858">
        <f>+SUMIF('YTD Purchases'!C:C,'NCCPL Working'!A290, 'YTD Purchases'!F:F)+SUMIF('YTD Sales'!B:B,'NCCPL Working'!A290,'YTD Sales'!F:F)</f>
        <v>0</v>
      </c>
      <c r="D290" s="858">
        <f t="shared" si="16"/>
        <v>0</v>
      </c>
      <c r="E290" s="858">
        <f t="shared" si="14"/>
        <v>0</v>
      </c>
    </row>
    <row r="291" spans="1:5" x14ac:dyDescent="0.15">
      <c r="A291" s="661">
        <f t="shared" si="15"/>
        <v>44847</v>
      </c>
      <c r="C291" s="858">
        <f>+SUMIF('YTD Purchases'!C:C,'NCCPL Working'!A291, 'YTD Purchases'!F:F)+SUMIF('YTD Sales'!B:B,'NCCPL Working'!A291,'YTD Sales'!F:F)</f>
        <v>0</v>
      </c>
      <c r="D291" s="858">
        <f t="shared" si="16"/>
        <v>0</v>
      </c>
      <c r="E291" s="858">
        <f t="shared" si="14"/>
        <v>0</v>
      </c>
    </row>
    <row r="292" spans="1:5" x14ac:dyDescent="0.15">
      <c r="A292" s="661">
        <f t="shared" si="15"/>
        <v>44848</v>
      </c>
      <c r="C292" s="858">
        <f>+SUMIF('YTD Purchases'!C:C,'NCCPL Working'!A292, 'YTD Purchases'!F:F)+SUMIF('YTD Sales'!B:B,'NCCPL Working'!A292,'YTD Sales'!F:F)</f>
        <v>0</v>
      </c>
      <c r="D292" s="858">
        <f t="shared" si="16"/>
        <v>0</v>
      </c>
      <c r="E292" s="858">
        <f t="shared" si="14"/>
        <v>0</v>
      </c>
    </row>
    <row r="293" spans="1:5" x14ac:dyDescent="0.15">
      <c r="A293" s="661">
        <f t="shared" si="15"/>
        <v>44849</v>
      </c>
      <c r="C293" s="858">
        <f>+SUMIF('YTD Purchases'!C:C,'NCCPL Working'!A293, 'YTD Purchases'!F:F)+SUMIF('YTD Sales'!B:B,'NCCPL Working'!A293,'YTD Sales'!F:F)</f>
        <v>0</v>
      </c>
      <c r="D293" s="858">
        <f t="shared" si="16"/>
        <v>0</v>
      </c>
      <c r="E293" s="858">
        <f t="shared" si="14"/>
        <v>0</v>
      </c>
    </row>
    <row r="294" spans="1:5" x14ac:dyDescent="0.15">
      <c r="A294" s="661">
        <f t="shared" si="15"/>
        <v>44850</v>
      </c>
      <c r="C294" s="858">
        <f>+SUMIF('YTD Purchases'!C:C,'NCCPL Working'!A294, 'YTD Purchases'!F:F)+SUMIF('YTD Sales'!B:B,'NCCPL Working'!A294,'YTD Sales'!F:F)</f>
        <v>0</v>
      </c>
      <c r="D294" s="858">
        <f t="shared" si="16"/>
        <v>0</v>
      </c>
      <c r="E294" s="858">
        <f t="shared" si="14"/>
        <v>0</v>
      </c>
    </row>
    <row r="295" spans="1:5" x14ac:dyDescent="0.15">
      <c r="A295" s="661">
        <f t="shared" si="15"/>
        <v>44851</v>
      </c>
      <c r="C295" s="858">
        <f>+SUMIF('YTD Purchases'!C:C,'NCCPL Working'!A295, 'YTD Purchases'!F:F)+SUMIF('YTD Sales'!B:B,'NCCPL Working'!A295,'YTD Sales'!F:F)</f>
        <v>0</v>
      </c>
      <c r="D295" s="858">
        <f t="shared" si="16"/>
        <v>0</v>
      </c>
      <c r="E295" s="858">
        <f t="shared" si="14"/>
        <v>0</v>
      </c>
    </row>
    <row r="296" spans="1:5" x14ac:dyDescent="0.15">
      <c r="A296" s="661">
        <f t="shared" si="15"/>
        <v>44852</v>
      </c>
      <c r="C296" s="858">
        <f>+SUMIF('YTD Purchases'!C:C,'NCCPL Working'!A296, 'YTD Purchases'!F:F)+SUMIF('YTD Sales'!B:B,'NCCPL Working'!A296,'YTD Sales'!F:F)</f>
        <v>0</v>
      </c>
      <c r="D296" s="858">
        <f t="shared" si="16"/>
        <v>0</v>
      </c>
      <c r="E296" s="858">
        <f t="shared" si="14"/>
        <v>0</v>
      </c>
    </row>
    <row r="297" spans="1:5" x14ac:dyDescent="0.15">
      <c r="A297" s="661">
        <f t="shared" si="15"/>
        <v>44853</v>
      </c>
      <c r="C297" s="858">
        <f>+SUMIF('YTD Purchases'!C:C,'NCCPL Working'!A297, 'YTD Purchases'!F:F)+SUMIF('YTD Sales'!B:B,'NCCPL Working'!A297,'YTD Sales'!F:F)</f>
        <v>0</v>
      </c>
      <c r="D297" s="858">
        <f t="shared" si="16"/>
        <v>0</v>
      </c>
      <c r="E297" s="858">
        <f t="shared" si="14"/>
        <v>0</v>
      </c>
    </row>
    <row r="298" spans="1:5" x14ac:dyDescent="0.15">
      <c r="A298" s="661">
        <f t="shared" si="15"/>
        <v>44854</v>
      </c>
      <c r="C298" s="858">
        <f>+SUMIF('YTD Purchases'!C:C,'NCCPL Working'!A298, 'YTD Purchases'!F:F)+SUMIF('YTD Sales'!B:B,'NCCPL Working'!A298,'YTD Sales'!F:F)</f>
        <v>0</v>
      </c>
      <c r="D298" s="858">
        <f t="shared" si="16"/>
        <v>0</v>
      </c>
      <c r="E298" s="858">
        <f t="shared" si="14"/>
        <v>0</v>
      </c>
    </row>
    <row r="299" spans="1:5" x14ac:dyDescent="0.15">
      <c r="A299" s="661">
        <f t="shared" si="15"/>
        <v>44855</v>
      </c>
      <c r="C299" s="858">
        <f>+SUMIF('YTD Purchases'!C:C,'NCCPL Working'!A299, 'YTD Purchases'!F:F)+SUMIF('YTD Sales'!B:B,'NCCPL Working'!A299,'YTD Sales'!F:F)</f>
        <v>0</v>
      </c>
      <c r="D299" s="858">
        <f t="shared" si="16"/>
        <v>0</v>
      </c>
      <c r="E299" s="858">
        <f t="shared" si="14"/>
        <v>0</v>
      </c>
    </row>
    <row r="300" spans="1:5" x14ac:dyDescent="0.15">
      <c r="A300" s="661">
        <f t="shared" si="15"/>
        <v>44856</v>
      </c>
      <c r="C300" s="858">
        <f>+SUMIF('YTD Purchases'!C:C,'NCCPL Working'!A300, 'YTD Purchases'!F:F)+SUMIF('YTD Sales'!B:B,'NCCPL Working'!A300,'YTD Sales'!F:F)</f>
        <v>0</v>
      </c>
      <c r="D300" s="858">
        <f t="shared" si="16"/>
        <v>0</v>
      </c>
      <c r="E300" s="858">
        <f t="shared" si="14"/>
        <v>0</v>
      </c>
    </row>
    <row r="301" spans="1:5" x14ac:dyDescent="0.15">
      <c r="A301" s="661">
        <f t="shared" si="15"/>
        <v>44857</v>
      </c>
      <c r="C301" s="858">
        <f>+SUMIF('YTD Purchases'!C:C,'NCCPL Working'!A301, 'YTD Purchases'!F:F)+SUMIF('YTD Sales'!B:B,'NCCPL Working'!A301,'YTD Sales'!F:F)</f>
        <v>0</v>
      </c>
      <c r="D301" s="858">
        <f t="shared" si="16"/>
        <v>0</v>
      </c>
      <c r="E301" s="858">
        <f t="shared" si="14"/>
        <v>0</v>
      </c>
    </row>
    <row r="302" spans="1:5" x14ac:dyDescent="0.15">
      <c r="A302" s="661">
        <f t="shared" si="15"/>
        <v>44858</v>
      </c>
      <c r="C302" s="858">
        <f>+SUMIF('YTD Purchases'!C:C,'NCCPL Working'!A302, 'YTD Purchases'!F:F)+SUMIF('YTD Sales'!B:B,'NCCPL Working'!A302,'YTD Sales'!F:F)</f>
        <v>0</v>
      </c>
      <c r="D302" s="858">
        <f t="shared" si="16"/>
        <v>0</v>
      </c>
      <c r="E302" s="858">
        <f t="shared" si="14"/>
        <v>0</v>
      </c>
    </row>
    <row r="303" spans="1:5" x14ac:dyDescent="0.15">
      <c r="A303" s="661">
        <f t="shared" si="15"/>
        <v>44859</v>
      </c>
      <c r="C303" s="858">
        <f>+SUMIF('YTD Purchases'!C:C,'NCCPL Working'!A303, 'YTD Purchases'!F:F)+SUMIF('YTD Sales'!B:B,'NCCPL Working'!A303,'YTD Sales'!F:F)</f>
        <v>0</v>
      </c>
      <c r="D303" s="858">
        <f t="shared" si="16"/>
        <v>0</v>
      </c>
      <c r="E303" s="858">
        <f t="shared" si="14"/>
        <v>0</v>
      </c>
    </row>
    <row r="304" spans="1:5" x14ac:dyDescent="0.15">
      <c r="A304" s="661">
        <f t="shared" si="15"/>
        <v>44860</v>
      </c>
      <c r="C304" s="858">
        <f>+SUMIF('YTD Purchases'!C:C,'NCCPL Working'!A304, 'YTD Purchases'!F:F)+SUMIF('YTD Sales'!B:B,'NCCPL Working'!A304,'YTD Sales'!F:F)</f>
        <v>0</v>
      </c>
      <c r="D304" s="858">
        <f t="shared" si="16"/>
        <v>0</v>
      </c>
      <c r="E304" s="858">
        <f t="shared" si="14"/>
        <v>0</v>
      </c>
    </row>
    <row r="305" spans="1:5" x14ac:dyDescent="0.15">
      <c r="A305" s="661">
        <f t="shared" si="15"/>
        <v>44861</v>
      </c>
      <c r="C305" s="858">
        <f>+SUMIF('YTD Purchases'!C:C,'NCCPL Working'!A305, 'YTD Purchases'!F:F)+SUMIF('YTD Sales'!B:B,'NCCPL Working'!A305,'YTD Sales'!F:F)</f>
        <v>0</v>
      </c>
      <c r="D305" s="858">
        <f t="shared" si="16"/>
        <v>0</v>
      </c>
      <c r="E305" s="858">
        <f t="shared" si="14"/>
        <v>0</v>
      </c>
    </row>
    <row r="306" spans="1:5" x14ac:dyDescent="0.15">
      <c r="A306" s="661">
        <f t="shared" si="15"/>
        <v>44862</v>
      </c>
      <c r="C306" s="858">
        <f>+SUMIF('YTD Purchases'!C:C,'NCCPL Working'!A306, 'YTD Purchases'!F:F)+SUMIF('YTD Sales'!B:B,'NCCPL Working'!A306,'YTD Sales'!F:F)</f>
        <v>0</v>
      </c>
      <c r="D306" s="858">
        <f t="shared" si="16"/>
        <v>0</v>
      </c>
      <c r="E306" s="858">
        <f t="shared" si="14"/>
        <v>0</v>
      </c>
    </row>
    <row r="307" spans="1:5" x14ac:dyDescent="0.15">
      <c r="A307" s="661">
        <f t="shared" si="15"/>
        <v>44863</v>
      </c>
      <c r="C307" s="858">
        <f>+SUMIF('YTD Purchases'!C:C,'NCCPL Working'!A307, 'YTD Purchases'!F:F)+SUMIF('YTD Sales'!B:B,'NCCPL Working'!A307,'YTD Sales'!F:F)</f>
        <v>0</v>
      </c>
      <c r="D307" s="858">
        <f t="shared" si="16"/>
        <v>0</v>
      </c>
      <c r="E307" s="858">
        <f t="shared" si="14"/>
        <v>0</v>
      </c>
    </row>
    <row r="308" spans="1:5" x14ac:dyDescent="0.15">
      <c r="A308" s="661">
        <f t="shared" si="15"/>
        <v>44864</v>
      </c>
      <c r="C308" s="858">
        <f>+SUMIF('YTD Purchases'!C:C,'NCCPL Working'!A308, 'YTD Purchases'!F:F)+SUMIF('YTD Sales'!B:B,'NCCPL Working'!A308,'YTD Sales'!F:F)</f>
        <v>0</v>
      </c>
      <c r="D308" s="858">
        <f t="shared" si="16"/>
        <v>0</v>
      </c>
      <c r="E308" s="858">
        <f t="shared" si="14"/>
        <v>0</v>
      </c>
    </row>
    <row r="309" spans="1:5" x14ac:dyDescent="0.15">
      <c r="A309" s="661">
        <f t="shared" si="15"/>
        <v>44865</v>
      </c>
      <c r="C309" s="858">
        <f>+SUMIF('YTD Purchases'!C:C,'NCCPL Working'!A309, 'YTD Purchases'!F:F)+SUMIF('YTD Sales'!B:B,'NCCPL Working'!A309,'YTD Sales'!F:F)</f>
        <v>0</v>
      </c>
      <c r="D309" s="858">
        <f t="shared" si="16"/>
        <v>0</v>
      </c>
      <c r="E309" s="858">
        <f t="shared" si="14"/>
        <v>0</v>
      </c>
    </row>
    <row r="310" spans="1:5" x14ac:dyDescent="0.15">
      <c r="A310" s="661">
        <f t="shared" si="15"/>
        <v>44866</v>
      </c>
      <c r="C310" s="858">
        <f>+SUMIF('YTD Purchases'!C:C,'NCCPL Working'!A310, 'YTD Purchases'!F:F)+SUMIF('YTD Sales'!B:B,'NCCPL Working'!A310,'YTD Sales'!F:F)</f>
        <v>0</v>
      </c>
      <c r="D310" s="858">
        <f t="shared" si="16"/>
        <v>0</v>
      </c>
      <c r="E310" s="858">
        <f t="shared" si="14"/>
        <v>0</v>
      </c>
    </row>
    <row r="311" spans="1:5" x14ac:dyDescent="0.15">
      <c r="A311" s="661">
        <f t="shared" si="15"/>
        <v>44867</v>
      </c>
      <c r="C311" s="858">
        <f>+SUMIF('YTD Purchases'!C:C,'NCCPL Working'!A311, 'YTD Purchases'!F:F)+SUMIF('YTD Sales'!B:B,'NCCPL Working'!A311,'YTD Sales'!F:F)</f>
        <v>0</v>
      </c>
      <c r="D311" s="858">
        <f t="shared" si="16"/>
        <v>0</v>
      </c>
      <c r="E311" s="858">
        <f t="shared" si="14"/>
        <v>0</v>
      </c>
    </row>
    <row r="312" spans="1:5" x14ac:dyDescent="0.15">
      <c r="A312" s="661">
        <f t="shared" si="15"/>
        <v>44868</v>
      </c>
      <c r="C312" s="858">
        <f>+SUMIF('YTD Purchases'!C:C,'NCCPL Working'!A312, 'YTD Purchases'!F:F)+SUMIF('YTD Sales'!B:B,'NCCPL Working'!A312,'YTD Sales'!F:F)</f>
        <v>0</v>
      </c>
      <c r="D312" s="858">
        <f t="shared" si="16"/>
        <v>0</v>
      </c>
      <c r="E312" s="858">
        <f t="shared" si="14"/>
        <v>0</v>
      </c>
    </row>
    <row r="313" spans="1:5" x14ac:dyDescent="0.15">
      <c r="A313" s="661">
        <f t="shared" si="15"/>
        <v>44869</v>
      </c>
      <c r="C313" s="858">
        <f>+SUMIF('YTD Purchases'!C:C,'NCCPL Working'!A313, 'YTD Purchases'!F:F)+SUMIF('YTD Sales'!B:B,'NCCPL Working'!A313,'YTD Sales'!F:F)</f>
        <v>0</v>
      </c>
      <c r="D313" s="858">
        <f t="shared" si="16"/>
        <v>0</v>
      </c>
      <c r="E313" s="858">
        <f t="shared" si="14"/>
        <v>0</v>
      </c>
    </row>
    <row r="314" spans="1:5" x14ac:dyDescent="0.15">
      <c r="A314" s="661">
        <f t="shared" si="15"/>
        <v>44870</v>
      </c>
      <c r="C314" s="858">
        <f>+SUMIF('YTD Purchases'!C:C,'NCCPL Working'!A314, 'YTD Purchases'!F:F)+SUMIF('YTD Sales'!B:B,'NCCPL Working'!A314,'YTD Sales'!F:F)</f>
        <v>0</v>
      </c>
      <c r="D314" s="858">
        <f t="shared" si="16"/>
        <v>0</v>
      </c>
      <c r="E314" s="858">
        <f t="shared" si="14"/>
        <v>0</v>
      </c>
    </row>
    <row r="315" spans="1:5" x14ac:dyDescent="0.15">
      <c r="A315" s="661">
        <f t="shared" si="15"/>
        <v>44871</v>
      </c>
      <c r="C315" s="858">
        <f>+SUMIF('YTD Purchases'!C:C,'NCCPL Working'!A315, 'YTD Purchases'!F:F)+SUMIF('YTD Sales'!B:B,'NCCPL Working'!A315,'YTD Sales'!F:F)</f>
        <v>0</v>
      </c>
      <c r="D315" s="858">
        <f t="shared" si="16"/>
        <v>0</v>
      </c>
      <c r="E315" s="858">
        <f t="shared" si="14"/>
        <v>0</v>
      </c>
    </row>
    <row r="316" spans="1:5" x14ac:dyDescent="0.15">
      <c r="A316" s="661">
        <f t="shared" si="15"/>
        <v>44872</v>
      </c>
      <c r="C316" s="858">
        <f>+SUMIF('YTD Purchases'!C:C,'NCCPL Working'!A316, 'YTD Purchases'!F:F)+SUMIF('YTD Sales'!B:B,'NCCPL Working'!A316,'YTD Sales'!F:F)</f>
        <v>0</v>
      </c>
      <c r="D316" s="858">
        <f t="shared" si="16"/>
        <v>0</v>
      </c>
      <c r="E316" s="858">
        <f t="shared" si="14"/>
        <v>0</v>
      </c>
    </row>
    <row r="317" spans="1:5" x14ac:dyDescent="0.15">
      <c r="A317" s="661">
        <f t="shared" si="15"/>
        <v>44873</v>
      </c>
      <c r="C317" s="858">
        <f>+SUMIF('YTD Purchases'!C:C,'NCCPL Working'!A317, 'YTD Purchases'!F:F)+SUMIF('YTD Sales'!B:B,'NCCPL Working'!A317,'YTD Sales'!F:F)</f>
        <v>0</v>
      </c>
      <c r="D317" s="858">
        <f t="shared" si="16"/>
        <v>0</v>
      </c>
      <c r="E317" s="858">
        <f t="shared" si="14"/>
        <v>0</v>
      </c>
    </row>
    <row r="318" spans="1:5" x14ac:dyDescent="0.15">
      <c r="A318" s="661">
        <f t="shared" si="15"/>
        <v>44874</v>
      </c>
      <c r="C318" s="858">
        <f>+SUMIF('YTD Purchases'!C:C,'NCCPL Working'!A318, 'YTD Purchases'!F:F)+SUMIF('YTD Sales'!B:B,'NCCPL Working'!A318,'YTD Sales'!F:F)</f>
        <v>0</v>
      </c>
      <c r="D318" s="858">
        <f t="shared" si="16"/>
        <v>0</v>
      </c>
      <c r="E318" s="858">
        <f t="shared" si="14"/>
        <v>0</v>
      </c>
    </row>
    <row r="319" spans="1:5" x14ac:dyDescent="0.15">
      <c r="A319" s="661">
        <f t="shared" si="15"/>
        <v>44875</v>
      </c>
      <c r="C319" s="858">
        <f>+SUMIF('YTD Purchases'!C:C,'NCCPL Working'!A319, 'YTD Purchases'!F:F)+SUMIF('YTD Sales'!B:B,'NCCPL Working'!A319,'YTD Sales'!F:F)</f>
        <v>0</v>
      </c>
      <c r="D319" s="858">
        <f t="shared" si="16"/>
        <v>0</v>
      </c>
      <c r="E319" s="858">
        <f t="shared" si="14"/>
        <v>0</v>
      </c>
    </row>
    <row r="320" spans="1:5" x14ac:dyDescent="0.15">
      <c r="A320" s="661">
        <f t="shared" si="15"/>
        <v>44876</v>
      </c>
      <c r="C320" s="858">
        <f>+SUMIF('YTD Purchases'!C:C,'NCCPL Working'!A320, 'YTD Purchases'!F:F)+SUMIF('YTD Sales'!B:B,'NCCPL Working'!A320,'YTD Sales'!F:F)</f>
        <v>0</v>
      </c>
      <c r="D320" s="858">
        <f t="shared" si="16"/>
        <v>0</v>
      </c>
      <c r="E320" s="858">
        <f t="shared" si="14"/>
        <v>0</v>
      </c>
    </row>
    <row r="321" spans="1:5" x14ac:dyDescent="0.15">
      <c r="A321" s="661">
        <f t="shared" si="15"/>
        <v>44877</v>
      </c>
      <c r="C321" s="858">
        <f>+SUMIF('YTD Purchases'!C:C,'NCCPL Working'!A321, 'YTD Purchases'!F:F)+SUMIF('YTD Sales'!B:B,'NCCPL Working'!A321,'YTD Sales'!F:F)</f>
        <v>0</v>
      </c>
      <c r="D321" s="858">
        <f t="shared" si="16"/>
        <v>0</v>
      </c>
      <c r="E321" s="858">
        <f t="shared" si="14"/>
        <v>0</v>
      </c>
    </row>
    <row r="322" spans="1:5" x14ac:dyDescent="0.15">
      <c r="A322" s="661">
        <f t="shared" si="15"/>
        <v>44878</v>
      </c>
      <c r="C322" s="858">
        <f>+SUMIF('YTD Purchases'!C:C,'NCCPL Working'!A322, 'YTD Purchases'!F:F)+SUMIF('YTD Sales'!B:B,'NCCPL Working'!A322,'YTD Sales'!F:F)</f>
        <v>0</v>
      </c>
      <c r="D322" s="858">
        <f t="shared" si="16"/>
        <v>0</v>
      </c>
      <c r="E322" s="858">
        <f t="shared" si="14"/>
        <v>0</v>
      </c>
    </row>
    <row r="323" spans="1:5" x14ac:dyDescent="0.15">
      <c r="A323" s="661">
        <f t="shared" si="15"/>
        <v>44879</v>
      </c>
      <c r="C323" s="858">
        <f>+SUMIF('YTD Purchases'!C:C,'NCCPL Working'!A323, 'YTD Purchases'!F:F)+SUMIF('YTD Sales'!B:B,'NCCPL Working'!A323,'YTD Sales'!F:F)</f>
        <v>0</v>
      </c>
      <c r="D323" s="858">
        <f t="shared" si="16"/>
        <v>0</v>
      </c>
      <c r="E323" s="858">
        <f t="shared" si="14"/>
        <v>0</v>
      </c>
    </row>
    <row r="324" spans="1:5" x14ac:dyDescent="0.15">
      <c r="A324" s="661">
        <f t="shared" si="15"/>
        <v>44880</v>
      </c>
      <c r="C324" s="858">
        <f>+SUMIF('YTD Purchases'!C:C,'NCCPL Working'!A324, 'YTD Purchases'!F:F)+SUMIF('YTD Sales'!B:B,'NCCPL Working'!A324,'YTD Sales'!F:F)</f>
        <v>0</v>
      </c>
      <c r="D324" s="858">
        <f t="shared" si="16"/>
        <v>0</v>
      </c>
      <c r="E324" s="858">
        <f t="shared" si="14"/>
        <v>0</v>
      </c>
    </row>
    <row r="325" spans="1:5" x14ac:dyDescent="0.15">
      <c r="A325" s="661">
        <f t="shared" si="15"/>
        <v>44881</v>
      </c>
      <c r="C325" s="858">
        <f>+SUMIF('YTD Purchases'!C:C,'NCCPL Working'!A325, 'YTD Purchases'!F:F)+SUMIF('YTD Sales'!B:B,'NCCPL Working'!A325,'YTD Sales'!F:F)</f>
        <v>0</v>
      </c>
      <c r="D325" s="858">
        <f t="shared" si="16"/>
        <v>0</v>
      </c>
      <c r="E325" s="858">
        <f t="shared" si="14"/>
        <v>0</v>
      </c>
    </row>
    <row r="326" spans="1:5" x14ac:dyDescent="0.15">
      <c r="A326" s="661">
        <f t="shared" si="15"/>
        <v>44882</v>
      </c>
      <c r="C326" s="858">
        <f>+SUMIF('YTD Purchases'!C:C,'NCCPL Working'!A326, 'YTD Purchases'!F:F)+SUMIF('YTD Sales'!B:B,'NCCPL Working'!A326,'YTD Sales'!F:F)</f>
        <v>0</v>
      </c>
      <c r="D326" s="858">
        <f t="shared" si="16"/>
        <v>0</v>
      </c>
      <c r="E326" s="858">
        <f t="shared" si="14"/>
        <v>0</v>
      </c>
    </row>
    <row r="327" spans="1:5" x14ac:dyDescent="0.15">
      <c r="A327" s="661">
        <f t="shared" si="15"/>
        <v>44883</v>
      </c>
      <c r="C327" s="858">
        <f>+SUMIF('YTD Purchases'!C:C,'NCCPL Working'!A327, 'YTD Purchases'!F:F)+SUMIF('YTD Sales'!B:B,'NCCPL Working'!A327,'YTD Sales'!F:F)</f>
        <v>0</v>
      </c>
      <c r="D327" s="858">
        <f t="shared" si="16"/>
        <v>0</v>
      </c>
      <c r="E327" s="858">
        <f t="shared" ref="E327:E370" si="17">+D327-B327</f>
        <v>0</v>
      </c>
    </row>
    <row r="328" spans="1:5" x14ac:dyDescent="0.15">
      <c r="A328" s="661">
        <f t="shared" ref="A328:A368" si="18">+A327+1</f>
        <v>44884</v>
      </c>
      <c r="C328" s="858">
        <f>+SUMIF('YTD Purchases'!C:C,'NCCPL Working'!A328, 'YTD Purchases'!F:F)+SUMIF('YTD Sales'!B:B,'NCCPL Working'!A328,'YTD Sales'!F:F)</f>
        <v>0</v>
      </c>
      <c r="D328" s="858">
        <f t="shared" si="16"/>
        <v>0</v>
      </c>
      <c r="E328" s="858">
        <f t="shared" si="17"/>
        <v>0</v>
      </c>
    </row>
    <row r="329" spans="1:5" x14ac:dyDescent="0.15">
      <c r="A329" s="661">
        <f t="shared" si="18"/>
        <v>44885</v>
      </c>
      <c r="C329" s="858">
        <f>+SUMIF('YTD Purchases'!C:C,'NCCPL Working'!A329, 'YTD Purchases'!F:F)+SUMIF('YTD Sales'!B:B,'NCCPL Working'!A329,'YTD Sales'!F:F)</f>
        <v>0</v>
      </c>
      <c r="D329" s="858">
        <f t="shared" si="16"/>
        <v>0</v>
      </c>
      <c r="E329" s="858">
        <f t="shared" si="17"/>
        <v>0</v>
      </c>
    </row>
    <row r="330" spans="1:5" x14ac:dyDescent="0.15">
      <c r="A330" s="661">
        <f t="shared" si="18"/>
        <v>44886</v>
      </c>
      <c r="C330" s="858">
        <f>+SUMIF('YTD Purchases'!C:C,'NCCPL Working'!A330, 'YTD Purchases'!F:F)+SUMIF('YTD Sales'!B:B,'NCCPL Working'!A330,'YTD Sales'!F:F)</f>
        <v>0</v>
      </c>
      <c r="D330" s="858">
        <f t="shared" si="16"/>
        <v>0</v>
      </c>
      <c r="E330" s="858">
        <f t="shared" si="17"/>
        <v>0</v>
      </c>
    </row>
    <row r="331" spans="1:5" x14ac:dyDescent="0.15">
      <c r="A331" s="661">
        <f t="shared" si="18"/>
        <v>44887</v>
      </c>
      <c r="C331" s="858">
        <f>+SUMIF('YTD Purchases'!C:C,'NCCPL Working'!A331, 'YTD Purchases'!F:F)+SUMIF('YTD Sales'!B:B,'NCCPL Working'!A331,'YTD Sales'!F:F)</f>
        <v>0</v>
      </c>
      <c r="D331" s="858">
        <f t="shared" si="16"/>
        <v>0</v>
      </c>
      <c r="E331" s="858">
        <f t="shared" si="17"/>
        <v>0</v>
      </c>
    </row>
    <row r="332" spans="1:5" x14ac:dyDescent="0.15">
      <c r="A332" s="661">
        <f t="shared" si="18"/>
        <v>44888</v>
      </c>
      <c r="C332" s="858">
        <f>+SUMIF('YTD Purchases'!C:C,'NCCPL Working'!A332, 'YTD Purchases'!F:F)+SUMIF('YTD Sales'!B:B,'NCCPL Working'!A332,'YTD Sales'!F:F)</f>
        <v>0</v>
      </c>
      <c r="D332" s="858">
        <f t="shared" si="16"/>
        <v>0</v>
      </c>
      <c r="E332" s="858">
        <f t="shared" si="17"/>
        <v>0</v>
      </c>
    </row>
    <row r="333" spans="1:5" x14ac:dyDescent="0.15">
      <c r="A333" s="661">
        <f t="shared" si="18"/>
        <v>44889</v>
      </c>
      <c r="C333" s="858">
        <f>+SUMIF('YTD Purchases'!C:C,'NCCPL Working'!A333, 'YTD Purchases'!F:F)+SUMIF('YTD Sales'!B:B,'NCCPL Working'!A333,'YTD Sales'!F:F)</f>
        <v>0</v>
      </c>
      <c r="D333" s="858">
        <f t="shared" si="16"/>
        <v>0</v>
      </c>
      <c r="E333" s="858">
        <f t="shared" si="17"/>
        <v>0</v>
      </c>
    </row>
    <row r="334" spans="1:5" x14ac:dyDescent="0.15">
      <c r="A334" s="661">
        <f t="shared" si="18"/>
        <v>44890</v>
      </c>
      <c r="C334" s="858">
        <f>+SUMIF('YTD Purchases'!C:C,'NCCPL Working'!A334, 'YTD Purchases'!F:F)+SUMIF('YTD Sales'!B:B,'NCCPL Working'!A334,'YTD Sales'!F:F)</f>
        <v>0</v>
      </c>
      <c r="D334" s="858">
        <f t="shared" ref="D334:D368" si="19">ROUND(C334/100000*6,0)</f>
        <v>0</v>
      </c>
      <c r="E334" s="858">
        <f t="shared" si="17"/>
        <v>0</v>
      </c>
    </row>
    <row r="335" spans="1:5" x14ac:dyDescent="0.15">
      <c r="A335" s="661">
        <f t="shared" si="18"/>
        <v>44891</v>
      </c>
      <c r="C335" s="858">
        <f>+SUMIF('YTD Purchases'!C:C,'NCCPL Working'!A335, 'YTD Purchases'!F:F)+SUMIF('YTD Sales'!B:B,'NCCPL Working'!A335,'YTD Sales'!F:F)</f>
        <v>0</v>
      </c>
      <c r="D335" s="858">
        <f t="shared" si="19"/>
        <v>0</v>
      </c>
      <c r="E335" s="858">
        <f t="shared" si="17"/>
        <v>0</v>
      </c>
    </row>
    <row r="336" spans="1:5" x14ac:dyDescent="0.15">
      <c r="A336" s="661">
        <f t="shared" si="18"/>
        <v>44892</v>
      </c>
      <c r="C336" s="858">
        <f>+SUMIF('YTD Purchases'!C:C,'NCCPL Working'!A336, 'YTD Purchases'!F:F)+SUMIF('YTD Sales'!B:B,'NCCPL Working'!A336,'YTD Sales'!F:F)</f>
        <v>0</v>
      </c>
      <c r="D336" s="858">
        <f t="shared" si="19"/>
        <v>0</v>
      </c>
      <c r="E336" s="858">
        <f t="shared" si="17"/>
        <v>0</v>
      </c>
    </row>
    <row r="337" spans="1:5" x14ac:dyDescent="0.15">
      <c r="A337" s="661">
        <f t="shared" si="18"/>
        <v>44893</v>
      </c>
      <c r="C337" s="858">
        <f>+SUMIF('YTD Purchases'!C:C,'NCCPL Working'!A337, 'YTD Purchases'!F:F)+SUMIF('YTD Sales'!B:B,'NCCPL Working'!A337,'YTD Sales'!F:F)</f>
        <v>0</v>
      </c>
      <c r="D337" s="858">
        <f t="shared" si="19"/>
        <v>0</v>
      </c>
      <c r="E337" s="858">
        <f t="shared" si="17"/>
        <v>0</v>
      </c>
    </row>
    <row r="338" spans="1:5" x14ac:dyDescent="0.15">
      <c r="A338" s="661">
        <f t="shared" si="18"/>
        <v>44894</v>
      </c>
      <c r="C338" s="858">
        <f>+SUMIF('YTD Purchases'!C:C,'NCCPL Working'!A338, 'YTD Purchases'!F:F)+SUMIF('YTD Sales'!B:B,'NCCPL Working'!A338,'YTD Sales'!F:F)</f>
        <v>0</v>
      </c>
      <c r="D338" s="858">
        <f t="shared" si="19"/>
        <v>0</v>
      </c>
      <c r="E338" s="858">
        <f t="shared" si="17"/>
        <v>0</v>
      </c>
    </row>
    <row r="339" spans="1:5" x14ac:dyDescent="0.15">
      <c r="A339" s="661">
        <f t="shared" si="18"/>
        <v>44895</v>
      </c>
      <c r="C339" s="858">
        <f>+SUMIF('YTD Purchases'!C:C,'NCCPL Working'!A339, 'YTD Purchases'!F:F)+SUMIF('YTD Sales'!B:B,'NCCPL Working'!A339,'YTD Sales'!F:F)</f>
        <v>0</v>
      </c>
      <c r="D339" s="858">
        <f t="shared" si="19"/>
        <v>0</v>
      </c>
      <c r="E339" s="858">
        <f t="shared" si="17"/>
        <v>0</v>
      </c>
    </row>
    <row r="340" spans="1:5" x14ac:dyDescent="0.15">
      <c r="A340" s="661">
        <f t="shared" si="18"/>
        <v>44896</v>
      </c>
      <c r="C340" s="858">
        <f>+SUMIF('YTD Purchases'!C:C,'NCCPL Working'!A340, 'YTD Purchases'!F:F)+SUMIF('YTD Sales'!B:B,'NCCPL Working'!A340,'YTD Sales'!F:F)</f>
        <v>0</v>
      </c>
      <c r="D340" s="858">
        <f t="shared" si="19"/>
        <v>0</v>
      </c>
      <c r="E340" s="858">
        <f t="shared" si="17"/>
        <v>0</v>
      </c>
    </row>
    <row r="341" spans="1:5" x14ac:dyDescent="0.15">
      <c r="A341" s="661">
        <f t="shared" si="18"/>
        <v>44897</v>
      </c>
      <c r="C341" s="858">
        <f>+SUMIF('YTD Purchases'!C:C,'NCCPL Working'!A341, 'YTD Purchases'!F:F)+SUMIF('YTD Sales'!B:B,'NCCPL Working'!A341,'YTD Sales'!F:F)</f>
        <v>0</v>
      </c>
      <c r="D341" s="858">
        <f t="shared" si="19"/>
        <v>0</v>
      </c>
      <c r="E341" s="858">
        <f t="shared" si="17"/>
        <v>0</v>
      </c>
    </row>
    <row r="342" spans="1:5" x14ac:dyDescent="0.15">
      <c r="A342" s="661">
        <f t="shared" si="18"/>
        <v>44898</v>
      </c>
      <c r="C342" s="858">
        <f>+SUMIF('YTD Purchases'!C:C,'NCCPL Working'!A342, 'YTD Purchases'!F:F)+SUMIF('YTD Sales'!B:B,'NCCPL Working'!A342,'YTD Sales'!F:F)</f>
        <v>0</v>
      </c>
      <c r="D342" s="858">
        <f t="shared" si="19"/>
        <v>0</v>
      </c>
      <c r="E342" s="858">
        <f t="shared" si="17"/>
        <v>0</v>
      </c>
    </row>
    <row r="343" spans="1:5" x14ac:dyDescent="0.15">
      <c r="A343" s="661">
        <f t="shared" si="18"/>
        <v>44899</v>
      </c>
      <c r="C343" s="858">
        <f>+SUMIF('YTD Purchases'!C:C,'NCCPL Working'!A343, 'YTD Purchases'!F:F)+SUMIF('YTD Sales'!B:B,'NCCPL Working'!A343,'YTD Sales'!F:F)</f>
        <v>0</v>
      </c>
      <c r="D343" s="858">
        <f t="shared" si="19"/>
        <v>0</v>
      </c>
      <c r="E343" s="858">
        <f t="shared" si="17"/>
        <v>0</v>
      </c>
    </row>
    <row r="344" spans="1:5" x14ac:dyDescent="0.15">
      <c r="A344" s="661">
        <f t="shared" si="18"/>
        <v>44900</v>
      </c>
      <c r="C344" s="858">
        <f>+SUMIF('YTD Purchases'!C:C,'NCCPL Working'!A344, 'YTD Purchases'!F:F)+SUMIF('YTD Sales'!B:B,'NCCPL Working'!A344,'YTD Sales'!F:F)</f>
        <v>0</v>
      </c>
      <c r="D344" s="858">
        <f t="shared" si="19"/>
        <v>0</v>
      </c>
      <c r="E344" s="858">
        <f t="shared" si="17"/>
        <v>0</v>
      </c>
    </row>
    <row r="345" spans="1:5" x14ac:dyDescent="0.15">
      <c r="A345" s="661">
        <f t="shared" si="18"/>
        <v>44901</v>
      </c>
      <c r="C345" s="858">
        <f>+SUMIF('YTD Purchases'!C:C,'NCCPL Working'!A345, 'YTD Purchases'!F:F)+SUMIF('YTD Sales'!B:B,'NCCPL Working'!A345,'YTD Sales'!F:F)</f>
        <v>0</v>
      </c>
      <c r="D345" s="858">
        <f t="shared" si="19"/>
        <v>0</v>
      </c>
      <c r="E345" s="858">
        <f t="shared" si="17"/>
        <v>0</v>
      </c>
    </row>
    <row r="346" spans="1:5" x14ac:dyDescent="0.15">
      <c r="A346" s="661">
        <f t="shared" si="18"/>
        <v>44902</v>
      </c>
      <c r="C346" s="858">
        <f>+SUMIF('YTD Purchases'!C:C,'NCCPL Working'!A346, 'YTD Purchases'!F:F)+SUMIF('YTD Sales'!B:B,'NCCPL Working'!A346,'YTD Sales'!F:F)</f>
        <v>0</v>
      </c>
      <c r="D346" s="858">
        <f t="shared" si="19"/>
        <v>0</v>
      </c>
      <c r="E346" s="858">
        <f t="shared" si="17"/>
        <v>0</v>
      </c>
    </row>
    <row r="347" spans="1:5" x14ac:dyDescent="0.15">
      <c r="A347" s="661">
        <f t="shared" si="18"/>
        <v>44903</v>
      </c>
      <c r="C347" s="858">
        <f>+SUMIF('YTD Purchases'!C:C,'NCCPL Working'!A347, 'YTD Purchases'!F:F)+SUMIF('YTD Sales'!B:B,'NCCPL Working'!A347,'YTD Sales'!F:F)</f>
        <v>0</v>
      </c>
      <c r="D347" s="858">
        <f t="shared" si="19"/>
        <v>0</v>
      </c>
      <c r="E347" s="858">
        <f t="shared" si="17"/>
        <v>0</v>
      </c>
    </row>
    <row r="348" spans="1:5" x14ac:dyDescent="0.15">
      <c r="A348" s="661">
        <f t="shared" si="18"/>
        <v>44904</v>
      </c>
      <c r="C348" s="858">
        <f>+SUMIF('YTD Purchases'!C:C,'NCCPL Working'!A348, 'YTD Purchases'!F:F)+SUMIF('YTD Sales'!B:B,'NCCPL Working'!A348,'YTD Sales'!F:F)</f>
        <v>0</v>
      </c>
      <c r="D348" s="858">
        <f t="shared" si="19"/>
        <v>0</v>
      </c>
      <c r="E348" s="858">
        <f t="shared" si="17"/>
        <v>0</v>
      </c>
    </row>
    <row r="349" spans="1:5" x14ac:dyDescent="0.15">
      <c r="A349" s="661">
        <f t="shared" si="18"/>
        <v>44905</v>
      </c>
      <c r="C349" s="858">
        <f>+SUMIF('YTD Purchases'!C:C,'NCCPL Working'!A349, 'YTD Purchases'!F:F)+SUMIF('YTD Sales'!B:B,'NCCPL Working'!A349,'YTD Sales'!F:F)</f>
        <v>0</v>
      </c>
      <c r="D349" s="858">
        <f t="shared" si="19"/>
        <v>0</v>
      </c>
      <c r="E349" s="858">
        <f t="shared" si="17"/>
        <v>0</v>
      </c>
    </row>
    <row r="350" spans="1:5" x14ac:dyDescent="0.15">
      <c r="A350" s="661">
        <f t="shared" si="18"/>
        <v>44906</v>
      </c>
      <c r="C350" s="858">
        <f>+SUMIF('YTD Purchases'!C:C,'NCCPL Working'!A350, 'YTD Purchases'!F:F)+SUMIF('YTD Sales'!B:B,'NCCPL Working'!A350,'YTD Sales'!F:F)</f>
        <v>0</v>
      </c>
      <c r="D350" s="858">
        <f t="shared" si="19"/>
        <v>0</v>
      </c>
      <c r="E350" s="858">
        <f t="shared" si="17"/>
        <v>0</v>
      </c>
    </row>
    <row r="351" spans="1:5" x14ac:dyDescent="0.15">
      <c r="A351" s="661">
        <f t="shared" si="18"/>
        <v>44907</v>
      </c>
      <c r="C351" s="858">
        <f>+SUMIF('YTD Purchases'!C:C,'NCCPL Working'!A351, 'YTD Purchases'!F:F)+SUMIF('YTD Sales'!B:B,'NCCPL Working'!A351,'YTD Sales'!F:F)</f>
        <v>0</v>
      </c>
      <c r="D351" s="858">
        <f t="shared" si="19"/>
        <v>0</v>
      </c>
      <c r="E351" s="858">
        <f t="shared" si="17"/>
        <v>0</v>
      </c>
    </row>
    <row r="352" spans="1:5" x14ac:dyDescent="0.15">
      <c r="A352" s="661">
        <f t="shared" si="18"/>
        <v>44908</v>
      </c>
      <c r="C352" s="858">
        <f>+SUMIF('YTD Purchases'!C:C,'NCCPL Working'!A352, 'YTD Purchases'!F:F)+SUMIF('YTD Sales'!B:B,'NCCPL Working'!A352,'YTD Sales'!F:F)</f>
        <v>0</v>
      </c>
      <c r="D352" s="858">
        <f t="shared" si="19"/>
        <v>0</v>
      </c>
      <c r="E352" s="858">
        <f t="shared" si="17"/>
        <v>0</v>
      </c>
    </row>
    <row r="353" spans="1:5" x14ac:dyDescent="0.15">
      <c r="A353" s="661">
        <f t="shared" si="18"/>
        <v>44909</v>
      </c>
      <c r="C353" s="858">
        <f>+SUMIF('YTD Purchases'!C:C,'NCCPL Working'!A353, 'YTD Purchases'!F:F)+SUMIF('YTD Sales'!B:B,'NCCPL Working'!A353,'YTD Sales'!F:F)</f>
        <v>0</v>
      </c>
      <c r="D353" s="858">
        <f t="shared" si="19"/>
        <v>0</v>
      </c>
      <c r="E353" s="858">
        <f t="shared" si="17"/>
        <v>0</v>
      </c>
    </row>
    <row r="354" spans="1:5" x14ac:dyDescent="0.15">
      <c r="A354" s="661">
        <f t="shared" si="18"/>
        <v>44910</v>
      </c>
      <c r="C354" s="858">
        <f>+SUMIF('YTD Purchases'!C:C,'NCCPL Working'!A354, 'YTD Purchases'!F:F)+SUMIF('YTD Sales'!B:B,'NCCPL Working'!A354,'YTD Sales'!F:F)</f>
        <v>0</v>
      </c>
      <c r="D354" s="858">
        <f t="shared" si="19"/>
        <v>0</v>
      </c>
      <c r="E354" s="858">
        <f t="shared" si="17"/>
        <v>0</v>
      </c>
    </row>
    <row r="355" spans="1:5" x14ac:dyDescent="0.15">
      <c r="A355" s="661">
        <f t="shared" si="18"/>
        <v>44911</v>
      </c>
      <c r="C355" s="858">
        <f>+SUMIF('YTD Purchases'!C:C,'NCCPL Working'!A355, 'YTD Purchases'!F:F)+SUMIF('YTD Sales'!B:B,'NCCPL Working'!A355,'YTD Sales'!F:F)</f>
        <v>0</v>
      </c>
      <c r="D355" s="858">
        <f t="shared" si="19"/>
        <v>0</v>
      </c>
      <c r="E355" s="858">
        <f t="shared" si="17"/>
        <v>0</v>
      </c>
    </row>
    <row r="356" spans="1:5" x14ac:dyDescent="0.15">
      <c r="A356" s="661">
        <f t="shared" si="18"/>
        <v>44912</v>
      </c>
      <c r="C356" s="858">
        <f>+SUMIF('YTD Purchases'!C:C,'NCCPL Working'!A356, 'YTD Purchases'!F:F)+SUMIF('YTD Sales'!B:B,'NCCPL Working'!A356,'YTD Sales'!F:F)</f>
        <v>0</v>
      </c>
      <c r="D356" s="858">
        <f t="shared" si="19"/>
        <v>0</v>
      </c>
      <c r="E356" s="858">
        <f t="shared" si="17"/>
        <v>0</v>
      </c>
    </row>
    <row r="357" spans="1:5" x14ac:dyDescent="0.15">
      <c r="A357" s="661">
        <f t="shared" si="18"/>
        <v>44913</v>
      </c>
      <c r="C357" s="858">
        <f>+SUMIF('YTD Purchases'!C:C,'NCCPL Working'!A357, 'YTD Purchases'!F:F)+SUMIF('YTD Sales'!B:B,'NCCPL Working'!A357,'YTD Sales'!F:F)</f>
        <v>0</v>
      </c>
      <c r="D357" s="858">
        <f t="shared" si="19"/>
        <v>0</v>
      </c>
      <c r="E357" s="858">
        <f t="shared" si="17"/>
        <v>0</v>
      </c>
    </row>
    <row r="358" spans="1:5" x14ac:dyDescent="0.15">
      <c r="A358" s="661">
        <f t="shared" si="18"/>
        <v>44914</v>
      </c>
      <c r="C358" s="858">
        <f>+SUMIF('YTD Purchases'!C:C,'NCCPL Working'!A358, 'YTD Purchases'!F:F)+SUMIF('YTD Sales'!B:B,'NCCPL Working'!A358,'YTD Sales'!F:F)</f>
        <v>0</v>
      </c>
      <c r="D358" s="858">
        <f t="shared" si="19"/>
        <v>0</v>
      </c>
      <c r="E358" s="858">
        <f t="shared" si="17"/>
        <v>0</v>
      </c>
    </row>
    <row r="359" spans="1:5" x14ac:dyDescent="0.15">
      <c r="A359" s="661">
        <f t="shared" si="18"/>
        <v>44915</v>
      </c>
      <c r="C359" s="858">
        <f>+SUMIF('YTD Purchases'!C:C,'NCCPL Working'!A359, 'YTD Purchases'!F:F)+SUMIF('YTD Sales'!B:B,'NCCPL Working'!A359,'YTD Sales'!F:F)</f>
        <v>0</v>
      </c>
      <c r="D359" s="858">
        <f t="shared" si="19"/>
        <v>0</v>
      </c>
      <c r="E359" s="858">
        <f t="shared" si="17"/>
        <v>0</v>
      </c>
    </row>
    <row r="360" spans="1:5" x14ac:dyDescent="0.15">
      <c r="A360" s="661">
        <f t="shared" si="18"/>
        <v>44916</v>
      </c>
      <c r="C360" s="858">
        <f>+SUMIF('YTD Purchases'!C:C,'NCCPL Working'!A360, 'YTD Purchases'!F:F)+SUMIF('YTD Sales'!B:B,'NCCPL Working'!A360,'YTD Sales'!F:F)</f>
        <v>0</v>
      </c>
      <c r="D360" s="858">
        <f t="shared" si="19"/>
        <v>0</v>
      </c>
      <c r="E360" s="858">
        <f t="shared" si="17"/>
        <v>0</v>
      </c>
    </row>
    <row r="361" spans="1:5" x14ac:dyDescent="0.15">
      <c r="A361" s="661">
        <f t="shared" si="18"/>
        <v>44917</v>
      </c>
      <c r="C361" s="858">
        <f>+SUMIF('YTD Purchases'!C:C,'NCCPL Working'!A361, 'YTD Purchases'!F:F)+SUMIF('YTD Sales'!B:B,'NCCPL Working'!A361,'YTD Sales'!F:F)</f>
        <v>0</v>
      </c>
      <c r="D361" s="858">
        <f t="shared" si="19"/>
        <v>0</v>
      </c>
      <c r="E361" s="858">
        <f t="shared" si="17"/>
        <v>0</v>
      </c>
    </row>
    <row r="362" spans="1:5" x14ac:dyDescent="0.15">
      <c r="A362" s="661">
        <f t="shared" si="18"/>
        <v>44918</v>
      </c>
      <c r="C362" s="858">
        <f>+SUMIF('YTD Purchases'!C:C,'NCCPL Working'!A362, 'YTD Purchases'!F:F)+SUMIF('YTD Sales'!B:B,'NCCPL Working'!A362,'YTD Sales'!F:F)</f>
        <v>0</v>
      </c>
      <c r="D362" s="858">
        <f t="shared" si="19"/>
        <v>0</v>
      </c>
      <c r="E362" s="858">
        <f t="shared" si="17"/>
        <v>0</v>
      </c>
    </row>
    <row r="363" spans="1:5" x14ac:dyDescent="0.15">
      <c r="A363" s="661">
        <f t="shared" si="18"/>
        <v>44919</v>
      </c>
      <c r="C363" s="858">
        <f>+SUMIF('YTD Purchases'!C:C,'NCCPL Working'!A363, 'YTD Purchases'!F:F)+SUMIF('YTD Sales'!B:B,'NCCPL Working'!A363,'YTD Sales'!F:F)</f>
        <v>0</v>
      </c>
      <c r="D363" s="858">
        <f t="shared" si="19"/>
        <v>0</v>
      </c>
      <c r="E363" s="858">
        <f t="shared" si="17"/>
        <v>0</v>
      </c>
    </row>
    <row r="364" spans="1:5" x14ac:dyDescent="0.15">
      <c r="A364" s="661">
        <f t="shared" si="18"/>
        <v>44920</v>
      </c>
      <c r="C364" s="858">
        <f>+SUMIF('YTD Purchases'!C:C,'NCCPL Working'!A364, 'YTD Purchases'!F:F)+SUMIF('YTD Sales'!B:B,'NCCPL Working'!A364,'YTD Sales'!F:F)</f>
        <v>0</v>
      </c>
      <c r="D364" s="858">
        <f t="shared" si="19"/>
        <v>0</v>
      </c>
      <c r="E364" s="858">
        <f t="shared" si="17"/>
        <v>0</v>
      </c>
    </row>
    <row r="365" spans="1:5" x14ac:dyDescent="0.15">
      <c r="A365" s="661">
        <f t="shared" si="18"/>
        <v>44921</v>
      </c>
      <c r="C365" s="858">
        <f>+SUMIF('YTD Purchases'!C:C,'NCCPL Working'!A365, 'YTD Purchases'!F:F)+SUMIF('YTD Sales'!B:B,'NCCPL Working'!A365,'YTD Sales'!F:F)</f>
        <v>0</v>
      </c>
      <c r="D365" s="858">
        <f t="shared" si="19"/>
        <v>0</v>
      </c>
      <c r="E365" s="858">
        <f t="shared" si="17"/>
        <v>0</v>
      </c>
    </row>
    <row r="366" spans="1:5" x14ac:dyDescent="0.15">
      <c r="A366" s="661">
        <f t="shared" si="18"/>
        <v>44922</v>
      </c>
      <c r="C366" s="858">
        <f>+SUMIF('YTD Purchases'!C:C,'NCCPL Working'!A366, 'YTD Purchases'!F:F)+SUMIF('YTD Sales'!B:B,'NCCPL Working'!A366,'YTD Sales'!F:F)</f>
        <v>0</v>
      </c>
      <c r="D366" s="858">
        <f t="shared" si="19"/>
        <v>0</v>
      </c>
      <c r="E366" s="858">
        <f t="shared" si="17"/>
        <v>0</v>
      </c>
    </row>
    <row r="367" spans="1:5" x14ac:dyDescent="0.15">
      <c r="A367" s="661">
        <f t="shared" si="18"/>
        <v>44923</v>
      </c>
      <c r="C367" s="858">
        <f>+SUMIF('YTD Purchases'!C:C,'NCCPL Working'!A367, 'YTD Purchases'!F:F)+SUMIF('YTD Sales'!B:B,'NCCPL Working'!A367,'YTD Sales'!F:F)</f>
        <v>0</v>
      </c>
      <c r="D367" s="858">
        <f t="shared" si="19"/>
        <v>0</v>
      </c>
      <c r="E367" s="858">
        <f t="shared" si="17"/>
        <v>0</v>
      </c>
    </row>
    <row r="368" spans="1:5" x14ac:dyDescent="0.15">
      <c r="A368" s="661">
        <f t="shared" si="18"/>
        <v>44924</v>
      </c>
      <c r="C368" s="858">
        <f>+SUMIF('YTD Purchases'!C:C,'NCCPL Working'!A368, 'YTD Purchases'!F:F)+SUMIF('YTD Sales'!B:B,'NCCPL Working'!A368,'YTD Sales'!F:F)</f>
        <v>0</v>
      </c>
      <c r="D368" s="858">
        <f t="shared" si="19"/>
        <v>0</v>
      </c>
      <c r="E368" s="858">
        <f t="shared" si="17"/>
        <v>0</v>
      </c>
    </row>
    <row r="369" spans="1:5" x14ac:dyDescent="0.15">
      <c r="A369" s="661">
        <f t="shared" ref="A369" si="20">+A368+1</f>
        <v>44925</v>
      </c>
      <c r="C369" s="858">
        <f>+SUMIF('YTD Purchases'!C:C,'NCCPL Working'!A369, 'YTD Purchases'!F:F)+SUMIF('YTD Sales'!B:B,'NCCPL Working'!A369,'YTD Sales'!F:F)</f>
        <v>0</v>
      </c>
      <c r="D369" s="858">
        <f t="shared" ref="D369" si="21">ROUND(C369/100000*6,0)</f>
        <v>0</v>
      </c>
      <c r="E369" s="858">
        <f t="shared" si="17"/>
        <v>0</v>
      </c>
    </row>
    <row r="370" spans="1:5" x14ac:dyDescent="0.15">
      <c r="A370" s="661">
        <f t="shared" ref="A370" si="22">+A369+1</f>
        <v>44926</v>
      </c>
      <c r="C370" s="858">
        <f>+SUMIF('YTD Purchases'!C:C,'NCCPL Working'!A370, 'YTD Purchases'!F:F)+SUMIF('YTD Sales'!B:B,'NCCPL Working'!A370,'YTD Sales'!F:F)</f>
        <v>0</v>
      </c>
      <c r="D370" s="858">
        <f t="shared" ref="D370" si="23">ROUND(C370/100000*6,0)</f>
        <v>0</v>
      </c>
      <c r="E370" s="858">
        <f t="shared" si="17"/>
        <v>0</v>
      </c>
    </row>
    <row r="373" spans="1:5" s="892" customFormat="1" x14ac:dyDescent="0.15">
      <c r="A373" s="892" t="s">
        <v>402</v>
      </c>
      <c r="B373" s="1039">
        <f>SUBTOTAL(9,B7:B372)</f>
        <v>176592</v>
      </c>
      <c r="C373" s="1026"/>
      <c r="D373" s="1026"/>
      <c r="E373" s="1026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63"/>
  <sheetViews>
    <sheetView view="pageBreakPreview" zoomScaleSheetLayoutView="100" workbookViewId="0">
      <pane xSplit="2" ySplit="6" topLeftCell="I23" activePane="bottomRight" state="frozen"/>
      <selection pane="topRight" activeCell="C1" sqref="C1"/>
      <selection pane="bottomLeft" activeCell="A7" sqref="A7"/>
      <selection pane="bottomRight" activeCell="M49" sqref="M49"/>
    </sheetView>
  </sheetViews>
  <sheetFormatPr defaultRowHeight="11.25" x14ac:dyDescent="0.2"/>
  <cols>
    <col min="1" max="1" width="8" style="1105" customWidth="1"/>
    <col min="2" max="4" width="19.125" style="1105" customWidth="1"/>
    <col min="5" max="5" width="11.5" style="1106" customWidth="1"/>
    <col min="6" max="7" width="9.125" style="1106" customWidth="1"/>
    <col min="8" max="8" width="14.125" style="1106" customWidth="1"/>
    <col min="9" max="9" width="8.125" style="269" customWidth="1"/>
    <col min="10" max="10" width="7.625" style="269" customWidth="1"/>
    <col min="11" max="11" width="12" style="159" customWidth="1"/>
    <col min="12" max="12" width="17.5" style="160" bestFit="1" customWidth="1"/>
    <col min="13" max="13" width="10.375" style="159" bestFit="1" customWidth="1"/>
    <col min="14" max="14" width="9.75" style="159" bestFit="1" customWidth="1"/>
    <col min="15" max="15" width="10" style="159" customWidth="1"/>
    <col min="16" max="16" width="17.5" style="160" bestFit="1" customWidth="1"/>
    <col min="17" max="17" width="11.625" style="159" bestFit="1" customWidth="1"/>
    <col min="18" max="18" width="9" style="160"/>
    <col min="19" max="19" width="12.375" style="159" customWidth="1"/>
    <col min="20" max="20" width="9" style="159"/>
    <col min="21" max="21" width="14.125" style="159" bestFit="1" customWidth="1"/>
    <col min="22" max="258" width="9" style="159"/>
    <col min="259" max="259" width="8" style="159" customWidth="1"/>
    <col min="260" max="260" width="17.625" style="159" customWidth="1"/>
    <col min="261" max="261" width="11.5" style="159" customWidth="1"/>
    <col min="262" max="263" width="9.125" style="159" customWidth="1"/>
    <col min="264" max="264" width="14.125" style="159" customWidth="1"/>
    <col min="265" max="265" width="8.125" style="159" customWidth="1"/>
    <col min="266" max="266" width="7.625" style="159" customWidth="1"/>
    <col min="267" max="267" width="13.125" style="159" customWidth="1"/>
    <col min="268" max="268" width="11.875" style="159" customWidth="1"/>
    <col min="269" max="269" width="6.75" style="159" customWidth="1"/>
    <col min="270" max="270" width="7.875" style="159" customWidth="1"/>
    <col min="271" max="271" width="10" style="159" customWidth="1"/>
    <col min="272" max="272" width="9.75" style="159" bestFit="1" customWidth="1"/>
    <col min="273" max="514" width="9" style="159"/>
    <col min="515" max="515" width="8" style="159" customWidth="1"/>
    <col min="516" max="516" width="17.625" style="159" customWidth="1"/>
    <col min="517" max="517" width="11.5" style="159" customWidth="1"/>
    <col min="518" max="519" width="9.125" style="159" customWidth="1"/>
    <col min="520" max="520" width="14.125" style="159" customWidth="1"/>
    <col min="521" max="521" width="8.125" style="159" customWidth="1"/>
    <col min="522" max="522" width="7.625" style="159" customWidth="1"/>
    <col min="523" max="523" width="13.125" style="159" customWidth="1"/>
    <col min="524" max="524" width="11.875" style="159" customWidth="1"/>
    <col min="525" max="525" width="6.75" style="159" customWidth="1"/>
    <col min="526" max="526" width="7.875" style="159" customWidth="1"/>
    <col min="527" max="527" width="10" style="159" customWidth="1"/>
    <col min="528" max="528" width="9.75" style="159" bestFit="1" customWidth="1"/>
    <col min="529" max="770" width="9" style="159"/>
    <col min="771" max="771" width="8" style="159" customWidth="1"/>
    <col min="772" max="772" width="17.625" style="159" customWidth="1"/>
    <col min="773" max="773" width="11.5" style="159" customWidth="1"/>
    <col min="774" max="775" width="9.125" style="159" customWidth="1"/>
    <col min="776" max="776" width="14.125" style="159" customWidth="1"/>
    <col min="777" max="777" width="8.125" style="159" customWidth="1"/>
    <col min="778" max="778" width="7.625" style="159" customWidth="1"/>
    <col min="779" max="779" width="13.125" style="159" customWidth="1"/>
    <col min="780" max="780" width="11.875" style="159" customWidth="1"/>
    <col min="781" max="781" width="6.75" style="159" customWidth="1"/>
    <col min="782" max="782" width="7.875" style="159" customWidth="1"/>
    <col min="783" max="783" width="10" style="159" customWidth="1"/>
    <col min="784" max="784" width="9.75" style="159" bestFit="1" customWidth="1"/>
    <col min="785" max="1026" width="9" style="159"/>
    <col min="1027" max="1027" width="8" style="159" customWidth="1"/>
    <col min="1028" max="1028" width="17.625" style="159" customWidth="1"/>
    <col min="1029" max="1029" width="11.5" style="159" customWidth="1"/>
    <col min="1030" max="1031" width="9.125" style="159" customWidth="1"/>
    <col min="1032" max="1032" width="14.125" style="159" customWidth="1"/>
    <col min="1033" max="1033" width="8.125" style="159" customWidth="1"/>
    <col min="1034" max="1034" width="7.625" style="159" customWidth="1"/>
    <col min="1035" max="1035" width="13.125" style="159" customWidth="1"/>
    <col min="1036" max="1036" width="11.875" style="159" customWidth="1"/>
    <col min="1037" max="1037" width="6.75" style="159" customWidth="1"/>
    <col min="1038" max="1038" width="7.875" style="159" customWidth="1"/>
    <col min="1039" max="1039" width="10" style="159" customWidth="1"/>
    <col min="1040" max="1040" width="9.75" style="159" bestFit="1" customWidth="1"/>
    <col min="1041" max="1282" width="9" style="159"/>
    <col min="1283" max="1283" width="8" style="159" customWidth="1"/>
    <col min="1284" max="1284" width="17.625" style="159" customWidth="1"/>
    <col min="1285" max="1285" width="11.5" style="159" customWidth="1"/>
    <col min="1286" max="1287" width="9.125" style="159" customWidth="1"/>
    <col min="1288" max="1288" width="14.125" style="159" customWidth="1"/>
    <col min="1289" max="1289" width="8.125" style="159" customWidth="1"/>
    <col min="1290" max="1290" width="7.625" style="159" customWidth="1"/>
    <col min="1291" max="1291" width="13.125" style="159" customWidth="1"/>
    <col min="1292" max="1292" width="11.875" style="159" customWidth="1"/>
    <col min="1293" max="1293" width="6.75" style="159" customWidth="1"/>
    <col min="1294" max="1294" width="7.875" style="159" customWidth="1"/>
    <col min="1295" max="1295" width="10" style="159" customWidth="1"/>
    <col min="1296" max="1296" width="9.75" style="159" bestFit="1" customWidth="1"/>
    <col min="1297" max="1538" width="9" style="159"/>
    <col min="1539" max="1539" width="8" style="159" customWidth="1"/>
    <col min="1540" max="1540" width="17.625" style="159" customWidth="1"/>
    <col min="1541" max="1541" width="11.5" style="159" customWidth="1"/>
    <col min="1542" max="1543" width="9.125" style="159" customWidth="1"/>
    <col min="1544" max="1544" width="14.125" style="159" customWidth="1"/>
    <col min="1545" max="1545" width="8.125" style="159" customWidth="1"/>
    <col min="1546" max="1546" width="7.625" style="159" customWidth="1"/>
    <col min="1547" max="1547" width="13.125" style="159" customWidth="1"/>
    <col min="1548" max="1548" width="11.875" style="159" customWidth="1"/>
    <col min="1549" max="1549" width="6.75" style="159" customWidth="1"/>
    <col min="1550" max="1550" width="7.875" style="159" customWidth="1"/>
    <col min="1551" max="1551" width="10" style="159" customWidth="1"/>
    <col min="1552" max="1552" width="9.75" style="159" bestFit="1" customWidth="1"/>
    <col min="1553" max="1794" width="9" style="159"/>
    <col min="1795" max="1795" width="8" style="159" customWidth="1"/>
    <col min="1796" max="1796" width="17.625" style="159" customWidth="1"/>
    <col min="1797" max="1797" width="11.5" style="159" customWidth="1"/>
    <col min="1798" max="1799" width="9.125" style="159" customWidth="1"/>
    <col min="1800" max="1800" width="14.125" style="159" customWidth="1"/>
    <col min="1801" max="1801" width="8.125" style="159" customWidth="1"/>
    <col min="1802" max="1802" width="7.625" style="159" customWidth="1"/>
    <col min="1803" max="1803" width="13.125" style="159" customWidth="1"/>
    <col min="1804" max="1804" width="11.875" style="159" customWidth="1"/>
    <col min="1805" max="1805" width="6.75" style="159" customWidth="1"/>
    <col min="1806" max="1806" width="7.875" style="159" customWidth="1"/>
    <col min="1807" max="1807" width="10" style="159" customWidth="1"/>
    <col min="1808" max="1808" width="9.75" style="159" bestFit="1" customWidth="1"/>
    <col min="1809" max="2050" width="9" style="159"/>
    <col min="2051" max="2051" width="8" style="159" customWidth="1"/>
    <col min="2052" max="2052" width="17.625" style="159" customWidth="1"/>
    <col min="2053" max="2053" width="11.5" style="159" customWidth="1"/>
    <col min="2054" max="2055" width="9.125" style="159" customWidth="1"/>
    <col min="2056" max="2056" width="14.125" style="159" customWidth="1"/>
    <col min="2057" max="2057" width="8.125" style="159" customWidth="1"/>
    <col min="2058" max="2058" width="7.625" style="159" customWidth="1"/>
    <col min="2059" max="2059" width="13.125" style="159" customWidth="1"/>
    <col min="2060" max="2060" width="11.875" style="159" customWidth="1"/>
    <col min="2061" max="2061" width="6.75" style="159" customWidth="1"/>
    <col min="2062" max="2062" width="7.875" style="159" customWidth="1"/>
    <col min="2063" max="2063" width="10" style="159" customWidth="1"/>
    <col min="2064" max="2064" width="9.75" style="159" bestFit="1" customWidth="1"/>
    <col min="2065" max="2306" width="9" style="159"/>
    <col min="2307" max="2307" width="8" style="159" customWidth="1"/>
    <col min="2308" max="2308" width="17.625" style="159" customWidth="1"/>
    <col min="2309" max="2309" width="11.5" style="159" customWidth="1"/>
    <col min="2310" max="2311" width="9.125" style="159" customWidth="1"/>
    <col min="2312" max="2312" width="14.125" style="159" customWidth="1"/>
    <col min="2313" max="2313" width="8.125" style="159" customWidth="1"/>
    <col min="2314" max="2314" width="7.625" style="159" customWidth="1"/>
    <col min="2315" max="2315" width="13.125" style="159" customWidth="1"/>
    <col min="2316" max="2316" width="11.875" style="159" customWidth="1"/>
    <col min="2317" max="2317" width="6.75" style="159" customWidth="1"/>
    <col min="2318" max="2318" width="7.875" style="159" customWidth="1"/>
    <col min="2319" max="2319" width="10" style="159" customWidth="1"/>
    <col min="2320" max="2320" width="9.75" style="159" bestFit="1" customWidth="1"/>
    <col min="2321" max="2562" width="9" style="159"/>
    <col min="2563" max="2563" width="8" style="159" customWidth="1"/>
    <col min="2564" max="2564" width="17.625" style="159" customWidth="1"/>
    <col min="2565" max="2565" width="11.5" style="159" customWidth="1"/>
    <col min="2566" max="2567" width="9.125" style="159" customWidth="1"/>
    <col min="2568" max="2568" width="14.125" style="159" customWidth="1"/>
    <col min="2569" max="2569" width="8.125" style="159" customWidth="1"/>
    <col min="2570" max="2570" width="7.625" style="159" customWidth="1"/>
    <col min="2571" max="2571" width="13.125" style="159" customWidth="1"/>
    <col min="2572" max="2572" width="11.875" style="159" customWidth="1"/>
    <col min="2573" max="2573" width="6.75" style="159" customWidth="1"/>
    <col min="2574" max="2574" width="7.875" style="159" customWidth="1"/>
    <col min="2575" max="2575" width="10" style="159" customWidth="1"/>
    <col min="2576" max="2576" width="9.75" style="159" bestFit="1" customWidth="1"/>
    <col min="2577" max="2818" width="9" style="159"/>
    <col min="2819" max="2819" width="8" style="159" customWidth="1"/>
    <col min="2820" max="2820" width="17.625" style="159" customWidth="1"/>
    <col min="2821" max="2821" width="11.5" style="159" customWidth="1"/>
    <col min="2822" max="2823" width="9.125" style="159" customWidth="1"/>
    <col min="2824" max="2824" width="14.125" style="159" customWidth="1"/>
    <col min="2825" max="2825" width="8.125" style="159" customWidth="1"/>
    <col min="2826" max="2826" width="7.625" style="159" customWidth="1"/>
    <col min="2827" max="2827" width="13.125" style="159" customWidth="1"/>
    <col min="2828" max="2828" width="11.875" style="159" customWidth="1"/>
    <col min="2829" max="2829" width="6.75" style="159" customWidth="1"/>
    <col min="2830" max="2830" width="7.875" style="159" customWidth="1"/>
    <col min="2831" max="2831" width="10" style="159" customWidth="1"/>
    <col min="2832" max="2832" width="9.75" style="159" bestFit="1" customWidth="1"/>
    <col min="2833" max="3074" width="9" style="159"/>
    <col min="3075" max="3075" width="8" style="159" customWidth="1"/>
    <col min="3076" max="3076" width="17.625" style="159" customWidth="1"/>
    <col min="3077" max="3077" width="11.5" style="159" customWidth="1"/>
    <col min="3078" max="3079" width="9.125" style="159" customWidth="1"/>
    <col min="3080" max="3080" width="14.125" style="159" customWidth="1"/>
    <col min="3081" max="3081" width="8.125" style="159" customWidth="1"/>
    <col min="3082" max="3082" width="7.625" style="159" customWidth="1"/>
    <col min="3083" max="3083" width="13.125" style="159" customWidth="1"/>
    <col min="3084" max="3084" width="11.875" style="159" customWidth="1"/>
    <col min="3085" max="3085" width="6.75" style="159" customWidth="1"/>
    <col min="3086" max="3086" width="7.875" style="159" customWidth="1"/>
    <col min="3087" max="3087" width="10" style="159" customWidth="1"/>
    <col min="3088" max="3088" width="9.75" style="159" bestFit="1" customWidth="1"/>
    <col min="3089" max="3330" width="9" style="159"/>
    <col min="3331" max="3331" width="8" style="159" customWidth="1"/>
    <col min="3332" max="3332" width="17.625" style="159" customWidth="1"/>
    <col min="3333" max="3333" width="11.5" style="159" customWidth="1"/>
    <col min="3334" max="3335" width="9.125" style="159" customWidth="1"/>
    <col min="3336" max="3336" width="14.125" style="159" customWidth="1"/>
    <col min="3337" max="3337" width="8.125" style="159" customWidth="1"/>
    <col min="3338" max="3338" width="7.625" style="159" customWidth="1"/>
    <col min="3339" max="3339" width="13.125" style="159" customWidth="1"/>
    <col min="3340" max="3340" width="11.875" style="159" customWidth="1"/>
    <col min="3341" max="3341" width="6.75" style="159" customWidth="1"/>
    <col min="3342" max="3342" width="7.875" style="159" customWidth="1"/>
    <col min="3343" max="3343" width="10" style="159" customWidth="1"/>
    <col min="3344" max="3344" width="9.75" style="159" bestFit="1" customWidth="1"/>
    <col min="3345" max="3586" width="9" style="159"/>
    <col min="3587" max="3587" width="8" style="159" customWidth="1"/>
    <col min="3588" max="3588" width="17.625" style="159" customWidth="1"/>
    <col min="3589" max="3589" width="11.5" style="159" customWidth="1"/>
    <col min="3590" max="3591" width="9.125" style="159" customWidth="1"/>
    <col min="3592" max="3592" width="14.125" style="159" customWidth="1"/>
    <col min="3593" max="3593" width="8.125" style="159" customWidth="1"/>
    <col min="3594" max="3594" width="7.625" style="159" customWidth="1"/>
    <col min="3595" max="3595" width="13.125" style="159" customWidth="1"/>
    <col min="3596" max="3596" width="11.875" style="159" customWidth="1"/>
    <col min="3597" max="3597" width="6.75" style="159" customWidth="1"/>
    <col min="3598" max="3598" width="7.875" style="159" customWidth="1"/>
    <col min="3599" max="3599" width="10" style="159" customWidth="1"/>
    <col min="3600" max="3600" width="9.75" style="159" bestFit="1" customWidth="1"/>
    <col min="3601" max="3842" width="9" style="159"/>
    <col min="3843" max="3843" width="8" style="159" customWidth="1"/>
    <col min="3844" max="3844" width="17.625" style="159" customWidth="1"/>
    <col min="3845" max="3845" width="11.5" style="159" customWidth="1"/>
    <col min="3846" max="3847" width="9.125" style="159" customWidth="1"/>
    <col min="3848" max="3848" width="14.125" style="159" customWidth="1"/>
    <col min="3849" max="3849" width="8.125" style="159" customWidth="1"/>
    <col min="3850" max="3850" width="7.625" style="159" customWidth="1"/>
    <col min="3851" max="3851" width="13.125" style="159" customWidth="1"/>
    <col min="3852" max="3852" width="11.875" style="159" customWidth="1"/>
    <col min="3853" max="3853" width="6.75" style="159" customWidth="1"/>
    <col min="3854" max="3854" width="7.875" style="159" customWidth="1"/>
    <col min="3855" max="3855" width="10" style="159" customWidth="1"/>
    <col min="3856" max="3856" width="9.75" style="159" bestFit="1" customWidth="1"/>
    <col min="3857" max="4098" width="9" style="159"/>
    <col min="4099" max="4099" width="8" style="159" customWidth="1"/>
    <col min="4100" max="4100" width="17.625" style="159" customWidth="1"/>
    <col min="4101" max="4101" width="11.5" style="159" customWidth="1"/>
    <col min="4102" max="4103" width="9.125" style="159" customWidth="1"/>
    <col min="4104" max="4104" width="14.125" style="159" customWidth="1"/>
    <col min="4105" max="4105" width="8.125" style="159" customWidth="1"/>
    <col min="4106" max="4106" width="7.625" style="159" customWidth="1"/>
    <col min="4107" max="4107" width="13.125" style="159" customWidth="1"/>
    <col min="4108" max="4108" width="11.875" style="159" customWidth="1"/>
    <col min="4109" max="4109" width="6.75" style="159" customWidth="1"/>
    <col min="4110" max="4110" width="7.875" style="159" customWidth="1"/>
    <col min="4111" max="4111" width="10" style="159" customWidth="1"/>
    <col min="4112" max="4112" width="9.75" style="159" bestFit="1" customWidth="1"/>
    <col min="4113" max="4354" width="9" style="159"/>
    <col min="4355" max="4355" width="8" style="159" customWidth="1"/>
    <col min="4356" max="4356" width="17.625" style="159" customWidth="1"/>
    <col min="4357" max="4357" width="11.5" style="159" customWidth="1"/>
    <col min="4358" max="4359" width="9.125" style="159" customWidth="1"/>
    <col min="4360" max="4360" width="14.125" style="159" customWidth="1"/>
    <col min="4361" max="4361" width="8.125" style="159" customWidth="1"/>
    <col min="4362" max="4362" width="7.625" style="159" customWidth="1"/>
    <col min="4363" max="4363" width="13.125" style="159" customWidth="1"/>
    <col min="4364" max="4364" width="11.875" style="159" customWidth="1"/>
    <col min="4365" max="4365" width="6.75" style="159" customWidth="1"/>
    <col min="4366" max="4366" width="7.875" style="159" customWidth="1"/>
    <col min="4367" max="4367" width="10" style="159" customWidth="1"/>
    <col min="4368" max="4368" width="9.75" style="159" bestFit="1" customWidth="1"/>
    <col min="4369" max="4610" width="9" style="159"/>
    <col min="4611" max="4611" width="8" style="159" customWidth="1"/>
    <col min="4612" max="4612" width="17.625" style="159" customWidth="1"/>
    <col min="4613" max="4613" width="11.5" style="159" customWidth="1"/>
    <col min="4614" max="4615" width="9.125" style="159" customWidth="1"/>
    <col min="4616" max="4616" width="14.125" style="159" customWidth="1"/>
    <col min="4617" max="4617" width="8.125" style="159" customWidth="1"/>
    <col min="4618" max="4618" width="7.625" style="159" customWidth="1"/>
    <col min="4619" max="4619" width="13.125" style="159" customWidth="1"/>
    <col min="4620" max="4620" width="11.875" style="159" customWidth="1"/>
    <col min="4621" max="4621" width="6.75" style="159" customWidth="1"/>
    <col min="4622" max="4622" width="7.875" style="159" customWidth="1"/>
    <col min="4623" max="4623" width="10" style="159" customWidth="1"/>
    <col min="4624" max="4624" width="9.75" style="159" bestFit="1" customWidth="1"/>
    <col min="4625" max="4866" width="9" style="159"/>
    <col min="4867" max="4867" width="8" style="159" customWidth="1"/>
    <col min="4868" max="4868" width="17.625" style="159" customWidth="1"/>
    <col min="4869" max="4869" width="11.5" style="159" customWidth="1"/>
    <col min="4870" max="4871" width="9.125" style="159" customWidth="1"/>
    <col min="4872" max="4872" width="14.125" style="159" customWidth="1"/>
    <col min="4873" max="4873" width="8.125" style="159" customWidth="1"/>
    <col min="4874" max="4874" width="7.625" style="159" customWidth="1"/>
    <col min="4875" max="4875" width="13.125" style="159" customWidth="1"/>
    <col min="4876" max="4876" width="11.875" style="159" customWidth="1"/>
    <col min="4877" max="4877" width="6.75" style="159" customWidth="1"/>
    <col min="4878" max="4878" width="7.875" style="159" customWidth="1"/>
    <col min="4879" max="4879" width="10" style="159" customWidth="1"/>
    <col min="4880" max="4880" width="9.75" style="159" bestFit="1" customWidth="1"/>
    <col min="4881" max="5122" width="9" style="159"/>
    <col min="5123" max="5123" width="8" style="159" customWidth="1"/>
    <col min="5124" max="5124" width="17.625" style="159" customWidth="1"/>
    <col min="5125" max="5125" width="11.5" style="159" customWidth="1"/>
    <col min="5126" max="5127" width="9.125" style="159" customWidth="1"/>
    <col min="5128" max="5128" width="14.125" style="159" customWidth="1"/>
    <col min="5129" max="5129" width="8.125" style="159" customWidth="1"/>
    <col min="5130" max="5130" width="7.625" style="159" customWidth="1"/>
    <col min="5131" max="5131" width="13.125" style="159" customWidth="1"/>
    <col min="5132" max="5132" width="11.875" style="159" customWidth="1"/>
    <col min="5133" max="5133" width="6.75" style="159" customWidth="1"/>
    <col min="5134" max="5134" width="7.875" style="159" customWidth="1"/>
    <col min="5135" max="5135" width="10" style="159" customWidth="1"/>
    <col min="5136" max="5136" width="9.75" style="159" bestFit="1" customWidth="1"/>
    <col min="5137" max="5378" width="9" style="159"/>
    <col min="5379" max="5379" width="8" style="159" customWidth="1"/>
    <col min="5380" max="5380" width="17.625" style="159" customWidth="1"/>
    <col min="5381" max="5381" width="11.5" style="159" customWidth="1"/>
    <col min="5382" max="5383" width="9.125" style="159" customWidth="1"/>
    <col min="5384" max="5384" width="14.125" style="159" customWidth="1"/>
    <col min="5385" max="5385" width="8.125" style="159" customWidth="1"/>
    <col min="5386" max="5386" width="7.625" style="159" customWidth="1"/>
    <col min="5387" max="5387" width="13.125" style="159" customWidth="1"/>
    <col min="5388" max="5388" width="11.875" style="159" customWidth="1"/>
    <col min="5389" max="5389" width="6.75" style="159" customWidth="1"/>
    <col min="5390" max="5390" width="7.875" style="159" customWidth="1"/>
    <col min="5391" max="5391" width="10" style="159" customWidth="1"/>
    <col min="5392" max="5392" width="9.75" style="159" bestFit="1" customWidth="1"/>
    <col min="5393" max="5634" width="9" style="159"/>
    <col min="5635" max="5635" width="8" style="159" customWidth="1"/>
    <col min="5636" max="5636" width="17.625" style="159" customWidth="1"/>
    <col min="5637" max="5637" width="11.5" style="159" customWidth="1"/>
    <col min="5638" max="5639" width="9.125" style="159" customWidth="1"/>
    <col min="5640" max="5640" width="14.125" style="159" customWidth="1"/>
    <col min="5641" max="5641" width="8.125" style="159" customWidth="1"/>
    <col min="5642" max="5642" width="7.625" style="159" customWidth="1"/>
    <col min="5643" max="5643" width="13.125" style="159" customWidth="1"/>
    <col min="5644" max="5644" width="11.875" style="159" customWidth="1"/>
    <col min="5645" max="5645" width="6.75" style="159" customWidth="1"/>
    <col min="5646" max="5646" width="7.875" style="159" customWidth="1"/>
    <col min="5647" max="5647" width="10" style="159" customWidth="1"/>
    <col min="5648" max="5648" width="9.75" style="159" bestFit="1" customWidth="1"/>
    <col min="5649" max="5890" width="9" style="159"/>
    <col min="5891" max="5891" width="8" style="159" customWidth="1"/>
    <col min="5892" max="5892" width="17.625" style="159" customWidth="1"/>
    <col min="5893" max="5893" width="11.5" style="159" customWidth="1"/>
    <col min="5894" max="5895" width="9.125" style="159" customWidth="1"/>
    <col min="5896" max="5896" width="14.125" style="159" customWidth="1"/>
    <col min="5897" max="5897" width="8.125" style="159" customWidth="1"/>
    <col min="5898" max="5898" width="7.625" style="159" customWidth="1"/>
    <col min="5899" max="5899" width="13.125" style="159" customWidth="1"/>
    <col min="5900" max="5900" width="11.875" style="159" customWidth="1"/>
    <col min="5901" max="5901" width="6.75" style="159" customWidth="1"/>
    <col min="5902" max="5902" width="7.875" style="159" customWidth="1"/>
    <col min="5903" max="5903" width="10" style="159" customWidth="1"/>
    <col min="5904" max="5904" width="9.75" style="159" bestFit="1" customWidth="1"/>
    <col min="5905" max="6146" width="9" style="159"/>
    <col min="6147" max="6147" width="8" style="159" customWidth="1"/>
    <col min="6148" max="6148" width="17.625" style="159" customWidth="1"/>
    <col min="6149" max="6149" width="11.5" style="159" customWidth="1"/>
    <col min="6150" max="6151" width="9.125" style="159" customWidth="1"/>
    <col min="6152" max="6152" width="14.125" style="159" customWidth="1"/>
    <col min="6153" max="6153" width="8.125" style="159" customWidth="1"/>
    <col min="6154" max="6154" width="7.625" style="159" customWidth="1"/>
    <col min="6155" max="6155" width="13.125" style="159" customWidth="1"/>
    <col min="6156" max="6156" width="11.875" style="159" customWidth="1"/>
    <col min="6157" max="6157" width="6.75" style="159" customWidth="1"/>
    <col min="6158" max="6158" width="7.875" style="159" customWidth="1"/>
    <col min="6159" max="6159" width="10" style="159" customWidth="1"/>
    <col min="6160" max="6160" width="9.75" style="159" bestFit="1" customWidth="1"/>
    <col min="6161" max="6402" width="9" style="159"/>
    <col min="6403" max="6403" width="8" style="159" customWidth="1"/>
    <col min="6404" max="6404" width="17.625" style="159" customWidth="1"/>
    <col min="6405" max="6405" width="11.5" style="159" customWidth="1"/>
    <col min="6406" max="6407" width="9.125" style="159" customWidth="1"/>
    <col min="6408" max="6408" width="14.125" style="159" customWidth="1"/>
    <col min="6409" max="6409" width="8.125" style="159" customWidth="1"/>
    <col min="6410" max="6410" width="7.625" style="159" customWidth="1"/>
    <col min="6411" max="6411" width="13.125" style="159" customWidth="1"/>
    <col min="6412" max="6412" width="11.875" style="159" customWidth="1"/>
    <col min="6413" max="6413" width="6.75" style="159" customWidth="1"/>
    <col min="6414" max="6414" width="7.875" style="159" customWidth="1"/>
    <col min="6415" max="6415" width="10" style="159" customWidth="1"/>
    <col min="6416" max="6416" width="9.75" style="159" bestFit="1" customWidth="1"/>
    <col min="6417" max="6658" width="9" style="159"/>
    <col min="6659" max="6659" width="8" style="159" customWidth="1"/>
    <col min="6660" max="6660" width="17.625" style="159" customWidth="1"/>
    <col min="6661" max="6661" width="11.5" style="159" customWidth="1"/>
    <col min="6662" max="6663" width="9.125" style="159" customWidth="1"/>
    <col min="6664" max="6664" width="14.125" style="159" customWidth="1"/>
    <col min="6665" max="6665" width="8.125" style="159" customWidth="1"/>
    <col min="6666" max="6666" width="7.625" style="159" customWidth="1"/>
    <col min="6667" max="6667" width="13.125" style="159" customWidth="1"/>
    <col min="6668" max="6668" width="11.875" style="159" customWidth="1"/>
    <col min="6669" max="6669" width="6.75" style="159" customWidth="1"/>
    <col min="6670" max="6670" width="7.875" style="159" customWidth="1"/>
    <col min="6671" max="6671" width="10" style="159" customWidth="1"/>
    <col min="6672" max="6672" width="9.75" style="159" bestFit="1" customWidth="1"/>
    <col min="6673" max="6914" width="9" style="159"/>
    <col min="6915" max="6915" width="8" style="159" customWidth="1"/>
    <col min="6916" max="6916" width="17.625" style="159" customWidth="1"/>
    <col min="6917" max="6917" width="11.5" style="159" customWidth="1"/>
    <col min="6918" max="6919" width="9.125" style="159" customWidth="1"/>
    <col min="6920" max="6920" width="14.125" style="159" customWidth="1"/>
    <col min="6921" max="6921" width="8.125" style="159" customWidth="1"/>
    <col min="6922" max="6922" width="7.625" style="159" customWidth="1"/>
    <col min="6923" max="6923" width="13.125" style="159" customWidth="1"/>
    <col min="6924" max="6924" width="11.875" style="159" customWidth="1"/>
    <col min="6925" max="6925" width="6.75" style="159" customWidth="1"/>
    <col min="6926" max="6926" width="7.875" style="159" customWidth="1"/>
    <col min="6927" max="6927" width="10" style="159" customWidth="1"/>
    <col min="6928" max="6928" width="9.75" style="159" bestFit="1" customWidth="1"/>
    <col min="6929" max="7170" width="9" style="159"/>
    <col min="7171" max="7171" width="8" style="159" customWidth="1"/>
    <col min="7172" max="7172" width="17.625" style="159" customWidth="1"/>
    <col min="7173" max="7173" width="11.5" style="159" customWidth="1"/>
    <col min="7174" max="7175" width="9.125" style="159" customWidth="1"/>
    <col min="7176" max="7176" width="14.125" style="159" customWidth="1"/>
    <col min="7177" max="7177" width="8.125" style="159" customWidth="1"/>
    <col min="7178" max="7178" width="7.625" style="159" customWidth="1"/>
    <col min="7179" max="7179" width="13.125" style="159" customWidth="1"/>
    <col min="7180" max="7180" width="11.875" style="159" customWidth="1"/>
    <col min="7181" max="7181" width="6.75" style="159" customWidth="1"/>
    <col min="7182" max="7182" width="7.875" style="159" customWidth="1"/>
    <col min="7183" max="7183" width="10" style="159" customWidth="1"/>
    <col min="7184" max="7184" width="9.75" style="159" bestFit="1" customWidth="1"/>
    <col min="7185" max="7426" width="9" style="159"/>
    <col min="7427" max="7427" width="8" style="159" customWidth="1"/>
    <col min="7428" max="7428" width="17.625" style="159" customWidth="1"/>
    <col min="7429" max="7429" width="11.5" style="159" customWidth="1"/>
    <col min="7430" max="7431" width="9.125" style="159" customWidth="1"/>
    <col min="7432" max="7432" width="14.125" style="159" customWidth="1"/>
    <col min="7433" max="7433" width="8.125" style="159" customWidth="1"/>
    <col min="7434" max="7434" width="7.625" style="159" customWidth="1"/>
    <col min="7435" max="7435" width="13.125" style="159" customWidth="1"/>
    <col min="7436" max="7436" width="11.875" style="159" customWidth="1"/>
    <col min="7437" max="7437" width="6.75" style="159" customWidth="1"/>
    <col min="7438" max="7438" width="7.875" style="159" customWidth="1"/>
    <col min="7439" max="7439" width="10" style="159" customWidth="1"/>
    <col min="7440" max="7440" width="9.75" style="159" bestFit="1" customWidth="1"/>
    <col min="7441" max="7682" width="9" style="159"/>
    <col min="7683" max="7683" width="8" style="159" customWidth="1"/>
    <col min="7684" max="7684" width="17.625" style="159" customWidth="1"/>
    <col min="7685" max="7685" width="11.5" style="159" customWidth="1"/>
    <col min="7686" max="7687" width="9.125" style="159" customWidth="1"/>
    <col min="7688" max="7688" width="14.125" style="159" customWidth="1"/>
    <col min="7689" max="7689" width="8.125" style="159" customWidth="1"/>
    <col min="7690" max="7690" width="7.625" style="159" customWidth="1"/>
    <col min="7691" max="7691" width="13.125" style="159" customWidth="1"/>
    <col min="7692" max="7692" width="11.875" style="159" customWidth="1"/>
    <col min="7693" max="7693" width="6.75" style="159" customWidth="1"/>
    <col min="7694" max="7694" width="7.875" style="159" customWidth="1"/>
    <col min="7695" max="7695" width="10" style="159" customWidth="1"/>
    <col min="7696" max="7696" width="9.75" style="159" bestFit="1" customWidth="1"/>
    <col min="7697" max="7938" width="9" style="159"/>
    <col min="7939" max="7939" width="8" style="159" customWidth="1"/>
    <col min="7940" max="7940" width="17.625" style="159" customWidth="1"/>
    <col min="7941" max="7941" width="11.5" style="159" customWidth="1"/>
    <col min="7942" max="7943" width="9.125" style="159" customWidth="1"/>
    <col min="7944" max="7944" width="14.125" style="159" customWidth="1"/>
    <col min="7945" max="7945" width="8.125" style="159" customWidth="1"/>
    <col min="7946" max="7946" width="7.625" style="159" customWidth="1"/>
    <col min="7947" max="7947" width="13.125" style="159" customWidth="1"/>
    <col min="7948" max="7948" width="11.875" style="159" customWidth="1"/>
    <col min="7949" max="7949" width="6.75" style="159" customWidth="1"/>
    <col min="7950" max="7950" width="7.875" style="159" customWidth="1"/>
    <col min="7951" max="7951" width="10" style="159" customWidth="1"/>
    <col min="7952" max="7952" width="9.75" style="159" bestFit="1" customWidth="1"/>
    <col min="7953" max="8194" width="9" style="159"/>
    <col min="8195" max="8195" width="8" style="159" customWidth="1"/>
    <col min="8196" max="8196" width="17.625" style="159" customWidth="1"/>
    <col min="8197" max="8197" width="11.5" style="159" customWidth="1"/>
    <col min="8198" max="8199" width="9.125" style="159" customWidth="1"/>
    <col min="8200" max="8200" width="14.125" style="159" customWidth="1"/>
    <col min="8201" max="8201" width="8.125" style="159" customWidth="1"/>
    <col min="8202" max="8202" width="7.625" style="159" customWidth="1"/>
    <col min="8203" max="8203" width="13.125" style="159" customWidth="1"/>
    <col min="8204" max="8204" width="11.875" style="159" customWidth="1"/>
    <col min="8205" max="8205" width="6.75" style="159" customWidth="1"/>
    <col min="8206" max="8206" width="7.875" style="159" customWidth="1"/>
    <col min="8207" max="8207" width="10" style="159" customWidth="1"/>
    <col min="8208" max="8208" width="9.75" style="159" bestFit="1" customWidth="1"/>
    <col min="8209" max="8450" width="9" style="159"/>
    <col min="8451" max="8451" width="8" style="159" customWidth="1"/>
    <col min="8452" max="8452" width="17.625" style="159" customWidth="1"/>
    <col min="8453" max="8453" width="11.5" style="159" customWidth="1"/>
    <col min="8454" max="8455" width="9.125" style="159" customWidth="1"/>
    <col min="8456" max="8456" width="14.125" style="159" customWidth="1"/>
    <col min="8457" max="8457" width="8.125" style="159" customWidth="1"/>
    <col min="8458" max="8458" width="7.625" style="159" customWidth="1"/>
    <col min="8459" max="8459" width="13.125" style="159" customWidth="1"/>
    <col min="8460" max="8460" width="11.875" style="159" customWidth="1"/>
    <col min="8461" max="8461" width="6.75" style="159" customWidth="1"/>
    <col min="8462" max="8462" width="7.875" style="159" customWidth="1"/>
    <col min="8463" max="8463" width="10" style="159" customWidth="1"/>
    <col min="8464" max="8464" width="9.75" style="159" bestFit="1" customWidth="1"/>
    <col min="8465" max="8706" width="9" style="159"/>
    <col min="8707" max="8707" width="8" style="159" customWidth="1"/>
    <col min="8708" max="8708" width="17.625" style="159" customWidth="1"/>
    <col min="8709" max="8709" width="11.5" style="159" customWidth="1"/>
    <col min="8710" max="8711" width="9.125" style="159" customWidth="1"/>
    <col min="8712" max="8712" width="14.125" style="159" customWidth="1"/>
    <col min="8713" max="8713" width="8.125" style="159" customWidth="1"/>
    <col min="8714" max="8714" width="7.625" style="159" customWidth="1"/>
    <col min="8715" max="8715" width="13.125" style="159" customWidth="1"/>
    <col min="8716" max="8716" width="11.875" style="159" customWidth="1"/>
    <col min="8717" max="8717" width="6.75" style="159" customWidth="1"/>
    <col min="8718" max="8718" width="7.875" style="159" customWidth="1"/>
    <col min="8719" max="8719" width="10" style="159" customWidth="1"/>
    <col min="8720" max="8720" width="9.75" style="159" bestFit="1" customWidth="1"/>
    <col min="8721" max="8962" width="9" style="159"/>
    <col min="8963" max="8963" width="8" style="159" customWidth="1"/>
    <col min="8964" max="8964" width="17.625" style="159" customWidth="1"/>
    <col min="8965" max="8965" width="11.5" style="159" customWidth="1"/>
    <col min="8966" max="8967" width="9.125" style="159" customWidth="1"/>
    <col min="8968" max="8968" width="14.125" style="159" customWidth="1"/>
    <col min="8969" max="8969" width="8.125" style="159" customWidth="1"/>
    <col min="8970" max="8970" width="7.625" style="159" customWidth="1"/>
    <col min="8971" max="8971" width="13.125" style="159" customWidth="1"/>
    <col min="8972" max="8972" width="11.875" style="159" customWidth="1"/>
    <col min="8973" max="8973" width="6.75" style="159" customWidth="1"/>
    <col min="8974" max="8974" width="7.875" style="159" customWidth="1"/>
    <col min="8975" max="8975" width="10" style="159" customWidth="1"/>
    <col min="8976" max="8976" width="9.75" style="159" bestFit="1" customWidth="1"/>
    <col min="8977" max="9218" width="9" style="159"/>
    <col min="9219" max="9219" width="8" style="159" customWidth="1"/>
    <col min="9220" max="9220" width="17.625" style="159" customWidth="1"/>
    <col min="9221" max="9221" width="11.5" style="159" customWidth="1"/>
    <col min="9222" max="9223" width="9.125" style="159" customWidth="1"/>
    <col min="9224" max="9224" width="14.125" style="159" customWidth="1"/>
    <col min="9225" max="9225" width="8.125" style="159" customWidth="1"/>
    <col min="9226" max="9226" width="7.625" style="159" customWidth="1"/>
    <col min="9227" max="9227" width="13.125" style="159" customWidth="1"/>
    <col min="9228" max="9228" width="11.875" style="159" customWidth="1"/>
    <col min="9229" max="9229" width="6.75" style="159" customWidth="1"/>
    <col min="9230" max="9230" width="7.875" style="159" customWidth="1"/>
    <col min="9231" max="9231" width="10" style="159" customWidth="1"/>
    <col min="9232" max="9232" width="9.75" style="159" bestFit="1" customWidth="1"/>
    <col min="9233" max="9474" width="9" style="159"/>
    <col min="9475" max="9475" width="8" style="159" customWidth="1"/>
    <col min="9476" max="9476" width="17.625" style="159" customWidth="1"/>
    <col min="9477" max="9477" width="11.5" style="159" customWidth="1"/>
    <col min="9478" max="9479" width="9.125" style="159" customWidth="1"/>
    <col min="9480" max="9480" width="14.125" style="159" customWidth="1"/>
    <col min="9481" max="9481" width="8.125" style="159" customWidth="1"/>
    <col min="9482" max="9482" width="7.625" style="159" customWidth="1"/>
    <col min="9483" max="9483" width="13.125" style="159" customWidth="1"/>
    <col min="9484" max="9484" width="11.875" style="159" customWidth="1"/>
    <col min="9485" max="9485" width="6.75" style="159" customWidth="1"/>
    <col min="9486" max="9486" width="7.875" style="159" customWidth="1"/>
    <col min="9487" max="9487" width="10" style="159" customWidth="1"/>
    <col min="9488" max="9488" width="9.75" style="159" bestFit="1" customWidth="1"/>
    <col min="9489" max="9730" width="9" style="159"/>
    <col min="9731" max="9731" width="8" style="159" customWidth="1"/>
    <col min="9732" max="9732" width="17.625" style="159" customWidth="1"/>
    <col min="9733" max="9733" width="11.5" style="159" customWidth="1"/>
    <col min="9734" max="9735" width="9.125" style="159" customWidth="1"/>
    <col min="9736" max="9736" width="14.125" style="159" customWidth="1"/>
    <col min="9737" max="9737" width="8.125" style="159" customWidth="1"/>
    <col min="9738" max="9738" width="7.625" style="159" customWidth="1"/>
    <col min="9739" max="9739" width="13.125" style="159" customWidth="1"/>
    <col min="9740" max="9740" width="11.875" style="159" customWidth="1"/>
    <col min="9741" max="9741" width="6.75" style="159" customWidth="1"/>
    <col min="9742" max="9742" width="7.875" style="159" customWidth="1"/>
    <col min="9743" max="9743" width="10" style="159" customWidth="1"/>
    <col min="9744" max="9744" width="9.75" style="159" bestFit="1" customWidth="1"/>
    <col min="9745" max="9986" width="9" style="159"/>
    <col min="9987" max="9987" width="8" style="159" customWidth="1"/>
    <col min="9988" max="9988" width="17.625" style="159" customWidth="1"/>
    <col min="9989" max="9989" width="11.5" style="159" customWidth="1"/>
    <col min="9990" max="9991" width="9.125" style="159" customWidth="1"/>
    <col min="9992" max="9992" width="14.125" style="159" customWidth="1"/>
    <col min="9993" max="9993" width="8.125" style="159" customWidth="1"/>
    <col min="9994" max="9994" width="7.625" style="159" customWidth="1"/>
    <col min="9995" max="9995" width="13.125" style="159" customWidth="1"/>
    <col min="9996" max="9996" width="11.875" style="159" customWidth="1"/>
    <col min="9997" max="9997" width="6.75" style="159" customWidth="1"/>
    <col min="9998" max="9998" width="7.875" style="159" customWidth="1"/>
    <col min="9999" max="9999" width="10" style="159" customWidth="1"/>
    <col min="10000" max="10000" width="9.75" style="159" bestFit="1" customWidth="1"/>
    <col min="10001" max="10242" width="9" style="159"/>
    <col min="10243" max="10243" width="8" style="159" customWidth="1"/>
    <col min="10244" max="10244" width="17.625" style="159" customWidth="1"/>
    <col min="10245" max="10245" width="11.5" style="159" customWidth="1"/>
    <col min="10246" max="10247" width="9.125" style="159" customWidth="1"/>
    <col min="10248" max="10248" width="14.125" style="159" customWidth="1"/>
    <col min="10249" max="10249" width="8.125" style="159" customWidth="1"/>
    <col min="10250" max="10250" width="7.625" style="159" customWidth="1"/>
    <col min="10251" max="10251" width="13.125" style="159" customWidth="1"/>
    <col min="10252" max="10252" width="11.875" style="159" customWidth="1"/>
    <col min="10253" max="10253" width="6.75" style="159" customWidth="1"/>
    <col min="10254" max="10254" width="7.875" style="159" customWidth="1"/>
    <col min="10255" max="10255" width="10" style="159" customWidth="1"/>
    <col min="10256" max="10256" width="9.75" style="159" bestFit="1" customWidth="1"/>
    <col min="10257" max="10498" width="9" style="159"/>
    <col min="10499" max="10499" width="8" style="159" customWidth="1"/>
    <col min="10500" max="10500" width="17.625" style="159" customWidth="1"/>
    <col min="10501" max="10501" width="11.5" style="159" customWidth="1"/>
    <col min="10502" max="10503" width="9.125" style="159" customWidth="1"/>
    <col min="10504" max="10504" width="14.125" style="159" customWidth="1"/>
    <col min="10505" max="10505" width="8.125" style="159" customWidth="1"/>
    <col min="10506" max="10506" width="7.625" style="159" customWidth="1"/>
    <col min="10507" max="10507" width="13.125" style="159" customWidth="1"/>
    <col min="10508" max="10508" width="11.875" style="159" customWidth="1"/>
    <col min="10509" max="10509" width="6.75" style="159" customWidth="1"/>
    <col min="10510" max="10510" width="7.875" style="159" customWidth="1"/>
    <col min="10511" max="10511" width="10" style="159" customWidth="1"/>
    <col min="10512" max="10512" width="9.75" style="159" bestFit="1" customWidth="1"/>
    <col min="10513" max="10754" width="9" style="159"/>
    <col min="10755" max="10755" width="8" style="159" customWidth="1"/>
    <col min="10756" max="10756" width="17.625" style="159" customWidth="1"/>
    <col min="10757" max="10757" width="11.5" style="159" customWidth="1"/>
    <col min="10758" max="10759" width="9.125" style="159" customWidth="1"/>
    <col min="10760" max="10760" width="14.125" style="159" customWidth="1"/>
    <col min="10761" max="10761" width="8.125" style="159" customWidth="1"/>
    <col min="10762" max="10762" width="7.625" style="159" customWidth="1"/>
    <col min="10763" max="10763" width="13.125" style="159" customWidth="1"/>
    <col min="10764" max="10764" width="11.875" style="159" customWidth="1"/>
    <col min="10765" max="10765" width="6.75" style="159" customWidth="1"/>
    <col min="10766" max="10766" width="7.875" style="159" customWidth="1"/>
    <col min="10767" max="10767" width="10" style="159" customWidth="1"/>
    <col min="10768" max="10768" width="9.75" style="159" bestFit="1" customWidth="1"/>
    <col min="10769" max="11010" width="9" style="159"/>
    <col min="11011" max="11011" width="8" style="159" customWidth="1"/>
    <col min="11012" max="11012" width="17.625" style="159" customWidth="1"/>
    <col min="11013" max="11013" width="11.5" style="159" customWidth="1"/>
    <col min="11014" max="11015" width="9.125" style="159" customWidth="1"/>
    <col min="11016" max="11016" width="14.125" style="159" customWidth="1"/>
    <col min="11017" max="11017" width="8.125" style="159" customWidth="1"/>
    <col min="11018" max="11018" width="7.625" style="159" customWidth="1"/>
    <col min="11019" max="11019" width="13.125" style="159" customWidth="1"/>
    <col min="11020" max="11020" width="11.875" style="159" customWidth="1"/>
    <col min="11021" max="11021" width="6.75" style="159" customWidth="1"/>
    <col min="11022" max="11022" width="7.875" style="159" customWidth="1"/>
    <col min="11023" max="11023" width="10" style="159" customWidth="1"/>
    <col min="11024" max="11024" width="9.75" style="159" bestFit="1" customWidth="1"/>
    <col min="11025" max="11266" width="9" style="159"/>
    <col min="11267" max="11267" width="8" style="159" customWidth="1"/>
    <col min="11268" max="11268" width="17.625" style="159" customWidth="1"/>
    <col min="11269" max="11269" width="11.5" style="159" customWidth="1"/>
    <col min="11270" max="11271" width="9.125" style="159" customWidth="1"/>
    <col min="11272" max="11272" width="14.125" style="159" customWidth="1"/>
    <col min="11273" max="11273" width="8.125" style="159" customWidth="1"/>
    <col min="11274" max="11274" width="7.625" style="159" customWidth="1"/>
    <col min="11275" max="11275" width="13.125" style="159" customWidth="1"/>
    <col min="11276" max="11276" width="11.875" style="159" customWidth="1"/>
    <col min="11277" max="11277" width="6.75" style="159" customWidth="1"/>
    <col min="11278" max="11278" width="7.875" style="159" customWidth="1"/>
    <col min="11279" max="11279" width="10" style="159" customWidth="1"/>
    <col min="11280" max="11280" width="9.75" style="159" bestFit="1" customWidth="1"/>
    <col min="11281" max="11522" width="9" style="159"/>
    <col min="11523" max="11523" width="8" style="159" customWidth="1"/>
    <col min="11524" max="11524" width="17.625" style="159" customWidth="1"/>
    <col min="11525" max="11525" width="11.5" style="159" customWidth="1"/>
    <col min="11526" max="11527" width="9.125" style="159" customWidth="1"/>
    <col min="11528" max="11528" width="14.125" style="159" customWidth="1"/>
    <col min="11529" max="11529" width="8.125" style="159" customWidth="1"/>
    <col min="11530" max="11530" width="7.625" style="159" customWidth="1"/>
    <col min="11531" max="11531" width="13.125" style="159" customWidth="1"/>
    <col min="11532" max="11532" width="11.875" style="159" customWidth="1"/>
    <col min="11533" max="11533" width="6.75" style="159" customWidth="1"/>
    <col min="11534" max="11534" width="7.875" style="159" customWidth="1"/>
    <col min="11535" max="11535" width="10" style="159" customWidth="1"/>
    <col min="11536" max="11536" width="9.75" style="159" bestFit="1" customWidth="1"/>
    <col min="11537" max="11778" width="9" style="159"/>
    <col min="11779" max="11779" width="8" style="159" customWidth="1"/>
    <col min="11780" max="11780" width="17.625" style="159" customWidth="1"/>
    <col min="11781" max="11781" width="11.5" style="159" customWidth="1"/>
    <col min="11782" max="11783" width="9.125" style="159" customWidth="1"/>
    <col min="11784" max="11784" width="14.125" style="159" customWidth="1"/>
    <col min="11785" max="11785" width="8.125" style="159" customWidth="1"/>
    <col min="11786" max="11786" width="7.625" style="159" customWidth="1"/>
    <col min="11787" max="11787" width="13.125" style="159" customWidth="1"/>
    <col min="11788" max="11788" width="11.875" style="159" customWidth="1"/>
    <col min="11789" max="11789" width="6.75" style="159" customWidth="1"/>
    <col min="11790" max="11790" width="7.875" style="159" customWidth="1"/>
    <col min="11791" max="11791" width="10" style="159" customWidth="1"/>
    <col min="11792" max="11792" width="9.75" style="159" bestFit="1" customWidth="1"/>
    <col min="11793" max="12034" width="9" style="159"/>
    <col min="12035" max="12035" width="8" style="159" customWidth="1"/>
    <col min="12036" max="12036" width="17.625" style="159" customWidth="1"/>
    <col min="12037" max="12037" width="11.5" style="159" customWidth="1"/>
    <col min="12038" max="12039" width="9.125" style="159" customWidth="1"/>
    <col min="12040" max="12040" width="14.125" style="159" customWidth="1"/>
    <col min="12041" max="12041" width="8.125" style="159" customWidth="1"/>
    <col min="12042" max="12042" width="7.625" style="159" customWidth="1"/>
    <col min="12043" max="12043" width="13.125" style="159" customWidth="1"/>
    <col min="12044" max="12044" width="11.875" style="159" customWidth="1"/>
    <col min="12045" max="12045" width="6.75" style="159" customWidth="1"/>
    <col min="12046" max="12046" width="7.875" style="159" customWidth="1"/>
    <col min="12047" max="12047" width="10" style="159" customWidth="1"/>
    <col min="12048" max="12048" width="9.75" style="159" bestFit="1" customWidth="1"/>
    <col min="12049" max="12290" width="9" style="159"/>
    <col min="12291" max="12291" width="8" style="159" customWidth="1"/>
    <col min="12292" max="12292" width="17.625" style="159" customWidth="1"/>
    <col min="12293" max="12293" width="11.5" style="159" customWidth="1"/>
    <col min="12294" max="12295" width="9.125" style="159" customWidth="1"/>
    <col min="12296" max="12296" width="14.125" style="159" customWidth="1"/>
    <col min="12297" max="12297" width="8.125" style="159" customWidth="1"/>
    <col min="12298" max="12298" width="7.625" style="159" customWidth="1"/>
    <col min="12299" max="12299" width="13.125" style="159" customWidth="1"/>
    <col min="12300" max="12300" width="11.875" style="159" customWidth="1"/>
    <col min="12301" max="12301" width="6.75" style="159" customWidth="1"/>
    <col min="12302" max="12302" width="7.875" style="159" customWidth="1"/>
    <col min="12303" max="12303" width="10" style="159" customWidth="1"/>
    <col min="12304" max="12304" width="9.75" style="159" bestFit="1" customWidth="1"/>
    <col min="12305" max="12546" width="9" style="159"/>
    <col min="12547" max="12547" width="8" style="159" customWidth="1"/>
    <col min="12548" max="12548" width="17.625" style="159" customWidth="1"/>
    <col min="12549" max="12549" width="11.5" style="159" customWidth="1"/>
    <col min="12550" max="12551" width="9.125" style="159" customWidth="1"/>
    <col min="12552" max="12552" width="14.125" style="159" customWidth="1"/>
    <col min="12553" max="12553" width="8.125" style="159" customWidth="1"/>
    <col min="12554" max="12554" width="7.625" style="159" customWidth="1"/>
    <col min="12555" max="12555" width="13.125" style="159" customWidth="1"/>
    <col min="12556" max="12556" width="11.875" style="159" customWidth="1"/>
    <col min="12557" max="12557" width="6.75" style="159" customWidth="1"/>
    <col min="12558" max="12558" width="7.875" style="159" customWidth="1"/>
    <col min="12559" max="12559" width="10" style="159" customWidth="1"/>
    <col min="12560" max="12560" width="9.75" style="159" bestFit="1" customWidth="1"/>
    <col min="12561" max="12802" width="9" style="159"/>
    <col min="12803" max="12803" width="8" style="159" customWidth="1"/>
    <col min="12804" max="12804" width="17.625" style="159" customWidth="1"/>
    <col min="12805" max="12805" width="11.5" style="159" customWidth="1"/>
    <col min="12806" max="12807" width="9.125" style="159" customWidth="1"/>
    <col min="12808" max="12808" width="14.125" style="159" customWidth="1"/>
    <col min="12809" max="12809" width="8.125" style="159" customWidth="1"/>
    <col min="12810" max="12810" width="7.625" style="159" customWidth="1"/>
    <col min="12811" max="12811" width="13.125" style="159" customWidth="1"/>
    <col min="12812" max="12812" width="11.875" style="159" customWidth="1"/>
    <col min="12813" max="12813" width="6.75" style="159" customWidth="1"/>
    <col min="12814" max="12814" width="7.875" style="159" customWidth="1"/>
    <col min="12815" max="12815" width="10" style="159" customWidth="1"/>
    <col min="12816" max="12816" width="9.75" style="159" bestFit="1" customWidth="1"/>
    <col min="12817" max="13058" width="9" style="159"/>
    <col min="13059" max="13059" width="8" style="159" customWidth="1"/>
    <col min="13060" max="13060" width="17.625" style="159" customWidth="1"/>
    <col min="13061" max="13061" width="11.5" style="159" customWidth="1"/>
    <col min="13062" max="13063" width="9.125" style="159" customWidth="1"/>
    <col min="13064" max="13064" width="14.125" style="159" customWidth="1"/>
    <col min="13065" max="13065" width="8.125" style="159" customWidth="1"/>
    <col min="13066" max="13066" width="7.625" style="159" customWidth="1"/>
    <col min="13067" max="13067" width="13.125" style="159" customWidth="1"/>
    <col min="13068" max="13068" width="11.875" style="159" customWidth="1"/>
    <col min="13069" max="13069" width="6.75" style="159" customWidth="1"/>
    <col min="13070" max="13070" width="7.875" style="159" customWidth="1"/>
    <col min="13071" max="13071" width="10" style="159" customWidth="1"/>
    <col min="13072" max="13072" width="9.75" style="159" bestFit="1" customWidth="1"/>
    <col min="13073" max="13314" width="9" style="159"/>
    <col min="13315" max="13315" width="8" style="159" customWidth="1"/>
    <col min="13316" max="13316" width="17.625" style="159" customWidth="1"/>
    <col min="13317" max="13317" width="11.5" style="159" customWidth="1"/>
    <col min="13318" max="13319" width="9.125" style="159" customWidth="1"/>
    <col min="13320" max="13320" width="14.125" style="159" customWidth="1"/>
    <col min="13321" max="13321" width="8.125" style="159" customWidth="1"/>
    <col min="13322" max="13322" width="7.625" style="159" customWidth="1"/>
    <col min="13323" max="13323" width="13.125" style="159" customWidth="1"/>
    <col min="13324" max="13324" width="11.875" style="159" customWidth="1"/>
    <col min="13325" max="13325" width="6.75" style="159" customWidth="1"/>
    <col min="13326" max="13326" width="7.875" style="159" customWidth="1"/>
    <col min="13327" max="13327" width="10" style="159" customWidth="1"/>
    <col min="13328" max="13328" width="9.75" style="159" bestFit="1" customWidth="1"/>
    <col min="13329" max="13570" width="9" style="159"/>
    <col min="13571" max="13571" width="8" style="159" customWidth="1"/>
    <col min="13572" max="13572" width="17.625" style="159" customWidth="1"/>
    <col min="13573" max="13573" width="11.5" style="159" customWidth="1"/>
    <col min="13574" max="13575" width="9.125" style="159" customWidth="1"/>
    <col min="13576" max="13576" width="14.125" style="159" customWidth="1"/>
    <col min="13577" max="13577" width="8.125" style="159" customWidth="1"/>
    <col min="13578" max="13578" width="7.625" style="159" customWidth="1"/>
    <col min="13579" max="13579" width="13.125" style="159" customWidth="1"/>
    <col min="13580" max="13580" width="11.875" style="159" customWidth="1"/>
    <col min="13581" max="13581" width="6.75" style="159" customWidth="1"/>
    <col min="13582" max="13582" width="7.875" style="159" customWidth="1"/>
    <col min="13583" max="13583" width="10" style="159" customWidth="1"/>
    <col min="13584" max="13584" width="9.75" style="159" bestFit="1" customWidth="1"/>
    <col min="13585" max="13826" width="9" style="159"/>
    <col min="13827" max="13827" width="8" style="159" customWidth="1"/>
    <col min="13828" max="13828" width="17.625" style="159" customWidth="1"/>
    <col min="13829" max="13829" width="11.5" style="159" customWidth="1"/>
    <col min="13830" max="13831" width="9.125" style="159" customWidth="1"/>
    <col min="13832" max="13832" width="14.125" style="159" customWidth="1"/>
    <col min="13833" max="13833" width="8.125" style="159" customWidth="1"/>
    <col min="13834" max="13834" width="7.625" style="159" customWidth="1"/>
    <col min="13835" max="13835" width="13.125" style="159" customWidth="1"/>
    <col min="13836" max="13836" width="11.875" style="159" customWidth="1"/>
    <col min="13837" max="13837" width="6.75" style="159" customWidth="1"/>
    <col min="13838" max="13838" width="7.875" style="159" customWidth="1"/>
    <col min="13839" max="13839" width="10" style="159" customWidth="1"/>
    <col min="13840" max="13840" width="9.75" style="159" bestFit="1" customWidth="1"/>
    <col min="13841" max="14082" width="9" style="159"/>
    <col min="14083" max="14083" width="8" style="159" customWidth="1"/>
    <col min="14084" max="14084" width="17.625" style="159" customWidth="1"/>
    <col min="14085" max="14085" width="11.5" style="159" customWidth="1"/>
    <col min="14086" max="14087" width="9.125" style="159" customWidth="1"/>
    <col min="14088" max="14088" width="14.125" style="159" customWidth="1"/>
    <col min="14089" max="14089" width="8.125" style="159" customWidth="1"/>
    <col min="14090" max="14090" width="7.625" style="159" customWidth="1"/>
    <col min="14091" max="14091" width="13.125" style="159" customWidth="1"/>
    <col min="14092" max="14092" width="11.875" style="159" customWidth="1"/>
    <col min="14093" max="14093" width="6.75" style="159" customWidth="1"/>
    <col min="14094" max="14094" width="7.875" style="159" customWidth="1"/>
    <col min="14095" max="14095" width="10" style="159" customWidth="1"/>
    <col min="14096" max="14096" width="9.75" style="159" bestFit="1" customWidth="1"/>
    <col min="14097" max="14338" width="9" style="159"/>
    <col min="14339" max="14339" width="8" style="159" customWidth="1"/>
    <col min="14340" max="14340" width="17.625" style="159" customWidth="1"/>
    <col min="14341" max="14341" width="11.5" style="159" customWidth="1"/>
    <col min="14342" max="14343" width="9.125" style="159" customWidth="1"/>
    <col min="14344" max="14344" width="14.125" style="159" customWidth="1"/>
    <col min="14345" max="14345" width="8.125" style="159" customWidth="1"/>
    <col min="14346" max="14346" width="7.625" style="159" customWidth="1"/>
    <col min="14347" max="14347" width="13.125" style="159" customWidth="1"/>
    <col min="14348" max="14348" width="11.875" style="159" customWidth="1"/>
    <col min="14349" max="14349" width="6.75" style="159" customWidth="1"/>
    <col min="14350" max="14350" width="7.875" style="159" customWidth="1"/>
    <col min="14351" max="14351" width="10" style="159" customWidth="1"/>
    <col min="14352" max="14352" width="9.75" style="159" bestFit="1" customWidth="1"/>
    <col min="14353" max="14594" width="9" style="159"/>
    <col min="14595" max="14595" width="8" style="159" customWidth="1"/>
    <col min="14596" max="14596" width="17.625" style="159" customWidth="1"/>
    <col min="14597" max="14597" width="11.5" style="159" customWidth="1"/>
    <col min="14598" max="14599" width="9.125" style="159" customWidth="1"/>
    <col min="14600" max="14600" width="14.125" style="159" customWidth="1"/>
    <col min="14601" max="14601" width="8.125" style="159" customWidth="1"/>
    <col min="14602" max="14602" width="7.625" style="159" customWidth="1"/>
    <col min="14603" max="14603" width="13.125" style="159" customWidth="1"/>
    <col min="14604" max="14604" width="11.875" style="159" customWidth="1"/>
    <col min="14605" max="14605" width="6.75" style="159" customWidth="1"/>
    <col min="14606" max="14606" width="7.875" style="159" customWidth="1"/>
    <col min="14607" max="14607" width="10" style="159" customWidth="1"/>
    <col min="14608" max="14608" width="9.75" style="159" bestFit="1" customWidth="1"/>
    <col min="14609" max="14850" width="9" style="159"/>
    <col min="14851" max="14851" width="8" style="159" customWidth="1"/>
    <col min="14852" max="14852" width="17.625" style="159" customWidth="1"/>
    <col min="14853" max="14853" width="11.5" style="159" customWidth="1"/>
    <col min="14854" max="14855" width="9.125" style="159" customWidth="1"/>
    <col min="14856" max="14856" width="14.125" style="159" customWidth="1"/>
    <col min="14857" max="14857" width="8.125" style="159" customWidth="1"/>
    <col min="14858" max="14858" width="7.625" style="159" customWidth="1"/>
    <col min="14859" max="14859" width="13.125" style="159" customWidth="1"/>
    <col min="14860" max="14860" width="11.875" style="159" customWidth="1"/>
    <col min="14861" max="14861" width="6.75" style="159" customWidth="1"/>
    <col min="14862" max="14862" width="7.875" style="159" customWidth="1"/>
    <col min="14863" max="14863" width="10" style="159" customWidth="1"/>
    <col min="14864" max="14864" width="9.75" style="159" bestFit="1" customWidth="1"/>
    <col min="14865" max="15106" width="9" style="159"/>
    <col min="15107" max="15107" width="8" style="159" customWidth="1"/>
    <col min="15108" max="15108" width="17.625" style="159" customWidth="1"/>
    <col min="15109" max="15109" width="11.5" style="159" customWidth="1"/>
    <col min="15110" max="15111" width="9.125" style="159" customWidth="1"/>
    <col min="15112" max="15112" width="14.125" style="159" customWidth="1"/>
    <col min="15113" max="15113" width="8.125" style="159" customWidth="1"/>
    <col min="15114" max="15114" width="7.625" style="159" customWidth="1"/>
    <col min="15115" max="15115" width="13.125" style="159" customWidth="1"/>
    <col min="15116" max="15116" width="11.875" style="159" customWidth="1"/>
    <col min="15117" max="15117" width="6.75" style="159" customWidth="1"/>
    <col min="15118" max="15118" width="7.875" style="159" customWidth="1"/>
    <col min="15119" max="15119" width="10" style="159" customWidth="1"/>
    <col min="15120" max="15120" width="9.75" style="159" bestFit="1" customWidth="1"/>
    <col min="15121" max="15362" width="9" style="159"/>
    <col min="15363" max="15363" width="8" style="159" customWidth="1"/>
    <col min="15364" max="15364" width="17.625" style="159" customWidth="1"/>
    <col min="15365" max="15365" width="11.5" style="159" customWidth="1"/>
    <col min="15366" max="15367" width="9.125" style="159" customWidth="1"/>
    <col min="15368" max="15368" width="14.125" style="159" customWidth="1"/>
    <col min="15369" max="15369" width="8.125" style="159" customWidth="1"/>
    <col min="15370" max="15370" width="7.625" style="159" customWidth="1"/>
    <col min="15371" max="15371" width="13.125" style="159" customWidth="1"/>
    <col min="15372" max="15372" width="11.875" style="159" customWidth="1"/>
    <col min="15373" max="15373" width="6.75" style="159" customWidth="1"/>
    <col min="15374" max="15374" width="7.875" style="159" customWidth="1"/>
    <col min="15375" max="15375" width="10" style="159" customWidth="1"/>
    <col min="15376" max="15376" width="9.75" style="159" bestFit="1" customWidth="1"/>
    <col min="15377" max="15618" width="9" style="159"/>
    <col min="15619" max="15619" width="8" style="159" customWidth="1"/>
    <col min="15620" max="15620" width="17.625" style="159" customWidth="1"/>
    <col min="15621" max="15621" width="11.5" style="159" customWidth="1"/>
    <col min="15622" max="15623" width="9.125" style="159" customWidth="1"/>
    <col min="15624" max="15624" width="14.125" style="159" customWidth="1"/>
    <col min="15625" max="15625" width="8.125" style="159" customWidth="1"/>
    <col min="15626" max="15626" width="7.625" style="159" customWidth="1"/>
    <col min="15627" max="15627" width="13.125" style="159" customWidth="1"/>
    <col min="15628" max="15628" width="11.875" style="159" customWidth="1"/>
    <col min="15629" max="15629" width="6.75" style="159" customWidth="1"/>
    <col min="15630" max="15630" width="7.875" style="159" customWidth="1"/>
    <col min="15631" max="15631" width="10" style="159" customWidth="1"/>
    <col min="15632" max="15632" width="9.75" style="159" bestFit="1" customWidth="1"/>
    <col min="15633" max="15874" width="9" style="159"/>
    <col min="15875" max="15875" width="8" style="159" customWidth="1"/>
    <col min="15876" max="15876" width="17.625" style="159" customWidth="1"/>
    <col min="15877" max="15877" width="11.5" style="159" customWidth="1"/>
    <col min="15878" max="15879" width="9.125" style="159" customWidth="1"/>
    <col min="15880" max="15880" width="14.125" style="159" customWidth="1"/>
    <col min="15881" max="15881" width="8.125" style="159" customWidth="1"/>
    <col min="15882" max="15882" width="7.625" style="159" customWidth="1"/>
    <col min="15883" max="15883" width="13.125" style="159" customWidth="1"/>
    <col min="15884" max="15884" width="11.875" style="159" customWidth="1"/>
    <col min="15885" max="15885" width="6.75" style="159" customWidth="1"/>
    <col min="15886" max="15886" width="7.875" style="159" customWidth="1"/>
    <col min="15887" max="15887" width="10" style="159" customWidth="1"/>
    <col min="15888" max="15888" width="9.75" style="159" bestFit="1" customWidth="1"/>
    <col min="15889" max="16130" width="9" style="159"/>
    <col min="16131" max="16131" width="8" style="159" customWidth="1"/>
    <col min="16132" max="16132" width="17.625" style="159" customWidth="1"/>
    <col min="16133" max="16133" width="11.5" style="159" customWidth="1"/>
    <col min="16134" max="16135" width="9.125" style="159" customWidth="1"/>
    <col min="16136" max="16136" width="14.125" style="159" customWidth="1"/>
    <col min="16137" max="16137" width="8.125" style="159" customWidth="1"/>
    <col min="16138" max="16138" width="7.625" style="159" customWidth="1"/>
    <col min="16139" max="16139" width="13.125" style="159" customWidth="1"/>
    <col min="16140" max="16140" width="11.875" style="159" customWidth="1"/>
    <col min="16141" max="16141" width="6.75" style="159" customWidth="1"/>
    <col min="16142" max="16142" width="7.875" style="159" customWidth="1"/>
    <col min="16143" max="16143" width="10" style="159" customWidth="1"/>
    <col min="16144" max="16144" width="9.75" style="159" bestFit="1" customWidth="1"/>
    <col min="16145" max="16384" width="9" style="159"/>
  </cols>
  <sheetData>
    <row r="1" spans="1:27" x14ac:dyDescent="0.2">
      <c r="A1" s="193" t="s">
        <v>170</v>
      </c>
      <c r="B1" s="193"/>
      <c r="C1" s="193"/>
      <c r="D1" s="193"/>
      <c r="E1" s="193"/>
      <c r="F1" s="193"/>
      <c r="G1" s="193"/>
      <c r="H1" s="193"/>
      <c r="I1" s="262"/>
      <c r="J1" s="262"/>
    </row>
    <row r="2" spans="1:27" x14ac:dyDescent="0.2">
      <c r="A2" s="193" t="s">
        <v>297</v>
      </c>
      <c r="B2" s="193"/>
      <c r="C2" s="193"/>
      <c r="D2" s="193"/>
      <c r="E2" s="263"/>
      <c r="F2" s="263"/>
      <c r="G2" s="264"/>
      <c r="H2" s="265"/>
      <c r="I2" s="265"/>
      <c r="J2" s="265"/>
    </row>
    <row r="3" spans="1:27" x14ac:dyDescent="0.2">
      <c r="A3" s="166" t="s">
        <v>845</v>
      </c>
      <c r="B3" s="266"/>
      <c r="C3" s="266"/>
      <c r="D3" s="266"/>
      <c r="E3" s="266"/>
      <c r="F3" s="266"/>
      <c r="G3" s="267"/>
      <c r="H3" s="268"/>
      <c r="I3" s="268"/>
      <c r="J3" s="268"/>
    </row>
    <row r="4" spans="1:27" x14ac:dyDescent="0.2">
      <c r="B4" s="1106"/>
      <c r="C4" s="1106"/>
      <c r="D4" s="1106"/>
      <c r="G4" s="267"/>
      <c r="H4" s="268"/>
      <c r="I4" s="268"/>
      <c r="J4" s="268"/>
    </row>
    <row r="5" spans="1:27" ht="15" customHeight="1" x14ac:dyDescent="0.2">
      <c r="A5" s="1377" t="s">
        <v>67</v>
      </c>
      <c r="B5" s="1378" t="s">
        <v>10</v>
      </c>
      <c r="C5" s="1378" t="s">
        <v>864</v>
      </c>
      <c r="D5" s="1376" t="s">
        <v>866</v>
      </c>
      <c r="E5" s="1378" t="s">
        <v>298</v>
      </c>
      <c r="F5" s="1380" t="s">
        <v>299</v>
      </c>
      <c r="G5" s="1381"/>
      <c r="H5" s="1377" t="s">
        <v>300</v>
      </c>
      <c r="I5" s="1377" t="s">
        <v>23</v>
      </c>
      <c r="J5" s="1377" t="s">
        <v>301</v>
      </c>
      <c r="K5" s="1376" t="s">
        <v>302</v>
      </c>
      <c r="L5" s="1375" t="s">
        <v>87</v>
      </c>
      <c r="M5" s="1376" t="s">
        <v>303</v>
      </c>
      <c r="N5" s="1376" t="s">
        <v>304</v>
      </c>
      <c r="O5" s="1376" t="s">
        <v>305</v>
      </c>
      <c r="P5" s="1375" t="s">
        <v>306</v>
      </c>
      <c r="Q5" s="1376" t="s">
        <v>307</v>
      </c>
      <c r="R5" s="1375" t="s">
        <v>314</v>
      </c>
      <c r="S5" s="1376" t="s">
        <v>315</v>
      </c>
    </row>
    <row r="6" spans="1:27" ht="15" customHeight="1" x14ac:dyDescent="0.2">
      <c r="A6" s="1377"/>
      <c r="B6" s="1379"/>
      <c r="C6" s="1379"/>
      <c r="D6" s="1376"/>
      <c r="E6" s="1379"/>
      <c r="F6" s="1218" t="s">
        <v>308</v>
      </c>
      <c r="G6" s="1218" t="s">
        <v>32</v>
      </c>
      <c r="H6" s="1377"/>
      <c r="I6" s="1377"/>
      <c r="J6" s="1377"/>
      <c r="K6" s="1376"/>
      <c r="L6" s="1375"/>
      <c r="M6" s="1376"/>
      <c r="N6" s="1376"/>
      <c r="O6" s="1376"/>
      <c r="P6" s="1375"/>
      <c r="Q6" s="1376"/>
      <c r="R6" s="1375"/>
      <c r="S6" s="1376"/>
    </row>
    <row r="7" spans="1:27" s="687" customFormat="1" x14ac:dyDescent="0.2">
      <c r="A7" s="1107">
        <v>44592</v>
      </c>
      <c r="B7" s="1105" t="s">
        <v>113</v>
      </c>
      <c r="C7" s="1105" t="s">
        <v>868</v>
      </c>
      <c r="D7" s="1105" t="s">
        <v>865</v>
      </c>
      <c r="E7" s="1107">
        <v>44580</v>
      </c>
      <c r="F7" s="1109">
        <v>44594</v>
      </c>
      <c r="G7" s="1107">
        <v>44596</v>
      </c>
      <c r="H7" s="1108">
        <v>12389480</v>
      </c>
      <c r="I7" s="1110">
        <v>0.65</v>
      </c>
      <c r="J7" s="1106">
        <f t="shared" ref="J7:J10" si="0">10*I7</f>
        <v>6.5</v>
      </c>
      <c r="K7" s="1108">
        <f t="shared" ref="K7:K15" si="1">H7*I7*10</f>
        <v>80531620</v>
      </c>
      <c r="L7" s="1108">
        <f t="shared" ref="L7:L15" si="2">K7</f>
        <v>80531620</v>
      </c>
      <c r="M7" s="1108">
        <f>K7*7.5%</f>
        <v>6039871.5</v>
      </c>
      <c r="N7" s="1108">
        <f t="shared" ref="N7:N15" si="3">(K7-M7)</f>
        <v>74491748.5</v>
      </c>
      <c r="O7" s="1105" t="s">
        <v>353</v>
      </c>
      <c r="P7" s="988">
        <f t="shared" ref="P7:P17" si="4">N7</f>
        <v>74491748.5</v>
      </c>
      <c r="Q7" s="761">
        <v>44607</v>
      </c>
      <c r="R7" s="1111">
        <f t="shared" ref="R7:R17" si="5">M7</f>
        <v>6039871.5</v>
      </c>
      <c r="S7" s="725">
        <f t="shared" ref="S7:S38" si="6">+N7-P7</f>
        <v>0</v>
      </c>
      <c r="U7" s="759"/>
      <c r="V7" s="762"/>
      <c r="W7" s="758"/>
      <c r="X7" s="758"/>
      <c r="Y7" s="760"/>
      <c r="Z7" s="758"/>
      <c r="AA7" s="338"/>
    </row>
    <row r="8" spans="1:27" s="687" customFormat="1" x14ac:dyDescent="0.2">
      <c r="A8" s="1107">
        <v>44594</v>
      </c>
      <c r="B8" s="1105" t="s">
        <v>123</v>
      </c>
      <c r="C8" s="1105" t="s">
        <v>124</v>
      </c>
      <c r="D8" s="1105" t="s">
        <v>865</v>
      </c>
      <c r="E8" s="1107">
        <v>44585</v>
      </c>
      <c r="F8" s="1109">
        <v>44596</v>
      </c>
      <c r="G8" s="1107">
        <v>44600</v>
      </c>
      <c r="H8" s="1108">
        <v>982228</v>
      </c>
      <c r="I8" s="1110">
        <v>6.2</v>
      </c>
      <c r="J8" s="1106">
        <f t="shared" si="0"/>
        <v>62</v>
      </c>
      <c r="K8" s="1108">
        <f t="shared" si="1"/>
        <v>60898136.000000007</v>
      </c>
      <c r="L8" s="1108">
        <f t="shared" si="2"/>
        <v>60898136.000000007</v>
      </c>
      <c r="M8" s="1108">
        <f t="shared" ref="M8:M15" si="7">K8*15%</f>
        <v>9134720.4000000004</v>
      </c>
      <c r="N8" s="1108">
        <f t="shared" si="3"/>
        <v>51763415.600000009</v>
      </c>
      <c r="O8" s="1105" t="s">
        <v>353</v>
      </c>
      <c r="P8" s="988">
        <f t="shared" si="4"/>
        <v>51763415.600000009</v>
      </c>
      <c r="Q8" s="761">
        <v>44606</v>
      </c>
      <c r="R8" s="1111">
        <f t="shared" si="5"/>
        <v>9134720.4000000004</v>
      </c>
      <c r="S8" s="1112">
        <f t="shared" si="6"/>
        <v>0</v>
      </c>
      <c r="T8" s="760"/>
      <c r="U8" s="758"/>
      <c r="V8" s="338"/>
    </row>
    <row r="9" spans="1:27" s="687" customFormat="1" x14ac:dyDescent="0.2">
      <c r="A9" s="1107">
        <v>44596</v>
      </c>
      <c r="B9" s="1105" t="s">
        <v>437</v>
      </c>
      <c r="C9" s="1105" t="s">
        <v>869</v>
      </c>
      <c r="D9" s="1105" t="s">
        <v>865</v>
      </c>
      <c r="E9" s="1107">
        <v>44587</v>
      </c>
      <c r="F9" s="1109">
        <v>44600</v>
      </c>
      <c r="G9" s="1107">
        <v>44602</v>
      </c>
      <c r="H9" s="1108">
        <v>6196869</v>
      </c>
      <c r="I9" s="1110">
        <v>0.2</v>
      </c>
      <c r="J9" s="1106">
        <f t="shared" si="0"/>
        <v>2</v>
      </c>
      <c r="K9" s="1108">
        <f t="shared" si="1"/>
        <v>12393738</v>
      </c>
      <c r="L9" s="1108">
        <f t="shared" si="2"/>
        <v>12393738</v>
      </c>
      <c r="M9" s="1108">
        <f t="shared" si="7"/>
        <v>1859060.7</v>
      </c>
      <c r="N9" s="1108">
        <f t="shared" si="3"/>
        <v>10534677.300000001</v>
      </c>
      <c r="O9" s="1105" t="s">
        <v>353</v>
      </c>
      <c r="P9" s="988">
        <f t="shared" si="4"/>
        <v>10534677.300000001</v>
      </c>
      <c r="Q9" s="761">
        <v>44609</v>
      </c>
      <c r="R9" s="1111">
        <f t="shared" si="5"/>
        <v>1859060.7</v>
      </c>
      <c r="S9" s="1112">
        <f t="shared" si="6"/>
        <v>0</v>
      </c>
      <c r="T9" s="760"/>
      <c r="U9" s="758"/>
      <c r="V9" s="338"/>
    </row>
    <row r="10" spans="1:27" s="687" customFormat="1" x14ac:dyDescent="0.2">
      <c r="A10" s="1107">
        <v>44599</v>
      </c>
      <c r="B10" s="1105" t="s">
        <v>440</v>
      </c>
      <c r="C10" s="1105" t="s">
        <v>870</v>
      </c>
      <c r="D10" s="1105" t="s">
        <v>865</v>
      </c>
      <c r="E10" s="1107">
        <v>44587</v>
      </c>
      <c r="F10" s="1109">
        <v>44601</v>
      </c>
      <c r="G10" s="1107">
        <v>44603</v>
      </c>
      <c r="H10" s="1108">
        <v>1212600</v>
      </c>
      <c r="I10" s="1110">
        <v>2</v>
      </c>
      <c r="J10" s="1106">
        <f t="shared" si="0"/>
        <v>20</v>
      </c>
      <c r="K10" s="1108">
        <f t="shared" si="1"/>
        <v>24252000</v>
      </c>
      <c r="L10" s="1108">
        <f t="shared" si="2"/>
        <v>24252000</v>
      </c>
      <c r="M10" s="1108">
        <f t="shared" si="7"/>
        <v>3637800</v>
      </c>
      <c r="N10" s="1108">
        <f t="shared" si="3"/>
        <v>20614200</v>
      </c>
      <c r="O10" s="1105" t="s">
        <v>353</v>
      </c>
      <c r="P10" s="988">
        <f t="shared" si="4"/>
        <v>20614200</v>
      </c>
      <c r="Q10" s="761">
        <v>44609</v>
      </c>
      <c r="R10" s="1111">
        <f t="shared" si="5"/>
        <v>3637800</v>
      </c>
      <c r="S10" s="1112">
        <f t="shared" si="6"/>
        <v>0</v>
      </c>
      <c r="T10" s="760"/>
      <c r="U10" s="758"/>
      <c r="V10" s="338"/>
    </row>
    <row r="11" spans="1:27" s="687" customFormat="1" x14ac:dyDescent="0.2">
      <c r="A11" s="1107">
        <v>44602</v>
      </c>
      <c r="B11" s="1105" t="s">
        <v>117</v>
      </c>
      <c r="C11" s="1105" t="str">
        <f>+IFERROR(VLOOKUP(B11,'[13]Script Names'!$A:$B,2,FALSE),"-")</f>
        <v>Pakistan Oilfields Limited</v>
      </c>
      <c r="D11" s="1105" t="s">
        <v>865</v>
      </c>
      <c r="E11" s="1107">
        <v>44596</v>
      </c>
      <c r="F11" s="1109">
        <v>44606</v>
      </c>
      <c r="G11" s="1107">
        <v>44608</v>
      </c>
      <c r="H11" s="1108">
        <v>1941299</v>
      </c>
      <c r="I11" s="1110">
        <v>2</v>
      </c>
      <c r="J11" s="1106">
        <f>10*I11</f>
        <v>20</v>
      </c>
      <c r="K11" s="1108">
        <f t="shared" si="1"/>
        <v>38825980</v>
      </c>
      <c r="L11" s="1108">
        <f t="shared" si="2"/>
        <v>38825980</v>
      </c>
      <c r="M11" s="1108">
        <f t="shared" si="7"/>
        <v>5823897</v>
      </c>
      <c r="N11" s="1108">
        <f t="shared" si="3"/>
        <v>33002083</v>
      </c>
      <c r="O11" s="1105" t="s">
        <v>353</v>
      </c>
      <c r="P11" s="988">
        <f t="shared" si="4"/>
        <v>33002083</v>
      </c>
      <c r="Q11" s="761">
        <v>44615</v>
      </c>
      <c r="R11" s="1111">
        <f t="shared" si="5"/>
        <v>5823897</v>
      </c>
      <c r="S11" s="1112">
        <f t="shared" si="6"/>
        <v>0</v>
      </c>
      <c r="T11" s="760"/>
      <c r="U11" s="758"/>
      <c r="V11" s="338"/>
    </row>
    <row r="12" spans="1:27" s="687" customFormat="1" x14ac:dyDescent="0.2">
      <c r="A12" s="1107">
        <v>44617</v>
      </c>
      <c r="B12" s="1105" t="s">
        <v>169</v>
      </c>
      <c r="C12" s="1105" t="str">
        <f>+IFERROR(VLOOKUP(B12,'[14]Script Names'!$A:$B,2,FALSE),"-")</f>
        <v>Cherat Packaging Limited</v>
      </c>
      <c r="D12" s="1105" t="s">
        <v>865</v>
      </c>
      <c r="E12" s="1107">
        <v>44607</v>
      </c>
      <c r="F12" s="1109">
        <v>44621</v>
      </c>
      <c r="G12" s="1107">
        <v>44623</v>
      </c>
      <c r="H12" s="1108">
        <v>2100500</v>
      </c>
      <c r="I12" s="1110">
        <v>0.1</v>
      </c>
      <c r="J12" s="1106">
        <f t="shared" ref="J12:J15" si="8">10*I12</f>
        <v>1</v>
      </c>
      <c r="K12" s="1108">
        <f t="shared" si="1"/>
        <v>2100500</v>
      </c>
      <c r="L12" s="1108">
        <f t="shared" si="2"/>
        <v>2100500</v>
      </c>
      <c r="M12" s="1108">
        <f t="shared" si="7"/>
        <v>315075</v>
      </c>
      <c r="N12" s="1108">
        <f t="shared" si="3"/>
        <v>1785425</v>
      </c>
      <c r="O12" s="1105" t="s">
        <v>353</v>
      </c>
      <c r="P12" s="988">
        <f t="shared" si="4"/>
        <v>1785425</v>
      </c>
      <c r="Q12" s="761">
        <v>44628</v>
      </c>
      <c r="R12" s="1111">
        <f t="shared" si="5"/>
        <v>315075</v>
      </c>
      <c r="S12" s="1112">
        <f t="shared" si="6"/>
        <v>0</v>
      </c>
      <c r="T12" s="760"/>
      <c r="U12" s="758"/>
      <c r="V12" s="338"/>
    </row>
    <row r="13" spans="1:27" s="687" customFormat="1" x14ac:dyDescent="0.2">
      <c r="A13" s="1107">
        <v>44620</v>
      </c>
      <c r="B13" s="1105" t="s">
        <v>589</v>
      </c>
      <c r="C13" s="1105" t="str">
        <f>+IFERROR(VLOOKUP(B13,'[14]Script Names'!$A:$B,2,FALSE),"-")</f>
        <v>Hi-Tech Lubricants Limited</v>
      </c>
      <c r="D13" s="1105" t="s">
        <v>865</v>
      </c>
      <c r="E13" s="1107">
        <v>44610</v>
      </c>
      <c r="F13" s="1109">
        <v>44622</v>
      </c>
      <c r="G13" s="1107">
        <v>44624</v>
      </c>
      <c r="H13" s="1108">
        <v>1512400</v>
      </c>
      <c r="I13" s="1110">
        <v>0.18</v>
      </c>
      <c r="J13" s="1106">
        <f t="shared" si="8"/>
        <v>1.7999999999999998</v>
      </c>
      <c r="K13" s="1108">
        <f t="shared" si="1"/>
        <v>2722320</v>
      </c>
      <c r="L13" s="1108">
        <f t="shared" si="2"/>
        <v>2722320</v>
      </c>
      <c r="M13" s="1108">
        <f t="shared" si="7"/>
        <v>408348</v>
      </c>
      <c r="N13" s="1108">
        <f t="shared" si="3"/>
        <v>2313972</v>
      </c>
      <c r="O13" s="1105" t="s">
        <v>353</v>
      </c>
      <c r="P13" s="988">
        <f t="shared" si="4"/>
        <v>2313972</v>
      </c>
      <c r="Q13" s="761">
        <v>44634</v>
      </c>
      <c r="R13" s="1111">
        <f t="shared" si="5"/>
        <v>408348</v>
      </c>
      <c r="S13" s="1112">
        <f t="shared" si="6"/>
        <v>0</v>
      </c>
      <c r="T13" s="760"/>
      <c r="U13" s="758"/>
      <c r="V13" s="338"/>
    </row>
    <row r="14" spans="1:27" s="687" customFormat="1" x14ac:dyDescent="0.2">
      <c r="A14" s="1107">
        <v>44622</v>
      </c>
      <c r="B14" s="1105" t="s">
        <v>164</v>
      </c>
      <c r="C14" s="1105" t="str">
        <f>+IFERROR(VLOOKUP(B14,'[14]Script Names'!$A:$B,2,FALSE),"-")</f>
        <v>Mughal Iron &amp; Steel Industries Limited</v>
      </c>
      <c r="D14" s="1105" t="s">
        <v>865</v>
      </c>
      <c r="E14" s="1107">
        <v>44609</v>
      </c>
      <c r="F14" s="1107">
        <v>44624</v>
      </c>
      <c r="G14" s="1107">
        <v>44628</v>
      </c>
      <c r="H14" s="1108">
        <v>1841004</v>
      </c>
      <c r="I14" s="1110">
        <v>0.3</v>
      </c>
      <c r="J14" s="1106">
        <f t="shared" si="8"/>
        <v>3</v>
      </c>
      <c r="K14" s="1108">
        <f t="shared" si="1"/>
        <v>5523012</v>
      </c>
      <c r="L14" s="1108">
        <f t="shared" si="2"/>
        <v>5523012</v>
      </c>
      <c r="M14" s="1108">
        <f t="shared" si="7"/>
        <v>828451.79999999993</v>
      </c>
      <c r="N14" s="1108">
        <f t="shared" si="3"/>
        <v>4694560.2</v>
      </c>
      <c r="O14" s="1105" t="s">
        <v>353</v>
      </c>
      <c r="P14" s="988">
        <f t="shared" si="4"/>
        <v>4694560.2</v>
      </c>
      <c r="Q14" s="761">
        <v>44635</v>
      </c>
      <c r="R14" s="1111">
        <f t="shared" si="5"/>
        <v>828451.79999999993</v>
      </c>
      <c r="S14" s="1112">
        <f t="shared" si="6"/>
        <v>0</v>
      </c>
      <c r="T14" s="760"/>
      <c r="U14" s="758"/>
      <c r="V14" s="338"/>
    </row>
    <row r="15" spans="1:27" s="687" customFormat="1" x14ac:dyDescent="0.2">
      <c r="A15" s="1107">
        <v>44623</v>
      </c>
      <c r="B15" s="1105" t="s">
        <v>159</v>
      </c>
      <c r="C15" s="1105" t="str">
        <f>+IFERROR(VLOOKUP(B15,'[14]Script Names'!$A:$B,2,FALSE),"-")</f>
        <v>Nishat Chunian Limited</v>
      </c>
      <c r="D15" s="1105" t="s">
        <v>865</v>
      </c>
      <c r="E15" s="1107">
        <v>44613</v>
      </c>
      <c r="F15" s="1107">
        <v>44627</v>
      </c>
      <c r="G15" s="1107">
        <v>44628</v>
      </c>
      <c r="H15" s="1108">
        <v>193000</v>
      </c>
      <c r="I15" s="1110">
        <v>0.3</v>
      </c>
      <c r="J15" s="1106">
        <f t="shared" si="8"/>
        <v>3</v>
      </c>
      <c r="K15" s="1108">
        <f t="shared" si="1"/>
        <v>579000</v>
      </c>
      <c r="L15" s="1108">
        <f t="shared" si="2"/>
        <v>579000</v>
      </c>
      <c r="M15" s="1108">
        <f t="shared" si="7"/>
        <v>86850</v>
      </c>
      <c r="N15" s="1108">
        <f t="shared" si="3"/>
        <v>492150</v>
      </c>
      <c r="O15" s="1105" t="s">
        <v>353</v>
      </c>
      <c r="P15" s="988">
        <f t="shared" si="4"/>
        <v>492150</v>
      </c>
      <c r="Q15" s="761">
        <v>44638</v>
      </c>
      <c r="R15" s="1111">
        <f t="shared" si="5"/>
        <v>86850</v>
      </c>
      <c r="S15" s="1112">
        <f t="shared" si="6"/>
        <v>0</v>
      </c>
      <c r="T15" s="760"/>
      <c r="U15" s="758"/>
      <c r="V15" s="338"/>
    </row>
    <row r="16" spans="1:27" s="687" customFormat="1" x14ac:dyDescent="0.2">
      <c r="A16" s="1107">
        <v>44627</v>
      </c>
      <c r="B16" s="1105" t="s">
        <v>116</v>
      </c>
      <c r="C16" s="1105" t="s">
        <v>887</v>
      </c>
      <c r="D16" s="1105" t="s">
        <v>865</v>
      </c>
      <c r="E16" s="1107">
        <v>44615</v>
      </c>
      <c r="F16" s="1109">
        <v>44629</v>
      </c>
      <c r="G16" s="1107">
        <v>44631</v>
      </c>
      <c r="H16" s="1108">
        <v>13563343</v>
      </c>
      <c r="I16" s="1110">
        <v>0.2</v>
      </c>
      <c r="J16" s="1106">
        <v>2</v>
      </c>
      <c r="K16" s="1108">
        <v>27126686</v>
      </c>
      <c r="L16" s="1108">
        <v>27126686</v>
      </c>
      <c r="M16" s="1108">
        <v>4069002.9</v>
      </c>
      <c r="N16" s="1108">
        <v>23057683.100000001</v>
      </c>
      <c r="O16" s="1105" t="s">
        <v>353</v>
      </c>
      <c r="P16" s="988">
        <f t="shared" si="4"/>
        <v>23057683.100000001</v>
      </c>
      <c r="Q16" s="761">
        <v>44641</v>
      </c>
      <c r="R16" s="1111">
        <f t="shared" si="5"/>
        <v>4069002.9</v>
      </c>
      <c r="S16" s="1112">
        <f t="shared" si="6"/>
        <v>0</v>
      </c>
      <c r="T16" s="760"/>
      <c r="U16" s="758"/>
      <c r="V16" s="338"/>
    </row>
    <row r="17" spans="1:22" s="687" customFormat="1" x14ac:dyDescent="0.2">
      <c r="A17" s="1107">
        <v>44627</v>
      </c>
      <c r="B17" s="1105" t="s">
        <v>168</v>
      </c>
      <c r="C17" s="1105" t="s">
        <v>888</v>
      </c>
      <c r="D17" s="1105" t="s">
        <v>889</v>
      </c>
      <c r="E17" s="1107">
        <v>44600</v>
      </c>
      <c r="F17" s="1109">
        <v>44629</v>
      </c>
      <c r="G17" s="1107">
        <v>44636</v>
      </c>
      <c r="H17" s="1108">
        <v>1669500</v>
      </c>
      <c r="I17" s="1110">
        <v>0.55000000000000004</v>
      </c>
      <c r="J17" s="1106">
        <v>5.5</v>
      </c>
      <c r="K17" s="1108">
        <v>9182250.0000000019</v>
      </c>
      <c r="L17" s="1108">
        <v>9182250.0000000019</v>
      </c>
      <c r="M17" s="1108">
        <v>1377337.5000000002</v>
      </c>
      <c r="N17" s="1108">
        <v>7804912.5000000019</v>
      </c>
      <c r="O17" s="1105" t="s">
        <v>353</v>
      </c>
      <c r="P17" s="988">
        <f t="shared" si="4"/>
        <v>7804912.5000000019</v>
      </c>
      <c r="Q17" s="761">
        <v>44644</v>
      </c>
      <c r="R17" s="1111">
        <f t="shared" si="5"/>
        <v>1377337.5000000002</v>
      </c>
      <c r="S17" s="1112">
        <f t="shared" si="6"/>
        <v>0</v>
      </c>
      <c r="T17" s="760"/>
      <c r="U17" s="758"/>
      <c r="V17" s="338"/>
    </row>
    <row r="18" spans="1:22" s="687" customFormat="1" x14ac:dyDescent="0.2">
      <c r="A18" s="1107">
        <v>44627</v>
      </c>
      <c r="B18" s="1105" t="s">
        <v>148</v>
      </c>
      <c r="C18" s="1105" t="s">
        <v>858</v>
      </c>
      <c r="D18" s="1105" t="s">
        <v>865</v>
      </c>
      <c r="E18" s="1107">
        <v>44614</v>
      </c>
      <c r="F18" s="1109">
        <v>44629</v>
      </c>
      <c r="G18" s="1107">
        <v>44631</v>
      </c>
      <c r="H18" s="1108">
        <v>2904200</v>
      </c>
      <c r="I18" s="1110">
        <v>1</v>
      </c>
      <c r="J18" s="1106">
        <v>5</v>
      </c>
      <c r="K18" s="1108">
        <v>14521000</v>
      </c>
      <c r="L18" s="1108">
        <v>14521000</v>
      </c>
      <c r="M18" s="1108">
        <v>2178150</v>
      </c>
      <c r="N18" s="1108">
        <v>12342850</v>
      </c>
      <c r="O18" s="1105" t="s">
        <v>353</v>
      </c>
      <c r="P18" s="988">
        <f t="shared" ref="P18:P38" si="9">N18</f>
        <v>12342850</v>
      </c>
      <c r="Q18" s="761">
        <v>44641</v>
      </c>
      <c r="R18" s="1111">
        <f t="shared" ref="R18:R38" si="10">M18</f>
        <v>2178150</v>
      </c>
      <c r="S18" s="1112">
        <f t="shared" si="6"/>
        <v>0</v>
      </c>
      <c r="T18" s="760"/>
      <c r="U18" s="758"/>
      <c r="V18" s="338"/>
    </row>
    <row r="19" spans="1:22" s="687" customFormat="1" x14ac:dyDescent="0.2">
      <c r="A19" s="1107">
        <v>44629</v>
      </c>
      <c r="B19" s="1105" t="s">
        <v>119</v>
      </c>
      <c r="C19" s="1105" t="str">
        <f>+IFERROR(VLOOKUP(B19,'[14]Script Names'!$A:$B,2,FALSE),"-")</f>
        <v>Pakistan Petroleum Limited</v>
      </c>
      <c r="D19" s="1105" t="s">
        <v>865</v>
      </c>
      <c r="E19" s="1107">
        <v>44617</v>
      </c>
      <c r="F19" s="1109">
        <v>44631</v>
      </c>
      <c r="G19" s="1107">
        <v>44635</v>
      </c>
      <c r="H19" s="1108">
        <v>11832516</v>
      </c>
      <c r="I19" s="1110">
        <v>0.15</v>
      </c>
      <c r="J19" s="1106">
        <f t="shared" ref="J19:J33" si="11">10*I19</f>
        <v>1.5</v>
      </c>
      <c r="K19" s="1108">
        <f t="shared" ref="K19:K33" si="12">H19*I19*10</f>
        <v>17748774</v>
      </c>
      <c r="L19" s="1108">
        <f t="shared" ref="L19:L38" si="13">K19</f>
        <v>17748774</v>
      </c>
      <c r="M19" s="1108">
        <f t="shared" ref="M19:M37" si="14">K19*15%</f>
        <v>2662316.1</v>
      </c>
      <c r="N19" s="1108">
        <f t="shared" ref="N19:N38" si="15">(K19-M19)</f>
        <v>15086457.9</v>
      </c>
      <c r="O19" s="1105" t="s">
        <v>353</v>
      </c>
      <c r="P19" s="988">
        <f t="shared" si="9"/>
        <v>15086457.9</v>
      </c>
      <c r="Q19" s="761">
        <v>44645</v>
      </c>
      <c r="R19" s="1111">
        <f t="shared" si="10"/>
        <v>2662316.1</v>
      </c>
      <c r="S19" s="1112">
        <f t="shared" si="6"/>
        <v>0</v>
      </c>
      <c r="T19" s="760"/>
      <c r="U19" s="758"/>
      <c r="V19" s="338"/>
    </row>
    <row r="20" spans="1:22" s="687" customFormat="1" x14ac:dyDescent="0.2">
      <c r="A20" s="1107">
        <v>44635</v>
      </c>
      <c r="B20" s="1105" t="s">
        <v>158</v>
      </c>
      <c r="C20" s="1105" t="str">
        <f>+IFERROR(VLOOKUP(B20,'[14]Script Names'!$A:$B,2,FALSE),"-")</f>
        <v>MCB Bank Limited</v>
      </c>
      <c r="D20" s="1105" t="s">
        <v>889</v>
      </c>
      <c r="E20" s="1107">
        <v>44602</v>
      </c>
      <c r="F20" s="1109">
        <v>44637</v>
      </c>
      <c r="G20" s="1107">
        <v>44649</v>
      </c>
      <c r="H20" s="1108">
        <v>11111764</v>
      </c>
      <c r="I20" s="1110">
        <v>0.5</v>
      </c>
      <c r="J20" s="1106">
        <f t="shared" si="11"/>
        <v>5</v>
      </c>
      <c r="K20" s="1108">
        <f t="shared" si="12"/>
        <v>55558820</v>
      </c>
      <c r="L20" s="1108">
        <f t="shared" si="13"/>
        <v>55558820</v>
      </c>
      <c r="M20" s="1108">
        <f t="shared" si="14"/>
        <v>8333823</v>
      </c>
      <c r="N20" s="1108">
        <f t="shared" si="15"/>
        <v>47224997</v>
      </c>
      <c r="O20" s="1105" t="s">
        <v>353</v>
      </c>
      <c r="P20" s="988">
        <f t="shared" si="9"/>
        <v>47224997</v>
      </c>
      <c r="Q20" s="761">
        <v>44649</v>
      </c>
      <c r="R20" s="1111">
        <f t="shared" si="10"/>
        <v>8333823</v>
      </c>
      <c r="S20" s="1112">
        <f t="shared" si="6"/>
        <v>0</v>
      </c>
      <c r="T20" s="760"/>
      <c r="U20" s="758"/>
      <c r="V20" s="338"/>
    </row>
    <row r="21" spans="1:22" s="687" customFormat="1" x14ac:dyDescent="0.2">
      <c r="A21" s="1107">
        <v>44636</v>
      </c>
      <c r="B21" s="1105" t="s">
        <v>136</v>
      </c>
      <c r="C21" s="1105" t="str">
        <f>+IFERROR(VLOOKUP(B21,'[14]Script Names'!$A:$B,2,FALSE),"-")</f>
        <v>Engro Corporation Limited</v>
      </c>
      <c r="D21" s="1105" t="s">
        <v>889</v>
      </c>
      <c r="E21" s="1107">
        <v>44609</v>
      </c>
      <c r="F21" s="1109">
        <v>44638</v>
      </c>
      <c r="G21" s="1107">
        <v>44644</v>
      </c>
      <c r="H21" s="1108">
        <v>4085792</v>
      </c>
      <c r="I21" s="1110">
        <v>0.1</v>
      </c>
      <c r="J21" s="1106">
        <f t="shared" si="11"/>
        <v>1</v>
      </c>
      <c r="K21" s="1108">
        <f t="shared" si="12"/>
        <v>4085792</v>
      </c>
      <c r="L21" s="1108">
        <f t="shared" si="13"/>
        <v>4085792</v>
      </c>
      <c r="M21" s="1108">
        <f t="shared" si="14"/>
        <v>612868.79999999993</v>
      </c>
      <c r="N21" s="1108">
        <f t="shared" si="15"/>
        <v>3472923.2</v>
      </c>
      <c r="O21" s="1105" t="s">
        <v>353</v>
      </c>
      <c r="P21" s="988">
        <f t="shared" si="9"/>
        <v>3472923.2</v>
      </c>
      <c r="Q21" s="761">
        <v>44650</v>
      </c>
      <c r="R21" s="1111">
        <f t="shared" si="10"/>
        <v>612868.79999999993</v>
      </c>
      <c r="S21" s="1112">
        <f t="shared" si="6"/>
        <v>0</v>
      </c>
      <c r="T21" s="760"/>
      <c r="U21" s="758"/>
      <c r="V21" s="338"/>
    </row>
    <row r="22" spans="1:22" s="687" customFormat="1" x14ac:dyDescent="0.2">
      <c r="A22" s="1107">
        <v>44637</v>
      </c>
      <c r="B22" s="1105" t="s">
        <v>102</v>
      </c>
      <c r="C22" s="1105" t="str">
        <f>+IFERROR(VLOOKUP(B22,'[14]Script Names'!$A:$B,2,FALSE),"-")</f>
        <v>Bank AL Habib Limited</v>
      </c>
      <c r="D22" s="1105" t="s">
        <v>889</v>
      </c>
      <c r="E22" s="1107">
        <v>44601</v>
      </c>
      <c r="F22" s="1109">
        <v>44641</v>
      </c>
      <c r="G22" s="1107">
        <v>44649</v>
      </c>
      <c r="H22" s="1108">
        <v>11027016</v>
      </c>
      <c r="I22" s="1110">
        <v>0.7</v>
      </c>
      <c r="J22" s="1106">
        <f t="shared" si="11"/>
        <v>7</v>
      </c>
      <c r="K22" s="1108">
        <f t="shared" si="12"/>
        <v>77189112</v>
      </c>
      <c r="L22" s="1108">
        <f t="shared" si="13"/>
        <v>77189112</v>
      </c>
      <c r="M22" s="1108">
        <f t="shared" si="14"/>
        <v>11578366.799999999</v>
      </c>
      <c r="N22" s="1108">
        <f t="shared" si="15"/>
        <v>65610745.200000003</v>
      </c>
      <c r="O22" s="1105" t="s">
        <v>353</v>
      </c>
      <c r="P22" s="988">
        <f t="shared" si="9"/>
        <v>65610745.200000003</v>
      </c>
      <c r="Q22" s="761">
        <v>44650</v>
      </c>
      <c r="R22" s="1111">
        <f t="shared" si="10"/>
        <v>11578366.799999999</v>
      </c>
      <c r="S22" s="1112">
        <f t="shared" si="6"/>
        <v>0</v>
      </c>
      <c r="T22" s="760"/>
      <c r="U22" s="758"/>
      <c r="V22" s="338"/>
    </row>
    <row r="23" spans="1:22" s="687" customFormat="1" x14ac:dyDescent="0.2">
      <c r="A23" s="271">
        <v>44638</v>
      </c>
      <c r="B23" s="224" t="s">
        <v>105</v>
      </c>
      <c r="C23" s="224" t="str">
        <f>+IFERROR(VLOOKUP(B23,'[15]Script Names'!$A:$B,2,FALSE),"-")</f>
        <v>United Bank Limited</v>
      </c>
      <c r="D23" s="224" t="s">
        <v>889</v>
      </c>
      <c r="E23" s="271">
        <v>44615</v>
      </c>
      <c r="F23" s="272">
        <v>44642</v>
      </c>
      <c r="G23" s="271">
        <v>44649</v>
      </c>
      <c r="H23" s="1112">
        <v>7487506</v>
      </c>
      <c r="I23" s="747">
        <v>0.6</v>
      </c>
      <c r="J23" s="1115">
        <f t="shared" si="11"/>
        <v>6</v>
      </c>
      <c r="K23" s="1112">
        <f t="shared" si="12"/>
        <v>44925036</v>
      </c>
      <c r="L23" s="1112">
        <f t="shared" si="13"/>
        <v>44925036</v>
      </c>
      <c r="M23" s="1112">
        <f t="shared" si="14"/>
        <v>6738755.3999999994</v>
      </c>
      <c r="N23" s="1112">
        <f t="shared" si="15"/>
        <v>38186280.600000001</v>
      </c>
      <c r="O23" s="224" t="s">
        <v>353</v>
      </c>
      <c r="P23" s="988">
        <f t="shared" si="9"/>
        <v>38186280.600000001</v>
      </c>
      <c r="Q23" s="761">
        <v>44650</v>
      </c>
      <c r="R23" s="1111">
        <f t="shared" si="10"/>
        <v>6738755.3999999994</v>
      </c>
      <c r="S23" s="1112">
        <f t="shared" si="6"/>
        <v>0</v>
      </c>
      <c r="T23" s="760"/>
      <c r="U23" s="758"/>
      <c r="V23" s="338"/>
    </row>
    <row r="24" spans="1:22" s="687" customFormat="1" x14ac:dyDescent="0.2">
      <c r="A24" s="271">
        <v>44638</v>
      </c>
      <c r="B24" s="224" t="s">
        <v>107</v>
      </c>
      <c r="C24" s="224" t="str">
        <f>+IFERROR(VLOOKUP(B24,'[15]Script Names'!$A:$B,2,FALSE),"-")</f>
        <v>Bank Alfalah Limited</v>
      </c>
      <c r="D24" s="224" t="s">
        <v>889</v>
      </c>
      <c r="E24" s="271">
        <v>44594</v>
      </c>
      <c r="F24" s="272">
        <v>44642</v>
      </c>
      <c r="G24" s="271">
        <v>44649</v>
      </c>
      <c r="H24" s="1112">
        <v>6050000</v>
      </c>
      <c r="I24" s="747">
        <v>0.2</v>
      </c>
      <c r="J24" s="1115">
        <f t="shared" si="11"/>
        <v>2</v>
      </c>
      <c r="K24" s="1112">
        <f t="shared" si="12"/>
        <v>12100000</v>
      </c>
      <c r="L24" s="1112">
        <f t="shared" si="13"/>
        <v>12100000</v>
      </c>
      <c r="M24" s="1112">
        <f t="shared" si="14"/>
        <v>1815000</v>
      </c>
      <c r="N24" s="1112">
        <f t="shared" si="15"/>
        <v>10285000</v>
      </c>
      <c r="O24" s="224" t="s">
        <v>353</v>
      </c>
      <c r="P24" s="988">
        <f t="shared" si="9"/>
        <v>10285000</v>
      </c>
      <c r="Q24" s="761">
        <v>44666</v>
      </c>
      <c r="R24" s="1111">
        <f t="shared" si="10"/>
        <v>1815000</v>
      </c>
      <c r="S24" s="1112">
        <f t="shared" si="6"/>
        <v>0</v>
      </c>
      <c r="T24" s="760"/>
      <c r="U24" s="758"/>
      <c r="V24" s="338"/>
    </row>
    <row r="25" spans="1:22" s="687" customFormat="1" x14ac:dyDescent="0.2">
      <c r="A25" s="1107">
        <v>44641</v>
      </c>
      <c r="B25" s="1105" t="s">
        <v>83</v>
      </c>
      <c r="C25" s="1105" t="str">
        <f>+IFERROR(VLOOKUP(B25,'[14]Script Names'!$A:$B,2,FALSE),"-")</f>
        <v>Habib Bank Limited</v>
      </c>
      <c r="D25" s="1105" t="s">
        <v>889</v>
      </c>
      <c r="E25" s="1107">
        <v>44615</v>
      </c>
      <c r="F25" s="1109">
        <v>44644</v>
      </c>
      <c r="G25" s="1107">
        <v>44650</v>
      </c>
      <c r="H25" s="1108">
        <v>14487163</v>
      </c>
      <c r="I25" s="1110">
        <v>0.22500000000000001</v>
      </c>
      <c r="J25" s="1106">
        <f t="shared" si="11"/>
        <v>2.25</v>
      </c>
      <c r="K25" s="1108">
        <f t="shared" si="12"/>
        <v>32596116.750000004</v>
      </c>
      <c r="L25" s="1108">
        <f t="shared" si="13"/>
        <v>32596116.750000004</v>
      </c>
      <c r="M25" s="1108">
        <f t="shared" si="14"/>
        <v>4889417.5125000002</v>
      </c>
      <c r="N25" s="1108">
        <f t="shared" si="15"/>
        <v>27706699.237500004</v>
      </c>
      <c r="O25" s="1105" t="s">
        <v>353</v>
      </c>
      <c r="P25" s="988">
        <f t="shared" si="9"/>
        <v>27706699.237500004</v>
      </c>
      <c r="Q25" s="761">
        <v>44666</v>
      </c>
      <c r="R25" s="1111">
        <f t="shared" si="10"/>
        <v>4889417.5125000002</v>
      </c>
      <c r="S25" s="1112">
        <f t="shared" si="6"/>
        <v>0</v>
      </c>
      <c r="T25" s="760"/>
      <c r="U25" s="758"/>
      <c r="V25" s="338"/>
    </row>
    <row r="26" spans="1:22" s="687" customFormat="1" x14ac:dyDescent="0.2">
      <c r="A26" s="1107">
        <v>44651</v>
      </c>
      <c r="B26" s="1105" t="s">
        <v>622</v>
      </c>
      <c r="C26" s="1105" t="str">
        <f>+IFERROR(VLOOKUP(B26,'[14]Script Names'!$A:$B,2,FALSE),"-")</f>
        <v>Systems Limited</v>
      </c>
      <c r="D26" s="1105" t="s">
        <v>889</v>
      </c>
      <c r="E26" s="1107">
        <v>44630</v>
      </c>
      <c r="F26" s="1109">
        <v>44655</v>
      </c>
      <c r="G26" s="1107">
        <v>44662</v>
      </c>
      <c r="H26" s="1108">
        <v>213057</v>
      </c>
      <c r="I26" s="1110">
        <v>0.5</v>
      </c>
      <c r="J26" s="1106">
        <f t="shared" si="11"/>
        <v>5</v>
      </c>
      <c r="K26" s="1108">
        <f t="shared" si="12"/>
        <v>1065285</v>
      </c>
      <c r="L26" s="1108">
        <f t="shared" si="13"/>
        <v>1065285</v>
      </c>
      <c r="M26" s="1108">
        <f t="shared" si="14"/>
        <v>159792.75</v>
      </c>
      <c r="N26" s="1108">
        <f t="shared" si="15"/>
        <v>905492.25</v>
      </c>
      <c r="O26" s="1105" t="s">
        <v>353</v>
      </c>
      <c r="P26" s="988">
        <f t="shared" si="9"/>
        <v>905492.25</v>
      </c>
      <c r="Q26" s="761">
        <v>44680</v>
      </c>
      <c r="R26" s="1111">
        <f t="shared" si="10"/>
        <v>159792.75</v>
      </c>
      <c r="S26" s="1112">
        <f t="shared" si="6"/>
        <v>0</v>
      </c>
      <c r="T26" s="760"/>
      <c r="U26" s="758"/>
      <c r="V26" s="338"/>
    </row>
    <row r="27" spans="1:22" s="687" customFormat="1" x14ac:dyDescent="0.2">
      <c r="A27" s="1107">
        <v>44658</v>
      </c>
      <c r="B27" s="1105" t="s">
        <v>153</v>
      </c>
      <c r="C27" s="1105" t="str">
        <f>+IFERROR(VLOOKUP(B27,'[14]Script Names'!$A:$B,2,FALSE),"-")</f>
        <v>Highnoon Laboratories Limited</v>
      </c>
      <c r="D27" s="1105" t="s">
        <v>889</v>
      </c>
      <c r="E27" s="1107">
        <v>44636</v>
      </c>
      <c r="F27" s="1109">
        <v>44662</v>
      </c>
      <c r="G27" s="1107">
        <v>44669</v>
      </c>
      <c r="H27" s="1108">
        <v>915141</v>
      </c>
      <c r="I27" s="1110">
        <v>2</v>
      </c>
      <c r="J27" s="1106">
        <f t="shared" si="11"/>
        <v>20</v>
      </c>
      <c r="K27" s="1108">
        <f t="shared" si="12"/>
        <v>18302820</v>
      </c>
      <c r="L27" s="1108">
        <f t="shared" si="13"/>
        <v>18302820</v>
      </c>
      <c r="M27" s="1108">
        <f t="shared" si="14"/>
        <v>2745423</v>
      </c>
      <c r="N27" s="1108">
        <f t="shared" si="15"/>
        <v>15557397</v>
      </c>
      <c r="O27" s="1105" t="s">
        <v>353</v>
      </c>
      <c r="P27" s="988">
        <f t="shared" si="9"/>
        <v>15557397</v>
      </c>
      <c r="Q27" s="761">
        <v>44680</v>
      </c>
      <c r="R27" s="1111">
        <f t="shared" si="10"/>
        <v>2745423</v>
      </c>
      <c r="S27" s="1112">
        <f t="shared" si="6"/>
        <v>0</v>
      </c>
      <c r="T27" s="760"/>
      <c r="U27" s="758"/>
      <c r="V27" s="338"/>
    </row>
    <row r="28" spans="1:22" s="687" customFormat="1" x14ac:dyDescent="0.2">
      <c r="A28" s="1107">
        <v>44666</v>
      </c>
      <c r="B28" s="1105" t="s">
        <v>343</v>
      </c>
      <c r="C28" s="1105" t="str">
        <f>+IFERROR(VLOOKUP(B28,'[14]Script Names'!$A:$B,2,FALSE),"-")</f>
        <v>Abbott Laboratories (Pakistan) Limited</v>
      </c>
      <c r="D28" s="1105" t="s">
        <v>889</v>
      </c>
      <c r="E28" s="1107">
        <v>44616</v>
      </c>
      <c r="F28" s="1109">
        <v>44670</v>
      </c>
      <c r="G28" s="1107">
        <v>44677</v>
      </c>
      <c r="H28" s="1108">
        <v>822750</v>
      </c>
      <c r="I28" s="1110">
        <v>2</v>
      </c>
      <c r="J28" s="1106">
        <f t="shared" si="11"/>
        <v>20</v>
      </c>
      <c r="K28" s="1108">
        <f t="shared" si="12"/>
        <v>16455000</v>
      </c>
      <c r="L28" s="1108">
        <f t="shared" si="13"/>
        <v>16455000</v>
      </c>
      <c r="M28" s="1108">
        <f t="shared" si="14"/>
        <v>2468250</v>
      </c>
      <c r="N28" s="1108">
        <f t="shared" si="15"/>
        <v>13986750</v>
      </c>
      <c r="O28" s="1105" t="s">
        <v>353</v>
      </c>
      <c r="P28" s="988">
        <f t="shared" si="9"/>
        <v>13986750</v>
      </c>
      <c r="Q28" s="761">
        <v>44680</v>
      </c>
      <c r="R28" s="1111">
        <f t="shared" si="10"/>
        <v>2468250</v>
      </c>
      <c r="S28" s="1112">
        <f t="shared" si="6"/>
        <v>0</v>
      </c>
      <c r="T28" s="760"/>
      <c r="U28" s="758"/>
      <c r="V28" s="338"/>
    </row>
    <row r="29" spans="1:22" s="687" customFormat="1" x14ac:dyDescent="0.2">
      <c r="A29" s="1107">
        <v>44666</v>
      </c>
      <c r="B29" s="1105" t="s">
        <v>603</v>
      </c>
      <c r="C29" s="1105" t="str">
        <f>+IFERROR(VLOOKUP(B29,'[14]Script Names'!$A:$B,2,FALSE),"-")</f>
        <v>Pak Suzuki Motor Company Limited</v>
      </c>
      <c r="D29" s="1105" t="s">
        <v>889</v>
      </c>
      <c r="E29" s="1107">
        <v>44642</v>
      </c>
      <c r="F29" s="1109">
        <v>44670</v>
      </c>
      <c r="G29" s="1107">
        <v>44677</v>
      </c>
      <c r="H29" s="1108">
        <v>10000</v>
      </c>
      <c r="I29" s="1110">
        <v>0.65</v>
      </c>
      <c r="J29" s="1106">
        <f t="shared" si="11"/>
        <v>6.5</v>
      </c>
      <c r="K29" s="1108">
        <f t="shared" si="12"/>
        <v>65000</v>
      </c>
      <c r="L29" s="1108">
        <f t="shared" si="13"/>
        <v>65000</v>
      </c>
      <c r="M29" s="1108">
        <f t="shared" si="14"/>
        <v>9750</v>
      </c>
      <c r="N29" s="1108">
        <f t="shared" si="15"/>
        <v>55250</v>
      </c>
      <c r="O29" s="1105" t="s">
        <v>353</v>
      </c>
      <c r="P29" s="988">
        <f t="shared" si="9"/>
        <v>55250</v>
      </c>
      <c r="Q29" s="761">
        <v>44698</v>
      </c>
      <c r="R29" s="1111">
        <f t="shared" si="10"/>
        <v>9750</v>
      </c>
      <c r="S29" s="1112">
        <f t="shared" si="6"/>
        <v>0</v>
      </c>
      <c r="T29" s="760"/>
      <c r="U29" s="758"/>
      <c r="V29" s="338"/>
    </row>
    <row r="30" spans="1:22" s="687" customFormat="1" x14ac:dyDescent="0.2">
      <c r="A30" s="1107">
        <v>44671</v>
      </c>
      <c r="B30" s="1105" t="s">
        <v>610</v>
      </c>
      <c r="C30" s="1105" t="str">
        <f>+IFERROR(VLOOKUP(B30,'[14]Script Names'!$A:$B,2,FALSE),"-")</f>
        <v>Avanceon Limited</v>
      </c>
      <c r="D30" s="1105" t="s">
        <v>889</v>
      </c>
      <c r="E30" s="1107">
        <v>44655</v>
      </c>
      <c r="F30" s="1109">
        <v>44673</v>
      </c>
      <c r="G30" s="1107">
        <v>44680</v>
      </c>
      <c r="H30" s="1108">
        <v>197800</v>
      </c>
      <c r="I30" s="1110">
        <v>0.1</v>
      </c>
      <c r="J30" s="1106">
        <f t="shared" si="11"/>
        <v>1</v>
      </c>
      <c r="K30" s="1108">
        <f t="shared" si="12"/>
        <v>197800</v>
      </c>
      <c r="L30" s="1108">
        <f t="shared" si="13"/>
        <v>197800</v>
      </c>
      <c r="M30" s="1108">
        <f t="shared" si="14"/>
        <v>29670</v>
      </c>
      <c r="N30" s="1108">
        <f t="shared" si="15"/>
        <v>168130</v>
      </c>
      <c r="O30" s="1105" t="s">
        <v>353</v>
      </c>
      <c r="P30" s="988">
        <f t="shared" si="9"/>
        <v>168130</v>
      </c>
      <c r="Q30" s="761">
        <v>44704</v>
      </c>
      <c r="R30" s="1111">
        <f t="shared" si="10"/>
        <v>29670</v>
      </c>
      <c r="S30" s="1112">
        <f t="shared" si="6"/>
        <v>0</v>
      </c>
      <c r="T30" s="760"/>
      <c r="U30" s="758"/>
      <c r="V30" s="338"/>
    </row>
    <row r="31" spans="1:22" s="687" customFormat="1" x14ac:dyDescent="0.2">
      <c r="A31" s="1107">
        <v>44678</v>
      </c>
      <c r="B31" s="1105" t="s">
        <v>83</v>
      </c>
      <c r="C31" s="1105" t="str">
        <f>+IFERROR(VLOOKUP(B31,'[14]Script Names'!$A:$B,2,FALSE),"-")</f>
        <v>Habib Bank Limited</v>
      </c>
      <c r="D31" s="1105" t="s">
        <v>865</v>
      </c>
      <c r="E31" s="1107">
        <v>44671</v>
      </c>
      <c r="F31" s="1109">
        <v>44680</v>
      </c>
      <c r="G31" s="1107">
        <v>44681</v>
      </c>
      <c r="H31" s="1108">
        <v>14487163</v>
      </c>
      <c r="I31" s="1110">
        <v>0.22500000000000001</v>
      </c>
      <c r="J31" s="1106">
        <f t="shared" si="11"/>
        <v>2.25</v>
      </c>
      <c r="K31" s="1108">
        <f t="shared" si="12"/>
        <v>32596116.750000004</v>
      </c>
      <c r="L31" s="1108">
        <f t="shared" si="13"/>
        <v>32596116.750000004</v>
      </c>
      <c r="M31" s="1108">
        <f t="shared" si="14"/>
        <v>4889417.5125000002</v>
      </c>
      <c r="N31" s="1108">
        <f t="shared" si="15"/>
        <v>27706699.237500004</v>
      </c>
      <c r="O31" s="1105" t="s">
        <v>353</v>
      </c>
      <c r="P31" s="988">
        <f t="shared" si="9"/>
        <v>27706699.237500004</v>
      </c>
      <c r="Q31" s="761">
        <v>44698</v>
      </c>
      <c r="R31" s="1111">
        <f t="shared" si="10"/>
        <v>4889417.5125000002</v>
      </c>
      <c r="S31" s="1112">
        <f t="shared" si="6"/>
        <v>0</v>
      </c>
      <c r="T31" s="760"/>
      <c r="U31" s="758"/>
      <c r="V31" s="338"/>
    </row>
    <row r="32" spans="1:22" s="687" customFormat="1" x14ac:dyDescent="0.2">
      <c r="A32" s="1107">
        <v>44678</v>
      </c>
      <c r="B32" s="1105" t="s">
        <v>168</v>
      </c>
      <c r="C32" s="1105" t="str">
        <f>+IFERROR(VLOOKUP(B32,'[14]Script Names'!$A:$B,2,FALSE),"-")</f>
        <v>Engro Polymer &amp; Chemicals Limited</v>
      </c>
      <c r="D32" s="1105" t="s">
        <v>865</v>
      </c>
      <c r="E32" s="1107">
        <v>44670</v>
      </c>
      <c r="F32" s="1109">
        <v>44680</v>
      </c>
      <c r="G32" s="1107">
        <v>44683</v>
      </c>
      <c r="H32" s="1108">
        <v>1000000</v>
      </c>
      <c r="I32" s="1110">
        <v>0.5</v>
      </c>
      <c r="J32" s="1106">
        <f t="shared" si="11"/>
        <v>5</v>
      </c>
      <c r="K32" s="1108">
        <f t="shared" si="12"/>
        <v>5000000</v>
      </c>
      <c r="L32" s="1108">
        <f t="shared" si="13"/>
        <v>5000000</v>
      </c>
      <c r="M32" s="1108">
        <f t="shared" si="14"/>
        <v>750000</v>
      </c>
      <c r="N32" s="1108">
        <f t="shared" si="15"/>
        <v>4250000</v>
      </c>
      <c r="O32" s="1105" t="s">
        <v>353</v>
      </c>
      <c r="P32" s="988">
        <f t="shared" si="9"/>
        <v>4250000</v>
      </c>
      <c r="Q32" s="761">
        <v>44698</v>
      </c>
      <c r="R32" s="1111">
        <f t="shared" si="10"/>
        <v>750000</v>
      </c>
      <c r="S32" s="1112">
        <f t="shared" si="6"/>
        <v>0</v>
      </c>
      <c r="T32" s="760"/>
      <c r="U32" s="758"/>
      <c r="V32" s="338"/>
    </row>
    <row r="33" spans="1:22" s="687" customFormat="1" x14ac:dyDescent="0.2">
      <c r="A33" s="1107">
        <v>44678</v>
      </c>
      <c r="B33" s="1105" t="s">
        <v>136</v>
      </c>
      <c r="C33" s="1105" t="str">
        <f>+IFERROR(VLOOKUP(B33,'[14]Script Names'!$A:$B,2,FALSE),"-")</f>
        <v>Engro Corporation Limited</v>
      </c>
      <c r="D33" s="1105" t="s">
        <v>865</v>
      </c>
      <c r="E33" s="1107">
        <v>44672</v>
      </c>
      <c r="F33" s="1109">
        <v>44680</v>
      </c>
      <c r="G33" s="1107">
        <v>44683</v>
      </c>
      <c r="H33" s="1108">
        <v>4085792</v>
      </c>
      <c r="I33" s="1110">
        <v>1.2</v>
      </c>
      <c r="J33" s="1106">
        <f t="shared" si="11"/>
        <v>12</v>
      </c>
      <c r="K33" s="1108">
        <f t="shared" si="12"/>
        <v>49029503.999999993</v>
      </c>
      <c r="L33" s="1108">
        <f t="shared" si="13"/>
        <v>49029503.999999993</v>
      </c>
      <c r="M33" s="1108">
        <f t="shared" si="14"/>
        <v>7354425.5999999987</v>
      </c>
      <c r="N33" s="1108">
        <f t="shared" si="15"/>
        <v>41675078.399999991</v>
      </c>
      <c r="O33" s="1105" t="s">
        <v>353</v>
      </c>
      <c r="P33" s="988">
        <f t="shared" si="9"/>
        <v>41675078.399999991</v>
      </c>
      <c r="Q33" s="761">
        <v>44698</v>
      </c>
      <c r="R33" s="1111">
        <f t="shared" si="10"/>
        <v>7354425.5999999987</v>
      </c>
      <c r="S33" s="1112">
        <f t="shared" si="6"/>
        <v>0</v>
      </c>
      <c r="T33" s="760"/>
      <c r="U33" s="758"/>
      <c r="V33" s="338"/>
    </row>
    <row r="34" spans="1:22" s="687" customFormat="1" x14ac:dyDescent="0.2">
      <c r="A34" s="1107">
        <v>44678</v>
      </c>
      <c r="B34" s="1105" t="s">
        <v>105</v>
      </c>
      <c r="C34" s="1105" t="str">
        <f>+IFERROR(VLOOKUP(B34,'[14]Script Names'!$A:$B,2,FALSE),"-")</f>
        <v>United Bank Limited</v>
      </c>
      <c r="D34" s="1105" t="s">
        <v>865</v>
      </c>
      <c r="E34" s="1107">
        <v>44671</v>
      </c>
      <c r="F34" s="1109">
        <v>44686</v>
      </c>
      <c r="G34" s="1107">
        <v>44690</v>
      </c>
      <c r="H34" s="1108">
        <v>7487506</v>
      </c>
      <c r="I34" s="1110">
        <v>0.5</v>
      </c>
      <c r="J34" s="1106">
        <f>10*I34</f>
        <v>5</v>
      </c>
      <c r="K34" s="1108">
        <f>H34*I34*10</f>
        <v>37437530</v>
      </c>
      <c r="L34" s="1108">
        <f t="shared" si="13"/>
        <v>37437530</v>
      </c>
      <c r="M34" s="1108">
        <f t="shared" si="14"/>
        <v>5615629.5</v>
      </c>
      <c r="N34" s="1108">
        <f t="shared" si="15"/>
        <v>31821900.5</v>
      </c>
      <c r="O34" s="1105" t="s">
        <v>353</v>
      </c>
      <c r="P34" s="988">
        <f t="shared" si="9"/>
        <v>31821900.5</v>
      </c>
      <c r="Q34" s="761">
        <v>44698</v>
      </c>
      <c r="R34" s="1111">
        <f t="shared" si="10"/>
        <v>5615629.5</v>
      </c>
      <c r="S34" s="1112">
        <f t="shared" si="6"/>
        <v>0</v>
      </c>
      <c r="T34" s="760"/>
      <c r="U34" s="758"/>
      <c r="V34" s="338"/>
    </row>
    <row r="35" spans="1:22" s="687" customFormat="1" x14ac:dyDescent="0.2">
      <c r="A35" s="271">
        <v>44690</v>
      </c>
      <c r="B35" s="224" t="s">
        <v>158</v>
      </c>
      <c r="C35" s="224" t="str">
        <f>+IFERROR(VLOOKUP(B35,'[15]Script Names'!$A:$B,2,FALSE),"-")</f>
        <v>MCB Bank Limited</v>
      </c>
      <c r="D35" s="224" t="s">
        <v>865</v>
      </c>
      <c r="E35" s="271">
        <v>44678</v>
      </c>
      <c r="F35" s="272">
        <v>44692</v>
      </c>
      <c r="G35" s="271">
        <v>44694</v>
      </c>
      <c r="H35" s="1112">
        <v>11111764</v>
      </c>
      <c r="I35" s="747">
        <v>0.5</v>
      </c>
      <c r="J35" s="1115">
        <f t="shared" ref="J35:J38" si="16">10*I35</f>
        <v>5</v>
      </c>
      <c r="K35" s="1112">
        <f t="shared" ref="K35:K38" si="17">H35*I35*10</f>
        <v>55558820</v>
      </c>
      <c r="L35" s="1112">
        <f t="shared" si="13"/>
        <v>55558820</v>
      </c>
      <c r="M35" s="1112">
        <f t="shared" si="14"/>
        <v>8333823</v>
      </c>
      <c r="N35" s="1112">
        <f t="shared" si="15"/>
        <v>47224997</v>
      </c>
      <c r="O35" s="224" t="s">
        <v>353</v>
      </c>
      <c r="P35" s="988">
        <f t="shared" si="9"/>
        <v>47224997</v>
      </c>
      <c r="Q35" s="761">
        <v>44704</v>
      </c>
      <c r="R35" s="1111">
        <f t="shared" si="10"/>
        <v>8333823</v>
      </c>
      <c r="S35" s="1112">
        <f t="shared" si="6"/>
        <v>0</v>
      </c>
      <c r="T35" s="760"/>
      <c r="U35" s="758"/>
      <c r="V35" s="338"/>
    </row>
    <row r="36" spans="1:22" s="687" customFormat="1" x14ac:dyDescent="0.2">
      <c r="A36" s="1107">
        <v>44691</v>
      </c>
      <c r="B36" s="1105" t="s">
        <v>483</v>
      </c>
      <c r="C36" s="1105" t="str">
        <f>+IFERROR(VLOOKUP(B36,'[14]Script Names'!$A:$B,2,FALSE),"-")</f>
        <v>Shifa International Hospitals Limited</v>
      </c>
      <c r="D36" s="1105" t="s">
        <v>865</v>
      </c>
      <c r="E36" s="1107">
        <v>44679</v>
      </c>
      <c r="F36" s="1109">
        <v>44693</v>
      </c>
      <c r="G36" s="1107">
        <v>44695</v>
      </c>
      <c r="H36" s="1108">
        <v>2031288</v>
      </c>
      <c r="I36" s="1110">
        <v>0.15</v>
      </c>
      <c r="J36" s="1106">
        <f t="shared" si="16"/>
        <v>1.5</v>
      </c>
      <c r="K36" s="1108">
        <f t="shared" si="17"/>
        <v>3046932</v>
      </c>
      <c r="L36" s="1108">
        <f t="shared" si="13"/>
        <v>3046932</v>
      </c>
      <c r="M36" s="1108">
        <f t="shared" si="14"/>
        <v>457039.8</v>
      </c>
      <c r="N36" s="1108">
        <f t="shared" si="15"/>
        <v>2589892.2000000002</v>
      </c>
      <c r="O36" s="1105" t="s">
        <v>353</v>
      </c>
      <c r="P36" s="988">
        <f t="shared" si="9"/>
        <v>2589892.2000000002</v>
      </c>
      <c r="Q36" s="761">
        <v>44711</v>
      </c>
      <c r="R36" s="1111">
        <f t="shared" si="10"/>
        <v>457039.8</v>
      </c>
      <c r="S36" s="1112">
        <f t="shared" si="6"/>
        <v>0</v>
      </c>
      <c r="T36" s="760"/>
      <c r="U36" s="758"/>
      <c r="V36" s="338"/>
    </row>
    <row r="37" spans="1:22" s="687" customFormat="1" x14ac:dyDescent="0.2">
      <c r="A37" s="1107">
        <v>44692</v>
      </c>
      <c r="B37" s="1105" t="s">
        <v>116</v>
      </c>
      <c r="C37" s="1105" t="str">
        <f>+IFERROR(VLOOKUP(B37,'[14]Script Names'!$A:$B,2,FALSE),"-")</f>
        <v>Oil &amp; Gas Development Company Limited</v>
      </c>
      <c r="D37" s="1105" t="s">
        <v>865</v>
      </c>
      <c r="E37" s="1107">
        <v>44679</v>
      </c>
      <c r="F37" s="1109">
        <v>44694</v>
      </c>
      <c r="G37" s="1107">
        <v>44698</v>
      </c>
      <c r="H37" s="1108">
        <v>13028343</v>
      </c>
      <c r="I37" s="1110">
        <v>0.1</v>
      </c>
      <c r="J37" s="1106">
        <f t="shared" si="16"/>
        <v>1</v>
      </c>
      <c r="K37" s="1108">
        <f t="shared" si="17"/>
        <v>13028343</v>
      </c>
      <c r="L37" s="1108">
        <f t="shared" si="13"/>
        <v>13028343</v>
      </c>
      <c r="M37" s="1108">
        <f t="shared" si="14"/>
        <v>1954251.45</v>
      </c>
      <c r="N37" s="1108">
        <f t="shared" si="15"/>
        <v>11074091.550000001</v>
      </c>
      <c r="O37" s="1105" t="s">
        <v>353</v>
      </c>
      <c r="P37" s="988">
        <f t="shared" si="9"/>
        <v>11074091.550000001</v>
      </c>
      <c r="Q37" s="761">
        <v>44711</v>
      </c>
      <c r="R37" s="1111">
        <f t="shared" si="10"/>
        <v>1954251.45</v>
      </c>
      <c r="S37" s="1112">
        <f t="shared" si="6"/>
        <v>0</v>
      </c>
      <c r="T37" s="760"/>
      <c r="U37" s="758"/>
      <c r="V37" s="338"/>
    </row>
    <row r="38" spans="1:22" s="687" customFormat="1" x14ac:dyDescent="0.2">
      <c r="A38" s="1107">
        <v>44694</v>
      </c>
      <c r="B38" s="1105" t="s">
        <v>781</v>
      </c>
      <c r="C38" s="1105" t="str">
        <f>+IFERROR(VLOOKUP(B38,'[14]Script Names'!$A:$B,2,FALSE),"-")</f>
        <v>Pakistan Aluminium Beverage Cans Limited</v>
      </c>
      <c r="D38" s="1105" t="s">
        <v>889</v>
      </c>
      <c r="E38" s="1107">
        <v>44636</v>
      </c>
      <c r="F38" s="1109">
        <v>44698</v>
      </c>
      <c r="G38" s="1107">
        <v>44704</v>
      </c>
      <c r="H38" s="1108">
        <v>6350649</v>
      </c>
      <c r="I38" s="1110">
        <v>0.15</v>
      </c>
      <c r="J38" s="1106">
        <f t="shared" si="16"/>
        <v>1.5</v>
      </c>
      <c r="K38" s="1108">
        <f t="shared" si="17"/>
        <v>9525973.5</v>
      </c>
      <c r="L38" s="1108">
        <f t="shared" si="13"/>
        <v>9525973.5</v>
      </c>
      <c r="M38" s="1108">
        <f>K38*25%</f>
        <v>2381493.375</v>
      </c>
      <c r="N38" s="1108">
        <f t="shared" si="15"/>
        <v>7144480.125</v>
      </c>
      <c r="O38" s="1105" t="s">
        <v>353</v>
      </c>
      <c r="P38" s="988">
        <f t="shared" si="9"/>
        <v>7144480.125</v>
      </c>
      <c r="Q38" s="761">
        <v>44711</v>
      </c>
      <c r="R38" s="1111">
        <f t="shared" si="10"/>
        <v>2381493.375</v>
      </c>
      <c r="S38" s="1112">
        <f t="shared" si="6"/>
        <v>0</v>
      </c>
      <c r="T38" s="1311">
        <v>1428896.0249999999</v>
      </c>
      <c r="U38" s="758">
        <f>+M38-T38</f>
        <v>952597.35000000009</v>
      </c>
      <c r="V38" s="338"/>
    </row>
    <row r="39" spans="1:22" s="687" customFormat="1" x14ac:dyDescent="0.2">
      <c r="A39" s="271"/>
      <c r="B39" s="224"/>
      <c r="C39" s="224"/>
      <c r="D39" s="224"/>
      <c r="E39" s="271"/>
      <c r="F39" s="272"/>
      <c r="G39" s="271"/>
      <c r="H39" s="1112"/>
      <c r="I39" s="747"/>
      <c r="J39" s="1115"/>
      <c r="K39" s="1112"/>
      <c r="L39" s="1112"/>
      <c r="M39" s="1112"/>
      <c r="N39" s="1112"/>
      <c r="O39" s="224"/>
      <c r="P39" s="759"/>
      <c r="Q39" s="761"/>
      <c r="R39" s="1117"/>
      <c r="S39" s="758"/>
      <c r="T39" s="760"/>
      <c r="U39" s="758"/>
      <c r="V39" s="338"/>
    </row>
    <row r="40" spans="1:22" ht="12" thickBot="1" x14ac:dyDescent="0.25">
      <c r="K40" s="488">
        <f>SUM(K7:K39)</f>
        <v>764169017</v>
      </c>
      <c r="L40" s="488">
        <f>SUM(L7:L39)</f>
        <v>764169017</v>
      </c>
      <c r="M40" s="488">
        <f>SUM(M7:M39)</f>
        <v>109538078.40000001</v>
      </c>
      <c r="N40" s="488">
        <f>SUM(N7:N39)</f>
        <v>654630938.60000002</v>
      </c>
      <c r="Q40" s="761"/>
      <c r="S40" s="438">
        <f>SUM(S7:S39)</f>
        <v>0</v>
      </c>
    </row>
    <row r="41" spans="1:22" ht="12.75" thickTop="1" x14ac:dyDescent="0.2">
      <c r="Q41" s="761"/>
      <c r="S41" s="857">
        <v>0</v>
      </c>
      <c r="T41" s="160"/>
    </row>
    <row r="42" spans="1:22" x14ac:dyDescent="0.2">
      <c r="K42" s="1118"/>
      <c r="S42" s="261">
        <f>S40-S41</f>
        <v>0</v>
      </c>
      <c r="T42" s="160"/>
      <c r="U42" s="1108"/>
    </row>
    <row r="43" spans="1:22" x14ac:dyDescent="0.2">
      <c r="J43" s="269" t="s">
        <v>668</v>
      </c>
      <c r="K43" s="1118"/>
      <c r="L43" s="160">
        <v>522859892.75</v>
      </c>
      <c r="M43" s="160">
        <v>72389114</v>
      </c>
      <c r="T43" s="160"/>
    </row>
    <row r="44" spans="1:22" x14ac:dyDescent="0.2">
      <c r="T44" s="160"/>
    </row>
    <row r="45" spans="1:22" x14ac:dyDescent="0.2">
      <c r="J45" s="269" t="s">
        <v>670</v>
      </c>
      <c r="L45" s="160">
        <f>+L40-L43</f>
        <v>241309124.25</v>
      </c>
      <c r="M45" s="160">
        <f>+M40-M43</f>
        <v>37148964.400000006</v>
      </c>
      <c r="T45" s="160"/>
    </row>
    <row r="46" spans="1:22" x14ac:dyDescent="0.2">
      <c r="T46" s="160"/>
    </row>
    <row r="47" spans="1:22" x14ac:dyDescent="0.2">
      <c r="T47" s="160"/>
    </row>
    <row r="48" spans="1:22" x14ac:dyDescent="0.2">
      <c r="J48" s="269" t="s">
        <v>342</v>
      </c>
      <c r="K48" s="261"/>
      <c r="L48" s="160">
        <v>764169017</v>
      </c>
      <c r="M48" s="160">
        <v>109538081</v>
      </c>
      <c r="P48" s="991"/>
      <c r="S48" s="160">
        <v>0</v>
      </c>
      <c r="T48" s="1103" t="s">
        <v>722</v>
      </c>
    </row>
    <row r="49" spans="10:19" x14ac:dyDescent="0.2">
      <c r="K49" s="160"/>
      <c r="M49" s="160"/>
      <c r="N49" s="261"/>
      <c r="S49" s="261">
        <f>+S40-S48</f>
        <v>0</v>
      </c>
    </row>
    <row r="50" spans="10:19" ht="12" thickBot="1" x14ac:dyDescent="0.25">
      <c r="K50" s="164" t="s">
        <v>25</v>
      </c>
      <c r="L50" s="291">
        <f>+L48-L40</f>
        <v>0</v>
      </c>
      <c r="M50" s="291">
        <f>+M48-M40</f>
        <v>2.5999999940395355</v>
      </c>
      <c r="Q50" s="261"/>
      <c r="S50" s="320"/>
    </row>
    <row r="51" spans="10:19" ht="12" thickTop="1" x14ac:dyDescent="0.2">
      <c r="K51" s="164" t="s">
        <v>405</v>
      </c>
      <c r="L51" s="261"/>
      <c r="M51" s="664">
        <f>-Bonus!R8</f>
        <v>0</v>
      </c>
    </row>
    <row r="52" spans="10:19" ht="12" thickBot="1" x14ac:dyDescent="0.25">
      <c r="K52" s="159" t="s">
        <v>419</v>
      </c>
      <c r="L52" s="438">
        <f>+L51+L50</f>
        <v>0</v>
      </c>
      <c r="M52" s="438">
        <f>+M51+M50</f>
        <v>2.5999999940395355</v>
      </c>
    </row>
    <row r="53" spans="10:19" ht="12.75" thickTop="1" x14ac:dyDescent="0.2">
      <c r="J53"/>
      <c r="K53"/>
    </row>
    <row r="54" spans="10:19" ht="12" x14ac:dyDescent="0.2">
      <c r="J54"/>
      <c r="K54"/>
    </row>
    <row r="55" spans="10:19" ht="12" x14ac:dyDescent="0.2">
      <c r="J55"/>
      <c r="K55"/>
    </row>
    <row r="56" spans="10:19" ht="12" x14ac:dyDescent="0.2">
      <c r="J56"/>
      <c r="K56"/>
    </row>
    <row r="57" spans="10:19" ht="12" x14ac:dyDescent="0.2">
      <c r="J57"/>
      <c r="K57"/>
    </row>
    <row r="58" spans="10:19" ht="12" x14ac:dyDescent="0.2">
      <c r="J58"/>
      <c r="K58"/>
    </row>
    <row r="59" spans="10:19" ht="12" x14ac:dyDescent="0.2">
      <c r="J59"/>
      <c r="K59"/>
    </row>
    <row r="60" spans="10:19" ht="12" x14ac:dyDescent="0.2">
      <c r="J60"/>
      <c r="K60"/>
    </row>
    <row r="61" spans="10:19" ht="12" x14ac:dyDescent="0.2">
      <c r="J61"/>
      <c r="K61"/>
    </row>
    <row r="62" spans="10:19" ht="12" x14ac:dyDescent="0.2">
      <c r="J62"/>
      <c r="K62"/>
    </row>
    <row r="63" spans="10:19" ht="12" x14ac:dyDescent="0.2">
      <c r="J63"/>
      <c r="K63"/>
    </row>
  </sheetData>
  <autoFilter ref="A5:IN6">
    <filterColumn colId="5" showButton="0"/>
  </autoFilter>
  <mergeCells count="18">
    <mergeCell ref="H5:H6"/>
    <mergeCell ref="A5:A6"/>
    <mergeCell ref="B5:B6"/>
    <mergeCell ref="C5:C6"/>
    <mergeCell ref="E5:E6"/>
    <mergeCell ref="F5:G5"/>
    <mergeCell ref="D5:D6"/>
    <mergeCell ref="N5:N6"/>
    <mergeCell ref="I5:I6"/>
    <mergeCell ref="J5:J6"/>
    <mergeCell ref="K5:K6"/>
    <mergeCell ref="L5:L6"/>
    <mergeCell ref="M5:M6"/>
    <mergeCell ref="R5:R6"/>
    <mergeCell ref="S5:S6"/>
    <mergeCell ref="O5:O6"/>
    <mergeCell ref="P5:P6"/>
    <mergeCell ref="Q5:Q6"/>
  </mergeCells>
  <dataValidations count="1">
    <dataValidation type="list" allowBlank="1" showInputMessage="1" showErrorMessage="1" sqref="O7:O39">
      <formula1>$U$1:$AF$1</formula1>
    </dataValidation>
  </dataValidations>
  <pageMargins left="0.19685039370078741" right="0.19685039370078741" top="0.19685039370078741" bottom="0.19685039370078741" header="0.19685039370078741" footer="0.19685039370078741"/>
  <pageSetup paperSize="9" scale="8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EZ25"/>
  <sheetViews>
    <sheetView view="pageBreakPreview" topLeftCell="A3" zoomScaleSheetLayoutView="100" workbookViewId="0">
      <selection activeCell="B23" sqref="A1:XFD1048576"/>
    </sheetView>
  </sheetViews>
  <sheetFormatPr defaultRowHeight="11.25" x14ac:dyDescent="0.2"/>
  <cols>
    <col min="1" max="1" width="8" style="159" customWidth="1"/>
    <col min="2" max="2" width="19.125" style="159" customWidth="1"/>
    <col min="3" max="4" width="19.125" style="1105" customWidth="1"/>
    <col min="5" max="5" width="11.5" style="269" customWidth="1"/>
    <col min="6" max="7" width="9.125" style="269" customWidth="1"/>
    <col min="8" max="8" width="14.125" style="269" customWidth="1"/>
    <col min="9" max="9" width="8.125" style="269" customWidth="1"/>
    <col min="10" max="10" width="7.625" style="269" customWidth="1"/>
    <col min="11" max="11" width="12" style="159" customWidth="1"/>
    <col min="12" max="12" width="10.625" style="160" customWidth="1"/>
    <col min="13" max="13" width="9.75" style="159" bestFit="1" customWidth="1"/>
    <col min="14" max="14" width="10.5" style="159" customWidth="1"/>
    <col min="15" max="15" width="10" style="159" hidden="1" customWidth="1"/>
    <col min="16" max="16" width="9.75" style="160" bestFit="1" customWidth="1"/>
    <col min="17" max="258" width="9" style="159"/>
    <col min="259" max="259" width="8" style="159" customWidth="1"/>
    <col min="260" max="260" width="17.625" style="159" customWidth="1"/>
    <col min="261" max="261" width="11.5" style="159" customWidth="1"/>
    <col min="262" max="263" width="9.125" style="159" customWidth="1"/>
    <col min="264" max="264" width="14.125" style="159" customWidth="1"/>
    <col min="265" max="265" width="8.125" style="159" customWidth="1"/>
    <col min="266" max="266" width="7.625" style="159" customWidth="1"/>
    <col min="267" max="267" width="13.125" style="159" customWidth="1"/>
    <col min="268" max="268" width="11.875" style="159" customWidth="1"/>
    <col min="269" max="269" width="6.75" style="159" customWidth="1"/>
    <col min="270" max="270" width="7.875" style="159" customWidth="1"/>
    <col min="271" max="271" width="10" style="159" customWidth="1"/>
    <col min="272" max="272" width="9.75" style="159" bestFit="1" customWidth="1"/>
    <col min="273" max="514" width="9" style="159"/>
    <col min="515" max="515" width="8" style="159" customWidth="1"/>
    <col min="516" max="516" width="17.625" style="159" customWidth="1"/>
    <col min="517" max="517" width="11.5" style="159" customWidth="1"/>
    <col min="518" max="519" width="9.125" style="159" customWidth="1"/>
    <col min="520" max="520" width="14.125" style="159" customWidth="1"/>
    <col min="521" max="521" width="8.125" style="159" customWidth="1"/>
    <col min="522" max="522" width="7.625" style="159" customWidth="1"/>
    <col min="523" max="523" width="13.125" style="159" customWidth="1"/>
    <col min="524" max="524" width="11.875" style="159" customWidth="1"/>
    <col min="525" max="525" width="6.75" style="159" customWidth="1"/>
    <col min="526" max="526" width="7.875" style="159" customWidth="1"/>
    <col min="527" max="527" width="10" style="159" customWidth="1"/>
    <col min="528" max="528" width="9.75" style="159" bestFit="1" customWidth="1"/>
    <col min="529" max="770" width="9" style="159"/>
    <col min="771" max="771" width="8" style="159" customWidth="1"/>
    <col min="772" max="772" width="17.625" style="159" customWidth="1"/>
    <col min="773" max="773" width="11.5" style="159" customWidth="1"/>
    <col min="774" max="775" width="9.125" style="159" customWidth="1"/>
    <col min="776" max="776" width="14.125" style="159" customWidth="1"/>
    <col min="777" max="777" width="8.125" style="159" customWidth="1"/>
    <col min="778" max="778" width="7.625" style="159" customWidth="1"/>
    <col min="779" max="779" width="13.125" style="159" customWidth="1"/>
    <col min="780" max="780" width="11.875" style="159" customWidth="1"/>
    <col min="781" max="781" width="6.75" style="159" customWidth="1"/>
    <col min="782" max="782" width="7.875" style="159" customWidth="1"/>
    <col min="783" max="783" width="10" style="159" customWidth="1"/>
    <col min="784" max="784" width="9.75" style="159" bestFit="1" customWidth="1"/>
    <col min="785" max="1026" width="9" style="159"/>
    <col min="1027" max="1027" width="8" style="159" customWidth="1"/>
    <col min="1028" max="1028" width="17.625" style="159" customWidth="1"/>
    <col min="1029" max="1029" width="11.5" style="159" customWidth="1"/>
    <col min="1030" max="1031" width="9.125" style="159" customWidth="1"/>
    <col min="1032" max="1032" width="14.125" style="159" customWidth="1"/>
    <col min="1033" max="1033" width="8.125" style="159" customWidth="1"/>
    <col min="1034" max="1034" width="7.625" style="159" customWidth="1"/>
    <col min="1035" max="1035" width="13.125" style="159" customWidth="1"/>
    <col min="1036" max="1036" width="11.875" style="159" customWidth="1"/>
    <col min="1037" max="1037" width="6.75" style="159" customWidth="1"/>
    <col min="1038" max="1038" width="7.875" style="159" customWidth="1"/>
    <col min="1039" max="1039" width="10" style="159" customWidth="1"/>
    <col min="1040" max="1040" width="9.75" style="159" bestFit="1" customWidth="1"/>
    <col min="1041" max="1282" width="9" style="159"/>
    <col min="1283" max="1283" width="8" style="159" customWidth="1"/>
    <col min="1284" max="1284" width="17.625" style="159" customWidth="1"/>
    <col min="1285" max="1285" width="11.5" style="159" customWidth="1"/>
    <col min="1286" max="1287" width="9.125" style="159" customWidth="1"/>
    <col min="1288" max="1288" width="14.125" style="159" customWidth="1"/>
    <col min="1289" max="1289" width="8.125" style="159" customWidth="1"/>
    <col min="1290" max="1290" width="7.625" style="159" customWidth="1"/>
    <col min="1291" max="1291" width="13.125" style="159" customWidth="1"/>
    <col min="1292" max="1292" width="11.875" style="159" customWidth="1"/>
    <col min="1293" max="1293" width="6.75" style="159" customWidth="1"/>
    <col min="1294" max="1294" width="7.875" style="159" customWidth="1"/>
    <col min="1295" max="1295" width="10" style="159" customWidth="1"/>
    <col min="1296" max="1296" width="9.75" style="159" bestFit="1" customWidth="1"/>
    <col min="1297" max="1538" width="9" style="159"/>
    <col min="1539" max="1539" width="8" style="159" customWidth="1"/>
    <col min="1540" max="1540" width="17.625" style="159" customWidth="1"/>
    <col min="1541" max="1541" width="11.5" style="159" customWidth="1"/>
    <col min="1542" max="1543" width="9.125" style="159" customWidth="1"/>
    <col min="1544" max="1544" width="14.125" style="159" customWidth="1"/>
    <col min="1545" max="1545" width="8.125" style="159" customWidth="1"/>
    <col min="1546" max="1546" width="7.625" style="159" customWidth="1"/>
    <col min="1547" max="1547" width="13.125" style="159" customWidth="1"/>
    <col min="1548" max="1548" width="11.875" style="159" customWidth="1"/>
    <col min="1549" max="1549" width="6.75" style="159" customWidth="1"/>
    <col min="1550" max="1550" width="7.875" style="159" customWidth="1"/>
    <col min="1551" max="1551" width="10" style="159" customWidth="1"/>
    <col min="1552" max="1552" width="9.75" style="159" bestFit="1" customWidth="1"/>
    <col min="1553" max="1794" width="9" style="159"/>
    <col min="1795" max="1795" width="8" style="159" customWidth="1"/>
    <col min="1796" max="1796" width="17.625" style="159" customWidth="1"/>
    <col min="1797" max="1797" width="11.5" style="159" customWidth="1"/>
    <col min="1798" max="1799" width="9.125" style="159" customWidth="1"/>
    <col min="1800" max="1800" width="14.125" style="159" customWidth="1"/>
    <col min="1801" max="1801" width="8.125" style="159" customWidth="1"/>
    <col min="1802" max="1802" width="7.625" style="159" customWidth="1"/>
    <col min="1803" max="1803" width="13.125" style="159" customWidth="1"/>
    <col min="1804" max="1804" width="11.875" style="159" customWidth="1"/>
    <col min="1805" max="1805" width="6.75" style="159" customWidth="1"/>
    <col min="1806" max="1806" width="7.875" style="159" customWidth="1"/>
    <col min="1807" max="1807" width="10" style="159" customWidth="1"/>
    <col min="1808" max="1808" width="9.75" style="159" bestFit="1" customWidth="1"/>
    <col min="1809" max="2050" width="9" style="159"/>
    <col min="2051" max="2051" width="8" style="159" customWidth="1"/>
    <col min="2052" max="2052" width="17.625" style="159" customWidth="1"/>
    <col min="2053" max="2053" width="11.5" style="159" customWidth="1"/>
    <col min="2054" max="2055" width="9.125" style="159" customWidth="1"/>
    <col min="2056" max="2056" width="14.125" style="159" customWidth="1"/>
    <col min="2057" max="2057" width="8.125" style="159" customWidth="1"/>
    <col min="2058" max="2058" width="7.625" style="159" customWidth="1"/>
    <col min="2059" max="2059" width="13.125" style="159" customWidth="1"/>
    <col min="2060" max="2060" width="11.875" style="159" customWidth="1"/>
    <col min="2061" max="2061" width="6.75" style="159" customWidth="1"/>
    <col min="2062" max="2062" width="7.875" style="159" customWidth="1"/>
    <col min="2063" max="2063" width="10" style="159" customWidth="1"/>
    <col min="2064" max="2064" width="9.75" style="159" bestFit="1" customWidth="1"/>
    <col min="2065" max="2306" width="9" style="159"/>
    <col min="2307" max="2307" width="8" style="159" customWidth="1"/>
    <col min="2308" max="2308" width="17.625" style="159" customWidth="1"/>
    <col min="2309" max="2309" width="11.5" style="159" customWidth="1"/>
    <col min="2310" max="2311" width="9.125" style="159" customWidth="1"/>
    <col min="2312" max="2312" width="14.125" style="159" customWidth="1"/>
    <col min="2313" max="2313" width="8.125" style="159" customWidth="1"/>
    <col min="2314" max="2314" width="7.625" style="159" customWidth="1"/>
    <col min="2315" max="2315" width="13.125" style="159" customWidth="1"/>
    <col min="2316" max="2316" width="11.875" style="159" customWidth="1"/>
    <col min="2317" max="2317" width="6.75" style="159" customWidth="1"/>
    <col min="2318" max="2318" width="7.875" style="159" customWidth="1"/>
    <col min="2319" max="2319" width="10" style="159" customWidth="1"/>
    <col min="2320" max="2320" width="9.75" style="159" bestFit="1" customWidth="1"/>
    <col min="2321" max="2562" width="9" style="159"/>
    <col min="2563" max="2563" width="8" style="159" customWidth="1"/>
    <col min="2564" max="2564" width="17.625" style="159" customWidth="1"/>
    <col min="2565" max="2565" width="11.5" style="159" customWidth="1"/>
    <col min="2566" max="2567" width="9.125" style="159" customWidth="1"/>
    <col min="2568" max="2568" width="14.125" style="159" customWidth="1"/>
    <col min="2569" max="2569" width="8.125" style="159" customWidth="1"/>
    <col min="2570" max="2570" width="7.625" style="159" customWidth="1"/>
    <col min="2571" max="2571" width="13.125" style="159" customWidth="1"/>
    <col min="2572" max="2572" width="11.875" style="159" customWidth="1"/>
    <col min="2573" max="2573" width="6.75" style="159" customWidth="1"/>
    <col min="2574" max="2574" width="7.875" style="159" customWidth="1"/>
    <col min="2575" max="2575" width="10" style="159" customWidth="1"/>
    <col min="2576" max="2576" width="9.75" style="159" bestFit="1" customWidth="1"/>
    <col min="2577" max="2818" width="9" style="159"/>
    <col min="2819" max="2819" width="8" style="159" customWidth="1"/>
    <col min="2820" max="2820" width="17.625" style="159" customWidth="1"/>
    <col min="2821" max="2821" width="11.5" style="159" customWidth="1"/>
    <col min="2822" max="2823" width="9.125" style="159" customWidth="1"/>
    <col min="2824" max="2824" width="14.125" style="159" customWidth="1"/>
    <col min="2825" max="2825" width="8.125" style="159" customWidth="1"/>
    <col min="2826" max="2826" width="7.625" style="159" customWidth="1"/>
    <col min="2827" max="2827" width="13.125" style="159" customWidth="1"/>
    <col min="2828" max="2828" width="11.875" style="159" customWidth="1"/>
    <col min="2829" max="2829" width="6.75" style="159" customWidth="1"/>
    <col min="2830" max="2830" width="7.875" style="159" customWidth="1"/>
    <col min="2831" max="2831" width="10" style="159" customWidth="1"/>
    <col min="2832" max="2832" width="9.75" style="159" bestFit="1" customWidth="1"/>
    <col min="2833" max="3074" width="9" style="159"/>
    <col min="3075" max="3075" width="8" style="159" customWidth="1"/>
    <col min="3076" max="3076" width="17.625" style="159" customWidth="1"/>
    <col min="3077" max="3077" width="11.5" style="159" customWidth="1"/>
    <col min="3078" max="3079" width="9.125" style="159" customWidth="1"/>
    <col min="3080" max="3080" width="14.125" style="159" customWidth="1"/>
    <col min="3081" max="3081" width="8.125" style="159" customWidth="1"/>
    <col min="3082" max="3082" width="7.625" style="159" customWidth="1"/>
    <col min="3083" max="3083" width="13.125" style="159" customWidth="1"/>
    <col min="3084" max="3084" width="11.875" style="159" customWidth="1"/>
    <col min="3085" max="3085" width="6.75" style="159" customWidth="1"/>
    <col min="3086" max="3086" width="7.875" style="159" customWidth="1"/>
    <col min="3087" max="3087" width="10" style="159" customWidth="1"/>
    <col min="3088" max="3088" width="9.75" style="159" bestFit="1" customWidth="1"/>
    <col min="3089" max="3330" width="9" style="159"/>
    <col min="3331" max="3331" width="8" style="159" customWidth="1"/>
    <col min="3332" max="3332" width="17.625" style="159" customWidth="1"/>
    <col min="3333" max="3333" width="11.5" style="159" customWidth="1"/>
    <col min="3334" max="3335" width="9.125" style="159" customWidth="1"/>
    <col min="3336" max="3336" width="14.125" style="159" customWidth="1"/>
    <col min="3337" max="3337" width="8.125" style="159" customWidth="1"/>
    <col min="3338" max="3338" width="7.625" style="159" customWidth="1"/>
    <col min="3339" max="3339" width="13.125" style="159" customWidth="1"/>
    <col min="3340" max="3340" width="11.875" style="159" customWidth="1"/>
    <col min="3341" max="3341" width="6.75" style="159" customWidth="1"/>
    <col min="3342" max="3342" width="7.875" style="159" customWidth="1"/>
    <col min="3343" max="3343" width="10" style="159" customWidth="1"/>
    <col min="3344" max="3344" width="9.75" style="159" bestFit="1" customWidth="1"/>
    <col min="3345" max="3586" width="9" style="159"/>
    <col min="3587" max="3587" width="8" style="159" customWidth="1"/>
    <col min="3588" max="3588" width="17.625" style="159" customWidth="1"/>
    <col min="3589" max="3589" width="11.5" style="159" customWidth="1"/>
    <col min="3590" max="3591" width="9.125" style="159" customWidth="1"/>
    <col min="3592" max="3592" width="14.125" style="159" customWidth="1"/>
    <col min="3593" max="3593" width="8.125" style="159" customWidth="1"/>
    <col min="3594" max="3594" width="7.625" style="159" customWidth="1"/>
    <col min="3595" max="3595" width="13.125" style="159" customWidth="1"/>
    <col min="3596" max="3596" width="11.875" style="159" customWidth="1"/>
    <col min="3597" max="3597" width="6.75" style="159" customWidth="1"/>
    <col min="3598" max="3598" width="7.875" style="159" customWidth="1"/>
    <col min="3599" max="3599" width="10" style="159" customWidth="1"/>
    <col min="3600" max="3600" width="9.75" style="159" bestFit="1" customWidth="1"/>
    <col min="3601" max="3842" width="9" style="159"/>
    <col min="3843" max="3843" width="8" style="159" customWidth="1"/>
    <col min="3844" max="3844" width="17.625" style="159" customWidth="1"/>
    <col min="3845" max="3845" width="11.5" style="159" customWidth="1"/>
    <col min="3846" max="3847" width="9.125" style="159" customWidth="1"/>
    <col min="3848" max="3848" width="14.125" style="159" customWidth="1"/>
    <col min="3849" max="3849" width="8.125" style="159" customWidth="1"/>
    <col min="3850" max="3850" width="7.625" style="159" customWidth="1"/>
    <col min="3851" max="3851" width="13.125" style="159" customWidth="1"/>
    <col min="3852" max="3852" width="11.875" style="159" customWidth="1"/>
    <col min="3853" max="3853" width="6.75" style="159" customWidth="1"/>
    <col min="3854" max="3854" width="7.875" style="159" customWidth="1"/>
    <col min="3855" max="3855" width="10" style="159" customWidth="1"/>
    <col min="3856" max="3856" width="9.75" style="159" bestFit="1" customWidth="1"/>
    <col min="3857" max="4098" width="9" style="159"/>
    <col min="4099" max="4099" width="8" style="159" customWidth="1"/>
    <col min="4100" max="4100" width="17.625" style="159" customWidth="1"/>
    <col min="4101" max="4101" width="11.5" style="159" customWidth="1"/>
    <col min="4102" max="4103" width="9.125" style="159" customWidth="1"/>
    <col min="4104" max="4104" width="14.125" style="159" customWidth="1"/>
    <col min="4105" max="4105" width="8.125" style="159" customWidth="1"/>
    <col min="4106" max="4106" width="7.625" style="159" customWidth="1"/>
    <col min="4107" max="4107" width="13.125" style="159" customWidth="1"/>
    <col min="4108" max="4108" width="11.875" style="159" customWidth="1"/>
    <col min="4109" max="4109" width="6.75" style="159" customWidth="1"/>
    <col min="4110" max="4110" width="7.875" style="159" customWidth="1"/>
    <col min="4111" max="4111" width="10" style="159" customWidth="1"/>
    <col min="4112" max="4112" width="9.75" style="159" bestFit="1" customWidth="1"/>
    <col min="4113" max="4354" width="9" style="159"/>
    <col min="4355" max="4355" width="8" style="159" customWidth="1"/>
    <col min="4356" max="4356" width="17.625" style="159" customWidth="1"/>
    <col min="4357" max="4357" width="11.5" style="159" customWidth="1"/>
    <col min="4358" max="4359" width="9.125" style="159" customWidth="1"/>
    <col min="4360" max="4360" width="14.125" style="159" customWidth="1"/>
    <col min="4361" max="4361" width="8.125" style="159" customWidth="1"/>
    <col min="4362" max="4362" width="7.625" style="159" customWidth="1"/>
    <col min="4363" max="4363" width="13.125" style="159" customWidth="1"/>
    <col min="4364" max="4364" width="11.875" style="159" customWidth="1"/>
    <col min="4365" max="4365" width="6.75" style="159" customWidth="1"/>
    <col min="4366" max="4366" width="7.875" style="159" customWidth="1"/>
    <col min="4367" max="4367" width="10" style="159" customWidth="1"/>
    <col min="4368" max="4368" width="9.75" style="159" bestFit="1" customWidth="1"/>
    <col min="4369" max="4610" width="9" style="159"/>
    <col min="4611" max="4611" width="8" style="159" customWidth="1"/>
    <col min="4612" max="4612" width="17.625" style="159" customWidth="1"/>
    <col min="4613" max="4613" width="11.5" style="159" customWidth="1"/>
    <col min="4614" max="4615" width="9.125" style="159" customWidth="1"/>
    <col min="4616" max="4616" width="14.125" style="159" customWidth="1"/>
    <col min="4617" max="4617" width="8.125" style="159" customWidth="1"/>
    <col min="4618" max="4618" width="7.625" style="159" customWidth="1"/>
    <col min="4619" max="4619" width="13.125" style="159" customWidth="1"/>
    <col min="4620" max="4620" width="11.875" style="159" customWidth="1"/>
    <col min="4621" max="4621" width="6.75" style="159" customWidth="1"/>
    <col min="4622" max="4622" width="7.875" style="159" customWidth="1"/>
    <col min="4623" max="4623" width="10" style="159" customWidth="1"/>
    <col min="4624" max="4624" width="9.75" style="159" bestFit="1" customWidth="1"/>
    <col min="4625" max="4866" width="9" style="159"/>
    <col min="4867" max="4867" width="8" style="159" customWidth="1"/>
    <col min="4868" max="4868" width="17.625" style="159" customWidth="1"/>
    <col min="4869" max="4869" width="11.5" style="159" customWidth="1"/>
    <col min="4870" max="4871" width="9.125" style="159" customWidth="1"/>
    <col min="4872" max="4872" width="14.125" style="159" customWidth="1"/>
    <col min="4873" max="4873" width="8.125" style="159" customWidth="1"/>
    <col min="4874" max="4874" width="7.625" style="159" customWidth="1"/>
    <col min="4875" max="4875" width="13.125" style="159" customWidth="1"/>
    <col min="4876" max="4876" width="11.875" style="159" customWidth="1"/>
    <col min="4877" max="4877" width="6.75" style="159" customWidth="1"/>
    <col min="4878" max="4878" width="7.875" style="159" customWidth="1"/>
    <col min="4879" max="4879" width="10" style="159" customWidth="1"/>
    <col min="4880" max="4880" width="9.75" style="159" bestFit="1" customWidth="1"/>
    <col min="4881" max="5122" width="9" style="159"/>
    <col min="5123" max="5123" width="8" style="159" customWidth="1"/>
    <col min="5124" max="5124" width="17.625" style="159" customWidth="1"/>
    <col min="5125" max="5125" width="11.5" style="159" customWidth="1"/>
    <col min="5126" max="5127" width="9.125" style="159" customWidth="1"/>
    <col min="5128" max="5128" width="14.125" style="159" customWidth="1"/>
    <col min="5129" max="5129" width="8.125" style="159" customWidth="1"/>
    <col min="5130" max="5130" width="7.625" style="159" customWidth="1"/>
    <col min="5131" max="5131" width="13.125" style="159" customWidth="1"/>
    <col min="5132" max="5132" width="11.875" style="159" customWidth="1"/>
    <col min="5133" max="5133" width="6.75" style="159" customWidth="1"/>
    <col min="5134" max="5134" width="7.875" style="159" customWidth="1"/>
    <col min="5135" max="5135" width="10" style="159" customWidth="1"/>
    <col min="5136" max="5136" width="9.75" style="159" bestFit="1" customWidth="1"/>
    <col min="5137" max="5378" width="9" style="159"/>
    <col min="5379" max="5379" width="8" style="159" customWidth="1"/>
    <col min="5380" max="5380" width="17.625" style="159" customWidth="1"/>
    <col min="5381" max="5381" width="11.5" style="159" customWidth="1"/>
    <col min="5382" max="5383" width="9.125" style="159" customWidth="1"/>
    <col min="5384" max="5384" width="14.125" style="159" customWidth="1"/>
    <col min="5385" max="5385" width="8.125" style="159" customWidth="1"/>
    <col min="5386" max="5386" width="7.625" style="159" customWidth="1"/>
    <col min="5387" max="5387" width="13.125" style="159" customWidth="1"/>
    <col min="5388" max="5388" width="11.875" style="159" customWidth="1"/>
    <col min="5389" max="5389" width="6.75" style="159" customWidth="1"/>
    <col min="5390" max="5390" width="7.875" style="159" customWidth="1"/>
    <col min="5391" max="5391" width="10" style="159" customWidth="1"/>
    <col min="5392" max="5392" width="9.75" style="159" bestFit="1" customWidth="1"/>
    <col min="5393" max="5634" width="9" style="159"/>
    <col min="5635" max="5635" width="8" style="159" customWidth="1"/>
    <col min="5636" max="5636" width="17.625" style="159" customWidth="1"/>
    <col min="5637" max="5637" width="11.5" style="159" customWidth="1"/>
    <col min="5638" max="5639" width="9.125" style="159" customWidth="1"/>
    <col min="5640" max="5640" width="14.125" style="159" customWidth="1"/>
    <col min="5641" max="5641" width="8.125" style="159" customWidth="1"/>
    <col min="5642" max="5642" width="7.625" style="159" customWidth="1"/>
    <col min="5643" max="5643" width="13.125" style="159" customWidth="1"/>
    <col min="5644" max="5644" width="11.875" style="159" customWidth="1"/>
    <col min="5645" max="5645" width="6.75" style="159" customWidth="1"/>
    <col min="5646" max="5646" width="7.875" style="159" customWidth="1"/>
    <col min="5647" max="5647" width="10" style="159" customWidth="1"/>
    <col min="5648" max="5648" width="9.75" style="159" bestFit="1" customWidth="1"/>
    <col min="5649" max="5890" width="9" style="159"/>
    <col min="5891" max="5891" width="8" style="159" customWidth="1"/>
    <col min="5892" max="5892" width="17.625" style="159" customWidth="1"/>
    <col min="5893" max="5893" width="11.5" style="159" customWidth="1"/>
    <col min="5894" max="5895" width="9.125" style="159" customWidth="1"/>
    <col min="5896" max="5896" width="14.125" style="159" customWidth="1"/>
    <col min="5897" max="5897" width="8.125" style="159" customWidth="1"/>
    <col min="5898" max="5898" width="7.625" style="159" customWidth="1"/>
    <col min="5899" max="5899" width="13.125" style="159" customWidth="1"/>
    <col min="5900" max="5900" width="11.875" style="159" customWidth="1"/>
    <col min="5901" max="5901" width="6.75" style="159" customWidth="1"/>
    <col min="5902" max="5902" width="7.875" style="159" customWidth="1"/>
    <col min="5903" max="5903" width="10" style="159" customWidth="1"/>
    <col min="5904" max="5904" width="9.75" style="159" bestFit="1" customWidth="1"/>
    <col min="5905" max="6146" width="9" style="159"/>
    <col min="6147" max="6147" width="8" style="159" customWidth="1"/>
    <col min="6148" max="6148" width="17.625" style="159" customWidth="1"/>
    <col min="6149" max="6149" width="11.5" style="159" customWidth="1"/>
    <col min="6150" max="6151" width="9.125" style="159" customWidth="1"/>
    <col min="6152" max="6152" width="14.125" style="159" customWidth="1"/>
    <col min="6153" max="6153" width="8.125" style="159" customWidth="1"/>
    <col min="6154" max="6154" width="7.625" style="159" customWidth="1"/>
    <col min="6155" max="6155" width="13.125" style="159" customWidth="1"/>
    <col min="6156" max="6156" width="11.875" style="159" customWidth="1"/>
    <col min="6157" max="6157" width="6.75" style="159" customWidth="1"/>
    <col min="6158" max="6158" width="7.875" style="159" customWidth="1"/>
    <col min="6159" max="6159" width="10" style="159" customWidth="1"/>
    <col min="6160" max="6160" width="9.75" style="159" bestFit="1" customWidth="1"/>
    <col min="6161" max="6402" width="9" style="159"/>
    <col min="6403" max="6403" width="8" style="159" customWidth="1"/>
    <col min="6404" max="6404" width="17.625" style="159" customWidth="1"/>
    <col min="6405" max="6405" width="11.5" style="159" customWidth="1"/>
    <col min="6406" max="6407" width="9.125" style="159" customWidth="1"/>
    <col min="6408" max="6408" width="14.125" style="159" customWidth="1"/>
    <col min="6409" max="6409" width="8.125" style="159" customWidth="1"/>
    <col min="6410" max="6410" width="7.625" style="159" customWidth="1"/>
    <col min="6411" max="6411" width="13.125" style="159" customWidth="1"/>
    <col min="6412" max="6412" width="11.875" style="159" customWidth="1"/>
    <col min="6413" max="6413" width="6.75" style="159" customWidth="1"/>
    <col min="6414" max="6414" width="7.875" style="159" customWidth="1"/>
    <col min="6415" max="6415" width="10" style="159" customWidth="1"/>
    <col min="6416" max="6416" width="9.75" style="159" bestFit="1" customWidth="1"/>
    <col min="6417" max="6658" width="9" style="159"/>
    <col min="6659" max="6659" width="8" style="159" customWidth="1"/>
    <col min="6660" max="6660" width="17.625" style="159" customWidth="1"/>
    <col min="6661" max="6661" width="11.5" style="159" customWidth="1"/>
    <col min="6662" max="6663" width="9.125" style="159" customWidth="1"/>
    <col min="6664" max="6664" width="14.125" style="159" customWidth="1"/>
    <col min="6665" max="6665" width="8.125" style="159" customWidth="1"/>
    <col min="6666" max="6666" width="7.625" style="159" customWidth="1"/>
    <col min="6667" max="6667" width="13.125" style="159" customWidth="1"/>
    <col min="6668" max="6668" width="11.875" style="159" customWidth="1"/>
    <col min="6669" max="6669" width="6.75" style="159" customWidth="1"/>
    <col min="6670" max="6670" width="7.875" style="159" customWidth="1"/>
    <col min="6671" max="6671" width="10" style="159" customWidth="1"/>
    <col min="6672" max="6672" width="9.75" style="159" bestFit="1" customWidth="1"/>
    <col min="6673" max="6914" width="9" style="159"/>
    <col min="6915" max="6915" width="8" style="159" customWidth="1"/>
    <col min="6916" max="6916" width="17.625" style="159" customWidth="1"/>
    <col min="6917" max="6917" width="11.5" style="159" customWidth="1"/>
    <col min="6918" max="6919" width="9.125" style="159" customWidth="1"/>
    <col min="6920" max="6920" width="14.125" style="159" customWidth="1"/>
    <col min="6921" max="6921" width="8.125" style="159" customWidth="1"/>
    <col min="6922" max="6922" width="7.625" style="159" customWidth="1"/>
    <col min="6923" max="6923" width="13.125" style="159" customWidth="1"/>
    <col min="6924" max="6924" width="11.875" style="159" customWidth="1"/>
    <col min="6925" max="6925" width="6.75" style="159" customWidth="1"/>
    <col min="6926" max="6926" width="7.875" style="159" customWidth="1"/>
    <col min="6927" max="6927" width="10" style="159" customWidth="1"/>
    <col min="6928" max="6928" width="9.75" style="159" bestFit="1" customWidth="1"/>
    <col min="6929" max="7170" width="9" style="159"/>
    <col min="7171" max="7171" width="8" style="159" customWidth="1"/>
    <col min="7172" max="7172" width="17.625" style="159" customWidth="1"/>
    <col min="7173" max="7173" width="11.5" style="159" customWidth="1"/>
    <col min="7174" max="7175" width="9.125" style="159" customWidth="1"/>
    <col min="7176" max="7176" width="14.125" style="159" customWidth="1"/>
    <col min="7177" max="7177" width="8.125" style="159" customWidth="1"/>
    <col min="7178" max="7178" width="7.625" style="159" customWidth="1"/>
    <col min="7179" max="7179" width="13.125" style="159" customWidth="1"/>
    <col min="7180" max="7180" width="11.875" style="159" customWidth="1"/>
    <col min="7181" max="7181" width="6.75" style="159" customWidth="1"/>
    <col min="7182" max="7182" width="7.875" style="159" customWidth="1"/>
    <col min="7183" max="7183" width="10" style="159" customWidth="1"/>
    <col min="7184" max="7184" width="9.75" style="159" bestFit="1" customWidth="1"/>
    <col min="7185" max="7426" width="9" style="159"/>
    <col min="7427" max="7427" width="8" style="159" customWidth="1"/>
    <col min="7428" max="7428" width="17.625" style="159" customWidth="1"/>
    <col min="7429" max="7429" width="11.5" style="159" customWidth="1"/>
    <col min="7430" max="7431" width="9.125" style="159" customWidth="1"/>
    <col min="7432" max="7432" width="14.125" style="159" customWidth="1"/>
    <col min="7433" max="7433" width="8.125" style="159" customWidth="1"/>
    <col min="7434" max="7434" width="7.625" style="159" customWidth="1"/>
    <col min="7435" max="7435" width="13.125" style="159" customWidth="1"/>
    <col min="7436" max="7436" width="11.875" style="159" customWidth="1"/>
    <col min="7437" max="7437" width="6.75" style="159" customWidth="1"/>
    <col min="7438" max="7438" width="7.875" style="159" customWidth="1"/>
    <col min="7439" max="7439" width="10" style="159" customWidth="1"/>
    <col min="7440" max="7440" width="9.75" style="159" bestFit="1" customWidth="1"/>
    <col min="7441" max="7682" width="9" style="159"/>
    <col min="7683" max="7683" width="8" style="159" customWidth="1"/>
    <col min="7684" max="7684" width="17.625" style="159" customWidth="1"/>
    <col min="7685" max="7685" width="11.5" style="159" customWidth="1"/>
    <col min="7686" max="7687" width="9.125" style="159" customWidth="1"/>
    <col min="7688" max="7688" width="14.125" style="159" customWidth="1"/>
    <col min="7689" max="7689" width="8.125" style="159" customWidth="1"/>
    <col min="7690" max="7690" width="7.625" style="159" customWidth="1"/>
    <col min="7691" max="7691" width="13.125" style="159" customWidth="1"/>
    <col min="7692" max="7692" width="11.875" style="159" customWidth="1"/>
    <col min="7693" max="7693" width="6.75" style="159" customWidth="1"/>
    <col min="7694" max="7694" width="7.875" style="159" customWidth="1"/>
    <col min="7695" max="7695" width="10" style="159" customWidth="1"/>
    <col min="7696" max="7696" width="9.75" style="159" bestFit="1" customWidth="1"/>
    <col min="7697" max="7938" width="9" style="159"/>
    <col min="7939" max="7939" width="8" style="159" customWidth="1"/>
    <col min="7940" max="7940" width="17.625" style="159" customWidth="1"/>
    <col min="7941" max="7941" width="11.5" style="159" customWidth="1"/>
    <col min="7942" max="7943" width="9.125" style="159" customWidth="1"/>
    <col min="7944" max="7944" width="14.125" style="159" customWidth="1"/>
    <col min="7945" max="7945" width="8.125" style="159" customWidth="1"/>
    <col min="7946" max="7946" width="7.625" style="159" customWidth="1"/>
    <col min="7947" max="7947" width="13.125" style="159" customWidth="1"/>
    <col min="7948" max="7948" width="11.875" style="159" customWidth="1"/>
    <col min="7949" max="7949" width="6.75" style="159" customWidth="1"/>
    <col min="7950" max="7950" width="7.875" style="159" customWidth="1"/>
    <col min="7951" max="7951" width="10" style="159" customWidth="1"/>
    <col min="7952" max="7952" width="9.75" style="159" bestFit="1" customWidth="1"/>
    <col min="7953" max="8194" width="9" style="159"/>
    <col min="8195" max="8195" width="8" style="159" customWidth="1"/>
    <col min="8196" max="8196" width="17.625" style="159" customWidth="1"/>
    <col min="8197" max="8197" width="11.5" style="159" customWidth="1"/>
    <col min="8198" max="8199" width="9.125" style="159" customWidth="1"/>
    <col min="8200" max="8200" width="14.125" style="159" customWidth="1"/>
    <col min="8201" max="8201" width="8.125" style="159" customWidth="1"/>
    <col min="8202" max="8202" width="7.625" style="159" customWidth="1"/>
    <col min="8203" max="8203" width="13.125" style="159" customWidth="1"/>
    <col min="8204" max="8204" width="11.875" style="159" customWidth="1"/>
    <col min="8205" max="8205" width="6.75" style="159" customWidth="1"/>
    <col min="8206" max="8206" width="7.875" style="159" customWidth="1"/>
    <col min="8207" max="8207" width="10" style="159" customWidth="1"/>
    <col min="8208" max="8208" width="9.75" style="159" bestFit="1" customWidth="1"/>
    <col min="8209" max="8450" width="9" style="159"/>
    <col min="8451" max="8451" width="8" style="159" customWidth="1"/>
    <col min="8452" max="8452" width="17.625" style="159" customWidth="1"/>
    <col min="8453" max="8453" width="11.5" style="159" customWidth="1"/>
    <col min="8454" max="8455" width="9.125" style="159" customWidth="1"/>
    <col min="8456" max="8456" width="14.125" style="159" customWidth="1"/>
    <col min="8457" max="8457" width="8.125" style="159" customWidth="1"/>
    <col min="8458" max="8458" width="7.625" style="159" customWidth="1"/>
    <col min="8459" max="8459" width="13.125" style="159" customWidth="1"/>
    <col min="8460" max="8460" width="11.875" style="159" customWidth="1"/>
    <col min="8461" max="8461" width="6.75" style="159" customWidth="1"/>
    <col min="8462" max="8462" width="7.875" style="159" customWidth="1"/>
    <col min="8463" max="8463" width="10" style="159" customWidth="1"/>
    <col min="8464" max="8464" width="9.75" style="159" bestFit="1" customWidth="1"/>
    <col min="8465" max="8706" width="9" style="159"/>
    <col min="8707" max="8707" width="8" style="159" customWidth="1"/>
    <col min="8708" max="8708" width="17.625" style="159" customWidth="1"/>
    <col min="8709" max="8709" width="11.5" style="159" customWidth="1"/>
    <col min="8710" max="8711" width="9.125" style="159" customWidth="1"/>
    <col min="8712" max="8712" width="14.125" style="159" customWidth="1"/>
    <col min="8713" max="8713" width="8.125" style="159" customWidth="1"/>
    <col min="8714" max="8714" width="7.625" style="159" customWidth="1"/>
    <col min="8715" max="8715" width="13.125" style="159" customWidth="1"/>
    <col min="8716" max="8716" width="11.875" style="159" customWidth="1"/>
    <col min="8717" max="8717" width="6.75" style="159" customWidth="1"/>
    <col min="8718" max="8718" width="7.875" style="159" customWidth="1"/>
    <col min="8719" max="8719" width="10" style="159" customWidth="1"/>
    <col min="8720" max="8720" width="9.75" style="159" bestFit="1" customWidth="1"/>
    <col min="8721" max="8962" width="9" style="159"/>
    <col min="8963" max="8963" width="8" style="159" customWidth="1"/>
    <col min="8964" max="8964" width="17.625" style="159" customWidth="1"/>
    <col min="8965" max="8965" width="11.5" style="159" customWidth="1"/>
    <col min="8966" max="8967" width="9.125" style="159" customWidth="1"/>
    <col min="8968" max="8968" width="14.125" style="159" customWidth="1"/>
    <col min="8969" max="8969" width="8.125" style="159" customWidth="1"/>
    <col min="8970" max="8970" width="7.625" style="159" customWidth="1"/>
    <col min="8971" max="8971" width="13.125" style="159" customWidth="1"/>
    <col min="8972" max="8972" width="11.875" style="159" customWidth="1"/>
    <col min="8973" max="8973" width="6.75" style="159" customWidth="1"/>
    <col min="8974" max="8974" width="7.875" style="159" customWidth="1"/>
    <col min="8975" max="8975" width="10" style="159" customWidth="1"/>
    <col min="8976" max="8976" width="9.75" style="159" bestFit="1" customWidth="1"/>
    <col min="8977" max="9218" width="9" style="159"/>
    <col min="9219" max="9219" width="8" style="159" customWidth="1"/>
    <col min="9220" max="9220" width="17.625" style="159" customWidth="1"/>
    <col min="9221" max="9221" width="11.5" style="159" customWidth="1"/>
    <col min="9222" max="9223" width="9.125" style="159" customWidth="1"/>
    <col min="9224" max="9224" width="14.125" style="159" customWidth="1"/>
    <col min="9225" max="9225" width="8.125" style="159" customWidth="1"/>
    <col min="9226" max="9226" width="7.625" style="159" customWidth="1"/>
    <col min="9227" max="9227" width="13.125" style="159" customWidth="1"/>
    <col min="9228" max="9228" width="11.875" style="159" customWidth="1"/>
    <col min="9229" max="9229" width="6.75" style="159" customWidth="1"/>
    <col min="9230" max="9230" width="7.875" style="159" customWidth="1"/>
    <col min="9231" max="9231" width="10" style="159" customWidth="1"/>
    <col min="9232" max="9232" width="9.75" style="159" bestFit="1" customWidth="1"/>
    <col min="9233" max="9474" width="9" style="159"/>
    <col min="9475" max="9475" width="8" style="159" customWidth="1"/>
    <col min="9476" max="9476" width="17.625" style="159" customWidth="1"/>
    <col min="9477" max="9477" width="11.5" style="159" customWidth="1"/>
    <col min="9478" max="9479" width="9.125" style="159" customWidth="1"/>
    <col min="9480" max="9480" width="14.125" style="159" customWidth="1"/>
    <col min="9481" max="9481" width="8.125" style="159" customWidth="1"/>
    <col min="9482" max="9482" width="7.625" style="159" customWidth="1"/>
    <col min="9483" max="9483" width="13.125" style="159" customWidth="1"/>
    <col min="9484" max="9484" width="11.875" style="159" customWidth="1"/>
    <col min="9485" max="9485" width="6.75" style="159" customWidth="1"/>
    <col min="9486" max="9486" width="7.875" style="159" customWidth="1"/>
    <col min="9487" max="9487" width="10" style="159" customWidth="1"/>
    <col min="9488" max="9488" width="9.75" style="159" bestFit="1" customWidth="1"/>
    <col min="9489" max="9730" width="9" style="159"/>
    <col min="9731" max="9731" width="8" style="159" customWidth="1"/>
    <col min="9732" max="9732" width="17.625" style="159" customWidth="1"/>
    <col min="9733" max="9733" width="11.5" style="159" customWidth="1"/>
    <col min="9734" max="9735" width="9.125" style="159" customWidth="1"/>
    <col min="9736" max="9736" width="14.125" style="159" customWidth="1"/>
    <col min="9737" max="9737" width="8.125" style="159" customWidth="1"/>
    <col min="9738" max="9738" width="7.625" style="159" customWidth="1"/>
    <col min="9739" max="9739" width="13.125" style="159" customWidth="1"/>
    <col min="9740" max="9740" width="11.875" style="159" customWidth="1"/>
    <col min="9741" max="9741" width="6.75" style="159" customWidth="1"/>
    <col min="9742" max="9742" width="7.875" style="159" customWidth="1"/>
    <col min="9743" max="9743" width="10" style="159" customWidth="1"/>
    <col min="9744" max="9744" width="9.75" style="159" bestFit="1" customWidth="1"/>
    <col min="9745" max="9986" width="9" style="159"/>
    <col min="9987" max="9987" width="8" style="159" customWidth="1"/>
    <col min="9988" max="9988" width="17.625" style="159" customWidth="1"/>
    <col min="9989" max="9989" width="11.5" style="159" customWidth="1"/>
    <col min="9990" max="9991" width="9.125" style="159" customWidth="1"/>
    <col min="9992" max="9992" width="14.125" style="159" customWidth="1"/>
    <col min="9993" max="9993" width="8.125" style="159" customWidth="1"/>
    <col min="9994" max="9994" width="7.625" style="159" customWidth="1"/>
    <col min="9995" max="9995" width="13.125" style="159" customWidth="1"/>
    <col min="9996" max="9996" width="11.875" style="159" customWidth="1"/>
    <col min="9997" max="9997" width="6.75" style="159" customWidth="1"/>
    <col min="9998" max="9998" width="7.875" style="159" customWidth="1"/>
    <col min="9999" max="9999" width="10" style="159" customWidth="1"/>
    <col min="10000" max="10000" width="9.75" style="159" bestFit="1" customWidth="1"/>
    <col min="10001" max="10242" width="9" style="159"/>
    <col min="10243" max="10243" width="8" style="159" customWidth="1"/>
    <col min="10244" max="10244" width="17.625" style="159" customWidth="1"/>
    <col min="10245" max="10245" width="11.5" style="159" customWidth="1"/>
    <col min="10246" max="10247" width="9.125" style="159" customWidth="1"/>
    <col min="10248" max="10248" width="14.125" style="159" customWidth="1"/>
    <col min="10249" max="10249" width="8.125" style="159" customWidth="1"/>
    <col min="10250" max="10250" width="7.625" style="159" customWidth="1"/>
    <col min="10251" max="10251" width="13.125" style="159" customWidth="1"/>
    <col min="10252" max="10252" width="11.875" style="159" customWidth="1"/>
    <col min="10253" max="10253" width="6.75" style="159" customWidth="1"/>
    <col min="10254" max="10254" width="7.875" style="159" customWidth="1"/>
    <col min="10255" max="10255" width="10" style="159" customWidth="1"/>
    <col min="10256" max="10256" width="9.75" style="159" bestFit="1" customWidth="1"/>
    <col min="10257" max="10498" width="9" style="159"/>
    <col min="10499" max="10499" width="8" style="159" customWidth="1"/>
    <col min="10500" max="10500" width="17.625" style="159" customWidth="1"/>
    <col min="10501" max="10501" width="11.5" style="159" customWidth="1"/>
    <col min="10502" max="10503" width="9.125" style="159" customWidth="1"/>
    <col min="10504" max="10504" width="14.125" style="159" customWidth="1"/>
    <col min="10505" max="10505" width="8.125" style="159" customWidth="1"/>
    <col min="10506" max="10506" width="7.625" style="159" customWidth="1"/>
    <col min="10507" max="10507" width="13.125" style="159" customWidth="1"/>
    <col min="10508" max="10508" width="11.875" style="159" customWidth="1"/>
    <col min="10509" max="10509" width="6.75" style="159" customWidth="1"/>
    <col min="10510" max="10510" width="7.875" style="159" customWidth="1"/>
    <col min="10511" max="10511" width="10" style="159" customWidth="1"/>
    <col min="10512" max="10512" width="9.75" style="159" bestFit="1" customWidth="1"/>
    <col min="10513" max="10754" width="9" style="159"/>
    <col min="10755" max="10755" width="8" style="159" customWidth="1"/>
    <col min="10756" max="10756" width="17.625" style="159" customWidth="1"/>
    <col min="10757" max="10757" width="11.5" style="159" customWidth="1"/>
    <col min="10758" max="10759" width="9.125" style="159" customWidth="1"/>
    <col min="10760" max="10760" width="14.125" style="159" customWidth="1"/>
    <col min="10761" max="10761" width="8.125" style="159" customWidth="1"/>
    <col min="10762" max="10762" width="7.625" style="159" customWidth="1"/>
    <col min="10763" max="10763" width="13.125" style="159" customWidth="1"/>
    <col min="10764" max="10764" width="11.875" style="159" customWidth="1"/>
    <col min="10765" max="10765" width="6.75" style="159" customWidth="1"/>
    <col min="10766" max="10766" width="7.875" style="159" customWidth="1"/>
    <col min="10767" max="10767" width="10" style="159" customWidth="1"/>
    <col min="10768" max="10768" width="9.75" style="159" bestFit="1" customWidth="1"/>
    <col min="10769" max="11010" width="9" style="159"/>
    <col min="11011" max="11011" width="8" style="159" customWidth="1"/>
    <col min="11012" max="11012" width="17.625" style="159" customWidth="1"/>
    <col min="11013" max="11013" width="11.5" style="159" customWidth="1"/>
    <col min="11014" max="11015" width="9.125" style="159" customWidth="1"/>
    <col min="11016" max="11016" width="14.125" style="159" customWidth="1"/>
    <col min="11017" max="11017" width="8.125" style="159" customWidth="1"/>
    <col min="11018" max="11018" width="7.625" style="159" customWidth="1"/>
    <col min="11019" max="11019" width="13.125" style="159" customWidth="1"/>
    <col min="11020" max="11020" width="11.875" style="159" customWidth="1"/>
    <col min="11021" max="11021" width="6.75" style="159" customWidth="1"/>
    <col min="11022" max="11022" width="7.875" style="159" customWidth="1"/>
    <col min="11023" max="11023" width="10" style="159" customWidth="1"/>
    <col min="11024" max="11024" width="9.75" style="159" bestFit="1" customWidth="1"/>
    <col min="11025" max="11266" width="9" style="159"/>
    <col min="11267" max="11267" width="8" style="159" customWidth="1"/>
    <col min="11268" max="11268" width="17.625" style="159" customWidth="1"/>
    <col min="11269" max="11269" width="11.5" style="159" customWidth="1"/>
    <col min="11270" max="11271" width="9.125" style="159" customWidth="1"/>
    <col min="11272" max="11272" width="14.125" style="159" customWidth="1"/>
    <col min="11273" max="11273" width="8.125" style="159" customWidth="1"/>
    <col min="11274" max="11274" width="7.625" style="159" customWidth="1"/>
    <col min="11275" max="11275" width="13.125" style="159" customWidth="1"/>
    <col min="11276" max="11276" width="11.875" style="159" customWidth="1"/>
    <col min="11277" max="11277" width="6.75" style="159" customWidth="1"/>
    <col min="11278" max="11278" width="7.875" style="159" customWidth="1"/>
    <col min="11279" max="11279" width="10" style="159" customWidth="1"/>
    <col min="11280" max="11280" width="9.75" style="159" bestFit="1" customWidth="1"/>
    <col min="11281" max="11522" width="9" style="159"/>
    <col min="11523" max="11523" width="8" style="159" customWidth="1"/>
    <col min="11524" max="11524" width="17.625" style="159" customWidth="1"/>
    <col min="11525" max="11525" width="11.5" style="159" customWidth="1"/>
    <col min="11526" max="11527" width="9.125" style="159" customWidth="1"/>
    <col min="11528" max="11528" width="14.125" style="159" customWidth="1"/>
    <col min="11529" max="11529" width="8.125" style="159" customWidth="1"/>
    <col min="11530" max="11530" width="7.625" style="159" customWidth="1"/>
    <col min="11531" max="11531" width="13.125" style="159" customWidth="1"/>
    <col min="11532" max="11532" width="11.875" style="159" customWidth="1"/>
    <col min="11533" max="11533" width="6.75" style="159" customWidth="1"/>
    <col min="11534" max="11534" width="7.875" style="159" customWidth="1"/>
    <col min="11535" max="11535" width="10" style="159" customWidth="1"/>
    <col min="11536" max="11536" width="9.75" style="159" bestFit="1" customWidth="1"/>
    <col min="11537" max="11778" width="9" style="159"/>
    <col min="11779" max="11779" width="8" style="159" customWidth="1"/>
    <col min="11780" max="11780" width="17.625" style="159" customWidth="1"/>
    <col min="11781" max="11781" width="11.5" style="159" customWidth="1"/>
    <col min="11782" max="11783" width="9.125" style="159" customWidth="1"/>
    <col min="11784" max="11784" width="14.125" style="159" customWidth="1"/>
    <col min="11785" max="11785" width="8.125" style="159" customWidth="1"/>
    <col min="11786" max="11786" width="7.625" style="159" customWidth="1"/>
    <col min="11787" max="11787" width="13.125" style="159" customWidth="1"/>
    <col min="11788" max="11788" width="11.875" style="159" customWidth="1"/>
    <col min="11789" max="11789" width="6.75" style="159" customWidth="1"/>
    <col min="11790" max="11790" width="7.875" style="159" customWidth="1"/>
    <col min="11791" max="11791" width="10" style="159" customWidth="1"/>
    <col min="11792" max="11792" width="9.75" style="159" bestFit="1" customWidth="1"/>
    <col min="11793" max="12034" width="9" style="159"/>
    <col min="12035" max="12035" width="8" style="159" customWidth="1"/>
    <col min="12036" max="12036" width="17.625" style="159" customWidth="1"/>
    <col min="12037" max="12037" width="11.5" style="159" customWidth="1"/>
    <col min="12038" max="12039" width="9.125" style="159" customWidth="1"/>
    <col min="12040" max="12040" width="14.125" style="159" customWidth="1"/>
    <col min="12041" max="12041" width="8.125" style="159" customWidth="1"/>
    <col min="12042" max="12042" width="7.625" style="159" customWidth="1"/>
    <col min="12043" max="12043" width="13.125" style="159" customWidth="1"/>
    <col min="12044" max="12044" width="11.875" style="159" customWidth="1"/>
    <col min="12045" max="12045" width="6.75" style="159" customWidth="1"/>
    <col min="12046" max="12046" width="7.875" style="159" customWidth="1"/>
    <col min="12047" max="12047" width="10" style="159" customWidth="1"/>
    <col min="12048" max="12048" width="9.75" style="159" bestFit="1" customWidth="1"/>
    <col min="12049" max="12290" width="9" style="159"/>
    <col min="12291" max="12291" width="8" style="159" customWidth="1"/>
    <col min="12292" max="12292" width="17.625" style="159" customWidth="1"/>
    <col min="12293" max="12293" width="11.5" style="159" customWidth="1"/>
    <col min="12294" max="12295" width="9.125" style="159" customWidth="1"/>
    <col min="12296" max="12296" width="14.125" style="159" customWidth="1"/>
    <col min="12297" max="12297" width="8.125" style="159" customWidth="1"/>
    <col min="12298" max="12298" width="7.625" style="159" customWidth="1"/>
    <col min="12299" max="12299" width="13.125" style="159" customWidth="1"/>
    <col min="12300" max="12300" width="11.875" style="159" customWidth="1"/>
    <col min="12301" max="12301" width="6.75" style="159" customWidth="1"/>
    <col min="12302" max="12302" width="7.875" style="159" customWidth="1"/>
    <col min="12303" max="12303" width="10" style="159" customWidth="1"/>
    <col min="12304" max="12304" width="9.75" style="159" bestFit="1" customWidth="1"/>
    <col min="12305" max="12546" width="9" style="159"/>
    <col min="12547" max="12547" width="8" style="159" customWidth="1"/>
    <col min="12548" max="12548" width="17.625" style="159" customWidth="1"/>
    <col min="12549" max="12549" width="11.5" style="159" customWidth="1"/>
    <col min="12550" max="12551" width="9.125" style="159" customWidth="1"/>
    <col min="12552" max="12552" width="14.125" style="159" customWidth="1"/>
    <col min="12553" max="12553" width="8.125" style="159" customWidth="1"/>
    <col min="12554" max="12554" width="7.625" style="159" customWidth="1"/>
    <col min="12555" max="12555" width="13.125" style="159" customWidth="1"/>
    <col min="12556" max="12556" width="11.875" style="159" customWidth="1"/>
    <col min="12557" max="12557" width="6.75" style="159" customWidth="1"/>
    <col min="12558" max="12558" width="7.875" style="159" customWidth="1"/>
    <col min="12559" max="12559" width="10" style="159" customWidth="1"/>
    <col min="12560" max="12560" width="9.75" style="159" bestFit="1" customWidth="1"/>
    <col min="12561" max="12802" width="9" style="159"/>
    <col min="12803" max="12803" width="8" style="159" customWidth="1"/>
    <col min="12804" max="12804" width="17.625" style="159" customWidth="1"/>
    <col min="12805" max="12805" width="11.5" style="159" customWidth="1"/>
    <col min="12806" max="12807" width="9.125" style="159" customWidth="1"/>
    <col min="12808" max="12808" width="14.125" style="159" customWidth="1"/>
    <col min="12809" max="12809" width="8.125" style="159" customWidth="1"/>
    <col min="12810" max="12810" width="7.625" style="159" customWidth="1"/>
    <col min="12811" max="12811" width="13.125" style="159" customWidth="1"/>
    <col min="12812" max="12812" width="11.875" style="159" customWidth="1"/>
    <col min="12813" max="12813" width="6.75" style="159" customWidth="1"/>
    <col min="12814" max="12814" width="7.875" style="159" customWidth="1"/>
    <col min="12815" max="12815" width="10" style="159" customWidth="1"/>
    <col min="12816" max="12816" width="9.75" style="159" bestFit="1" customWidth="1"/>
    <col min="12817" max="13058" width="9" style="159"/>
    <col min="13059" max="13059" width="8" style="159" customWidth="1"/>
    <col min="13060" max="13060" width="17.625" style="159" customWidth="1"/>
    <col min="13061" max="13061" width="11.5" style="159" customWidth="1"/>
    <col min="13062" max="13063" width="9.125" style="159" customWidth="1"/>
    <col min="13064" max="13064" width="14.125" style="159" customWidth="1"/>
    <col min="13065" max="13065" width="8.125" style="159" customWidth="1"/>
    <col min="13066" max="13066" width="7.625" style="159" customWidth="1"/>
    <col min="13067" max="13067" width="13.125" style="159" customWidth="1"/>
    <col min="13068" max="13068" width="11.875" style="159" customWidth="1"/>
    <col min="13069" max="13069" width="6.75" style="159" customWidth="1"/>
    <col min="13070" max="13070" width="7.875" style="159" customWidth="1"/>
    <col min="13071" max="13071" width="10" style="159" customWidth="1"/>
    <col min="13072" max="13072" width="9.75" style="159" bestFit="1" customWidth="1"/>
    <col min="13073" max="13314" width="9" style="159"/>
    <col min="13315" max="13315" width="8" style="159" customWidth="1"/>
    <col min="13316" max="13316" width="17.625" style="159" customWidth="1"/>
    <col min="13317" max="13317" width="11.5" style="159" customWidth="1"/>
    <col min="13318" max="13319" width="9.125" style="159" customWidth="1"/>
    <col min="13320" max="13320" width="14.125" style="159" customWidth="1"/>
    <col min="13321" max="13321" width="8.125" style="159" customWidth="1"/>
    <col min="13322" max="13322" width="7.625" style="159" customWidth="1"/>
    <col min="13323" max="13323" width="13.125" style="159" customWidth="1"/>
    <col min="13324" max="13324" width="11.875" style="159" customWidth="1"/>
    <col min="13325" max="13325" width="6.75" style="159" customWidth="1"/>
    <col min="13326" max="13326" width="7.875" style="159" customWidth="1"/>
    <col min="13327" max="13327" width="10" style="159" customWidth="1"/>
    <col min="13328" max="13328" width="9.75" style="159" bestFit="1" customWidth="1"/>
    <col min="13329" max="13570" width="9" style="159"/>
    <col min="13571" max="13571" width="8" style="159" customWidth="1"/>
    <col min="13572" max="13572" width="17.625" style="159" customWidth="1"/>
    <col min="13573" max="13573" width="11.5" style="159" customWidth="1"/>
    <col min="13574" max="13575" width="9.125" style="159" customWidth="1"/>
    <col min="13576" max="13576" width="14.125" style="159" customWidth="1"/>
    <col min="13577" max="13577" width="8.125" style="159" customWidth="1"/>
    <col min="13578" max="13578" width="7.625" style="159" customWidth="1"/>
    <col min="13579" max="13579" width="13.125" style="159" customWidth="1"/>
    <col min="13580" max="13580" width="11.875" style="159" customWidth="1"/>
    <col min="13581" max="13581" width="6.75" style="159" customWidth="1"/>
    <col min="13582" max="13582" width="7.875" style="159" customWidth="1"/>
    <col min="13583" max="13583" width="10" style="159" customWidth="1"/>
    <col min="13584" max="13584" width="9.75" style="159" bestFit="1" customWidth="1"/>
    <col min="13585" max="13826" width="9" style="159"/>
    <col min="13827" max="13827" width="8" style="159" customWidth="1"/>
    <col min="13828" max="13828" width="17.625" style="159" customWidth="1"/>
    <col min="13829" max="13829" width="11.5" style="159" customWidth="1"/>
    <col min="13830" max="13831" width="9.125" style="159" customWidth="1"/>
    <col min="13832" max="13832" width="14.125" style="159" customWidth="1"/>
    <col min="13833" max="13833" width="8.125" style="159" customWidth="1"/>
    <col min="13834" max="13834" width="7.625" style="159" customWidth="1"/>
    <col min="13835" max="13835" width="13.125" style="159" customWidth="1"/>
    <col min="13836" max="13836" width="11.875" style="159" customWidth="1"/>
    <col min="13837" max="13837" width="6.75" style="159" customWidth="1"/>
    <col min="13838" max="13838" width="7.875" style="159" customWidth="1"/>
    <col min="13839" max="13839" width="10" style="159" customWidth="1"/>
    <col min="13840" max="13840" width="9.75" style="159" bestFit="1" customWidth="1"/>
    <col min="13841" max="14082" width="9" style="159"/>
    <col min="14083" max="14083" width="8" style="159" customWidth="1"/>
    <col min="14084" max="14084" width="17.625" style="159" customWidth="1"/>
    <col min="14085" max="14085" width="11.5" style="159" customWidth="1"/>
    <col min="14086" max="14087" width="9.125" style="159" customWidth="1"/>
    <col min="14088" max="14088" width="14.125" style="159" customWidth="1"/>
    <col min="14089" max="14089" width="8.125" style="159" customWidth="1"/>
    <col min="14090" max="14090" width="7.625" style="159" customWidth="1"/>
    <col min="14091" max="14091" width="13.125" style="159" customWidth="1"/>
    <col min="14092" max="14092" width="11.875" style="159" customWidth="1"/>
    <col min="14093" max="14093" width="6.75" style="159" customWidth="1"/>
    <col min="14094" max="14094" width="7.875" style="159" customWidth="1"/>
    <col min="14095" max="14095" width="10" style="159" customWidth="1"/>
    <col min="14096" max="14096" width="9.75" style="159" bestFit="1" customWidth="1"/>
    <col min="14097" max="14338" width="9" style="159"/>
    <col min="14339" max="14339" width="8" style="159" customWidth="1"/>
    <col min="14340" max="14340" width="17.625" style="159" customWidth="1"/>
    <col min="14341" max="14341" width="11.5" style="159" customWidth="1"/>
    <col min="14342" max="14343" width="9.125" style="159" customWidth="1"/>
    <col min="14344" max="14344" width="14.125" style="159" customWidth="1"/>
    <col min="14345" max="14345" width="8.125" style="159" customWidth="1"/>
    <col min="14346" max="14346" width="7.625" style="159" customWidth="1"/>
    <col min="14347" max="14347" width="13.125" style="159" customWidth="1"/>
    <col min="14348" max="14348" width="11.875" style="159" customWidth="1"/>
    <col min="14349" max="14349" width="6.75" style="159" customWidth="1"/>
    <col min="14350" max="14350" width="7.875" style="159" customWidth="1"/>
    <col min="14351" max="14351" width="10" style="159" customWidth="1"/>
    <col min="14352" max="14352" width="9.75" style="159" bestFit="1" customWidth="1"/>
    <col min="14353" max="14594" width="9" style="159"/>
    <col min="14595" max="14595" width="8" style="159" customWidth="1"/>
    <col min="14596" max="14596" width="17.625" style="159" customWidth="1"/>
    <col min="14597" max="14597" width="11.5" style="159" customWidth="1"/>
    <col min="14598" max="14599" width="9.125" style="159" customWidth="1"/>
    <col min="14600" max="14600" width="14.125" style="159" customWidth="1"/>
    <col min="14601" max="14601" width="8.125" style="159" customWidth="1"/>
    <col min="14602" max="14602" width="7.625" style="159" customWidth="1"/>
    <col min="14603" max="14603" width="13.125" style="159" customWidth="1"/>
    <col min="14604" max="14604" width="11.875" style="159" customWidth="1"/>
    <col min="14605" max="14605" width="6.75" style="159" customWidth="1"/>
    <col min="14606" max="14606" width="7.875" style="159" customWidth="1"/>
    <col min="14607" max="14607" width="10" style="159" customWidth="1"/>
    <col min="14608" max="14608" width="9.75" style="159" bestFit="1" customWidth="1"/>
    <col min="14609" max="14850" width="9" style="159"/>
    <col min="14851" max="14851" width="8" style="159" customWidth="1"/>
    <col min="14852" max="14852" width="17.625" style="159" customWidth="1"/>
    <col min="14853" max="14853" width="11.5" style="159" customWidth="1"/>
    <col min="14854" max="14855" width="9.125" style="159" customWidth="1"/>
    <col min="14856" max="14856" width="14.125" style="159" customWidth="1"/>
    <col min="14857" max="14857" width="8.125" style="159" customWidth="1"/>
    <col min="14858" max="14858" width="7.625" style="159" customWidth="1"/>
    <col min="14859" max="14859" width="13.125" style="159" customWidth="1"/>
    <col min="14860" max="14860" width="11.875" style="159" customWidth="1"/>
    <col min="14861" max="14861" width="6.75" style="159" customWidth="1"/>
    <col min="14862" max="14862" width="7.875" style="159" customWidth="1"/>
    <col min="14863" max="14863" width="10" style="159" customWidth="1"/>
    <col min="14864" max="14864" width="9.75" style="159" bestFit="1" customWidth="1"/>
    <col min="14865" max="15106" width="9" style="159"/>
    <col min="15107" max="15107" width="8" style="159" customWidth="1"/>
    <col min="15108" max="15108" width="17.625" style="159" customWidth="1"/>
    <col min="15109" max="15109" width="11.5" style="159" customWidth="1"/>
    <col min="15110" max="15111" width="9.125" style="159" customWidth="1"/>
    <col min="15112" max="15112" width="14.125" style="159" customWidth="1"/>
    <col min="15113" max="15113" width="8.125" style="159" customWidth="1"/>
    <col min="15114" max="15114" width="7.625" style="159" customWidth="1"/>
    <col min="15115" max="15115" width="13.125" style="159" customWidth="1"/>
    <col min="15116" max="15116" width="11.875" style="159" customWidth="1"/>
    <col min="15117" max="15117" width="6.75" style="159" customWidth="1"/>
    <col min="15118" max="15118" width="7.875" style="159" customWidth="1"/>
    <col min="15119" max="15119" width="10" style="159" customWidth="1"/>
    <col min="15120" max="15120" width="9.75" style="159" bestFit="1" customWidth="1"/>
    <col min="15121" max="15362" width="9" style="159"/>
    <col min="15363" max="15363" width="8" style="159" customWidth="1"/>
    <col min="15364" max="15364" width="17.625" style="159" customWidth="1"/>
    <col min="15365" max="15365" width="11.5" style="159" customWidth="1"/>
    <col min="15366" max="15367" width="9.125" style="159" customWidth="1"/>
    <col min="15368" max="15368" width="14.125" style="159" customWidth="1"/>
    <col min="15369" max="15369" width="8.125" style="159" customWidth="1"/>
    <col min="15370" max="15370" width="7.625" style="159" customWidth="1"/>
    <col min="15371" max="15371" width="13.125" style="159" customWidth="1"/>
    <col min="15372" max="15372" width="11.875" style="159" customWidth="1"/>
    <col min="15373" max="15373" width="6.75" style="159" customWidth="1"/>
    <col min="15374" max="15374" width="7.875" style="159" customWidth="1"/>
    <col min="15375" max="15375" width="10" style="159" customWidth="1"/>
    <col min="15376" max="15376" width="9.75" style="159" bestFit="1" customWidth="1"/>
    <col min="15377" max="15618" width="9" style="159"/>
    <col min="15619" max="15619" width="8" style="159" customWidth="1"/>
    <col min="15620" max="15620" width="17.625" style="159" customWidth="1"/>
    <col min="15621" max="15621" width="11.5" style="159" customWidth="1"/>
    <col min="15622" max="15623" width="9.125" style="159" customWidth="1"/>
    <col min="15624" max="15624" width="14.125" style="159" customWidth="1"/>
    <col min="15625" max="15625" width="8.125" style="159" customWidth="1"/>
    <col min="15626" max="15626" width="7.625" style="159" customWidth="1"/>
    <col min="15627" max="15627" width="13.125" style="159" customWidth="1"/>
    <col min="15628" max="15628" width="11.875" style="159" customWidth="1"/>
    <col min="15629" max="15629" width="6.75" style="159" customWidth="1"/>
    <col min="15630" max="15630" width="7.875" style="159" customWidth="1"/>
    <col min="15631" max="15631" width="10" style="159" customWidth="1"/>
    <col min="15632" max="15632" width="9.75" style="159" bestFit="1" customWidth="1"/>
    <col min="15633" max="15874" width="9" style="159"/>
    <col min="15875" max="15875" width="8" style="159" customWidth="1"/>
    <col min="15876" max="15876" width="17.625" style="159" customWidth="1"/>
    <col min="15877" max="15877" width="11.5" style="159" customWidth="1"/>
    <col min="15878" max="15879" width="9.125" style="159" customWidth="1"/>
    <col min="15880" max="15880" width="14.125" style="159" customWidth="1"/>
    <col min="15881" max="15881" width="8.125" style="159" customWidth="1"/>
    <col min="15882" max="15882" width="7.625" style="159" customWidth="1"/>
    <col min="15883" max="15883" width="13.125" style="159" customWidth="1"/>
    <col min="15884" max="15884" width="11.875" style="159" customWidth="1"/>
    <col min="15885" max="15885" width="6.75" style="159" customWidth="1"/>
    <col min="15886" max="15886" width="7.875" style="159" customWidth="1"/>
    <col min="15887" max="15887" width="10" style="159" customWidth="1"/>
    <col min="15888" max="15888" width="9.75" style="159" bestFit="1" customWidth="1"/>
    <col min="15889" max="16130" width="9" style="159"/>
    <col min="16131" max="16131" width="8" style="159" customWidth="1"/>
    <col min="16132" max="16132" width="17.625" style="159" customWidth="1"/>
    <col min="16133" max="16133" width="11.5" style="159" customWidth="1"/>
    <col min="16134" max="16135" width="9.125" style="159" customWidth="1"/>
    <col min="16136" max="16136" width="14.125" style="159" customWidth="1"/>
    <col min="16137" max="16137" width="8.125" style="159" customWidth="1"/>
    <col min="16138" max="16138" width="7.625" style="159" customWidth="1"/>
    <col min="16139" max="16139" width="13.125" style="159" customWidth="1"/>
    <col min="16140" max="16140" width="11.875" style="159" customWidth="1"/>
    <col min="16141" max="16141" width="6.75" style="159" customWidth="1"/>
    <col min="16142" max="16142" width="7.875" style="159" customWidth="1"/>
    <col min="16143" max="16143" width="10" style="159" customWidth="1"/>
    <col min="16144" max="16144" width="9.75" style="159" bestFit="1" customWidth="1"/>
    <col min="16145" max="16384" width="9" style="159"/>
  </cols>
  <sheetData>
    <row r="1" spans="1:1023 1025:4095 4097:7167 7169:10239 10241:13311 13313:16380" x14ac:dyDescent="0.2">
      <c r="A1" s="1382" t="s">
        <v>170</v>
      </c>
      <c r="B1" s="1382"/>
      <c r="C1" s="1382"/>
      <c r="D1" s="1382"/>
      <c r="E1" s="1382"/>
      <c r="F1" s="1382"/>
      <c r="G1" s="1382"/>
      <c r="H1" s="1382"/>
      <c r="I1" s="275"/>
      <c r="J1" s="275"/>
    </row>
    <row r="2" spans="1:1023 1025:4095 4097:7167 7169:10239 10241:13311 13313:16380" x14ac:dyDescent="0.2">
      <c r="A2" s="1382" t="s">
        <v>310</v>
      </c>
      <c r="B2" s="1382"/>
      <c r="C2" s="1300"/>
      <c r="D2" s="1307"/>
      <c r="E2" s="263"/>
      <c r="F2" s="263"/>
      <c r="G2" s="264"/>
      <c r="H2" s="265"/>
      <c r="I2" s="265"/>
      <c r="J2" s="265"/>
    </row>
    <row r="3" spans="1:1023 1025:4095 4097:7167 7169:10239 10241:13311 13313:16380" x14ac:dyDescent="0.2">
      <c r="A3" s="166" t="s">
        <v>845</v>
      </c>
      <c r="B3" s="266"/>
      <c r="C3" s="266"/>
      <c r="D3" s="266"/>
      <c r="E3" s="266"/>
      <c r="F3" s="266"/>
      <c r="G3" s="267"/>
      <c r="H3" s="268"/>
      <c r="I3" s="268"/>
      <c r="J3" s="268"/>
    </row>
    <row r="4" spans="1:1023 1025:4095 4097:7167 7169:10239 10241:13311 13313:16380" x14ac:dyDescent="0.2">
      <c r="B4" s="269"/>
      <c r="C4" s="1106"/>
      <c r="D4" s="1106"/>
      <c r="G4" s="267"/>
      <c r="H4" s="268"/>
      <c r="I4" s="268"/>
      <c r="J4" s="268"/>
    </row>
    <row r="5" spans="1:1023 1025:4095 4097:7167 7169:10239 10241:13311 13313:16380" ht="15" customHeight="1" x14ac:dyDescent="0.2">
      <c r="A5" s="1376" t="s">
        <v>67</v>
      </c>
      <c r="B5" s="1376" t="s">
        <v>10</v>
      </c>
      <c r="C5" s="1376" t="s">
        <v>864</v>
      </c>
      <c r="D5" s="1376" t="s">
        <v>912</v>
      </c>
      <c r="E5" s="1376" t="s">
        <v>298</v>
      </c>
      <c r="F5" s="1383" t="s">
        <v>299</v>
      </c>
      <c r="G5" s="1383"/>
      <c r="H5" s="1375" t="s">
        <v>300</v>
      </c>
      <c r="I5" s="1377" t="s">
        <v>23</v>
      </c>
      <c r="J5" s="1377" t="s">
        <v>311</v>
      </c>
      <c r="K5" s="1376" t="s">
        <v>312</v>
      </c>
      <c r="L5" s="1376" t="s">
        <v>303</v>
      </c>
      <c r="M5" s="1376" t="s">
        <v>304</v>
      </c>
      <c r="N5" s="1376" t="s">
        <v>305</v>
      </c>
      <c r="O5" s="1375" t="s">
        <v>313</v>
      </c>
      <c r="P5" s="1376" t="s">
        <v>307</v>
      </c>
      <c r="Q5" s="1376" t="s">
        <v>430</v>
      </c>
      <c r="R5" s="1376" t="s">
        <v>431</v>
      </c>
    </row>
    <row r="6" spans="1:1023 1025:4095 4097:7167 7169:10239 10241:13311 13313:16380" ht="15" customHeight="1" x14ac:dyDescent="0.2">
      <c r="A6" s="1376"/>
      <c r="B6" s="1376"/>
      <c r="C6" s="1376"/>
      <c r="D6" s="1376"/>
      <c r="E6" s="1376"/>
      <c r="F6" s="276" t="s">
        <v>308</v>
      </c>
      <c r="G6" s="276" t="s">
        <v>32</v>
      </c>
      <c r="H6" s="1375"/>
      <c r="I6" s="1377"/>
      <c r="J6" s="1377"/>
      <c r="K6" s="1376"/>
      <c r="L6" s="1376"/>
      <c r="M6" s="1376"/>
      <c r="N6" s="1376"/>
      <c r="O6" s="1375"/>
      <c r="P6" s="1376"/>
      <c r="Q6" s="1376"/>
      <c r="R6" s="1376"/>
    </row>
    <row r="7" spans="1:1023 1025:4095 4097:7167 7169:10239 10241:13311 13313:16380" x14ac:dyDescent="0.2">
      <c r="A7" s="1107">
        <v>44651</v>
      </c>
      <c r="B7" s="1105" t="s">
        <v>622</v>
      </c>
      <c r="C7" s="1105" t="str">
        <f>+IFERROR(VLOOKUP(B7,'[14]Script Names'!$A:$B,2,FALSE),"-")</f>
        <v>Systems Limited</v>
      </c>
      <c r="D7" s="1105" t="s">
        <v>889</v>
      </c>
      <c r="E7" s="1107">
        <v>44630</v>
      </c>
      <c r="F7" s="1109">
        <v>44655</v>
      </c>
      <c r="G7" s="1107">
        <v>44662</v>
      </c>
      <c r="H7" s="278">
        <v>213057</v>
      </c>
      <c r="I7" s="1110">
        <v>1</v>
      </c>
      <c r="J7" s="717">
        <f>+I7*10</f>
        <v>10</v>
      </c>
      <c r="K7" s="885">
        <f t="shared" ref="K7" si="0">+ROUNDDOWN((J7*H7)/10,0)</f>
        <v>213057</v>
      </c>
      <c r="L7" s="278">
        <v>0</v>
      </c>
      <c r="M7" s="885">
        <f t="shared" ref="M7:M8" si="1">+K7</f>
        <v>213057</v>
      </c>
      <c r="N7" s="1105" t="s">
        <v>353</v>
      </c>
    </row>
    <row r="8" spans="1:1023 1025:4095 4097:7167 7169:10239 10241:13311 13313:16380" s="224" customFormat="1" x14ac:dyDescent="0.2">
      <c r="A8" s="1107">
        <v>44658</v>
      </c>
      <c r="B8" s="1105" t="s">
        <v>153</v>
      </c>
      <c r="C8" s="1105" t="str">
        <f>+IFERROR(VLOOKUP(B8,'[14]Script Names'!$A:$B,2,FALSE),"-")</f>
        <v>Highnoon Laboratories Limited</v>
      </c>
      <c r="D8" s="1105" t="s">
        <v>889</v>
      </c>
      <c r="E8" s="1107">
        <v>44636</v>
      </c>
      <c r="F8" s="1109">
        <v>44662</v>
      </c>
      <c r="G8" s="1107">
        <v>44669</v>
      </c>
      <c r="H8" s="278">
        <v>915141</v>
      </c>
      <c r="I8" s="1110">
        <v>0.1</v>
      </c>
      <c r="J8" s="717">
        <f t="shared" ref="J8" si="2">+I8*10</f>
        <v>1</v>
      </c>
      <c r="K8" s="885">
        <f>+ROUNDDOWN((J8*H8)/10,0)</f>
        <v>91514</v>
      </c>
      <c r="L8" s="278">
        <v>0</v>
      </c>
      <c r="M8" s="885">
        <f t="shared" si="1"/>
        <v>91514</v>
      </c>
      <c r="N8" s="1105" t="s">
        <v>353</v>
      </c>
      <c r="P8" s="709"/>
      <c r="R8" s="160"/>
      <c r="U8" s="261"/>
    </row>
    <row r="9" spans="1:1023 1025:4095 4097:7167 7169:10239 10241:13311 13313:16380" s="224" customFormat="1" x14ac:dyDescent="0.2">
      <c r="A9" s="1107"/>
      <c r="B9" s="1105"/>
      <c r="C9" s="1105"/>
      <c r="D9" s="1105"/>
      <c r="E9" s="1107"/>
      <c r="F9" s="1109"/>
      <c r="G9" s="1107"/>
      <c r="H9" s="885"/>
      <c r="I9" s="1110"/>
      <c r="J9" s="717"/>
      <c r="K9" s="1111"/>
      <c r="L9" s="278"/>
      <c r="M9" s="1111"/>
      <c r="N9" s="1105"/>
      <c r="O9" s="271"/>
      <c r="Q9" s="272"/>
      <c r="R9" s="272"/>
      <c r="S9" s="272"/>
      <c r="T9" s="273"/>
      <c r="U9" s="432"/>
      <c r="V9" s="268"/>
      <c r="W9" s="228"/>
      <c r="X9" s="433"/>
      <c r="Y9" s="433"/>
      <c r="Z9" s="68"/>
      <c r="AA9" s="271"/>
      <c r="AC9" s="272"/>
      <c r="AD9" s="272"/>
      <c r="AE9" s="272"/>
      <c r="AF9" s="273"/>
      <c r="AG9" s="432"/>
      <c r="AH9" s="268"/>
      <c r="AI9" s="228"/>
      <c r="AJ9" s="433"/>
      <c r="AK9" s="433"/>
      <c r="AL9" s="68"/>
      <c r="AM9" s="271"/>
      <c r="AO9" s="272"/>
      <c r="AP9" s="272"/>
      <c r="AQ9" s="272"/>
      <c r="AR9" s="273"/>
      <c r="AS9" s="432"/>
      <c r="AT9" s="268"/>
      <c r="AU9" s="228"/>
      <c r="AV9" s="433"/>
      <c r="AW9" s="433"/>
      <c r="AX9" s="68"/>
      <c r="AY9" s="271"/>
      <c r="BA9" s="272"/>
      <c r="BB9" s="272"/>
      <c r="BC9" s="272"/>
      <c r="BD9" s="273"/>
      <c r="BE9" s="432"/>
      <c r="BF9" s="268"/>
      <c r="BG9" s="228"/>
      <c r="BH9" s="433"/>
      <c r="BI9" s="433"/>
      <c r="BJ9" s="68"/>
      <c r="BK9" s="271"/>
      <c r="BM9" s="272"/>
      <c r="BN9" s="272"/>
      <c r="BO9" s="272"/>
      <c r="BP9" s="273"/>
      <c r="BQ9" s="432"/>
      <c r="BR9" s="268"/>
      <c r="BS9" s="228"/>
      <c r="BT9" s="433"/>
      <c r="BU9" s="433"/>
      <c r="BV9" s="68"/>
      <c r="BW9" s="271"/>
      <c r="BY9" s="272"/>
      <c r="BZ9" s="272"/>
      <c r="CA9" s="272"/>
      <c r="CB9" s="273"/>
      <c r="CC9" s="432"/>
      <c r="CD9" s="268"/>
      <c r="CE9" s="228"/>
      <c r="CF9" s="433"/>
      <c r="CG9" s="433"/>
      <c r="CH9" s="68"/>
      <c r="CI9" s="271"/>
      <c r="CK9" s="272"/>
      <c r="CL9" s="272"/>
      <c r="CM9" s="272"/>
      <c r="CN9" s="273"/>
      <c r="CO9" s="432"/>
      <c r="CP9" s="268"/>
      <c r="CQ9" s="228"/>
      <c r="CR9" s="433"/>
      <c r="CS9" s="433"/>
      <c r="CT9" s="68"/>
      <c r="CU9" s="271"/>
      <c r="CW9" s="272"/>
      <c r="CX9" s="272"/>
      <c r="CY9" s="272"/>
      <c r="CZ9" s="273"/>
      <c r="DA9" s="432"/>
      <c r="DB9" s="268"/>
      <c r="DC9" s="228"/>
      <c r="DD9" s="433"/>
      <c r="DE9" s="433"/>
      <c r="DF9" s="68"/>
      <c r="DG9" s="271"/>
      <c r="DI9" s="272"/>
      <c r="DJ9" s="272"/>
      <c r="DK9" s="272"/>
      <c r="DL9" s="273"/>
      <c r="DM9" s="432"/>
      <c r="DN9" s="268"/>
      <c r="DO9" s="228"/>
      <c r="DP9" s="433"/>
      <c r="DQ9" s="433"/>
      <c r="DR9" s="68"/>
      <c r="DS9" s="271"/>
      <c r="DU9" s="272"/>
      <c r="DV9" s="272"/>
      <c r="DW9" s="272"/>
      <c r="DX9" s="273"/>
      <c r="DY9" s="432"/>
      <c r="DZ9" s="268"/>
      <c r="EA9" s="228"/>
      <c r="EB9" s="433"/>
      <c r="EC9" s="433"/>
      <c r="ED9" s="68"/>
      <c r="EE9" s="271"/>
      <c r="EG9" s="272"/>
      <c r="EH9" s="272"/>
      <c r="EI9" s="272"/>
      <c r="EJ9" s="273"/>
      <c r="EK9" s="432"/>
      <c r="EL9" s="268"/>
      <c r="EM9" s="228"/>
      <c r="EN9" s="433"/>
      <c r="EO9" s="433"/>
      <c r="EP9" s="68"/>
      <c r="EQ9" s="271"/>
      <c r="ES9" s="272"/>
      <c r="ET9" s="272"/>
      <c r="EU9" s="272"/>
      <c r="EV9" s="273"/>
      <c r="EW9" s="432"/>
      <c r="EX9" s="268"/>
      <c r="EY9" s="228"/>
      <c r="EZ9" s="433"/>
      <c r="FA9" s="433"/>
      <c r="FB9" s="68"/>
      <c r="FC9" s="271"/>
      <c r="FE9" s="272"/>
      <c r="FF9" s="272"/>
      <c r="FG9" s="272"/>
      <c r="FH9" s="273"/>
      <c r="FI9" s="432"/>
      <c r="FJ9" s="268"/>
      <c r="FK9" s="228"/>
      <c r="FL9" s="433"/>
      <c r="FM9" s="433"/>
      <c r="FN9" s="68"/>
      <c r="FO9" s="271"/>
      <c r="FQ9" s="272"/>
      <c r="FR9" s="272"/>
      <c r="FS9" s="272"/>
      <c r="FT9" s="273"/>
      <c r="FU9" s="432"/>
      <c r="FV9" s="268"/>
      <c r="FW9" s="228"/>
      <c r="FX9" s="433"/>
      <c r="FY9" s="433"/>
      <c r="FZ9" s="68"/>
      <c r="GA9" s="271"/>
      <c r="GC9" s="272"/>
      <c r="GD9" s="272"/>
      <c r="GE9" s="272"/>
      <c r="GF9" s="273"/>
      <c r="GG9" s="432"/>
      <c r="GH9" s="268"/>
      <c r="GI9" s="228"/>
      <c r="GJ9" s="433"/>
      <c r="GK9" s="433"/>
      <c r="GL9" s="68"/>
      <c r="GM9" s="271"/>
      <c r="GO9" s="272"/>
      <c r="GP9" s="272"/>
      <c r="GQ9" s="272"/>
      <c r="GR9" s="273"/>
      <c r="GS9" s="432"/>
      <c r="GT9" s="268"/>
      <c r="GU9" s="228"/>
      <c r="GV9" s="433"/>
      <c r="GW9" s="433"/>
      <c r="GX9" s="68"/>
      <c r="GY9" s="271"/>
      <c r="HA9" s="272"/>
      <c r="HB9" s="272"/>
      <c r="HC9" s="272"/>
      <c r="HD9" s="273"/>
      <c r="HE9" s="432"/>
      <c r="HF9" s="268"/>
      <c r="HG9" s="228"/>
      <c r="HH9" s="433"/>
      <c r="HI9" s="433"/>
      <c r="HJ9" s="68"/>
      <c r="HK9" s="271"/>
      <c r="HM9" s="272"/>
      <c r="HN9" s="272"/>
      <c r="HO9" s="272"/>
      <c r="HP9" s="273"/>
      <c r="HQ9" s="432"/>
      <c r="HR9" s="268"/>
      <c r="HS9" s="228"/>
      <c r="HT9" s="433"/>
      <c r="HU9" s="433"/>
      <c r="HV9" s="68"/>
      <c r="HW9" s="271"/>
      <c r="HY9" s="272"/>
      <c r="HZ9" s="272"/>
      <c r="IA9" s="272"/>
      <c r="IB9" s="273"/>
      <c r="IC9" s="432"/>
      <c r="ID9" s="268"/>
      <c r="IE9" s="228"/>
      <c r="IF9" s="433"/>
      <c r="IG9" s="433"/>
      <c r="IH9" s="68"/>
      <c r="II9" s="271"/>
      <c r="IK9" s="272"/>
      <c r="IL9" s="272"/>
      <c r="IM9" s="272"/>
      <c r="IN9" s="273"/>
      <c r="IO9" s="432"/>
      <c r="IP9" s="268"/>
      <c r="IQ9" s="228"/>
      <c r="IR9" s="433"/>
      <c r="IS9" s="433"/>
      <c r="IT9" s="68"/>
      <c r="IU9" s="271"/>
      <c r="IW9" s="272"/>
      <c r="IX9" s="272"/>
      <c r="IY9" s="272"/>
      <c r="IZ9" s="273"/>
      <c r="JA9" s="432"/>
      <c r="JB9" s="268"/>
      <c r="JC9" s="228"/>
      <c r="JD9" s="433"/>
      <c r="JE9" s="433"/>
      <c r="JF9" s="68"/>
      <c r="JG9" s="271"/>
      <c r="JI9" s="272"/>
      <c r="JJ9" s="272"/>
      <c r="JK9" s="272"/>
      <c r="JL9" s="273"/>
      <c r="JM9" s="432"/>
      <c r="JN9" s="268"/>
      <c r="JO9" s="228"/>
      <c r="JP9" s="433"/>
      <c r="JQ9" s="433"/>
      <c r="JR9" s="68"/>
      <c r="JS9" s="271"/>
      <c r="JU9" s="272"/>
      <c r="JV9" s="272"/>
      <c r="JW9" s="272"/>
      <c r="JX9" s="273"/>
      <c r="JY9" s="432"/>
      <c r="JZ9" s="268"/>
      <c r="KA9" s="228"/>
      <c r="KB9" s="433"/>
      <c r="KC9" s="433"/>
      <c r="KD9" s="68"/>
      <c r="KE9" s="271"/>
      <c r="KG9" s="272"/>
      <c r="KH9" s="272"/>
      <c r="KI9" s="272"/>
      <c r="KJ9" s="273"/>
      <c r="KK9" s="432"/>
      <c r="KL9" s="268"/>
      <c r="KM9" s="228"/>
      <c r="KN9" s="433"/>
      <c r="KO9" s="433"/>
      <c r="KP9" s="68"/>
      <c r="KQ9" s="271"/>
      <c r="KS9" s="272"/>
      <c r="KT9" s="272"/>
      <c r="KU9" s="272"/>
      <c r="KV9" s="273"/>
      <c r="KW9" s="432"/>
      <c r="KX9" s="268"/>
      <c r="KY9" s="228"/>
      <c r="KZ9" s="433"/>
      <c r="LA9" s="433"/>
      <c r="LB9" s="68"/>
      <c r="LC9" s="271"/>
      <c r="LE9" s="272"/>
      <c r="LF9" s="272"/>
      <c r="LG9" s="272"/>
      <c r="LH9" s="273"/>
      <c r="LI9" s="432"/>
      <c r="LJ9" s="268"/>
      <c r="LK9" s="228"/>
      <c r="LL9" s="433"/>
      <c r="LM9" s="433"/>
      <c r="LN9" s="68"/>
      <c r="LO9" s="271"/>
      <c r="LQ9" s="272"/>
      <c r="LR9" s="272"/>
      <c r="LS9" s="272"/>
      <c r="LT9" s="273"/>
      <c r="LU9" s="432"/>
      <c r="LV9" s="268"/>
      <c r="LW9" s="228"/>
      <c r="LX9" s="433"/>
      <c r="LY9" s="433"/>
      <c r="LZ9" s="68"/>
      <c r="MA9" s="271"/>
      <c r="MC9" s="272"/>
      <c r="MD9" s="272"/>
      <c r="ME9" s="272"/>
      <c r="MF9" s="273"/>
      <c r="MG9" s="432"/>
      <c r="MH9" s="268"/>
      <c r="MI9" s="228"/>
      <c r="MJ9" s="433"/>
      <c r="MK9" s="433"/>
      <c r="ML9" s="68"/>
      <c r="MM9" s="271"/>
      <c r="MO9" s="272"/>
      <c r="MP9" s="272"/>
      <c r="MQ9" s="272"/>
      <c r="MR9" s="273"/>
      <c r="MS9" s="432"/>
      <c r="MT9" s="268"/>
      <c r="MU9" s="228"/>
      <c r="MV9" s="433"/>
      <c r="MW9" s="433"/>
      <c r="MX9" s="68"/>
      <c r="MY9" s="271"/>
      <c r="NA9" s="272"/>
      <c r="NB9" s="272"/>
      <c r="NC9" s="272"/>
      <c r="ND9" s="273"/>
      <c r="NE9" s="432"/>
      <c r="NF9" s="268"/>
      <c r="NG9" s="228"/>
      <c r="NH9" s="433"/>
      <c r="NI9" s="433"/>
      <c r="NJ9" s="68"/>
      <c r="NK9" s="271"/>
      <c r="NM9" s="272"/>
      <c r="NN9" s="272"/>
      <c r="NO9" s="272"/>
      <c r="NP9" s="273"/>
      <c r="NQ9" s="432"/>
      <c r="NR9" s="268"/>
      <c r="NS9" s="228"/>
      <c r="NT9" s="433"/>
      <c r="NU9" s="433"/>
      <c r="NV9" s="68"/>
      <c r="NW9" s="271"/>
      <c r="NY9" s="272"/>
      <c r="NZ9" s="272"/>
      <c r="OA9" s="272"/>
      <c r="OB9" s="273"/>
      <c r="OC9" s="432"/>
      <c r="OD9" s="268"/>
      <c r="OE9" s="228"/>
      <c r="OF9" s="433"/>
      <c r="OG9" s="433"/>
      <c r="OH9" s="68"/>
      <c r="OI9" s="271"/>
      <c r="OK9" s="272"/>
      <c r="OL9" s="272"/>
      <c r="OM9" s="272"/>
      <c r="ON9" s="273"/>
      <c r="OO9" s="432"/>
      <c r="OP9" s="268"/>
      <c r="OQ9" s="228"/>
      <c r="OR9" s="433"/>
      <c r="OS9" s="433"/>
      <c r="OT9" s="68"/>
      <c r="OU9" s="271"/>
      <c r="OW9" s="272"/>
      <c r="OX9" s="272"/>
      <c r="OY9" s="272"/>
      <c r="OZ9" s="273"/>
      <c r="PA9" s="432"/>
      <c r="PB9" s="268"/>
      <c r="PC9" s="228"/>
      <c r="PD9" s="433"/>
      <c r="PE9" s="433"/>
      <c r="PF9" s="68"/>
      <c r="PG9" s="271"/>
      <c r="PI9" s="272"/>
      <c r="PJ9" s="272"/>
      <c r="PK9" s="272"/>
      <c r="PL9" s="273"/>
      <c r="PM9" s="432"/>
      <c r="PN9" s="268"/>
      <c r="PO9" s="228"/>
      <c r="PP9" s="433"/>
      <c r="PQ9" s="433"/>
      <c r="PR9" s="68"/>
      <c r="PS9" s="271"/>
      <c r="PU9" s="272"/>
      <c r="PV9" s="272"/>
      <c r="PW9" s="272"/>
      <c r="PX9" s="273"/>
      <c r="PY9" s="432"/>
      <c r="PZ9" s="268"/>
      <c r="QA9" s="228"/>
      <c r="QB9" s="433"/>
      <c r="QC9" s="433"/>
      <c r="QD9" s="68"/>
      <c r="QE9" s="271"/>
      <c r="QG9" s="272"/>
      <c r="QH9" s="272"/>
      <c r="QI9" s="272"/>
      <c r="QJ9" s="273"/>
      <c r="QK9" s="432"/>
      <c r="QL9" s="268"/>
      <c r="QM9" s="228"/>
      <c r="QN9" s="433"/>
      <c r="QO9" s="433"/>
      <c r="QP9" s="68"/>
      <c r="QQ9" s="271"/>
      <c r="QS9" s="272"/>
      <c r="QT9" s="272"/>
      <c r="QU9" s="272"/>
      <c r="QV9" s="273"/>
      <c r="QW9" s="432"/>
      <c r="QX9" s="268"/>
      <c r="QY9" s="228"/>
      <c r="QZ9" s="433"/>
      <c r="RA9" s="433"/>
      <c r="RB9" s="68"/>
      <c r="RC9" s="271"/>
      <c r="RE9" s="272"/>
      <c r="RF9" s="272"/>
      <c r="RG9" s="272"/>
      <c r="RH9" s="273"/>
      <c r="RI9" s="432"/>
      <c r="RJ9" s="268"/>
      <c r="RK9" s="228"/>
      <c r="RL9" s="433"/>
      <c r="RM9" s="433"/>
      <c r="RN9" s="68"/>
      <c r="RO9" s="271"/>
      <c r="RQ9" s="272"/>
      <c r="RR9" s="272"/>
      <c r="RS9" s="272"/>
      <c r="RT9" s="273"/>
      <c r="RU9" s="432"/>
      <c r="RV9" s="268"/>
      <c r="RW9" s="228"/>
      <c r="RX9" s="433"/>
      <c r="RY9" s="433"/>
      <c r="RZ9" s="68"/>
      <c r="SA9" s="271"/>
      <c r="SC9" s="272"/>
      <c r="SD9" s="272"/>
      <c r="SE9" s="272"/>
      <c r="SF9" s="273"/>
      <c r="SG9" s="432"/>
      <c r="SH9" s="268"/>
      <c r="SI9" s="228"/>
      <c r="SJ9" s="433"/>
      <c r="SK9" s="433"/>
      <c r="SL9" s="68"/>
      <c r="SM9" s="271"/>
      <c r="SO9" s="272"/>
      <c r="SP9" s="272"/>
      <c r="SQ9" s="272"/>
      <c r="SR9" s="273"/>
      <c r="SS9" s="432"/>
      <c r="ST9" s="268"/>
      <c r="SU9" s="228"/>
      <c r="SV9" s="433"/>
      <c r="SW9" s="433"/>
      <c r="SX9" s="68"/>
      <c r="SY9" s="271"/>
      <c r="TA9" s="272"/>
      <c r="TB9" s="272"/>
      <c r="TC9" s="272"/>
      <c r="TD9" s="273"/>
      <c r="TE9" s="432"/>
      <c r="TF9" s="268"/>
      <c r="TG9" s="228"/>
      <c r="TH9" s="433"/>
      <c r="TI9" s="433"/>
      <c r="TJ9" s="68"/>
      <c r="TK9" s="271"/>
      <c r="TM9" s="272"/>
      <c r="TN9" s="272"/>
      <c r="TO9" s="272"/>
      <c r="TP9" s="273"/>
      <c r="TQ9" s="432"/>
      <c r="TR9" s="268"/>
      <c r="TS9" s="228"/>
      <c r="TT9" s="433"/>
      <c r="TU9" s="433"/>
      <c r="TV9" s="68"/>
      <c r="TW9" s="271"/>
      <c r="TY9" s="272"/>
      <c r="TZ9" s="272"/>
      <c r="UA9" s="272"/>
      <c r="UB9" s="273"/>
      <c r="UC9" s="432"/>
      <c r="UD9" s="268"/>
      <c r="UE9" s="228"/>
      <c r="UF9" s="433"/>
      <c r="UG9" s="433"/>
      <c r="UH9" s="68"/>
      <c r="UI9" s="271"/>
      <c r="UK9" s="272"/>
      <c r="UL9" s="272"/>
      <c r="UM9" s="272"/>
      <c r="UN9" s="273"/>
      <c r="UO9" s="432"/>
      <c r="UP9" s="268"/>
      <c r="UQ9" s="228"/>
      <c r="UR9" s="433"/>
      <c r="US9" s="433"/>
      <c r="UT9" s="68"/>
      <c r="UU9" s="271"/>
      <c r="UW9" s="272"/>
      <c r="UX9" s="272"/>
      <c r="UY9" s="272"/>
      <c r="UZ9" s="273"/>
      <c r="VA9" s="432"/>
      <c r="VB9" s="268"/>
      <c r="VC9" s="228"/>
      <c r="VD9" s="433"/>
      <c r="VE9" s="433"/>
      <c r="VF9" s="68"/>
      <c r="VG9" s="271"/>
      <c r="VI9" s="272"/>
      <c r="VJ9" s="272"/>
      <c r="VK9" s="272"/>
      <c r="VL9" s="273"/>
      <c r="VM9" s="432"/>
      <c r="VN9" s="268"/>
      <c r="VO9" s="228"/>
      <c r="VP9" s="433"/>
      <c r="VQ9" s="433"/>
      <c r="VR9" s="68"/>
      <c r="VS9" s="271"/>
      <c r="VU9" s="272"/>
      <c r="VV9" s="272"/>
      <c r="VW9" s="272"/>
      <c r="VX9" s="273"/>
      <c r="VY9" s="432"/>
      <c r="VZ9" s="268"/>
      <c r="WA9" s="228"/>
      <c r="WB9" s="433"/>
      <c r="WC9" s="433"/>
      <c r="WD9" s="68"/>
      <c r="WE9" s="271"/>
      <c r="WG9" s="272"/>
      <c r="WH9" s="272"/>
      <c r="WI9" s="272"/>
      <c r="WJ9" s="273"/>
      <c r="WK9" s="432"/>
      <c r="WL9" s="268"/>
      <c r="WM9" s="228"/>
      <c r="WN9" s="433"/>
      <c r="WO9" s="433"/>
      <c r="WP9" s="68"/>
      <c r="WQ9" s="271"/>
      <c r="WS9" s="272"/>
      <c r="WT9" s="272"/>
      <c r="WU9" s="272"/>
      <c r="WV9" s="273"/>
      <c r="WW9" s="432"/>
      <c r="WX9" s="268"/>
      <c r="WY9" s="228"/>
      <c r="WZ9" s="433"/>
      <c r="XA9" s="433"/>
      <c r="XB9" s="68"/>
      <c r="XC9" s="271"/>
      <c r="XE9" s="272"/>
      <c r="XF9" s="272"/>
      <c r="XG9" s="272"/>
      <c r="XH9" s="273"/>
      <c r="XI9" s="432"/>
      <c r="XJ9" s="268"/>
      <c r="XK9" s="228"/>
      <c r="XL9" s="433"/>
      <c r="XM9" s="433"/>
      <c r="XN9" s="68"/>
      <c r="XO9" s="271"/>
      <c r="XQ9" s="272"/>
      <c r="XR9" s="272"/>
      <c r="XS9" s="272"/>
      <c r="XT9" s="273"/>
      <c r="XU9" s="432"/>
      <c r="XV9" s="268"/>
      <c r="XW9" s="228"/>
      <c r="XX9" s="433"/>
      <c r="XY9" s="433"/>
      <c r="XZ9" s="68"/>
      <c r="YA9" s="271"/>
      <c r="YC9" s="272"/>
      <c r="YD9" s="272"/>
      <c r="YE9" s="272"/>
      <c r="YF9" s="273"/>
      <c r="YG9" s="432"/>
      <c r="YH9" s="268"/>
      <c r="YI9" s="228"/>
      <c r="YJ9" s="433"/>
      <c r="YK9" s="433"/>
      <c r="YL9" s="68"/>
      <c r="YM9" s="271"/>
      <c r="YO9" s="272"/>
      <c r="YP9" s="272"/>
      <c r="YQ9" s="272"/>
      <c r="YR9" s="273"/>
      <c r="YS9" s="432"/>
      <c r="YT9" s="268"/>
      <c r="YU9" s="228"/>
      <c r="YV9" s="433"/>
      <c r="YW9" s="433"/>
      <c r="YX9" s="68"/>
      <c r="YY9" s="271"/>
      <c r="ZA9" s="272"/>
      <c r="ZB9" s="272"/>
      <c r="ZC9" s="272"/>
      <c r="ZD9" s="273"/>
      <c r="ZE9" s="432"/>
      <c r="ZF9" s="268"/>
      <c r="ZG9" s="228"/>
      <c r="ZH9" s="433"/>
      <c r="ZI9" s="433"/>
      <c r="ZJ9" s="68"/>
      <c r="ZK9" s="271"/>
      <c r="ZM9" s="272"/>
      <c r="ZN9" s="272"/>
      <c r="ZO9" s="272"/>
      <c r="ZP9" s="273"/>
      <c r="ZQ9" s="432"/>
      <c r="ZR9" s="268"/>
      <c r="ZS9" s="228"/>
      <c r="ZT9" s="433"/>
      <c r="ZU9" s="433"/>
      <c r="ZV9" s="68"/>
      <c r="ZW9" s="271"/>
      <c r="ZY9" s="272"/>
      <c r="ZZ9" s="272"/>
      <c r="AAA9" s="272"/>
      <c r="AAB9" s="273"/>
      <c r="AAC9" s="432"/>
      <c r="AAD9" s="268"/>
      <c r="AAE9" s="228"/>
      <c r="AAF9" s="433"/>
      <c r="AAG9" s="433"/>
      <c r="AAH9" s="68"/>
      <c r="AAI9" s="271"/>
      <c r="AAK9" s="272"/>
      <c r="AAL9" s="272"/>
      <c r="AAM9" s="272"/>
      <c r="AAN9" s="273"/>
      <c r="AAO9" s="432"/>
      <c r="AAP9" s="268"/>
      <c r="AAQ9" s="228"/>
      <c r="AAR9" s="433"/>
      <c r="AAS9" s="433"/>
      <c r="AAT9" s="68"/>
      <c r="AAU9" s="271"/>
      <c r="AAW9" s="272"/>
      <c r="AAX9" s="272"/>
      <c r="AAY9" s="272"/>
      <c r="AAZ9" s="273"/>
      <c r="ABA9" s="432"/>
      <c r="ABB9" s="268"/>
      <c r="ABC9" s="228"/>
      <c r="ABD9" s="433"/>
      <c r="ABE9" s="433"/>
      <c r="ABF9" s="68"/>
      <c r="ABG9" s="271"/>
      <c r="ABI9" s="272"/>
      <c r="ABJ9" s="272"/>
      <c r="ABK9" s="272"/>
      <c r="ABL9" s="273"/>
      <c r="ABM9" s="432"/>
      <c r="ABN9" s="268"/>
      <c r="ABO9" s="228"/>
      <c r="ABP9" s="433"/>
      <c r="ABQ9" s="433"/>
      <c r="ABR9" s="68"/>
      <c r="ABS9" s="271"/>
      <c r="ABU9" s="272"/>
      <c r="ABV9" s="272"/>
      <c r="ABW9" s="272"/>
      <c r="ABX9" s="273"/>
      <c r="ABY9" s="432"/>
      <c r="ABZ9" s="268"/>
      <c r="ACA9" s="228"/>
      <c r="ACB9" s="433"/>
      <c r="ACC9" s="433"/>
      <c r="ACD9" s="68"/>
      <c r="ACE9" s="271"/>
      <c r="ACG9" s="272"/>
      <c r="ACH9" s="272"/>
      <c r="ACI9" s="272"/>
      <c r="ACJ9" s="273"/>
      <c r="ACK9" s="432"/>
      <c r="ACL9" s="268"/>
      <c r="ACM9" s="228"/>
      <c r="ACN9" s="433"/>
      <c r="ACO9" s="433"/>
      <c r="ACP9" s="68"/>
      <c r="ACQ9" s="271"/>
      <c r="ACS9" s="272"/>
      <c r="ACT9" s="272"/>
      <c r="ACU9" s="272"/>
      <c r="ACV9" s="273"/>
      <c r="ACW9" s="432"/>
      <c r="ACX9" s="268"/>
      <c r="ACY9" s="228"/>
      <c r="ACZ9" s="433"/>
      <c r="ADA9" s="433"/>
      <c r="ADB9" s="68"/>
      <c r="ADC9" s="271"/>
      <c r="ADE9" s="272"/>
      <c r="ADF9" s="272"/>
      <c r="ADG9" s="272"/>
      <c r="ADH9" s="273"/>
      <c r="ADI9" s="432"/>
      <c r="ADJ9" s="268"/>
      <c r="ADK9" s="228"/>
      <c r="ADL9" s="433"/>
      <c r="ADM9" s="433"/>
      <c r="ADN9" s="68"/>
      <c r="ADO9" s="271"/>
      <c r="ADQ9" s="272"/>
      <c r="ADR9" s="272"/>
      <c r="ADS9" s="272"/>
      <c r="ADT9" s="273"/>
      <c r="ADU9" s="432"/>
      <c r="ADV9" s="268"/>
      <c r="ADW9" s="228"/>
      <c r="ADX9" s="433"/>
      <c r="ADY9" s="433"/>
      <c r="ADZ9" s="68"/>
      <c r="AEA9" s="271"/>
      <c r="AEC9" s="272"/>
      <c r="AED9" s="272"/>
      <c r="AEE9" s="272"/>
      <c r="AEF9" s="273"/>
      <c r="AEG9" s="432"/>
      <c r="AEH9" s="268"/>
      <c r="AEI9" s="228"/>
      <c r="AEJ9" s="433"/>
      <c r="AEK9" s="433"/>
      <c r="AEL9" s="68"/>
      <c r="AEM9" s="271"/>
      <c r="AEO9" s="272"/>
      <c r="AEP9" s="272"/>
      <c r="AEQ9" s="272"/>
      <c r="AER9" s="273"/>
      <c r="AES9" s="432"/>
      <c r="AET9" s="268"/>
      <c r="AEU9" s="228"/>
      <c r="AEV9" s="433"/>
      <c r="AEW9" s="433"/>
      <c r="AEX9" s="68"/>
      <c r="AEY9" s="271"/>
      <c r="AFA9" s="272"/>
      <c r="AFB9" s="272"/>
      <c r="AFC9" s="272"/>
      <c r="AFD9" s="273"/>
      <c r="AFE9" s="432"/>
      <c r="AFF9" s="268"/>
      <c r="AFG9" s="228"/>
      <c r="AFH9" s="433"/>
      <c r="AFI9" s="433"/>
      <c r="AFJ9" s="68"/>
      <c r="AFK9" s="271"/>
      <c r="AFM9" s="272"/>
      <c r="AFN9" s="272"/>
      <c r="AFO9" s="272"/>
      <c r="AFP9" s="273"/>
      <c r="AFQ9" s="432"/>
      <c r="AFR9" s="268"/>
      <c r="AFS9" s="228"/>
      <c r="AFT9" s="433"/>
      <c r="AFU9" s="433"/>
      <c r="AFV9" s="68"/>
      <c r="AFW9" s="271"/>
      <c r="AFY9" s="272"/>
      <c r="AFZ9" s="272"/>
      <c r="AGA9" s="272"/>
      <c r="AGB9" s="273"/>
      <c r="AGC9" s="432"/>
      <c r="AGD9" s="268"/>
      <c r="AGE9" s="228"/>
      <c r="AGF9" s="433"/>
      <c r="AGG9" s="433"/>
      <c r="AGH9" s="68"/>
      <c r="AGI9" s="271"/>
      <c r="AGK9" s="272"/>
      <c r="AGL9" s="272"/>
      <c r="AGM9" s="272"/>
      <c r="AGN9" s="273"/>
      <c r="AGO9" s="432"/>
      <c r="AGP9" s="268"/>
      <c r="AGQ9" s="228"/>
      <c r="AGR9" s="433"/>
      <c r="AGS9" s="433"/>
      <c r="AGT9" s="68"/>
      <c r="AGU9" s="271"/>
      <c r="AGW9" s="272"/>
      <c r="AGX9" s="272"/>
      <c r="AGY9" s="272"/>
      <c r="AGZ9" s="273"/>
      <c r="AHA9" s="432"/>
      <c r="AHB9" s="268"/>
      <c r="AHC9" s="228"/>
      <c r="AHD9" s="433"/>
      <c r="AHE9" s="433"/>
      <c r="AHF9" s="68"/>
      <c r="AHG9" s="271"/>
      <c r="AHI9" s="272"/>
      <c r="AHJ9" s="272"/>
      <c r="AHK9" s="272"/>
      <c r="AHL9" s="273"/>
      <c r="AHM9" s="432"/>
      <c r="AHN9" s="268"/>
      <c r="AHO9" s="228"/>
      <c r="AHP9" s="433"/>
      <c r="AHQ9" s="433"/>
      <c r="AHR9" s="68"/>
      <c r="AHS9" s="271"/>
      <c r="AHU9" s="272"/>
      <c r="AHV9" s="272"/>
      <c r="AHW9" s="272"/>
      <c r="AHX9" s="273"/>
      <c r="AHY9" s="432"/>
      <c r="AHZ9" s="268"/>
      <c r="AIA9" s="228"/>
      <c r="AIB9" s="433"/>
      <c r="AIC9" s="433"/>
      <c r="AID9" s="68"/>
      <c r="AIE9" s="271"/>
      <c r="AIG9" s="272"/>
      <c r="AIH9" s="272"/>
      <c r="AII9" s="272"/>
      <c r="AIJ9" s="273"/>
      <c r="AIK9" s="432"/>
      <c r="AIL9" s="268"/>
      <c r="AIM9" s="228"/>
      <c r="AIN9" s="433"/>
      <c r="AIO9" s="433"/>
      <c r="AIP9" s="68"/>
      <c r="AIQ9" s="271"/>
      <c r="AIS9" s="272"/>
      <c r="AIT9" s="272"/>
      <c r="AIU9" s="272"/>
      <c r="AIV9" s="273"/>
      <c r="AIW9" s="432"/>
      <c r="AIX9" s="268"/>
      <c r="AIY9" s="228"/>
      <c r="AIZ9" s="433"/>
      <c r="AJA9" s="433"/>
      <c r="AJB9" s="68"/>
      <c r="AJC9" s="271"/>
      <c r="AJE9" s="272"/>
      <c r="AJF9" s="272"/>
      <c r="AJG9" s="272"/>
      <c r="AJH9" s="273"/>
      <c r="AJI9" s="432"/>
      <c r="AJJ9" s="268"/>
      <c r="AJK9" s="228"/>
      <c r="AJL9" s="433"/>
      <c r="AJM9" s="433"/>
      <c r="AJN9" s="68"/>
      <c r="AJO9" s="271"/>
      <c r="AJQ9" s="272"/>
      <c r="AJR9" s="272"/>
      <c r="AJS9" s="272"/>
      <c r="AJT9" s="273"/>
      <c r="AJU9" s="432"/>
      <c r="AJV9" s="268"/>
      <c r="AJW9" s="228"/>
      <c r="AJX9" s="433"/>
      <c r="AJY9" s="433"/>
      <c r="AJZ9" s="68"/>
      <c r="AKA9" s="271"/>
      <c r="AKC9" s="272"/>
      <c r="AKD9" s="272"/>
      <c r="AKE9" s="272"/>
      <c r="AKF9" s="273"/>
      <c r="AKG9" s="432"/>
      <c r="AKH9" s="268"/>
      <c r="AKI9" s="228"/>
      <c r="AKJ9" s="433"/>
      <c r="AKK9" s="433"/>
      <c r="AKL9" s="68"/>
      <c r="AKM9" s="271"/>
      <c r="AKO9" s="272"/>
      <c r="AKP9" s="272"/>
      <c r="AKQ9" s="272"/>
      <c r="AKR9" s="273"/>
      <c r="AKS9" s="432"/>
      <c r="AKT9" s="268"/>
      <c r="AKU9" s="228"/>
      <c r="AKV9" s="433"/>
      <c r="AKW9" s="433"/>
      <c r="AKX9" s="68"/>
      <c r="AKY9" s="271"/>
      <c r="ALA9" s="272"/>
      <c r="ALB9" s="272"/>
      <c r="ALC9" s="272"/>
      <c r="ALD9" s="273"/>
      <c r="ALE9" s="432"/>
      <c r="ALF9" s="268"/>
      <c r="ALG9" s="228"/>
      <c r="ALH9" s="433"/>
      <c r="ALI9" s="433"/>
      <c r="ALJ9" s="68"/>
      <c r="ALK9" s="271"/>
      <c r="ALM9" s="272"/>
      <c r="ALN9" s="272"/>
      <c r="ALO9" s="272"/>
      <c r="ALP9" s="273"/>
      <c r="ALQ9" s="432"/>
      <c r="ALR9" s="268"/>
      <c r="ALS9" s="228"/>
      <c r="ALT9" s="433"/>
      <c r="ALU9" s="433"/>
      <c r="ALV9" s="68"/>
      <c r="ALW9" s="271"/>
      <c r="ALY9" s="272"/>
      <c r="ALZ9" s="272"/>
      <c r="AMA9" s="272"/>
      <c r="AMB9" s="273"/>
      <c r="AMC9" s="432"/>
      <c r="AMD9" s="268"/>
      <c r="AME9" s="228"/>
      <c r="AMF9" s="433"/>
      <c r="AMG9" s="433"/>
      <c r="AMH9" s="68"/>
      <c r="AMI9" s="271"/>
      <c r="AMK9" s="272"/>
      <c r="AML9" s="272"/>
      <c r="AMM9" s="272"/>
      <c r="AMN9" s="273"/>
      <c r="AMO9" s="432"/>
      <c r="AMP9" s="268"/>
      <c r="AMQ9" s="228"/>
      <c r="AMR9" s="433"/>
      <c r="AMS9" s="433"/>
      <c r="AMT9" s="68"/>
      <c r="AMU9" s="271"/>
      <c r="AMW9" s="272"/>
      <c r="AMX9" s="272"/>
      <c r="AMY9" s="272"/>
      <c r="AMZ9" s="273"/>
      <c r="ANA9" s="432"/>
      <c r="ANB9" s="268"/>
      <c r="ANC9" s="228"/>
      <c r="AND9" s="433"/>
      <c r="ANE9" s="433"/>
      <c r="ANF9" s="68"/>
      <c r="ANG9" s="271"/>
      <c r="ANI9" s="272"/>
      <c r="ANJ9" s="272"/>
      <c r="ANK9" s="272"/>
      <c r="ANL9" s="273"/>
      <c r="ANM9" s="432"/>
      <c r="ANN9" s="268"/>
      <c r="ANO9" s="228"/>
      <c r="ANP9" s="433"/>
      <c r="ANQ9" s="433"/>
      <c r="ANR9" s="68"/>
      <c r="ANS9" s="271"/>
      <c r="ANU9" s="272"/>
      <c r="ANV9" s="272"/>
      <c r="ANW9" s="272"/>
      <c r="ANX9" s="273"/>
      <c r="ANY9" s="432"/>
      <c r="ANZ9" s="268"/>
      <c r="AOA9" s="228"/>
      <c r="AOB9" s="433"/>
      <c r="AOC9" s="433"/>
      <c r="AOD9" s="68"/>
      <c r="AOE9" s="271"/>
      <c r="AOG9" s="272"/>
      <c r="AOH9" s="272"/>
      <c r="AOI9" s="272"/>
      <c r="AOJ9" s="273"/>
      <c r="AOK9" s="432"/>
      <c r="AOL9" s="268"/>
      <c r="AOM9" s="228"/>
      <c r="AON9" s="433"/>
      <c r="AOO9" s="433"/>
      <c r="AOP9" s="68"/>
      <c r="AOQ9" s="271"/>
      <c r="AOS9" s="272"/>
      <c r="AOT9" s="272"/>
      <c r="AOU9" s="272"/>
      <c r="AOV9" s="273"/>
      <c r="AOW9" s="432"/>
      <c r="AOX9" s="268"/>
      <c r="AOY9" s="228"/>
      <c r="AOZ9" s="433"/>
      <c r="APA9" s="433"/>
      <c r="APB9" s="68"/>
      <c r="APC9" s="271"/>
      <c r="APE9" s="272"/>
      <c r="APF9" s="272"/>
      <c r="APG9" s="272"/>
      <c r="APH9" s="273"/>
      <c r="API9" s="432"/>
      <c r="APJ9" s="268"/>
      <c r="APK9" s="228"/>
      <c r="APL9" s="433"/>
      <c r="APM9" s="433"/>
      <c r="APN9" s="68"/>
      <c r="APO9" s="271"/>
      <c r="APQ9" s="272"/>
      <c r="APR9" s="272"/>
      <c r="APS9" s="272"/>
      <c r="APT9" s="273"/>
      <c r="APU9" s="432"/>
      <c r="APV9" s="268"/>
      <c r="APW9" s="228"/>
      <c r="APX9" s="433"/>
      <c r="APY9" s="433"/>
      <c r="APZ9" s="68"/>
      <c r="AQA9" s="271"/>
      <c r="AQC9" s="272"/>
      <c r="AQD9" s="272"/>
      <c r="AQE9" s="272"/>
      <c r="AQF9" s="273"/>
      <c r="AQG9" s="432"/>
      <c r="AQH9" s="268"/>
      <c r="AQI9" s="228"/>
      <c r="AQJ9" s="433"/>
      <c r="AQK9" s="433"/>
      <c r="AQL9" s="68"/>
      <c r="AQM9" s="271"/>
      <c r="AQO9" s="272"/>
      <c r="AQP9" s="272"/>
      <c r="AQQ9" s="272"/>
      <c r="AQR9" s="273"/>
      <c r="AQS9" s="432"/>
      <c r="AQT9" s="268"/>
      <c r="AQU9" s="228"/>
      <c r="AQV9" s="433"/>
      <c r="AQW9" s="433"/>
      <c r="AQX9" s="68"/>
      <c r="AQY9" s="271"/>
      <c r="ARA9" s="272"/>
      <c r="ARB9" s="272"/>
      <c r="ARC9" s="272"/>
      <c r="ARD9" s="273"/>
      <c r="ARE9" s="432"/>
      <c r="ARF9" s="268"/>
      <c r="ARG9" s="228"/>
      <c r="ARH9" s="433"/>
      <c r="ARI9" s="433"/>
      <c r="ARJ9" s="68"/>
      <c r="ARK9" s="271"/>
      <c r="ARM9" s="272"/>
      <c r="ARN9" s="272"/>
      <c r="ARO9" s="272"/>
      <c r="ARP9" s="273"/>
      <c r="ARQ9" s="432"/>
      <c r="ARR9" s="268"/>
      <c r="ARS9" s="228"/>
      <c r="ART9" s="433"/>
      <c r="ARU9" s="433"/>
      <c r="ARV9" s="68"/>
      <c r="ARW9" s="271"/>
      <c r="ARY9" s="272"/>
      <c r="ARZ9" s="272"/>
      <c r="ASA9" s="272"/>
      <c r="ASB9" s="273"/>
      <c r="ASC9" s="432"/>
      <c r="ASD9" s="268"/>
      <c r="ASE9" s="228"/>
      <c r="ASF9" s="433"/>
      <c r="ASG9" s="433"/>
      <c r="ASH9" s="68"/>
      <c r="ASI9" s="271"/>
      <c r="ASK9" s="272"/>
      <c r="ASL9" s="272"/>
      <c r="ASM9" s="272"/>
      <c r="ASN9" s="273"/>
      <c r="ASO9" s="432"/>
      <c r="ASP9" s="268"/>
      <c r="ASQ9" s="228"/>
      <c r="ASR9" s="433"/>
      <c r="ASS9" s="433"/>
      <c r="AST9" s="68"/>
      <c r="ASU9" s="271"/>
      <c r="ASW9" s="272"/>
      <c r="ASX9" s="272"/>
      <c r="ASY9" s="272"/>
      <c r="ASZ9" s="273"/>
      <c r="ATA9" s="432"/>
      <c r="ATB9" s="268"/>
      <c r="ATC9" s="228"/>
      <c r="ATD9" s="433"/>
      <c r="ATE9" s="433"/>
      <c r="ATF9" s="68"/>
      <c r="ATG9" s="271"/>
      <c r="ATI9" s="272"/>
      <c r="ATJ9" s="272"/>
      <c r="ATK9" s="272"/>
      <c r="ATL9" s="273"/>
      <c r="ATM9" s="432"/>
      <c r="ATN9" s="268"/>
      <c r="ATO9" s="228"/>
      <c r="ATP9" s="433"/>
      <c r="ATQ9" s="433"/>
      <c r="ATR9" s="68"/>
      <c r="ATS9" s="271"/>
      <c r="ATU9" s="272"/>
      <c r="ATV9" s="272"/>
      <c r="ATW9" s="272"/>
      <c r="ATX9" s="273"/>
      <c r="ATY9" s="432"/>
      <c r="ATZ9" s="268"/>
      <c r="AUA9" s="228"/>
      <c r="AUB9" s="433"/>
      <c r="AUC9" s="433"/>
      <c r="AUD9" s="68"/>
      <c r="AUE9" s="271"/>
      <c r="AUG9" s="272"/>
      <c r="AUH9" s="272"/>
      <c r="AUI9" s="272"/>
      <c r="AUJ9" s="273"/>
      <c r="AUK9" s="432"/>
      <c r="AUL9" s="268"/>
      <c r="AUM9" s="228"/>
      <c r="AUN9" s="433"/>
      <c r="AUO9" s="433"/>
      <c r="AUP9" s="68"/>
      <c r="AUQ9" s="271"/>
      <c r="AUS9" s="272"/>
      <c r="AUT9" s="272"/>
      <c r="AUU9" s="272"/>
      <c r="AUV9" s="273"/>
      <c r="AUW9" s="432"/>
      <c r="AUX9" s="268"/>
      <c r="AUY9" s="228"/>
      <c r="AUZ9" s="433"/>
      <c r="AVA9" s="433"/>
      <c r="AVB9" s="68"/>
      <c r="AVC9" s="271"/>
      <c r="AVE9" s="272"/>
      <c r="AVF9" s="272"/>
      <c r="AVG9" s="272"/>
      <c r="AVH9" s="273"/>
      <c r="AVI9" s="432"/>
      <c r="AVJ9" s="268"/>
      <c r="AVK9" s="228"/>
      <c r="AVL9" s="433"/>
      <c r="AVM9" s="433"/>
      <c r="AVN9" s="68"/>
      <c r="AVO9" s="271"/>
      <c r="AVQ9" s="272"/>
      <c r="AVR9" s="272"/>
      <c r="AVS9" s="272"/>
      <c r="AVT9" s="273"/>
      <c r="AVU9" s="432"/>
      <c r="AVV9" s="268"/>
      <c r="AVW9" s="228"/>
      <c r="AVX9" s="433"/>
      <c r="AVY9" s="433"/>
      <c r="AVZ9" s="68"/>
      <c r="AWA9" s="271"/>
      <c r="AWC9" s="272"/>
      <c r="AWD9" s="272"/>
      <c r="AWE9" s="272"/>
      <c r="AWF9" s="273"/>
      <c r="AWG9" s="432"/>
      <c r="AWH9" s="268"/>
      <c r="AWI9" s="228"/>
      <c r="AWJ9" s="433"/>
      <c r="AWK9" s="433"/>
      <c r="AWL9" s="68"/>
      <c r="AWM9" s="271"/>
      <c r="AWO9" s="272"/>
      <c r="AWP9" s="272"/>
      <c r="AWQ9" s="272"/>
      <c r="AWR9" s="273"/>
      <c r="AWS9" s="432"/>
      <c r="AWT9" s="268"/>
      <c r="AWU9" s="228"/>
      <c r="AWV9" s="433"/>
      <c r="AWW9" s="433"/>
      <c r="AWX9" s="68"/>
      <c r="AWY9" s="271"/>
      <c r="AXA9" s="272"/>
      <c r="AXB9" s="272"/>
      <c r="AXC9" s="272"/>
      <c r="AXD9" s="273"/>
      <c r="AXE9" s="432"/>
      <c r="AXF9" s="268"/>
      <c r="AXG9" s="228"/>
      <c r="AXH9" s="433"/>
      <c r="AXI9" s="433"/>
      <c r="AXJ9" s="68"/>
      <c r="AXK9" s="271"/>
      <c r="AXM9" s="272"/>
      <c r="AXN9" s="272"/>
      <c r="AXO9" s="272"/>
      <c r="AXP9" s="273"/>
      <c r="AXQ9" s="432"/>
      <c r="AXR9" s="268"/>
      <c r="AXS9" s="228"/>
      <c r="AXT9" s="433"/>
      <c r="AXU9" s="433"/>
      <c r="AXV9" s="68"/>
      <c r="AXW9" s="271"/>
      <c r="AXY9" s="272"/>
      <c r="AXZ9" s="272"/>
      <c r="AYA9" s="272"/>
      <c r="AYB9" s="273"/>
      <c r="AYC9" s="432"/>
      <c r="AYD9" s="268"/>
      <c r="AYE9" s="228"/>
      <c r="AYF9" s="433"/>
      <c r="AYG9" s="433"/>
      <c r="AYH9" s="68"/>
      <c r="AYI9" s="271"/>
      <c r="AYK9" s="272"/>
      <c r="AYL9" s="272"/>
      <c r="AYM9" s="272"/>
      <c r="AYN9" s="273"/>
      <c r="AYO9" s="432"/>
      <c r="AYP9" s="268"/>
      <c r="AYQ9" s="228"/>
      <c r="AYR9" s="433"/>
      <c r="AYS9" s="433"/>
      <c r="AYT9" s="68"/>
      <c r="AYU9" s="271"/>
      <c r="AYW9" s="272"/>
      <c r="AYX9" s="272"/>
      <c r="AYY9" s="272"/>
      <c r="AYZ9" s="273"/>
      <c r="AZA9" s="432"/>
      <c r="AZB9" s="268"/>
      <c r="AZC9" s="228"/>
      <c r="AZD9" s="433"/>
      <c r="AZE9" s="433"/>
      <c r="AZF9" s="68"/>
      <c r="AZG9" s="271"/>
      <c r="AZI9" s="272"/>
      <c r="AZJ9" s="272"/>
      <c r="AZK9" s="272"/>
      <c r="AZL9" s="273"/>
      <c r="AZM9" s="432"/>
      <c r="AZN9" s="268"/>
      <c r="AZO9" s="228"/>
      <c r="AZP9" s="433"/>
      <c r="AZQ9" s="433"/>
      <c r="AZR9" s="68"/>
      <c r="AZS9" s="271"/>
      <c r="AZU9" s="272"/>
      <c r="AZV9" s="272"/>
      <c r="AZW9" s="272"/>
      <c r="AZX9" s="273"/>
      <c r="AZY9" s="432"/>
      <c r="AZZ9" s="268"/>
      <c r="BAA9" s="228"/>
      <c r="BAB9" s="433"/>
      <c r="BAC9" s="433"/>
      <c r="BAD9" s="68"/>
      <c r="BAE9" s="271"/>
      <c r="BAG9" s="272"/>
      <c r="BAH9" s="272"/>
      <c r="BAI9" s="272"/>
      <c r="BAJ9" s="273"/>
      <c r="BAK9" s="432"/>
      <c r="BAL9" s="268"/>
      <c r="BAM9" s="228"/>
      <c r="BAN9" s="433"/>
      <c r="BAO9" s="433"/>
      <c r="BAP9" s="68"/>
      <c r="BAQ9" s="271"/>
      <c r="BAS9" s="272"/>
      <c r="BAT9" s="272"/>
      <c r="BAU9" s="272"/>
      <c r="BAV9" s="273"/>
      <c r="BAW9" s="432"/>
      <c r="BAX9" s="268"/>
      <c r="BAY9" s="228"/>
      <c r="BAZ9" s="433"/>
      <c r="BBA9" s="433"/>
      <c r="BBB9" s="68"/>
      <c r="BBC9" s="271"/>
      <c r="BBE9" s="272"/>
      <c r="BBF9" s="272"/>
      <c r="BBG9" s="272"/>
      <c r="BBH9" s="273"/>
      <c r="BBI9" s="432"/>
      <c r="BBJ9" s="268"/>
      <c r="BBK9" s="228"/>
      <c r="BBL9" s="433"/>
      <c r="BBM9" s="433"/>
      <c r="BBN9" s="68"/>
      <c r="BBO9" s="271"/>
      <c r="BBQ9" s="272"/>
      <c r="BBR9" s="272"/>
      <c r="BBS9" s="272"/>
      <c r="BBT9" s="273"/>
      <c r="BBU9" s="432"/>
      <c r="BBV9" s="268"/>
      <c r="BBW9" s="228"/>
      <c r="BBX9" s="433"/>
      <c r="BBY9" s="433"/>
      <c r="BBZ9" s="68"/>
      <c r="BCA9" s="271"/>
      <c r="BCC9" s="272"/>
      <c r="BCD9" s="272"/>
      <c r="BCE9" s="272"/>
      <c r="BCF9" s="273"/>
      <c r="BCG9" s="432"/>
      <c r="BCH9" s="268"/>
      <c r="BCI9" s="228"/>
      <c r="BCJ9" s="433"/>
      <c r="BCK9" s="433"/>
      <c r="BCL9" s="68"/>
      <c r="BCM9" s="271"/>
      <c r="BCO9" s="272"/>
      <c r="BCP9" s="272"/>
      <c r="BCQ9" s="272"/>
      <c r="BCR9" s="273"/>
      <c r="BCS9" s="432"/>
      <c r="BCT9" s="268"/>
      <c r="BCU9" s="228"/>
      <c r="BCV9" s="433"/>
      <c r="BCW9" s="433"/>
      <c r="BCX9" s="68"/>
      <c r="BCY9" s="271"/>
      <c r="BDA9" s="272"/>
      <c r="BDB9" s="272"/>
      <c r="BDC9" s="272"/>
      <c r="BDD9" s="273"/>
      <c r="BDE9" s="432"/>
      <c r="BDF9" s="268"/>
      <c r="BDG9" s="228"/>
      <c r="BDH9" s="433"/>
      <c r="BDI9" s="433"/>
      <c r="BDJ9" s="68"/>
      <c r="BDK9" s="271"/>
      <c r="BDM9" s="272"/>
      <c r="BDN9" s="272"/>
      <c r="BDO9" s="272"/>
      <c r="BDP9" s="273"/>
      <c r="BDQ9" s="432"/>
      <c r="BDR9" s="268"/>
      <c r="BDS9" s="228"/>
      <c r="BDT9" s="433"/>
      <c r="BDU9" s="433"/>
      <c r="BDV9" s="68"/>
      <c r="BDW9" s="271"/>
      <c r="BDY9" s="272"/>
      <c r="BDZ9" s="272"/>
      <c r="BEA9" s="272"/>
      <c r="BEB9" s="273"/>
      <c r="BEC9" s="432"/>
      <c r="BED9" s="268"/>
      <c r="BEE9" s="228"/>
      <c r="BEF9" s="433"/>
      <c r="BEG9" s="433"/>
      <c r="BEH9" s="68"/>
      <c r="BEI9" s="271"/>
      <c r="BEK9" s="272"/>
      <c r="BEL9" s="272"/>
      <c r="BEM9" s="272"/>
      <c r="BEN9" s="273"/>
      <c r="BEO9" s="432"/>
      <c r="BEP9" s="268"/>
      <c r="BEQ9" s="228"/>
      <c r="BER9" s="433"/>
      <c r="BES9" s="433"/>
      <c r="BET9" s="68"/>
      <c r="BEU9" s="271"/>
      <c r="BEW9" s="272"/>
      <c r="BEX9" s="272"/>
      <c r="BEY9" s="272"/>
      <c r="BEZ9" s="273"/>
      <c r="BFA9" s="432"/>
      <c r="BFB9" s="268"/>
      <c r="BFC9" s="228"/>
      <c r="BFD9" s="433"/>
      <c r="BFE9" s="433"/>
      <c r="BFF9" s="68"/>
      <c r="BFG9" s="271"/>
      <c r="BFI9" s="272"/>
      <c r="BFJ9" s="272"/>
      <c r="BFK9" s="272"/>
      <c r="BFL9" s="273"/>
      <c r="BFM9" s="432"/>
      <c r="BFN9" s="268"/>
      <c r="BFO9" s="228"/>
      <c r="BFP9" s="433"/>
      <c r="BFQ9" s="433"/>
      <c r="BFR9" s="68"/>
      <c r="BFS9" s="271"/>
      <c r="BFU9" s="272"/>
      <c r="BFV9" s="272"/>
      <c r="BFW9" s="272"/>
      <c r="BFX9" s="273"/>
      <c r="BFY9" s="432"/>
      <c r="BFZ9" s="268"/>
      <c r="BGA9" s="228"/>
      <c r="BGB9" s="433"/>
      <c r="BGC9" s="433"/>
      <c r="BGD9" s="68"/>
      <c r="BGE9" s="271"/>
      <c r="BGG9" s="272"/>
      <c r="BGH9" s="272"/>
      <c r="BGI9" s="272"/>
      <c r="BGJ9" s="273"/>
      <c r="BGK9" s="432"/>
      <c r="BGL9" s="268"/>
      <c r="BGM9" s="228"/>
      <c r="BGN9" s="433"/>
      <c r="BGO9" s="433"/>
      <c r="BGP9" s="68"/>
      <c r="BGQ9" s="271"/>
      <c r="BGS9" s="272"/>
      <c r="BGT9" s="272"/>
      <c r="BGU9" s="272"/>
      <c r="BGV9" s="273"/>
      <c r="BGW9" s="432"/>
      <c r="BGX9" s="268"/>
      <c r="BGY9" s="228"/>
      <c r="BGZ9" s="433"/>
      <c r="BHA9" s="433"/>
      <c r="BHB9" s="68"/>
      <c r="BHC9" s="271"/>
      <c r="BHE9" s="272"/>
      <c r="BHF9" s="272"/>
      <c r="BHG9" s="272"/>
      <c r="BHH9" s="273"/>
      <c r="BHI9" s="432"/>
      <c r="BHJ9" s="268"/>
      <c r="BHK9" s="228"/>
      <c r="BHL9" s="433"/>
      <c r="BHM9" s="433"/>
      <c r="BHN9" s="68"/>
      <c r="BHO9" s="271"/>
      <c r="BHQ9" s="272"/>
      <c r="BHR9" s="272"/>
      <c r="BHS9" s="272"/>
      <c r="BHT9" s="273"/>
      <c r="BHU9" s="432"/>
      <c r="BHV9" s="268"/>
      <c r="BHW9" s="228"/>
      <c r="BHX9" s="433"/>
      <c r="BHY9" s="433"/>
      <c r="BHZ9" s="68"/>
      <c r="BIA9" s="271"/>
      <c r="BIC9" s="272"/>
      <c r="BID9" s="272"/>
      <c r="BIE9" s="272"/>
      <c r="BIF9" s="273"/>
      <c r="BIG9" s="432"/>
      <c r="BIH9" s="268"/>
      <c r="BII9" s="228"/>
      <c r="BIJ9" s="433"/>
      <c r="BIK9" s="433"/>
      <c r="BIL9" s="68"/>
      <c r="BIM9" s="271"/>
      <c r="BIO9" s="272"/>
      <c r="BIP9" s="272"/>
      <c r="BIQ9" s="272"/>
      <c r="BIR9" s="273"/>
      <c r="BIS9" s="432"/>
      <c r="BIT9" s="268"/>
      <c r="BIU9" s="228"/>
      <c r="BIV9" s="433"/>
      <c r="BIW9" s="433"/>
      <c r="BIX9" s="68"/>
      <c r="BIY9" s="271"/>
      <c r="BJA9" s="272"/>
      <c r="BJB9" s="272"/>
      <c r="BJC9" s="272"/>
      <c r="BJD9" s="273"/>
      <c r="BJE9" s="432"/>
      <c r="BJF9" s="268"/>
      <c r="BJG9" s="228"/>
      <c r="BJH9" s="433"/>
      <c r="BJI9" s="433"/>
      <c r="BJJ9" s="68"/>
      <c r="BJK9" s="271"/>
      <c r="BJM9" s="272"/>
      <c r="BJN9" s="272"/>
      <c r="BJO9" s="272"/>
      <c r="BJP9" s="273"/>
      <c r="BJQ9" s="432"/>
      <c r="BJR9" s="268"/>
      <c r="BJS9" s="228"/>
      <c r="BJT9" s="433"/>
      <c r="BJU9" s="433"/>
      <c r="BJV9" s="68"/>
      <c r="BJW9" s="271"/>
      <c r="BJY9" s="272"/>
      <c r="BJZ9" s="272"/>
      <c r="BKA9" s="272"/>
      <c r="BKB9" s="273"/>
      <c r="BKC9" s="432"/>
      <c r="BKD9" s="268"/>
      <c r="BKE9" s="228"/>
      <c r="BKF9" s="433"/>
      <c r="BKG9" s="433"/>
      <c r="BKH9" s="68"/>
      <c r="BKI9" s="271"/>
      <c r="BKK9" s="272"/>
      <c r="BKL9" s="272"/>
      <c r="BKM9" s="272"/>
      <c r="BKN9" s="273"/>
      <c r="BKO9" s="432"/>
      <c r="BKP9" s="268"/>
      <c r="BKQ9" s="228"/>
      <c r="BKR9" s="433"/>
      <c r="BKS9" s="433"/>
      <c r="BKT9" s="68"/>
      <c r="BKU9" s="271"/>
      <c r="BKW9" s="272"/>
      <c r="BKX9" s="272"/>
      <c r="BKY9" s="272"/>
      <c r="BKZ9" s="273"/>
      <c r="BLA9" s="432"/>
      <c r="BLB9" s="268"/>
      <c r="BLC9" s="228"/>
      <c r="BLD9" s="433"/>
      <c r="BLE9" s="433"/>
      <c r="BLF9" s="68"/>
      <c r="BLG9" s="271"/>
      <c r="BLI9" s="272"/>
      <c r="BLJ9" s="272"/>
      <c r="BLK9" s="272"/>
      <c r="BLL9" s="273"/>
      <c r="BLM9" s="432"/>
      <c r="BLN9" s="268"/>
      <c r="BLO9" s="228"/>
      <c r="BLP9" s="433"/>
      <c r="BLQ9" s="433"/>
      <c r="BLR9" s="68"/>
      <c r="BLS9" s="271"/>
      <c r="BLU9" s="272"/>
      <c r="BLV9" s="272"/>
      <c r="BLW9" s="272"/>
      <c r="BLX9" s="273"/>
      <c r="BLY9" s="432"/>
      <c r="BLZ9" s="268"/>
      <c r="BMA9" s="228"/>
      <c r="BMB9" s="433"/>
      <c r="BMC9" s="433"/>
      <c r="BMD9" s="68"/>
      <c r="BME9" s="271"/>
      <c r="BMG9" s="272"/>
      <c r="BMH9" s="272"/>
      <c r="BMI9" s="272"/>
      <c r="BMJ9" s="273"/>
      <c r="BMK9" s="432"/>
      <c r="BML9" s="268"/>
      <c r="BMM9" s="228"/>
      <c r="BMN9" s="433"/>
      <c r="BMO9" s="433"/>
      <c r="BMP9" s="68"/>
      <c r="BMQ9" s="271"/>
      <c r="BMS9" s="272"/>
      <c r="BMT9" s="272"/>
      <c r="BMU9" s="272"/>
      <c r="BMV9" s="273"/>
      <c r="BMW9" s="432"/>
      <c r="BMX9" s="268"/>
      <c r="BMY9" s="228"/>
      <c r="BMZ9" s="433"/>
      <c r="BNA9" s="433"/>
      <c r="BNB9" s="68"/>
      <c r="BNC9" s="271"/>
      <c r="BNE9" s="272"/>
      <c r="BNF9" s="272"/>
      <c r="BNG9" s="272"/>
      <c r="BNH9" s="273"/>
      <c r="BNI9" s="432"/>
      <c r="BNJ9" s="268"/>
      <c r="BNK9" s="228"/>
      <c r="BNL9" s="433"/>
      <c r="BNM9" s="433"/>
      <c r="BNN9" s="68"/>
      <c r="BNO9" s="271"/>
      <c r="BNQ9" s="272"/>
      <c r="BNR9" s="272"/>
      <c r="BNS9" s="272"/>
      <c r="BNT9" s="273"/>
      <c r="BNU9" s="432"/>
      <c r="BNV9" s="268"/>
      <c r="BNW9" s="228"/>
      <c r="BNX9" s="433"/>
      <c r="BNY9" s="433"/>
      <c r="BNZ9" s="68"/>
      <c r="BOA9" s="271"/>
      <c r="BOC9" s="272"/>
      <c r="BOD9" s="272"/>
      <c r="BOE9" s="272"/>
      <c r="BOF9" s="273"/>
      <c r="BOG9" s="432"/>
      <c r="BOH9" s="268"/>
      <c r="BOI9" s="228"/>
      <c r="BOJ9" s="433"/>
      <c r="BOK9" s="433"/>
      <c r="BOL9" s="68"/>
      <c r="BOM9" s="271"/>
      <c r="BOO9" s="272"/>
      <c r="BOP9" s="272"/>
      <c r="BOQ9" s="272"/>
      <c r="BOR9" s="273"/>
      <c r="BOS9" s="432"/>
      <c r="BOT9" s="268"/>
      <c r="BOU9" s="228"/>
      <c r="BOV9" s="433"/>
      <c r="BOW9" s="433"/>
      <c r="BOX9" s="68"/>
      <c r="BOY9" s="271"/>
      <c r="BPA9" s="272"/>
      <c r="BPB9" s="272"/>
      <c r="BPC9" s="272"/>
      <c r="BPD9" s="273"/>
      <c r="BPE9" s="432"/>
      <c r="BPF9" s="268"/>
      <c r="BPG9" s="228"/>
      <c r="BPH9" s="433"/>
      <c r="BPI9" s="433"/>
      <c r="BPJ9" s="68"/>
      <c r="BPK9" s="271"/>
      <c r="BPM9" s="272"/>
      <c r="BPN9" s="272"/>
      <c r="BPO9" s="272"/>
      <c r="BPP9" s="273"/>
      <c r="BPQ9" s="432"/>
      <c r="BPR9" s="268"/>
      <c r="BPS9" s="228"/>
      <c r="BPT9" s="433"/>
      <c r="BPU9" s="433"/>
      <c r="BPV9" s="68"/>
      <c r="BPW9" s="271"/>
      <c r="BPY9" s="272"/>
      <c r="BPZ9" s="272"/>
      <c r="BQA9" s="272"/>
      <c r="BQB9" s="273"/>
      <c r="BQC9" s="432"/>
      <c r="BQD9" s="268"/>
      <c r="BQE9" s="228"/>
      <c r="BQF9" s="433"/>
      <c r="BQG9" s="433"/>
      <c r="BQH9" s="68"/>
      <c r="BQI9" s="271"/>
      <c r="BQK9" s="272"/>
      <c r="BQL9" s="272"/>
      <c r="BQM9" s="272"/>
      <c r="BQN9" s="273"/>
      <c r="BQO9" s="432"/>
      <c r="BQP9" s="268"/>
      <c r="BQQ9" s="228"/>
      <c r="BQR9" s="433"/>
      <c r="BQS9" s="433"/>
      <c r="BQT9" s="68"/>
      <c r="BQU9" s="271"/>
      <c r="BQW9" s="272"/>
      <c r="BQX9" s="272"/>
      <c r="BQY9" s="272"/>
      <c r="BQZ9" s="273"/>
      <c r="BRA9" s="432"/>
      <c r="BRB9" s="268"/>
      <c r="BRC9" s="228"/>
      <c r="BRD9" s="433"/>
      <c r="BRE9" s="433"/>
      <c r="BRF9" s="68"/>
      <c r="BRG9" s="271"/>
      <c r="BRI9" s="272"/>
      <c r="BRJ9" s="272"/>
      <c r="BRK9" s="272"/>
      <c r="BRL9" s="273"/>
      <c r="BRM9" s="432"/>
      <c r="BRN9" s="268"/>
      <c r="BRO9" s="228"/>
      <c r="BRP9" s="433"/>
      <c r="BRQ9" s="433"/>
      <c r="BRR9" s="68"/>
      <c r="BRS9" s="271"/>
      <c r="BRU9" s="272"/>
      <c r="BRV9" s="272"/>
      <c r="BRW9" s="272"/>
      <c r="BRX9" s="273"/>
      <c r="BRY9" s="432"/>
      <c r="BRZ9" s="268"/>
      <c r="BSA9" s="228"/>
      <c r="BSB9" s="433"/>
      <c r="BSC9" s="433"/>
      <c r="BSD9" s="68"/>
      <c r="BSE9" s="271"/>
      <c r="BSG9" s="272"/>
      <c r="BSH9" s="272"/>
      <c r="BSI9" s="272"/>
      <c r="BSJ9" s="273"/>
      <c r="BSK9" s="432"/>
      <c r="BSL9" s="268"/>
      <c r="BSM9" s="228"/>
      <c r="BSN9" s="433"/>
      <c r="BSO9" s="433"/>
      <c r="BSP9" s="68"/>
      <c r="BSQ9" s="271"/>
      <c r="BSS9" s="272"/>
      <c r="BST9" s="272"/>
      <c r="BSU9" s="272"/>
      <c r="BSV9" s="273"/>
      <c r="BSW9" s="432"/>
      <c r="BSX9" s="268"/>
      <c r="BSY9" s="228"/>
      <c r="BSZ9" s="433"/>
      <c r="BTA9" s="433"/>
      <c r="BTB9" s="68"/>
      <c r="BTC9" s="271"/>
      <c r="BTE9" s="272"/>
      <c r="BTF9" s="272"/>
      <c r="BTG9" s="272"/>
      <c r="BTH9" s="273"/>
      <c r="BTI9" s="432"/>
      <c r="BTJ9" s="268"/>
      <c r="BTK9" s="228"/>
      <c r="BTL9" s="433"/>
      <c r="BTM9" s="433"/>
      <c r="BTN9" s="68"/>
      <c r="BTO9" s="271"/>
      <c r="BTQ9" s="272"/>
      <c r="BTR9" s="272"/>
      <c r="BTS9" s="272"/>
      <c r="BTT9" s="273"/>
      <c r="BTU9" s="432"/>
      <c r="BTV9" s="268"/>
      <c r="BTW9" s="228"/>
      <c r="BTX9" s="433"/>
      <c r="BTY9" s="433"/>
      <c r="BTZ9" s="68"/>
      <c r="BUA9" s="271"/>
      <c r="BUC9" s="272"/>
      <c r="BUD9" s="272"/>
      <c r="BUE9" s="272"/>
      <c r="BUF9" s="273"/>
      <c r="BUG9" s="432"/>
      <c r="BUH9" s="268"/>
      <c r="BUI9" s="228"/>
      <c r="BUJ9" s="433"/>
      <c r="BUK9" s="433"/>
      <c r="BUL9" s="68"/>
      <c r="BUM9" s="271"/>
      <c r="BUO9" s="272"/>
      <c r="BUP9" s="272"/>
      <c r="BUQ9" s="272"/>
      <c r="BUR9" s="273"/>
      <c r="BUS9" s="432"/>
      <c r="BUT9" s="268"/>
      <c r="BUU9" s="228"/>
      <c r="BUV9" s="433"/>
      <c r="BUW9" s="433"/>
      <c r="BUX9" s="68"/>
      <c r="BUY9" s="271"/>
      <c r="BVA9" s="272"/>
      <c r="BVB9" s="272"/>
      <c r="BVC9" s="272"/>
      <c r="BVD9" s="273"/>
      <c r="BVE9" s="432"/>
      <c r="BVF9" s="268"/>
      <c r="BVG9" s="228"/>
      <c r="BVH9" s="433"/>
      <c r="BVI9" s="433"/>
      <c r="BVJ9" s="68"/>
      <c r="BVK9" s="271"/>
      <c r="BVM9" s="272"/>
      <c r="BVN9" s="272"/>
      <c r="BVO9" s="272"/>
      <c r="BVP9" s="273"/>
      <c r="BVQ9" s="432"/>
      <c r="BVR9" s="268"/>
      <c r="BVS9" s="228"/>
      <c r="BVT9" s="433"/>
      <c r="BVU9" s="433"/>
      <c r="BVV9" s="68"/>
      <c r="BVW9" s="271"/>
      <c r="BVY9" s="272"/>
      <c r="BVZ9" s="272"/>
      <c r="BWA9" s="272"/>
      <c r="BWB9" s="273"/>
      <c r="BWC9" s="432"/>
      <c r="BWD9" s="268"/>
      <c r="BWE9" s="228"/>
      <c r="BWF9" s="433"/>
      <c r="BWG9" s="433"/>
      <c r="BWH9" s="68"/>
      <c r="BWI9" s="271"/>
      <c r="BWK9" s="272"/>
      <c r="BWL9" s="272"/>
      <c r="BWM9" s="272"/>
      <c r="BWN9" s="273"/>
      <c r="BWO9" s="432"/>
      <c r="BWP9" s="268"/>
      <c r="BWQ9" s="228"/>
      <c r="BWR9" s="433"/>
      <c r="BWS9" s="433"/>
      <c r="BWT9" s="68"/>
      <c r="BWU9" s="271"/>
      <c r="BWW9" s="272"/>
      <c r="BWX9" s="272"/>
      <c r="BWY9" s="272"/>
      <c r="BWZ9" s="273"/>
      <c r="BXA9" s="432"/>
      <c r="BXB9" s="268"/>
      <c r="BXC9" s="228"/>
      <c r="BXD9" s="433"/>
      <c r="BXE9" s="433"/>
      <c r="BXF9" s="68"/>
      <c r="BXG9" s="271"/>
      <c r="BXI9" s="272"/>
      <c r="BXJ9" s="272"/>
      <c r="BXK9" s="272"/>
      <c r="BXL9" s="273"/>
      <c r="BXM9" s="432"/>
      <c r="BXN9" s="268"/>
      <c r="BXO9" s="228"/>
      <c r="BXP9" s="433"/>
      <c r="BXQ9" s="433"/>
      <c r="BXR9" s="68"/>
      <c r="BXS9" s="271"/>
      <c r="BXU9" s="272"/>
      <c r="BXV9" s="272"/>
      <c r="BXW9" s="272"/>
      <c r="BXX9" s="273"/>
      <c r="BXY9" s="432"/>
      <c r="BXZ9" s="268"/>
      <c r="BYA9" s="228"/>
      <c r="BYB9" s="433"/>
      <c r="BYC9" s="433"/>
      <c r="BYD9" s="68"/>
      <c r="BYE9" s="271"/>
      <c r="BYG9" s="272"/>
      <c r="BYH9" s="272"/>
      <c r="BYI9" s="272"/>
      <c r="BYJ9" s="273"/>
      <c r="BYK9" s="432"/>
      <c r="BYL9" s="268"/>
      <c r="BYM9" s="228"/>
      <c r="BYN9" s="433"/>
      <c r="BYO9" s="433"/>
      <c r="BYP9" s="68"/>
      <c r="BYQ9" s="271"/>
      <c r="BYS9" s="272"/>
      <c r="BYT9" s="272"/>
      <c r="BYU9" s="272"/>
      <c r="BYV9" s="273"/>
      <c r="BYW9" s="432"/>
      <c r="BYX9" s="268"/>
      <c r="BYY9" s="228"/>
      <c r="BYZ9" s="433"/>
      <c r="BZA9" s="433"/>
      <c r="BZB9" s="68"/>
      <c r="BZC9" s="271"/>
      <c r="BZE9" s="272"/>
      <c r="BZF9" s="272"/>
      <c r="BZG9" s="272"/>
      <c r="BZH9" s="273"/>
      <c r="BZI9" s="432"/>
      <c r="BZJ9" s="268"/>
      <c r="BZK9" s="228"/>
      <c r="BZL9" s="433"/>
      <c r="BZM9" s="433"/>
      <c r="BZN9" s="68"/>
      <c r="BZO9" s="271"/>
      <c r="BZQ9" s="272"/>
      <c r="BZR9" s="272"/>
      <c r="BZS9" s="272"/>
      <c r="BZT9" s="273"/>
      <c r="BZU9" s="432"/>
      <c r="BZV9" s="268"/>
      <c r="BZW9" s="228"/>
      <c r="BZX9" s="433"/>
      <c r="BZY9" s="433"/>
      <c r="BZZ9" s="68"/>
      <c r="CAA9" s="271"/>
      <c r="CAC9" s="272"/>
      <c r="CAD9" s="272"/>
      <c r="CAE9" s="272"/>
      <c r="CAF9" s="273"/>
      <c r="CAG9" s="432"/>
      <c r="CAH9" s="268"/>
      <c r="CAI9" s="228"/>
      <c r="CAJ9" s="433"/>
      <c r="CAK9" s="433"/>
      <c r="CAL9" s="68"/>
      <c r="CAM9" s="271"/>
      <c r="CAO9" s="272"/>
      <c r="CAP9" s="272"/>
      <c r="CAQ9" s="272"/>
      <c r="CAR9" s="273"/>
      <c r="CAS9" s="432"/>
      <c r="CAT9" s="268"/>
      <c r="CAU9" s="228"/>
      <c r="CAV9" s="433"/>
      <c r="CAW9" s="433"/>
      <c r="CAX9" s="68"/>
      <c r="CAY9" s="271"/>
      <c r="CBA9" s="272"/>
      <c r="CBB9" s="272"/>
      <c r="CBC9" s="272"/>
      <c r="CBD9" s="273"/>
      <c r="CBE9" s="432"/>
      <c r="CBF9" s="268"/>
      <c r="CBG9" s="228"/>
      <c r="CBH9" s="433"/>
      <c r="CBI9" s="433"/>
      <c r="CBJ9" s="68"/>
      <c r="CBK9" s="271"/>
      <c r="CBM9" s="272"/>
      <c r="CBN9" s="272"/>
      <c r="CBO9" s="272"/>
      <c r="CBP9" s="273"/>
      <c r="CBQ9" s="432"/>
      <c r="CBR9" s="268"/>
      <c r="CBS9" s="228"/>
      <c r="CBT9" s="433"/>
      <c r="CBU9" s="433"/>
      <c r="CBV9" s="68"/>
      <c r="CBW9" s="271"/>
      <c r="CBY9" s="272"/>
      <c r="CBZ9" s="272"/>
      <c r="CCA9" s="272"/>
      <c r="CCB9" s="273"/>
      <c r="CCC9" s="432"/>
      <c r="CCD9" s="268"/>
      <c r="CCE9" s="228"/>
      <c r="CCF9" s="433"/>
      <c r="CCG9" s="433"/>
      <c r="CCH9" s="68"/>
      <c r="CCI9" s="271"/>
      <c r="CCK9" s="272"/>
      <c r="CCL9" s="272"/>
      <c r="CCM9" s="272"/>
      <c r="CCN9" s="273"/>
      <c r="CCO9" s="432"/>
      <c r="CCP9" s="268"/>
      <c r="CCQ9" s="228"/>
      <c r="CCR9" s="433"/>
      <c r="CCS9" s="433"/>
      <c r="CCT9" s="68"/>
      <c r="CCU9" s="271"/>
      <c r="CCW9" s="272"/>
      <c r="CCX9" s="272"/>
      <c r="CCY9" s="272"/>
      <c r="CCZ9" s="273"/>
      <c r="CDA9" s="432"/>
      <c r="CDB9" s="268"/>
      <c r="CDC9" s="228"/>
      <c r="CDD9" s="433"/>
      <c r="CDE9" s="433"/>
      <c r="CDF9" s="68"/>
      <c r="CDG9" s="271"/>
      <c r="CDI9" s="272"/>
      <c r="CDJ9" s="272"/>
      <c r="CDK9" s="272"/>
      <c r="CDL9" s="273"/>
      <c r="CDM9" s="432"/>
      <c r="CDN9" s="268"/>
      <c r="CDO9" s="228"/>
      <c r="CDP9" s="433"/>
      <c r="CDQ9" s="433"/>
      <c r="CDR9" s="68"/>
      <c r="CDS9" s="271"/>
      <c r="CDU9" s="272"/>
      <c r="CDV9" s="272"/>
      <c r="CDW9" s="272"/>
      <c r="CDX9" s="273"/>
      <c r="CDY9" s="432"/>
      <c r="CDZ9" s="268"/>
      <c r="CEA9" s="228"/>
      <c r="CEB9" s="433"/>
      <c r="CEC9" s="433"/>
      <c r="CED9" s="68"/>
      <c r="CEE9" s="271"/>
      <c r="CEG9" s="272"/>
      <c r="CEH9" s="272"/>
      <c r="CEI9" s="272"/>
      <c r="CEJ9" s="273"/>
      <c r="CEK9" s="432"/>
      <c r="CEL9" s="268"/>
      <c r="CEM9" s="228"/>
      <c r="CEN9" s="433"/>
      <c r="CEO9" s="433"/>
      <c r="CEP9" s="68"/>
      <c r="CEQ9" s="271"/>
      <c r="CES9" s="272"/>
      <c r="CET9" s="272"/>
      <c r="CEU9" s="272"/>
      <c r="CEV9" s="273"/>
      <c r="CEW9" s="432"/>
      <c r="CEX9" s="268"/>
      <c r="CEY9" s="228"/>
      <c r="CEZ9" s="433"/>
      <c r="CFA9" s="433"/>
      <c r="CFB9" s="68"/>
      <c r="CFC9" s="271"/>
      <c r="CFE9" s="272"/>
      <c r="CFF9" s="272"/>
      <c r="CFG9" s="272"/>
      <c r="CFH9" s="273"/>
      <c r="CFI9" s="432"/>
      <c r="CFJ9" s="268"/>
      <c r="CFK9" s="228"/>
      <c r="CFL9" s="433"/>
      <c r="CFM9" s="433"/>
      <c r="CFN9" s="68"/>
      <c r="CFO9" s="271"/>
      <c r="CFQ9" s="272"/>
      <c r="CFR9" s="272"/>
      <c r="CFS9" s="272"/>
      <c r="CFT9" s="273"/>
      <c r="CFU9" s="432"/>
      <c r="CFV9" s="268"/>
      <c r="CFW9" s="228"/>
      <c r="CFX9" s="433"/>
      <c r="CFY9" s="433"/>
      <c r="CFZ9" s="68"/>
      <c r="CGA9" s="271"/>
      <c r="CGC9" s="272"/>
      <c r="CGD9" s="272"/>
      <c r="CGE9" s="272"/>
      <c r="CGF9" s="273"/>
      <c r="CGG9" s="432"/>
      <c r="CGH9" s="268"/>
      <c r="CGI9" s="228"/>
      <c r="CGJ9" s="433"/>
      <c r="CGK9" s="433"/>
      <c r="CGL9" s="68"/>
      <c r="CGM9" s="271"/>
      <c r="CGO9" s="272"/>
      <c r="CGP9" s="272"/>
      <c r="CGQ9" s="272"/>
      <c r="CGR9" s="273"/>
      <c r="CGS9" s="432"/>
      <c r="CGT9" s="268"/>
      <c r="CGU9" s="228"/>
      <c r="CGV9" s="433"/>
      <c r="CGW9" s="433"/>
      <c r="CGX9" s="68"/>
      <c r="CGY9" s="271"/>
      <c r="CHA9" s="272"/>
      <c r="CHB9" s="272"/>
      <c r="CHC9" s="272"/>
      <c r="CHD9" s="273"/>
      <c r="CHE9" s="432"/>
      <c r="CHF9" s="268"/>
      <c r="CHG9" s="228"/>
      <c r="CHH9" s="433"/>
      <c r="CHI9" s="433"/>
      <c r="CHJ9" s="68"/>
      <c r="CHK9" s="271"/>
      <c r="CHM9" s="272"/>
      <c r="CHN9" s="272"/>
      <c r="CHO9" s="272"/>
      <c r="CHP9" s="273"/>
      <c r="CHQ9" s="432"/>
      <c r="CHR9" s="268"/>
      <c r="CHS9" s="228"/>
      <c r="CHT9" s="433"/>
      <c r="CHU9" s="433"/>
      <c r="CHV9" s="68"/>
      <c r="CHW9" s="271"/>
      <c r="CHY9" s="272"/>
      <c r="CHZ9" s="272"/>
      <c r="CIA9" s="272"/>
      <c r="CIB9" s="273"/>
      <c r="CIC9" s="432"/>
      <c r="CID9" s="268"/>
      <c r="CIE9" s="228"/>
      <c r="CIF9" s="433"/>
      <c r="CIG9" s="433"/>
      <c r="CIH9" s="68"/>
      <c r="CII9" s="271"/>
      <c r="CIK9" s="272"/>
      <c r="CIL9" s="272"/>
      <c r="CIM9" s="272"/>
      <c r="CIN9" s="273"/>
      <c r="CIO9" s="432"/>
      <c r="CIP9" s="268"/>
      <c r="CIQ9" s="228"/>
      <c r="CIR9" s="433"/>
      <c r="CIS9" s="433"/>
      <c r="CIT9" s="68"/>
      <c r="CIU9" s="271"/>
      <c r="CIW9" s="272"/>
      <c r="CIX9" s="272"/>
      <c r="CIY9" s="272"/>
      <c r="CIZ9" s="273"/>
      <c r="CJA9" s="432"/>
      <c r="CJB9" s="268"/>
      <c r="CJC9" s="228"/>
      <c r="CJD9" s="433"/>
      <c r="CJE9" s="433"/>
      <c r="CJF9" s="68"/>
      <c r="CJG9" s="271"/>
      <c r="CJI9" s="272"/>
      <c r="CJJ9" s="272"/>
      <c r="CJK9" s="272"/>
      <c r="CJL9" s="273"/>
      <c r="CJM9" s="432"/>
      <c r="CJN9" s="268"/>
      <c r="CJO9" s="228"/>
      <c r="CJP9" s="433"/>
      <c r="CJQ9" s="433"/>
      <c r="CJR9" s="68"/>
      <c r="CJS9" s="271"/>
      <c r="CJU9" s="272"/>
      <c r="CJV9" s="272"/>
      <c r="CJW9" s="272"/>
      <c r="CJX9" s="273"/>
      <c r="CJY9" s="432"/>
      <c r="CJZ9" s="268"/>
      <c r="CKA9" s="228"/>
      <c r="CKB9" s="433"/>
      <c r="CKC9" s="433"/>
      <c r="CKD9" s="68"/>
      <c r="CKE9" s="271"/>
      <c r="CKG9" s="272"/>
      <c r="CKH9" s="272"/>
      <c r="CKI9" s="272"/>
      <c r="CKJ9" s="273"/>
      <c r="CKK9" s="432"/>
      <c r="CKL9" s="268"/>
      <c r="CKM9" s="228"/>
      <c r="CKN9" s="433"/>
      <c r="CKO9" s="433"/>
      <c r="CKP9" s="68"/>
      <c r="CKQ9" s="271"/>
      <c r="CKS9" s="272"/>
      <c r="CKT9" s="272"/>
      <c r="CKU9" s="272"/>
      <c r="CKV9" s="273"/>
      <c r="CKW9" s="432"/>
      <c r="CKX9" s="268"/>
      <c r="CKY9" s="228"/>
      <c r="CKZ9" s="433"/>
      <c r="CLA9" s="433"/>
      <c r="CLB9" s="68"/>
      <c r="CLC9" s="271"/>
      <c r="CLE9" s="272"/>
      <c r="CLF9" s="272"/>
      <c r="CLG9" s="272"/>
      <c r="CLH9" s="273"/>
      <c r="CLI9" s="432"/>
      <c r="CLJ9" s="268"/>
      <c r="CLK9" s="228"/>
      <c r="CLL9" s="433"/>
      <c r="CLM9" s="433"/>
      <c r="CLN9" s="68"/>
      <c r="CLO9" s="271"/>
      <c r="CLQ9" s="272"/>
      <c r="CLR9" s="272"/>
      <c r="CLS9" s="272"/>
      <c r="CLT9" s="273"/>
      <c r="CLU9" s="432"/>
      <c r="CLV9" s="268"/>
      <c r="CLW9" s="228"/>
      <c r="CLX9" s="433"/>
      <c r="CLY9" s="433"/>
      <c r="CLZ9" s="68"/>
      <c r="CMA9" s="271"/>
      <c r="CMC9" s="272"/>
      <c r="CMD9" s="272"/>
      <c r="CME9" s="272"/>
      <c r="CMF9" s="273"/>
      <c r="CMG9" s="432"/>
      <c r="CMH9" s="268"/>
      <c r="CMI9" s="228"/>
      <c r="CMJ9" s="433"/>
      <c r="CMK9" s="433"/>
      <c r="CML9" s="68"/>
      <c r="CMM9" s="271"/>
      <c r="CMO9" s="272"/>
      <c r="CMP9" s="272"/>
      <c r="CMQ9" s="272"/>
      <c r="CMR9" s="273"/>
      <c r="CMS9" s="432"/>
      <c r="CMT9" s="268"/>
      <c r="CMU9" s="228"/>
      <c r="CMV9" s="433"/>
      <c r="CMW9" s="433"/>
      <c r="CMX9" s="68"/>
      <c r="CMY9" s="271"/>
      <c r="CNA9" s="272"/>
      <c r="CNB9" s="272"/>
      <c r="CNC9" s="272"/>
      <c r="CND9" s="273"/>
      <c r="CNE9" s="432"/>
      <c r="CNF9" s="268"/>
      <c r="CNG9" s="228"/>
      <c r="CNH9" s="433"/>
      <c r="CNI9" s="433"/>
      <c r="CNJ9" s="68"/>
      <c r="CNK9" s="271"/>
      <c r="CNM9" s="272"/>
      <c r="CNN9" s="272"/>
      <c r="CNO9" s="272"/>
      <c r="CNP9" s="273"/>
      <c r="CNQ9" s="432"/>
      <c r="CNR9" s="268"/>
      <c r="CNS9" s="228"/>
      <c r="CNT9" s="433"/>
      <c r="CNU9" s="433"/>
      <c r="CNV9" s="68"/>
      <c r="CNW9" s="271"/>
      <c r="CNY9" s="272"/>
      <c r="CNZ9" s="272"/>
      <c r="COA9" s="272"/>
      <c r="COB9" s="273"/>
      <c r="COC9" s="432"/>
      <c r="COD9" s="268"/>
      <c r="COE9" s="228"/>
      <c r="COF9" s="433"/>
      <c r="COG9" s="433"/>
      <c r="COH9" s="68"/>
      <c r="COI9" s="271"/>
      <c r="COK9" s="272"/>
      <c r="COL9" s="272"/>
      <c r="COM9" s="272"/>
      <c r="CON9" s="273"/>
      <c r="COO9" s="432"/>
      <c r="COP9" s="268"/>
      <c r="COQ9" s="228"/>
      <c r="COR9" s="433"/>
      <c r="COS9" s="433"/>
      <c r="COT9" s="68"/>
      <c r="COU9" s="271"/>
      <c r="COW9" s="272"/>
      <c r="COX9" s="272"/>
      <c r="COY9" s="272"/>
      <c r="COZ9" s="273"/>
      <c r="CPA9" s="432"/>
      <c r="CPB9" s="268"/>
      <c r="CPC9" s="228"/>
      <c r="CPD9" s="433"/>
      <c r="CPE9" s="433"/>
      <c r="CPF9" s="68"/>
      <c r="CPG9" s="271"/>
      <c r="CPI9" s="272"/>
      <c r="CPJ9" s="272"/>
      <c r="CPK9" s="272"/>
      <c r="CPL9" s="273"/>
      <c r="CPM9" s="432"/>
      <c r="CPN9" s="268"/>
      <c r="CPO9" s="228"/>
      <c r="CPP9" s="433"/>
      <c r="CPQ9" s="433"/>
      <c r="CPR9" s="68"/>
      <c r="CPS9" s="271"/>
      <c r="CPU9" s="272"/>
      <c r="CPV9" s="272"/>
      <c r="CPW9" s="272"/>
      <c r="CPX9" s="273"/>
      <c r="CPY9" s="432"/>
      <c r="CPZ9" s="268"/>
      <c r="CQA9" s="228"/>
      <c r="CQB9" s="433"/>
      <c r="CQC9" s="433"/>
      <c r="CQD9" s="68"/>
      <c r="CQE9" s="271"/>
      <c r="CQG9" s="272"/>
      <c r="CQH9" s="272"/>
      <c r="CQI9" s="272"/>
      <c r="CQJ9" s="273"/>
      <c r="CQK9" s="432"/>
      <c r="CQL9" s="268"/>
      <c r="CQM9" s="228"/>
      <c r="CQN9" s="433"/>
      <c r="CQO9" s="433"/>
      <c r="CQP9" s="68"/>
      <c r="CQQ9" s="271"/>
      <c r="CQS9" s="272"/>
      <c r="CQT9" s="272"/>
      <c r="CQU9" s="272"/>
      <c r="CQV9" s="273"/>
      <c r="CQW9" s="432"/>
      <c r="CQX9" s="268"/>
      <c r="CQY9" s="228"/>
      <c r="CQZ9" s="433"/>
      <c r="CRA9" s="433"/>
      <c r="CRB9" s="68"/>
      <c r="CRC9" s="271"/>
      <c r="CRE9" s="272"/>
      <c r="CRF9" s="272"/>
      <c r="CRG9" s="272"/>
      <c r="CRH9" s="273"/>
      <c r="CRI9" s="432"/>
      <c r="CRJ9" s="268"/>
      <c r="CRK9" s="228"/>
      <c r="CRL9" s="433"/>
      <c r="CRM9" s="433"/>
      <c r="CRN9" s="68"/>
      <c r="CRO9" s="271"/>
      <c r="CRQ9" s="272"/>
      <c r="CRR9" s="272"/>
      <c r="CRS9" s="272"/>
      <c r="CRT9" s="273"/>
      <c r="CRU9" s="432"/>
      <c r="CRV9" s="268"/>
      <c r="CRW9" s="228"/>
      <c r="CRX9" s="433"/>
      <c r="CRY9" s="433"/>
      <c r="CRZ9" s="68"/>
      <c r="CSA9" s="271"/>
      <c r="CSC9" s="272"/>
      <c r="CSD9" s="272"/>
      <c r="CSE9" s="272"/>
      <c r="CSF9" s="273"/>
      <c r="CSG9" s="432"/>
      <c r="CSH9" s="268"/>
      <c r="CSI9" s="228"/>
      <c r="CSJ9" s="433"/>
      <c r="CSK9" s="433"/>
      <c r="CSL9" s="68"/>
      <c r="CSM9" s="271"/>
      <c r="CSO9" s="272"/>
      <c r="CSP9" s="272"/>
      <c r="CSQ9" s="272"/>
      <c r="CSR9" s="273"/>
      <c r="CSS9" s="432"/>
      <c r="CST9" s="268"/>
      <c r="CSU9" s="228"/>
      <c r="CSV9" s="433"/>
      <c r="CSW9" s="433"/>
      <c r="CSX9" s="68"/>
      <c r="CSY9" s="271"/>
      <c r="CTA9" s="272"/>
      <c r="CTB9" s="272"/>
      <c r="CTC9" s="272"/>
      <c r="CTD9" s="273"/>
      <c r="CTE9" s="432"/>
      <c r="CTF9" s="268"/>
      <c r="CTG9" s="228"/>
      <c r="CTH9" s="433"/>
      <c r="CTI9" s="433"/>
      <c r="CTJ9" s="68"/>
      <c r="CTK9" s="271"/>
      <c r="CTM9" s="272"/>
      <c r="CTN9" s="272"/>
      <c r="CTO9" s="272"/>
      <c r="CTP9" s="273"/>
      <c r="CTQ9" s="432"/>
      <c r="CTR9" s="268"/>
      <c r="CTS9" s="228"/>
      <c r="CTT9" s="433"/>
      <c r="CTU9" s="433"/>
      <c r="CTV9" s="68"/>
      <c r="CTW9" s="271"/>
      <c r="CTY9" s="272"/>
      <c r="CTZ9" s="272"/>
      <c r="CUA9" s="272"/>
      <c r="CUB9" s="273"/>
      <c r="CUC9" s="432"/>
      <c r="CUD9" s="268"/>
      <c r="CUE9" s="228"/>
      <c r="CUF9" s="433"/>
      <c r="CUG9" s="433"/>
      <c r="CUH9" s="68"/>
      <c r="CUI9" s="271"/>
      <c r="CUK9" s="272"/>
      <c r="CUL9" s="272"/>
      <c r="CUM9" s="272"/>
      <c r="CUN9" s="273"/>
      <c r="CUO9" s="432"/>
      <c r="CUP9" s="268"/>
      <c r="CUQ9" s="228"/>
      <c r="CUR9" s="433"/>
      <c r="CUS9" s="433"/>
      <c r="CUT9" s="68"/>
      <c r="CUU9" s="271"/>
      <c r="CUW9" s="272"/>
      <c r="CUX9" s="272"/>
      <c r="CUY9" s="272"/>
      <c r="CUZ9" s="273"/>
      <c r="CVA9" s="432"/>
      <c r="CVB9" s="268"/>
      <c r="CVC9" s="228"/>
      <c r="CVD9" s="433"/>
      <c r="CVE9" s="433"/>
      <c r="CVF9" s="68"/>
      <c r="CVG9" s="271"/>
      <c r="CVI9" s="272"/>
      <c r="CVJ9" s="272"/>
      <c r="CVK9" s="272"/>
      <c r="CVL9" s="273"/>
      <c r="CVM9" s="432"/>
      <c r="CVN9" s="268"/>
      <c r="CVO9" s="228"/>
      <c r="CVP9" s="433"/>
      <c r="CVQ9" s="433"/>
      <c r="CVR9" s="68"/>
      <c r="CVS9" s="271"/>
      <c r="CVU9" s="272"/>
      <c r="CVV9" s="272"/>
      <c r="CVW9" s="272"/>
      <c r="CVX9" s="273"/>
      <c r="CVY9" s="432"/>
      <c r="CVZ9" s="268"/>
      <c r="CWA9" s="228"/>
      <c r="CWB9" s="433"/>
      <c r="CWC9" s="433"/>
      <c r="CWD9" s="68"/>
      <c r="CWE9" s="271"/>
      <c r="CWG9" s="272"/>
      <c r="CWH9" s="272"/>
      <c r="CWI9" s="272"/>
      <c r="CWJ9" s="273"/>
      <c r="CWK9" s="432"/>
      <c r="CWL9" s="268"/>
      <c r="CWM9" s="228"/>
      <c r="CWN9" s="433"/>
      <c r="CWO9" s="433"/>
      <c r="CWP9" s="68"/>
      <c r="CWQ9" s="271"/>
      <c r="CWS9" s="272"/>
      <c r="CWT9" s="272"/>
      <c r="CWU9" s="272"/>
      <c r="CWV9" s="273"/>
      <c r="CWW9" s="432"/>
      <c r="CWX9" s="268"/>
      <c r="CWY9" s="228"/>
      <c r="CWZ9" s="433"/>
      <c r="CXA9" s="433"/>
      <c r="CXB9" s="68"/>
      <c r="CXC9" s="271"/>
      <c r="CXE9" s="272"/>
      <c r="CXF9" s="272"/>
      <c r="CXG9" s="272"/>
      <c r="CXH9" s="273"/>
      <c r="CXI9" s="432"/>
      <c r="CXJ9" s="268"/>
      <c r="CXK9" s="228"/>
      <c r="CXL9" s="433"/>
      <c r="CXM9" s="433"/>
      <c r="CXN9" s="68"/>
      <c r="CXO9" s="271"/>
      <c r="CXQ9" s="272"/>
      <c r="CXR9" s="272"/>
      <c r="CXS9" s="272"/>
      <c r="CXT9" s="273"/>
      <c r="CXU9" s="432"/>
      <c r="CXV9" s="268"/>
      <c r="CXW9" s="228"/>
      <c r="CXX9" s="433"/>
      <c r="CXY9" s="433"/>
      <c r="CXZ9" s="68"/>
      <c r="CYA9" s="271"/>
      <c r="CYC9" s="272"/>
      <c r="CYD9" s="272"/>
      <c r="CYE9" s="272"/>
      <c r="CYF9" s="273"/>
      <c r="CYG9" s="432"/>
      <c r="CYH9" s="268"/>
      <c r="CYI9" s="228"/>
      <c r="CYJ9" s="433"/>
      <c r="CYK9" s="433"/>
      <c r="CYL9" s="68"/>
      <c r="CYM9" s="271"/>
      <c r="CYO9" s="272"/>
      <c r="CYP9" s="272"/>
      <c r="CYQ9" s="272"/>
      <c r="CYR9" s="273"/>
      <c r="CYS9" s="432"/>
      <c r="CYT9" s="268"/>
      <c r="CYU9" s="228"/>
      <c r="CYV9" s="433"/>
      <c r="CYW9" s="433"/>
      <c r="CYX9" s="68"/>
      <c r="CYY9" s="271"/>
      <c r="CZA9" s="272"/>
      <c r="CZB9" s="272"/>
      <c r="CZC9" s="272"/>
      <c r="CZD9" s="273"/>
      <c r="CZE9" s="432"/>
      <c r="CZF9" s="268"/>
      <c r="CZG9" s="228"/>
      <c r="CZH9" s="433"/>
      <c r="CZI9" s="433"/>
      <c r="CZJ9" s="68"/>
      <c r="CZK9" s="271"/>
      <c r="CZM9" s="272"/>
      <c r="CZN9" s="272"/>
      <c r="CZO9" s="272"/>
      <c r="CZP9" s="273"/>
      <c r="CZQ9" s="432"/>
      <c r="CZR9" s="268"/>
      <c r="CZS9" s="228"/>
      <c r="CZT9" s="433"/>
      <c r="CZU9" s="433"/>
      <c r="CZV9" s="68"/>
      <c r="CZW9" s="271"/>
      <c r="CZY9" s="272"/>
      <c r="CZZ9" s="272"/>
      <c r="DAA9" s="272"/>
      <c r="DAB9" s="273"/>
      <c r="DAC9" s="432"/>
      <c r="DAD9" s="268"/>
      <c r="DAE9" s="228"/>
      <c r="DAF9" s="433"/>
      <c r="DAG9" s="433"/>
      <c r="DAH9" s="68"/>
      <c r="DAI9" s="271"/>
      <c r="DAK9" s="272"/>
      <c r="DAL9" s="272"/>
      <c r="DAM9" s="272"/>
      <c r="DAN9" s="273"/>
      <c r="DAO9" s="432"/>
      <c r="DAP9" s="268"/>
      <c r="DAQ9" s="228"/>
      <c r="DAR9" s="433"/>
      <c r="DAS9" s="433"/>
      <c r="DAT9" s="68"/>
      <c r="DAU9" s="271"/>
      <c r="DAW9" s="272"/>
      <c r="DAX9" s="272"/>
      <c r="DAY9" s="272"/>
      <c r="DAZ9" s="273"/>
      <c r="DBA9" s="432"/>
      <c r="DBB9" s="268"/>
      <c r="DBC9" s="228"/>
      <c r="DBD9" s="433"/>
      <c r="DBE9" s="433"/>
      <c r="DBF9" s="68"/>
      <c r="DBG9" s="271"/>
      <c r="DBI9" s="272"/>
      <c r="DBJ9" s="272"/>
      <c r="DBK9" s="272"/>
      <c r="DBL9" s="273"/>
      <c r="DBM9" s="432"/>
      <c r="DBN9" s="268"/>
      <c r="DBO9" s="228"/>
      <c r="DBP9" s="433"/>
      <c r="DBQ9" s="433"/>
      <c r="DBR9" s="68"/>
      <c r="DBS9" s="271"/>
      <c r="DBU9" s="272"/>
      <c r="DBV9" s="272"/>
      <c r="DBW9" s="272"/>
      <c r="DBX9" s="273"/>
      <c r="DBY9" s="432"/>
      <c r="DBZ9" s="268"/>
      <c r="DCA9" s="228"/>
      <c r="DCB9" s="433"/>
      <c r="DCC9" s="433"/>
      <c r="DCD9" s="68"/>
      <c r="DCE9" s="271"/>
      <c r="DCG9" s="272"/>
      <c r="DCH9" s="272"/>
      <c r="DCI9" s="272"/>
      <c r="DCJ9" s="273"/>
      <c r="DCK9" s="432"/>
      <c r="DCL9" s="268"/>
      <c r="DCM9" s="228"/>
      <c r="DCN9" s="433"/>
      <c r="DCO9" s="433"/>
      <c r="DCP9" s="68"/>
      <c r="DCQ9" s="271"/>
      <c r="DCS9" s="272"/>
      <c r="DCT9" s="272"/>
      <c r="DCU9" s="272"/>
      <c r="DCV9" s="273"/>
      <c r="DCW9" s="432"/>
      <c r="DCX9" s="268"/>
      <c r="DCY9" s="228"/>
      <c r="DCZ9" s="433"/>
      <c r="DDA9" s="433"/>
      <c r="DDB9" s="68"/>
      <c r="DDC9" s="271"/>
      <c r="DDE9" s="272"/>
      <c r="DDF9" s="272"/>
      <c r="DDG9" s="272"/>
      <c r="DDH9" s="273"/>
      <c r="DDI9" s="432"/>
      <c r="DDJ9" s="268"/>
      <c r="DDK9" s="228"/>
      <c r="DDL9" s="433"/>
      <c r="DDM9" s="433"/>
      <c r="DDN9" s="68"/>
      <c r="DDO9" s="271"/>
      <c r="DDQ9" s="272"/>
      <c r="DDR9" s="272"/>
      <c r="DDS9" s="272"/>
      <c r="DDT9" s="273"/>
      <c r="DDU9" s="432"/>
      <c r="DDV9" s="268"/>
      <c r="DDW9" s="228"/>
      <c r="DDX9" s="433"/>
      <c r="DDY9" s="433"/>
      <c r="DDZ9" s="68"/>
      <c r="DEA9" s="271"/>
      <c r="DEC9" s="272"/>
      <c r="DED9" s="272"/>
      <c r="DEE9" s="272"/>
      <c r="DEF9" s="273"/>
      <c r="DEG9" s="432"/>
      <c r="DEH9" s="268"/>
      <c r="DEI9" s="228"/>
      <c r="DEJ9" s="433"/>
      <c r="DEK9" s="433"/>
      <c r="DEL9" s="68"/>
      <c r="DEM9" s="271"/>
      <c r="DEO9" s="272"/>
      <c r="DEP9" s="272"/>
      <c r="DEQ9" s="272"/>
      <c r="DER9" s="273"/>
      <c r="DES9" s="432"/>
      <c r="DET9" s="268"/>
      <c r="DEU9" s="228"/>
      <c r="DEV9" s="433"/>
      <c r="DEW9" s="433"/>
      <c r="DEX9" s="68"/>
      <c r="DEY9" s="271"/>
      <c r="DFA9" s="272"/>
      <c r="DFB9" s="272"/>
      <c r="DFC9" s="272"/>
      <c r="DFD9" s="273"/>
      <c r="DFE9" s="432"/>
      <c r="DFF9" s="268"/>
      <c r="DFG9" s="228"/>
      <c r="DFH9" s="433"/>
      <c r="DFI9" s="433"/>
      <c r="DFJ9" s="68"/>
      <c r="DFK9" s="271"/>
      <c r="DFM9" s="272"/>
      <c r="DFN9" s="272"/>
      <c r="DFO9" s="272"/>
      <c r="DFP9" s="273"/>
      <c r="DFQ9" s="432"/>
      <c r="DFR9" s="268"/>
      <c r="DFS9" s="228"/>
      <c r="DFT9" s="433"/>
      <c r="DFU9" s="433"/>
      <c r="DFV9" s="68"/>
      <c r="DFW9" s="271"/>
      <c r="DFY9" s="272"/>
      <c r="DFZ9" s="272"/>
      <c r="DGA9" s="272"/>
      <c r="DGB9" s="273"/>
      <c r="DGC9" s="432"/>
      <c r="DGD9" s="268"/>
      <c r="DGE9" s="228"/>
      <c r="DGF9" s="433"/>
      <c r="DGG9" s="433"/>
      <c r="DGH9" s="68"/>
      <c r="DGI9" s="271"/>
      <c r="DGK9" s="272"/>
      <c r="DGL9" s="272"/>
      <c r="DGM9" s="272"/>
      <c r="DGN9" s="273"/>
      <c r="DGO9" s="432"/>
      <c r="DGP9" s="268"/>
      <c r="DGQ9" s="228"/>
      <c r="DGR9" s="433"/>
      <c r="DGS9" s="433"/>
      <c r="DGT9" s="68"/>
      <c r="DGU9" s="271"/>
      <c r="DGW9" s="272"/>
      <c r="DGX9" s="272"/>
      <c r="DGY9" s="272"/>
      <c r="DGZ9" s="273"/>
      <c r="DHA9" s="432"/>
      <c r="DHB9" s="268"/>
      <c r="DHC9" s="228"/>
      <c r="DHD9" s="433"/>
      <c r="DHE9" s="433"/>
      <c r="DHF9" s="68"/>
      <c r="DHG9" s="271"/>
      <c r="DHI9" s="272"/>
      <c r="DHJ9" s="272"/>
      <c r="DHK9" s="272"/>
      <c r="DHL9" s="273"/>
      <c r="DHM9" s="432"/>
      <c r="DHN9" s="268"/>
      <c r="DHO9" s="228"/>
      <c r="DHP9" s="433"/>
      <c r="DHQ9" s="433"/>
      <c r="DHR9" s="68"/>
      <c r="DHS9" s="271"/>
      <c r="DHU9" s="272"/>
      <c r="DHV9" s="272"/>
      <c r="DHW9" s="272"/>
      <c r="DHX9" s="273"/>
      <c r="DHY9" s="432"/>
      <c r="DHZ9" s="268"/>
      <c r="DIA9" s="228"/>
      <c r="DIB9" s="433"/>
      <c r="DIC9" s="433"/>
      <c r="DID9" s="68"/>
      <c r="DIE9" s="271"/>
      <c r="DIG9" s="272"/>
      <c r="DIH9" s="272"/>
      <c r="DII9" s="272"/>
      <c r="DIJ9" s="273"/>
      <c r="DIK9" s="432"/>
      <c r="DIL9" s="268"/>
      <c r="DIM9" s="228"/>
      <c r="DIN9" s="433"/>
      <c r="DIO9" s="433"/>
      <c r="DIP9" s="68"/>
      <c r="DIQ9" s="271"/>
      <c r="DIS9" s="272"/>
      <c r="DIT9" s="272"/>
      <c r="DIU9" s="272"/>
      <c r="DIV9" s="273"/>
      <c r="DIW9" s="432"/>
      <c r="DIX9" s="268"/>
      <c r="DIY9" s="228"/>
      <c r="DIZ9" s="433"/>
      <c r="DJA9" s="433"/>
      <c r="DJB9" s="68"/>
      <c r="DJC9" s="271"/>
      <c r="DJE9" s="272"/>
      <c r="DJF9" s="272"/>
      <c r="DJG9" s="272"/>
      <c r="DJH9" s="273"/>
      <c r="DJI9" s="432"/>
      <c r="DJJ9" s="268"/>
      <c r="DJK9" s="228"/>
      <c r="DJL9" s="433"/>
      <c r="DJM9" s="433"/>
      <c r="DJN9" s="68"/>
      <c r="DJO9" s="271"/>
      <c r="DJQ9" s="272"/>
      <c r="DJR9" s="272"/>
      <c r="DJS9" s="272"/>
      <c r="DJT9" s="273"/>
      <c r="DJU9" s="432"/>
      <c r="DJV9" s="268"/>
      <c r="DJW9" s="228"/>
      <c r="DJX9" s="433"/>
      <c r="DJY9" s="433"/>
      <c r="DJZ9" s="68"/>
      <c r="DKA9" s="271"/>
      <c r="DKC9" s="272"/>
      <c r="DKD9" s="272"/>
      <c r="DKE9" s="272"/>
      <c r="DKF9" s="273"/>
      <c r="DKG9" s="432"/>
      <c r="DKH9" s="268"/>
      <c r="DKI9" s="228"/>
      <c r="DKJ9" s="433"/>
      <c r="DKK9" s="433"/>
      <c r="DKL9" s="68"/>
      <c r="DKM9" s="271"/>
      <c r="DKO9" s="272"/>
      <c r="DKP9" s="272"/>
      <c r="DKQ9" s="272"/>
      <c r="DKR9" s="273"/>
      <c r="DKS9" s="432"/>
      <c r="DKT9" s="268"/>
      <c r="DKU9" s="228"/>
      <c r="DKV9" s="433"/>
      <c r="DKW9" s="433"/>
      <c r="DKX9" s="68"/>
      <c r="DKY9" s="271"/>
      <c r="DLA9" s="272"/>
      <c r="DLB9" s="272"/>
      <c r="DLC9" s="272"/>
      <c r="DLD9" s="273"/>
      <c r="DLE9" s="432"/>
      <c r="DLF9" s="268"/>
      <c r="DLG9" s="228"/>
      <c r="DLH9" s="433"/>
      <c r="DLI9" s="433"/>
      <c r="DLJ9" s="68"/>
      <c r="DLK9" s="271"/>
      <c r="DLM9" s="272"/>
      <c r="DLN9" s="272"/>
      <c r="DLO9" s="272"/>
      <c r="DLP9" s="273"/>
      <c r="DLQ9" s="432"/>
      <c r="DLR9" s="268"/>
      <c r="DLS9" s="228"/>
      <c r="DLT9" s="433"/>
      <c r="DLU9" s="433"/>
      <c r="DLV9" s="68"/>
      <c r="DLW9" s="271"/>
      <c r="DLY9" s="272"/>
      <c r="DLZ9" s="272"/>
      <c r="DMA9" s="272"/>
      <c r="DMB9" s="273"/>
      <c r="DMC9" s="432"/>
      <c r="DMD9" s="268"/>
      <c r="DME9" s="228"/>
      <c r="DMF9" s="433"/>
      <c r="DMG9" s="433"/>
      <c r="DMH9" s="68"/>
      <c r="DMI9" s="271"/>
      <c r="DMK9" s="272"/>
      <c r="DML9" s="272"/>
      <c r="DMM9" s="272"/>
      <c r="DMN9" s="273"/>
      <c r="DMO9" s="432"/>
      <c r="DMP9" s="268"/>
      <c r="DMQ9" s="228"/>
      <c r="DMR9" s="433"/>
      <c r="DMS9" s="433"/>
      <c r="DMT9" s="68"/>
      <c r="DMU9" s="271"/>
      <c r="DMW9" s="272"/>
      <c r="DMX9" s="272"/>
      <c r="DMY9" s="272"/>
      <c r="DMZ9" s="273"/>
      <c r="DNA9" s="432"/>
      <c r="DNB9" s="268"/>
      <c r="DNC9" s="228"/>
      <c r="DND9" s="433"/>
      <c r="DNE9" s="433"/>
      <c r="DNF9" s="68"/>
      <c r="DNG9" s="271"/>
      <c r="DNI9" s="272"/>
      <c r="DNJ9" s="272"/>
      <c r="DNK9" s="272"/>
      <c r="DNL9" s="273"/>
      <c r="DNM9" s="432"/>
      <c r="DNN9" s="268"/>
      <c r="DNO9" s="228"/>
      <c r="DNP9" s="433"/>
      <c r="DNQ9" s="433"/>
      <c r="DNR9" s="68"/>
      <c r="DNS9" s="271"/>
      <c r="DNU9" s="272"/>
      <c r="DNV9" s="272"/>
      <c r="DNW9" s="272"/>
      <c r="DNX9" s="273"/>
      <c r="DNY9" s="432"/>
      <c r="DNZ9" s="268"/>
      <c r="DOA9" s="228"/>
      <c r="DOB9" s="433"/>
      <c r="DOC9" s="433"/>
      <c r="DOD9" s="68"/>
      <c r="DOE9" s="271"/>
      <c r="DOG9" s="272"/>
      <c r="DOH9" s="272"/>
      <c r="DOI9" s="272"/>
      <c r="DOJ9" s="273"/>
      <c r="DOK9" s="432"/>
      <c r="DOL9" s="268"/>
      <c r="DOM9" s="228"/>
      <c r="DON9" s="433"/>
      <c r="DOO9" s="433"/>
      <c r="DOP9" s="68"/>
      <c r="DOQ9" s="271"/>
      <c r="DOS9" s="272"/>
      <c r="DOT9" s="272"/>
      <c r="DOU9" s="272"/>
      <c r="DOV9" s="273"/>
      <c r="DOW9" s="432"/>
      <c r="DOX9" s="268"/>
      <c r="DOY9" s="228"/>
      <c r="DOZ9" s="433"/>
      <c r="DPA9" s="433"/>
      <c r="DPB9" s="68"/>
      <c r="DPC9" s="271"/>
      <c r="DPE9" s="272"/>
      <c r="DPF9" s="272"/>
      <c r="DPG9" s="272"/>
      <c r="DPH9" s="273"/>
      <c r="DPI9" s="432"/>
      <c r="DPJ9" s="268"/>
      <c r="DPK9" s="228"/>
      <c r="DPL9" s="433"/>
      <c r="DPM9" s="433"/>
      <c r="DPN9" s="68"/>
      <c r="DPO9" s="271"/>
      <c r="DPQ9" s="272"/>
      <c r="DPR9" s="272"/>
      <c r="DPS9" s="272"/>
      <c r="DPT9" s="273"/>
      <c r="DPU9" s="432"/>
      <c r="DPV9" s="268"/>
      <c r="DPW9" s="228"/>
      <c r="DPX9" s="433"/>
      <c r="DPY9" s="433"/>
      <c r="DPZ9" s="68"/>
      <c r="DQA9" s="271"/>
      <c r="DQC9" s="272"/>
      <c r="DQD9" s="272"/>
      <c r="DQE9" s="272"/>
      <c r="DQF9" s="273"/>
      <c r="DQG9" s="432"/>
      <c r="DQH9" s="268"/>
      <c r="DQI9" s="228"/>
      <c r="DQJ9" s="433"/>
      <c r="DQK9" s="433"/>
      <c r="DQL9" s="68"/>
      <c r="DQM9" s="271"/>
      <c r="DQO9" s="272"/>
      <c r="DQP9" s="272"/>
      <c r="DQQ9" s="272"/>
      <c r="DQR9" s="273"/>
      <c r="DQS9" s="432"/>
      <c r="DQT9" s="268"/>
      <c r="DQU9" s="228"/>
      <c r="DQV9" s="433"/>
      <c r="DQW9" s="433"/>
      <c r="DQX9" s="68"/>
      <c r="DQY9" s="271"/>
      <c r="DRA9" s="272"/>
      <c r="DRB9" s="272"/>
      <c r="DRC9" s="272"/>
      <c r="DRD9" s="273"/>
      <c r="DRE9" s="432"/>
      <c r="DRF9" s="268"/>
      <c r="DRG9" s="228"/>
      <c r="DRH9" s="433"/>
      <c r="DRI9" s="433"/>
      <c r="DRJ9" s="68"/>
      <c r="DRK9" s="271"/>
      <c r="DRM9" s="272"/>
      <c r="DRN9" s="272"/>
      <c r="DRO9" s="272"/>
      <c r="DRP9" s="273"/>
      <c r="DRQ9" s="432"/>
      <c r="DRR9" s="268"/>
      <c r="DRS9" s="228"/>
      <c r="DRT9" s="433"/>
      <c r="DRU9" s="433"/>
      <c r="DRV9" s="68"/>
      <c r="DRW9" s="271"/>
      <c r="DRY9" s="272"/>
      <c r="DRZ9" s="272"/>
      <c r="DSA9" s="272"/>
      <c r="DSB9" s="273"/>
      <c r="DSC9" s="432"/>
      <c r="DSD9" s="268"/>
      <c r="DSE9" s="228"/>
      <c r="DSF9" s="433"/>
      <c r="DSG9" s="433"/>
      <c r="DSH9" s="68"/>
      <c r="DSI9" s="271"/>
      <c r="DSK9" s="272"/>
      <c r="DSL9" s="272"/>
      <c r="DSM9" s="272"/>
      <c r="DSN9" s="273"/>
      <c r="DSO9" s="432"/>
      <c r="DSP9" s="268"/>
      <c r="DSQ9" s="228"/>
      <c r="DSR9" s="433"/>
      <c r="DSS9" s="433"/>
      <c r="DST9" s="68"/>
      <c r="DSU9" s="271"/>
      <c r="DSW9" s="272"/>
      <c r="DSX9" s="272"/>
      <c r="DSY9" s="272"/>
      <c r="DSZ9" s="273"/>
      <c r="DTA9" s="432"/>
      <c r="DTB9" s="268"/>
      <c r="DTC9" s="228"/>
      <c r="DTD9" s="433"/>
      <c r="DTE9" s="433"/>
      <c r="DTF9" s="68"/>
      <c r="DTG9" s="271"/>
      <c r="DTI9" s="272"/>
      <c r="DTJ9" s="272"/>
      <c r="DTK9" s="272"/>
      <c r="DTL9" s="273"/>
      <c r="DTM9" s="432"/>
      <c r="DTN9" s="268"/>
      <c r="DTO9" s="228"/>
      <c r="DTP9" s="433"/>
      <c r="DTQ9" s="433"/>
      <c r="DTR9" s="68"/>
      <c r="DTS9" s="271"/>
      <c r="DTU9" s="272"/>
      <c r="DTV9" s="272"/>
      <c r="DTW9" s="272"/>
      <c r="DTX9" s="273"/>
      <c r="DTY9" s="432"/>
      <c r="DTZ9" s="268"/>
      <c r="DUA9" s="228"/>
      <c r="DUB9" s="433"/>
      <c r="DUC9" s="433"/>
      <c r="DUD9" s="68"/>
      <c r="DUE9" s="271"/>
      <c r="DUG9" s="272"/>
      <c r="DUH9" s="272"/>
      <c r="DUI9" s="272"/>
      <c r="DUJ9" s="273"/>
      <c r="DUK9" s="432"/>
      <c r="DUL9" s="268"/>
      <c r="DUM9" s="228"/>
      <c r="DUN9" s="433"/>
      <c r="DUO9" s="433"/>
      <c r="DUP9" s="68"/>
      <c r="DUQ9" s="271"/>
      <c r="DUS9" s="272"/>
      <c r="DUT9" s="272"/>
      <c r="DUU9" s="272"/>
      <c r="DUV9" s="273"/>
      <c r="DUW9" s="432"/>
      <c r="DUX9" s="268"/>
      <c r="DUY9" s="228"/>
      <c r="DUZ9" s="433"/>
      <c r="DVA9" s="433"/>
      <c r="DVB9" s="68"/>
      <c r="DVC9" s="271"/>
      <c r="DVE9" s="272"/>
      <c r="DVF9" s="272"/>
      <c r="DVG9" s="272"/>
      <c r="DVH9" s="273"/>
      <c r="DVI9" s="432"/>
      <c r="DVJ9" s="268"/>
      <c r="DVK9" s="228"/>
      <c r="DVL9" s="433"/>
      <c r="DVM9" s="433"/>
      <c r="DVN9" s="68"/>
      <c r="DVO9" s="271"/>
      <c r="DVQ9" s="272"/>
      <c r="DVR9" s="272"/>
      <c r="DVS9" s="272"/>
      <c r="DVT9" s="273"/>
      <c r="DVU9" s="432"/>
      <c r="DVV9" s="268"/>
      <c r="DVW9" s="228"/>
      <c r="DVX9" s="433"/>
      <c r="DVY9" s="433"/>
      <c r="DVZ9" s="68"/>
      <c r="DWA9" s="271"/>
      <c r="DWC9" s="272"/>
      <c r="DWD9" s="272"/>
      <c r="DWE9" s="272"/>
      <c r="DWF9" s="273"/>
      <c r="DWG9" s="432"/>
      <c r="DWH9" s="268"/>
      <c r="DWI9" s="228"/>
      <c r="DWJ9" s="433"/>
      <c r="DWK9" s="433"/>
      <c r="DWL9" s="68"/>
      <c r="DWM9" s="271"/>
      <c r="DWO9" s="272"/>
      <c r="DWP9" s="272"/>
      <c r="DWQ9" s="272"/>
      <c r="DWR9" s="273"/>
      <c r="DWS9" s="432"/>
      <c r="DWT9" s="268"/>
      <c r="DWU9" s="228"/>
      <c r="DWV9" s="433"/>
      <c r="DWW9" s="433"/>
      <c r="DWX9" s="68"/>
      <c r="DWY9" s="271"/>
      <c r="DXA9" s="272"/>
      <c r="DXB9" s="272"/>
      <c r="DXC9" s="272"/>
      <c r="DXD9" s="273"/>
      <c r="DXE9" s="432"/>
      <c r="DXF9" s="268"/>
      <c r="DXG9" s="228"/>
      <c r="DXH9" s="433"/>
      <c r="DXI9" s="433"/>
      <c r="DXJ9" s="68"/>
      <c r="DXK9" s="271"/>
      <c r="DXM9" s="272"/>
      <c r="DXN9" s="272"/>
      <c r="DXO9" s="272"/>
      <c r="DXP9" s="273"/>
      <c r="DXQ9" s="432"/>
      <c r="DXR9" s="268"/>
      <c r="DXS9" s="228"/>
      <c r="DXT9" s="433"/>
      <c r="DXU9" s="433"/>
      <c r="DXV9" s="68"/>
      <c r="DXW9" s="271"/>
      <c r="DXY9" s="272"/>
      <c r="DXZ9" s="272"/>
      <c r="DYA9" s="272"/>
      <c r="DYB9" s="273"/>
      <c r="DYC9" s="432"/>
      <c r="DYD9" s="268"/>
      <c r="DYE9" s="228"/>
      <c r="DYF9" s="433"/>
      <c r="DYG9" s="433"/>
      <c r="DYH9" s="68"/>
      <c r="DYI9" s="271"/>
      <c r="DYK9" s="272"/>
      <c r="DYL9" s="272"/>
      <c r="DYM9" s="272"/>
      <c r="DYN9" s="273"/>
      <c r="DYO9" s="432"/>
      <c r="DYP9" s="268"/>
      <c r="DYQ9" s="228"/>
      <c r="DYR9" s="433"/>
      <c r="DYS9" s="433"/>
      <c r="DYT9" s="68"/>
      <c r="DYU9" s="271"/>
      <c r="DYW9" s="272"/>
      <c r="DYX9" s="272"/>
      <c r="DYY9" s="272"/>
      <c r="DYZ9" s="273"/>
      <c r="DZA9" s="432"/>
      <c r="DZB9" s="268"/>
      <c r="DZC9" s="228"/>
      <c r="DZD9" s="433"/>
      <c r="DZE9" s="433"/>
      <c r="DZF9" s="68"/>
      <c r="DZG9" s="271"/>
      <c r="DZI9" s="272"/>
      <c r="DZJ9" s="272"/>
      <c r="DZK9" s="272"/>
      <c r="DZL9" s="273"/>
      <c r="DZM9" s="432"/>
      <c r="DZN9" s="268"/>
      <c r="DZO9" s="228"/>
      <c r="DZP9" s="433"/>
      <c r="DZQ9" s="433"/>
      <c r="DZR9" s="68"/>
      <c r="DZS9" s="271"/>
      <c r="DZU9" s="272"/>
      <c r="DZV9" s="272"/>
      <c r="DZW9" s="272"/>
      <c r="DZX9" s="273"/>
      <c r="DZY9" s="432"/>
      <c r="DZZ9" s="268"/>
      <c r="EAA9" s="228"/>
      <c r="EAB9" s="433"/>
      <c r="EAC9" s="433"/>
      <c r="EAD9" s="68"/>
      <c r="EAE9" s="271"/>
      <c r="EAG9" s="272"/>
      <c r="EAH9" s="272"/>
      <c r="EAI9" s="272"/>
      <c r="EAJ9" s="273"/>
      <c r="EAK9" s="432"/>
      <c r="EAL9" s="268"/>
      <c r="EAM9" s="228"/>
      <c r="EAN9" s="433"/>
      <c r="EAO9" s="433"/>
      <c r="EAP9" s="68"/>
      <c r="EAQ9" s="271"/>
      <c r="EAS9" s="272"/>
      <c r="EAT9" s="272"/>
      <c r="EAU9" s="272"/>
      <c r="EAV9" s="273"/>
      <c r="EAW9" s="432"/>
      <c r="EAX9" s="268"/>
      <c r="EAY9" s="228"/>
      <c r="EAZ9" s="433"/>
      <c r="EBA9" s="433"/>
      <c r="EBB9" s="68"/>
      <c r="EBC9" s="271"/>
      <c r="EBE9" s="272"/>
      <c r="EBF9" s="272"/>
      <c r="EBG9" s="272"/>
      <c r="EBH9" s="273"/>
      <c r="EBI9" s="432"/>
      <c r="EBJ9" s="268"/>
      <c r="EBK9" s="228"/>
      <c r="EBL9" s="433"/>
      <c r="EBM9" s="433"/>
      <c r="EBN9" s="68"/>
      <c r="EBO9" s="271"/>
      <c r="EBQ9" s="272"/>
      <c r="EBR9" s="272"/>
      <c r="EBS9" s="272"/>
      <c r="EBT9" s="273"/>
      <c r="EBU9" s="432"/>
      <c r="EBV9" s="268"/>
      <c r="EBW9" s="228"/>
      <c r="EBX9" s="433"/>
      <c r="EBY9" s="433"/>
      <c r="EBZ9" s="68"/>
      <c r="ECA9" s="271"/>
      <c r="ECC9" s="272"/>
      <c r="ECD9" s="272"/>
      <c r="ECE9" s="272"/>
      <c r="ECF9" s="273"/>
      <c r="ECG9" s="432"/>
      <c r="ECH9" s="268"/>
      <c r="ECI9" s="228"/>
      <c r="ECJ9" s="433"/>
      <c r="ECK9" s="433"/>
      <c r="ECL9" s="68"/>
      <c r="ECM9" s="271"/>
      <c r="ECO9" s="272"/>
      <c r="ECP9" s="272"/>
      <c r="ECQ9" s="272"/>
      <c r="ECR9" s="273"/>
      <c r="ECS9" s="432"/>
      <c r="ECT9" s="268"/>
      <c r="ECU9" s="228"/>
      <c r="ECV9" s="433"/>
      <c r="ECW9" s="433"/>
      <c r="ECX9" s="68"/>
      <c r="ECY9" s="271"/>
      <c r="EDA9" s="272"/>
      <c r="EDB9" s="272"/>
      <c r="EDC9" s="272"/>
      <c r="EDD9" s="273"/>
      <c r="EDE9" s="432"/>
      <c r="EDF9" s="268"/>
      <c r="EDG9" s="228"/>
      <c r="EDH9" s="433"/>
      <c r="EDI9" s="433"/>
      <c r="EDJ9" s="68"/>
      <c r="EDK9" s="271"/>
      <c r="EDM9" s="272"/>
      <c r="EDN9" s="272"/>
      <c r="EDO9" s="272"/>
      <c r="EDP9" s="273"/>
      <c r="EDQ9" s="432"/>
      <c r="EDR9" s="268"/>
      <c r="EDS9" s="228"/>
      <c r="EDT9" s="433"/>
      <c r="EDU9" s="433"/>
      <c r="EDV9" s="68"/>
      <c r="EDW9" s="271"/>
      <c r="EDY9" s="272"/>
      <c r="EDZ9" s="272"/>
      <c r="EEA9" s="272"/>
      <c r="EEB9" s="273"/>
      <c r="EEC9" s="432"/>
      <c r="EED9" s="268"/>
      <c r="EEE9" s="228"/>
      <c r="EEF9" s="433"/>
      <c r="EEG9" s="433"/>
      <c r="EEH9" s="68"/>
      <c r="EEI9" s="271"/>
      <c r="EEK9" s="272"/>
      <c r="EEL9" s="272"/>
      <c r="EEM9" s="272"/>
      <c r="EEN9" s="273"/>
      <c r="EEO9" s="432"/>
      <c r="EEP9" s="268"/>
      <c r="EEQ9" s="228"/>
      <c r="EER9" s="433"/>
      <c r="EES9" s="433"/>
      <c r="EET9" s="68"/>
      <c r="EEU9" s="271"/>
      <c r="EEW9" s="272"/>
      <c r="EEX9" s="272"/>
      <c r="EEY9" s="272"/>
      <c r="EEZ9" s="273"/>
      <c r="EFA9" s="432"/>
      <c r="EFB9" s="268"/>
      <c r="EFC9" s="228"/>
      <c r="EFD9" s="433"/>
      <c r="EFE9" s="433"/>
      <c r="EFF9" s="68"/>
      <c r="EFG9" s="271"/>
      <c r="EFI9" s="272"/>
      <c r="EFJ9" s="272"/>
      <c r="EFK9" s="272"/>
      <c r="EFL9" s="273"/>
      <c r="EFM9" s="432"/>
      <c r="EFN9" s="268"/>
      <c r="EFO9" s="228"/>
      <c r="EFP9" s="433"/>
      <c r="EFQ9" s="433"/>
      <c r="EFR9" s="68"/>
      <c r="EFS9" s="271"/>
      <c r="EFU9" s="272"/>
      <c r="EFV9" s="272"/>
      <c r="EFW9" s="272"/>
      <c r="EFX9" s="273"/>
      <c r="EFY9" s="432"/>
      <c r="EFZ9" s="268"/>
      <c r="EGA9" s="228"/>
      <c r="EGB9" s="433"/>
      <c r="EGC9" s="433"/>
      <c r="EGD9" s="68"/>
      <c r="EGE9" s="271"/>
      <c r="EGG9" s="272"/>
      <c r="EGH9" s="272"/>
      <c r="EGI9" s="272"/>
      <c r="EGJ9" s="273"/>
      <c r="EGK9" s="432"/>
      <c r="EGL9" s="268"/>
      <c r="EGM9" s="228"/>
      <c r="EGN9" s="433"/>
      <c r="EGO9" s="433"/>
      <c r="EGP9" s="68"/>
      <c r="EGQ9" s="271"/>
      <c r="EGS9" s="272"/>
      <c r="EGT9" s="272"/>
      <c r="EGU9" s="272"/>
      <c r="EGV9" s="273"/>
      <c r="EGW9" s="432"/>
      <c r="EGX9" s="268"/>
      <c r="EGY9" s="228"/>
      <c r="EGZ9" s="433"/>
      <c r="EHA9" s="433"/>
      <c r="EHB9" s="68"/>
      <c r="EHC9" s="271"/>
      <c r="EHE9" s="272"/>
      <c r="EHF9" s="272"/>
      <c r="EHG9" s="272"/>
      <c r="EHH9" s="273"/>
      <c r="EHI9" s="432"/>
      <c r="EHJ9" s="268"/>
      <c r="EHK9" s="228"/>
      <c r="EHL9" s="433"/>
      <c r="EHM9" s="433"/>
      <c r="EHN9" s="68"/>
      <c r="EHO9" s="271"/>
      <c r="EHQ9" s="272"/>
      <c r="EHR9" s="272"/>
      <c r="EHS9" s="272"/>
      <c r="EHT9" s="273"/>
      <c r="EHU9" s="432"/>
      <c r="EHV9" s="268"/>
      <c r="EHW9" s="228"/>
      <c r="EHX9" s="433"/>
      <c r="EHY9" s="433"/>
      <c r="EHZ9" s="68"/>
      <c r="EIA9" s="271"/>
      <c r="EIC9" s="272"/>
      <c r="EID9" s="272"/>
      <c r="EIE9" s="272"/>
      <c r="EIF9" s="273"/>
      <c r="EIG9" s="432"/>
      <c r="EIH9" s="268"/>
      <c r="EII9" s="228"/>
      <c r="EIJ9" s="433"/>
      <c r="EIK9" s="433"/>
      <c r="EIL9" s="68"/>
      <c r="EIM9" s="271"/>
      <c r="EIO9" s="272"/>
      <c r="EIP9" s="272"/>
      <c r="EIQ9" s="272"/>
      <c r="EIR9" s="273"/>
      <c r="EIS9" s="432"/>
      <c r="EIT9" s="268"/>
      <c r="EIU9" s="228"/>
      <c r="EIV9" s="433"/>
      <c r="EIW9" s="433"/>
      <c r="EIX9" s="68"/>
      <c r="EIY9" s="271"/>
      <c r="EJA9" s="272"/>
      <c r="EJB9" s="272"/>
      <c r="EJC9" s="272"/>
      <c r="EJD9" s="273"/>
      <c r="EJE9" s="432"/>
      <c r="EJF9" s="268"/>
      <c r="EJG9" s="228"/>
      <c r="EJH9" s="433"/>
      <c r="EJI9" s="433"/>
      <c r="EJJ9" s="68"/>
      <c r="EJK9" s="271"/>
      <c r="EJM9" s="272"/>
      <c r="EJN9" s="272"/>
      <c r="EJO9" s="272"/>
      <c r="EJP9" s="273"/>
      <c r="EJQ9" s="432"/>
      <c r="EJR9" s="268"/>
      <c r="EJS9" s="228"/>
      <c r="EJT9" s="433"/>
      <c r="EJU9" s="433"/>
      <c r="EJV9" s="68"/>
      <c r="EJW9" s="271"/>
      <c r="EJY9" s="272"/>
      <c r="EJZ9" s="272"/>
      <c r="EKA9" s="272"/>
      <c r="EKB9" s="273"/>
      <c r="EKC9" s="432"/>
      <c r="EKD9" s="268"/>
      <c r="EKE9" s="228"/>
      <c r="EKF9" s="433"/>
      <c r="EKG9" s="433"/>
      <c r="EKH9" s="68"/>
      <c r="EKI9" s="271"/>
      <c r="EKK9" s="272"/>
      <c r="EKL9" s="272"/>
      <c r="EKM9" s="272"/>
      <c r="EKN9" s="273"/>
      <c r="EKO9" s="432"/>
      <c r="EKP9" s="268"/>
      <c r="EKQ9" s="228"/>
      <c r="EKR9" s="433"/>
      <c r="EKS9" s="433"/>
      <c r="EKT9" s="68"/>
      <c r="EKU9" s="271"/>
      <c r="EKW9" s="272"/>
      <c r="EKX9" s="272"/>
      <c r="EKY9" s="272"/>
      <c r="EKZ9" s="273"/>
      <c r="ELA9" s="432"/>
      <c r="ELB9" s="268"/>
      <c r="ELC9" s="228"/>
      <c r="ELD9" s="433"/>
      <c r="ELE9" s="433"/>
      <c r="ELF9" s="68"/>
      <c r="ELG9" s="271"/>
      <c r="ELI9" s="272"/>
      <c r="ELJ9" s="272"/>
      <c r="ELK9" s="272"/>
      <c r="ELL9" s="273"/>
      <c r="ELM9" s="432"/>
      <c r="ELN9" s="268"/>
      <c r="ELO9" s="228"/>
      <c r="ELP9" s="433"/>
      <c r="ELQ9" s="433"/>
      <c r="ELR9" s="68"/>
      <c r="ELS9" s="271"/>
      <c r="ELU9" s="272"/>
      <c r="ELV9" s="272"/>
      <c r="ELW9" s="272"/>
      <c r="ELX9" s="273"/>
      <c r="ELY9" s="432"/>
      <c r="ELZ9" s="268"/>
      <c r="EMA9" s="228"/>
      <c r="EMB9" s="433"/>
      <c r="EMC9" s="433"/>
      <c r="EMD9" s="68"/>
      <c r="EME9" s="271"/>
      <c r="EMG9" s="272"/>
      <c r="EMH9" s="272"/>
      <c r="EMI9" s="272"/>
      <c r="EMJ9" s="273"/>
      <c r="EMK9" s="432"/>
      <c r="EML9" s="268"/>
      <c r="EMM9" s="228"/>
      <c r="EMN9" s="433"/>
      <c r="EMO9" s="433"/>
      <c r="EMP9" s="68"/>
      <c r="EMQ9" s="271"/>
      <c r="EMS9" s="272"/>
      <c r="EMT9" s="272"/>
      <c r="EMU9" s="272"/>
      <c r="EMV9" s="273"/>
      <c r="EMW9" s="432"/>
      <c r="EMX9" s="268"/>
      <c r="EMY9" s="228"/>
      <c r="EMZ9" s="433"/>
      <c r="ENA9" s="433"/>
      <c r="ENB9" s="68"/>
      <c r="ENC9" s="271"/>
      <c r="ENE9" s="272"/>
      <c r="ENF9" s="272"/>
      <c r="ENG9" s="272"/>
      <c r="ENH9" s="273"/>
      <c r="ENI9" s="432"/>
      <c r="ENJ9" s="268"/>
      <c r="ENK9" s="228"/>
      <c r="ENL9" s="433"/>
      <c r="ENM9" s="433"/>
      <c r="ENN9" s="68"/>
      <c r="ENO9" s="271"/>
      <c r="ENQ9" s="272"/>
      <c r="ENR9" s="272"/>
      <c r="ENS9" s="272"/>
      <c r="ENT9" s="273"/>
      <c r="ENU9" s="432"/>
      <c r="ENV9" s="268"/>
      <c r="ENW9" s="228"/>
      <c r="ENX9" s="433"/>
      <c r="ENY9" s="433"/>
      <c r="ENZ9" s="68"/>
      <c r="EOA9" s="271"/>
      <c r="EOC9" s="272"/>
      <c r="EOD9" s="272"/>
      <c r="EOE9" s="272"/>
      <c r="EOF9" s="273"/>
      <c r="EOG9" s="432"/>
      <c r="EOH9" s="268"/>
      <c r="EOI9" s="228"/>
      <c r="EOJ9" s="433"/>
      <c r="EOK9" s="433"/>
      <c r="EOL9" s="68"/>
      <c r="EOM9" s="271"/>
      <c r="EOO9" s="272"/>
      <c r="EOP9" s="272"/>
      <c r="EOQ9" s="272"/>
      <c r="EOR9" s="273"/>
      <c r="EOS9" s="432"/>
      <c r="EOT9" s="268"/>
      <c r="EOU9" s="228"/>
      <c r="EOV9" s="433"/>
      <c r="EOW9" s="433"/>
      <c r="EOX9" s="68"/>
      <c r="EOY9" s="271"/>
      <c r="EPA9" s="272"/>
      <c r="EPB9" s="272"/>
      <c r="EPC9" s="272"/>
      <c r="EPD9" s="273"/>
      <c r="EPE9" s="432"/>
      <c r="EPF9" s="268"/>
      <c r="EPG9" s="228"/>
      <c r="EPH9" s="433"/>
      <c r="EPI9" s="433"/>
      <c r="EPJ9" s="68"/>
      <c r="EPK9" s="271"/>
      <c r="EPM9" s="272"/>
      <c r="EPN9" s="272"/>
      <c r="EPO9" s="272"/>
      <c r="EPP9" s="273"/>
      <c r="EPQ9" s="432"/>
      <c r="EPR9" s="268"/>
      <c r="EPS9" s="228"/>
      <c r="EPT9" s="433"/>
      <c r="EPU9" s="433"/>
      <c r="EPV9" s="68"/>
      <c r="EPW9" s="271"/>
      <c r="EPY9" s="272"/>
      <c r="EPZ9" s="272"/>
      <c r="EQA9" s="272"/>
      <c r="EQB9" s="273"/>
      <c r="EQC9" s="432"/>
      <c r="EQD9" s="268"/>
      <c r="EQE9" s="228"/>
      <c r="EQF9" s="433"/>
      <c r="EQG9" s="433"/>
      <c r="EQH9" s="68"/>
      <c r="EQI9" s="271"/>
      <c r="EQK9" s="272"/>
      <c r="EQL9" s="272"/>
      <c r="EQM9" s="272"/>
      <c r="EQN9" s="273"/>
      <c r="EQO9" s="432"/>
      <c r="EQP9" s="268"/>
      <c r="EQQ9" s="228"/>
      <c r="EQR9" s="433"/>
      <c r="EQS9" s="433"/>
      <c r="EQT9" s="68"/>
      <c r="EQU9" s="271"/>
      <c r="EQW9" s="272"/>
      <c r="EQX9" s="272"/>
      <c r="EQY9" s="272"/>
      <c r="EQZ9" s="273"/>
      <c r="ERA9" s="432"/>
      <c r="ERB9" s="268"/>
      <c r="ERC9" s="228"/>
      <c r="ERD9" s="433"/>
      <c r="ERE9" s="433"/>
      <c r="ERF9" s="68"/>
      <c r="ERG9" s="271"/>
      <c r="ERI9" s="272"/>
      <c r="ERJ9" s="272"/>
      <c r="ERK9" s="272"/>
      <c r="ERL9" s="273"/>
      <c r="ERM9" s="432"/>
      <c r="ERN9" s="268"/>
      <c r="ERO9" s="228"/>
      <c r="ERP9" s="433"/>
      <c r="ERQ9" s="433"/>
      <c r="ERR9" s="68"/>
      <c r="ERS9" s="271"/>
      <c r="ERU9" s="272"/>
      <c r="ERV9" s="272"/>
      <c r="ERW9" s="272"/>
      <c r="ERX9" s="273"/>
      <c r="ERY9" s="432"/>
      <c r="ERZ9" s="268"/>
      <c r="ESA9" s="228"/>
      <c r="ESB9" s="433"/>
      <c r="ESC9" s="433"/>
      <c r="ESD9" s="68"/>
      <c r="ESE9" s="271"/>
      <c r="ESG9" s="272"/>
      <c r="ESH9" s="272"/>
      <c r="ESI9" s="272"/>
      <c r="ESJ9" s="273"/>
      <c r="ESK9" s="432"/>
      <c r="ESL9" s="268"/>
      <c r="ESM9" s="228"/>
      <c r="ESN9" s="433"/>
      <c r="ESO9" s="433"/>
      <c r="ESP9" s="68"/>
      <c r="ESQ9" s="271"/>
      <c r="ESS9" s="272"/>
      <c r="EST9" s="272"/>
      <c r="ESU9" s="272"/>
      <c r="ESV9" s="273"/>
      <c r="ESW9" s="432"/>
      <c r="ESX9" s="268"/>
      <c r="ESY9" s="228"/>
      <c r="ESZ9" s="433"/>
      <c r="ETA9" s="433"/>
      <c r="ETB9" s="68"/>
      <c r="ETC9" s="271"/>
      <c r="ETE9" s="272"/>
      <c r="ETF9" s="272"/>
      <c r="ETG9" s="272"/>
      <c r="ETH9" s="273"/>
      <c r="ETI9" s="432"/>
      <c r="ETJ9" s="268"/>
      <c r="ETK9" s="228"/>
      <c r="ETL9" s="433"/>
      <c r="ETM9" s="433"/>
      <c r="ETN9" s="68"/>
      <c r="ETO9" s="271"/>
      <c r="ETQ9" s="272"/>
      <c r="ETR9" s="272"/>
      <c r="ETS9" s="272"/>
      <c r="ETT9" s="273"/>
      <c r="ETU9" s="432"/>
      <c r="ETV9" s="268"/>
      <c r="ETW9" s="228"/>
      <c r="ETX9" s="433"/>
      <c r="ETY9" s="433"/>
      <c r="ETZ9" s="68"/>
      <c r="EUA9" s="271"/>
      <c r="EUC9" s="272"/>
      <c r="EUD9" s="272"/>
      <c r="EUE9" s="272"/>
      <c r="EUF9" s="273"/>
      <c r="EUG9" s="432"/>
      <c r="EUH9" s="268"/>
      <c r="EUI9" s="228"/>
      <c r="EUJ9" s="433"/>
      <c r="EUK9" s="433"/>
      <c r="EUL9" s="68"/>
      <c r="EUM9" s="271"/>
      <c r="EUO9" s="272"/>
      <c r="EUP9" s="272"/>
      <c r="EUQ9" s="272"/>
      <c r="EUR9" s="273"/>
      <c r="EUS9" s="432"/>
      <c r="EUT9" s="268"/>
      <c r="EUU9" s="228"/>
      <c r="EUV9" s="433"/>
      <c r="EUW9" s="433"/>
      <c r="EUX9" s="68"/>
      <c r="EUY9" s="271"/>
      <c r="EVA9" s="272"/>
      <c r="EVB9" s="272"/>
      <c r="EVC9" s="272"/>
      <c r="EVD9" s="273"/>
      <c r="EVE9" s="432"/>
      <c r="EVF9" s="268"/>
      <c r="EVG9" s="228"/>
      <c r="EVH9" s="433"/>
      <c r="EVI9" s="433"/>
      <c r="EVJ9" s="68"/>
      <c r="EVK9" s="271"/>
      <c r="EVM9" s="272"/>
      <c r="EVN9" s="272"/>
      <c r="EVO9" s="272"/>
      <c r="EVP9" s="273"/>
      <c r="EVQ9" s="432"/>
      <c r="EVR9" s="268"/>
      <c r="EVS9" s="228"/>
      <c r="EVT9" s="433"/>
      <c r="EVU9" s="433"/>
      <c r="EVV9" s="68"/>
      <c r="EVW9" s="271"/>
      <c r="EVY9" s="272"/>
      <c r="EVZ9" s="272"/>
      <c r="EWA9" s="272"/>
      <c r="EWB9" s="273"/>
      <c r="EWC9" s="432"/>
      <c r="EWD9" s="268"/>
      <c r="EWE9" s="228"/>
      <c r="EWF9" s="433"/>
      <c r="EWG9" s="433"/>
      <c r="EWH9" s="68"/>
      <c r="EWI9" s="271"/>
      <c r="EWK9" s="272"/>
      <c r="EWL9" s="272"/>
      <c r="EWM9" s="272"/>
      <c r="EWN9" s="273"/>
      <c r="EWO9" s="432"/>
      <c r="EWP9" s="268"/>
      <c r="EWQ9" s="228"/>
      <c r="EWR9" s="433"/>
      <c r="EWS9" s="433"/>
      <c r="EWT9" s="68"/>
      <c r="EWU9" s="271"/>
      <c r="EWW9" s="272"/>
      <c r="EWX9" s="272"/>
      <c r="EWY9" s="272"/>
      <c r="EWZ9" s="273"/>
      <c r="EXA9" s="432"/>
      <c r="EXB9" s="268"/>
      <c r="EXC9" s="228"/>
      <c r="EXD9" s="433"/>
      <c r="EXE9" s="433"/>
      <c r="EXF9" s="68"/>
      <c r="EXG9" s="271"/>
      <c r="EXI9" s="272"/>
      <c r="EXJ9" s="272"/>
      <c r="EXK9" s="272"/>
      <c r="EXL9" s="273"/>
      <c r="EXM9" s="432"/>
      <c r="EXN9" s="268"/>
      <c r="EXO9" s="228"/>
      <c r="EXP9" s="433"/>
      <c r="EXQ9" s="433"/>
      <c r="EXR9" s="68"/>
      <c r="EXS9" s="271"/>
      <c r="EXU9" s="272"/>
      <c r="EXV9" s="272"/>
      <c r="EXW9" s="272"/>
      <c r="EXX9" s="273"/>
      <c r="EXY9" s="432"/>
      <c r="EXZ9" s="268"/>
      <c r="EYA9" s="228"/>
      <c r="EYB9" s="433"/>
      <c r="EYC9" s="433"/>
      <c r="EYD9" s="68"/>
      <c r="EYE9" s="271"/>
      <c r="EYG9" s="272"/>
      <c r="EYH9" s="272"/>
      <c r="EYI9" s="272"/>
      <c r="EYJ9" s="273"/>
      <c r="EYK9" s="432"/>
      <c r="EYL9" s="268"/>
      <c r="EYM9" s="228"/>
      <c r="EYN9" s="433"/>
      <c r="EYO9" s="433"/>
      <c r="EYP9" s="68"/>
      <c r="EYQ9" s="271"/>
      <c r="EYS9" s="272"/>
      <c r="EYT9" s="272"/>
      <c r="EYU9" s="272"/>
      <c r="EYV9" s="273"/>
      <c r="EYW9" s="432"/>
      <c r="EYX9" s="268"/>
      <c r="EYY9" s="228"/>
      <c r="EYZ9" s="433"/>
      <c r="EZA9" s="433"/>
      <c r="EZB9" s="68"/>
      <c r="EZC9" s="271"/>
      <c r="EZE9" s="272"/>
      <c r="EZF9" s="272"/>
      <c r="EZG9" s="272"/>
      <c r="EZH9" s="273"/>
      <c r="EZI9" s="432"/>
      <c r="EZJ9" s="268"/>
      <c r="EZK9" s="228"/>
      <c r="EZL9" s="433"/>
      <c r="EZM9" s="433"/>
      <c r="EZN9" s="68"/>
      <c r="EZO9" s="271"/>
      <c r="EZQ9" s="272"/>
      <c r="EZR9" s="272"/>
      <c r="EZS9" s="272"/>
      <c r="EZT9" s="273"/>
      <c r="EZU9" s="432"/>
      <c r="EZV9" s="268"/>
      <c r="EZW9" s="228"/>
      <c r="EZX9" s="433"/>
      <c r="EZY9" s="433"/>
      <c r="EZZ9" s="68"/>
      <c r="FAA9" s="271"/>
      <c r="FAC9" s="272"/>
      <c r="FAD9" s="272"/>
      <c r="FAE9" s="272"/>
      <c r="FAF9" s="273"/>
      <c r="FAG9" s="432"/>
      <c r="FAH9" s="268"/>
      <c r="FAI9" s="228"/>
      <c r="FAJ9" s="433"/>
      <c r="FAK9" s="433"/>
      <c r="FAL9" s="68"/>
      <c r="FAM9" s="271"/>
      <c r="FAO9" s="272"/>
      <c r="FAP9" s="272"/>
      <c r="FAQ9" s="272"/>
      <c r="FAR9" s="273"/>
      <c r="FAS9" s="432"/>
      <c r="FAT9" s="268"/>
      <c r="FAU9" s="228"/>
      <c r="FAV9" s="433"/>
      <c r="FAW9" s="433"/>
      <c r="FAX9" s="68"/>
      <c r="FAY9" s="271"/>
      <c r="FBA9" s="272"/>
      <c r="FBB9" s="272"/>
      <c r="FBC9" s="272"/>
      <c r="FBD9" s="273"/>
      <c r="FBE9" s="432"/>
      <c r="FBF9" s="268"/>
      <c r="FBG9" s="228"/>
      <c r="FBH9" s="433"/>
      <c r="FBI9" s="433"/>
      <c r="FBJ9" s="68"/>
      <c r="FBK9" s="271"/>
      <c r="FBM9" s="272"/>
      <c r="FBN9" s="272"/>
      <c r="FBO9" s="272"/>
      <c r="FBP9" s="273"/>
      <c r="FBQ9" s="432"/>
      <c r="FBR9" s="268"/>
      <c r="FBS9" s="228"/>
      <c r="FBT9" s="433"/>
      <c r="FBU9" s="433"/>
      <c r="FBV9" s="68"/>
      <c r="FBW9" s="271"/>
      <c r="FBY9" s="272"/>
      <c r="FBZ9" s="272"/>
      <c r="FCA9" s="272"/>
      <c r="FCB9" s="273"/>
      <c r="FCC9" s="432"/>
      <c r="FCD9" s="268"/>
      <c r="FCE9" s="228"/>
      <c r="FCF9" s="433"/>
      <c r="FCG9" s="433"/>
      <c r="FCH9" s="68"/>
      <c r="FCI9" s="271"/>
      <c r="FCK9" s="272"/>
      <c r="FCL9" s="272"/>
      <c r="FCM9" s="272"/>
      <c r="FCN9" s="273"/>
      <c r="FCO9" s="432"/>
      <c r="FCP9" s="268"/>
      <c r="FCQ9" s="228"/>
      <c r="FCR9" s="433"/>
      <c r="FCS9" s="433"/>
      <c r="FCT9" s="68"/>
      <c r="FCU9" s="271"/>
      <c r="FCW9" s="272"/>
      <c r="FCX9" s="272"/>
      <c r="FCY9" s="272"/>
      <c r="FCZ9" s="273"/>
      <c r="FDA9" s="432"/>
      <c r="FDB9" s="268"/>
      <c r="FDC9" s="228"/>
      <c r="FDD9" s="433"/>
      <c r="FDE9" s="433"/>
      <c r="FDF9" s="68"/>
      <c r="FDG9" s="271"/>
      <c r="FDI9" s="272"/>
      <c r="FDJ9" s="272"/>
      <c r="FDK9" s="272"/>
      <c r="FDL9" s="273"/>
      <c r="FDM9" s="432"/>
      <c r="FDN9" s="268"/>
      <c r="FDO9" s="228"/>
      <c r="FDP9" s="433"/>
      <c r="FDQ9" s="433"/>
      <c r="FDR9" s="68"/>
      <c r="FDS9" s="271"/>
      <c r="FDU9" s="272"/>
      <c r="FDV9" s="272"/>
      <c r="FDW9" s="272"/>
      <c r="FDX9" s="273"/>
      <c r="FDY9" s="432"/>
      <c r="FDZ9" s="268"/>
      <c r="FEA9" s="228"/>
      <c r="FEB9" s="433"/>
      <c r="FEC9" s="433"/>
      <c r="FED9" s="68"/>
      <c r="FEE9" s="271"/>
      <c r="FEG9" s="272"/>
      <c r="FEH9" s="272"/>
      <c r="FEI9" s="272"/>
      <c r="FEJ9" s="273"/>
      <c r="FEK9" s="432"/>
      <c r="FEL9" s="268"/>
      <c r="FEM9" s="228"/>
      <c r="FEN9" s="433"/>
      <c r="FEO9" s="433"/>
      <c r="FEP9" s="68"/>
      <c r="FEQ9" s="271"/>
      <c r="FES9" s="272"/>
      <c r="FET9" s="272"/>
      <c r="FEU9" s="272"/>
      <c r="FEV9" s="273"/>
      <c r="FEW9" s="432"/>
      <c r="FEX9" s="268"/>
      <c r="FEY9" s="228"/>
      <c r="FEZ9" s="433"/>
      <c r="FFA9" s="433"/>
      <c r="FFB9" s="68"/>
      <c r="FFC9" s="271"/>
      <c r="FFE9" s="272"/>
      <c r="FFF9" s="272"/>
      <c r="FFG9" s="272"/>
      <c r="FFH9" s="273"/>
      <c r="FFI9" s="432"/>
      <c r="FFJ9" s="268"/>
      <c r="FFK9" s="228"/>
      <c r="FFL9" s="433"/>
      <c r="FFM9" s="433"/>
      <c r="FFN9" s="68"/>
      <c r="FFO9" s="271"/>
      <c r="FFQ9" s="272"/>
      <c r="FFR9" s="272"/>
      <c r="FFS9" s="272"/>
      <c r="FFT9" s="273"/>
      <c r="FFU9" s="432"/>
      <c r="FFV9" s="268"/>
      <c r="FFW9" s="228"/>
      <c r="FFX9" s="433"/>
      <c r="FFY9" s="433"/>
      <c r="FFZ9" s="68"/>
      <c r="FGA9" s="271"/>
      <c r="FGC9" s="272"/>
      <c r="FGD9" s="272"/>
      <c r="FGE9" s="272"/>
      <c r="FGF9" s="273"/>
      <c r="FGG9" s="432"/>
      <c r="FGH9" s="268"/>
      <c r="FGI9" s="228"/>
      <c r="FGJ9" s="433"/>
      <c r="FGK9" s="433"/>
      <c r="FGL9" s="68"/>
      <c r="FGM9" s="271"/>
      <c r="FGO9" s="272"/>
      <c r="FGP9" s="272"/>
      <c r="FGQ9" s="272"/>
      <c r="FGR9" s="273"/>
      <c r="FGS9" s="432"/>
      <c r="FGT9" s="268"/>
      <c r="FGU9" s="228"/>
      <c r="FGV9" s="433"/>
      <c r="FGW9" s="433"/>
      <c r="FGX9" s="68"/>
      <c r="FGY9" s="271"/>
      <c r="FHA9" s="272"/>
      <c r="FHB9" s="272"/>
      <c r="FHC9" s="272"/>
      <c r="FHD9" s="273"/>
      <c r="FHE9" s="432"/>
      <c r="FHF9" s="268"/>
      <c r="FHG9" s="228"/>
      <c r="FHH9" s="433"/>
      <c r="FHI9" s="433"/>
      <c r="FHJ9" s="68"/>
      <c r="FHK9" s="271"/>
      <c r="FHM9" s="272"/>
      <c r="FHN9" s="272"/>
      <c r="FHO9" s="272"/>
      <c r="FHP9" s="273"/>
      <c r="FHQ9" s="432"/>
      <c r="FHR9" s="268"/>
      <c r="FHS9" s="228"/>
      <c r="FHT9" s="433"/>
      <c r="FHU9" s="433"/>
      <c r="FHV9" s="68"/>
      <c r="FHW9" s="271"/>
      <c r="FHY9" s="272"/>
      <c r="FHZ9" s="272"/>
      <c r="FIA9" s="272"/>
      <c r="FIB9" s="273"/>
      <c r="FIC9" s="432"/>
      <c r="FID9" s="268"/>
      <c r="FIE9" s="228"/>
      <c r="FIF9" s="433"/>
      <c r="FIG9" s="433"/>
      <c r="FIH9" s="68"/>
      <c r="FII9" s="271"/>
      <c r="FIK9" s="272"/>
      <c r="FIL9" s="272"/>
      <c r="FIM9" s="272"/>
      <c r="FIN9" s="273"/>
      <c r="FIO9" s="432"/>
      <c r="FIP9" s="268"/>
      <c r="FIQ9" s="228"/>
      <c r="FIR9" s="433"/>
      <c r="FIS9" s="433"/>
      <c r="FIT9" s="68"/>
      <c r="FIU9" s="271"/>
      <c r="FIW9" s="272"/>
      <c r="FIX9" s="272"/>
      <c r="FIY9" s="272"/>
      <c r="FIZ9" s="273"/>
      <c r="FJA9" s="432"/>
      <c r="FJB9" s="268"/>
      <c r="FJC9" s="228"/>
      <c r="FJD9" s="433"/>
      <c r="FJE9" s="433"/>
      <c r="FJF9" s="68"/>
      <c r="FJG9" s="271"/>
      <c r="FJI9" s="272"/>
      <c r="FJJ9" s="272"/>
      <c r="FJK9" s="272"/>
      <c r="FJL9" s="273"/>
      <c r="FJM9" s="432"/>
      <c r="FJN9" s="268"/>
      <c r="FJO9" s="228"/>
      <c r="FJP9" s="433"/>
      <c r="FJQ9" s="433"/>
      <c r="FJR9" s="68"/>
      <c r="FJS9" s="271"/>
      <c r="FJU9" s="272"/>
      <c r="FJV9" s="272"/>
      <c r="FJW9" s="272"/>
      <c r="FJX9" s="273"/>
      <c r="FJY9" s="432"/>
      <c r="FJZ9" s="268"/>
      <c r="FKA9" s="228"/>
      <c r="FKB9" s="433"/>
      <c r="FKC9" s="433"/>
      <c r="FKD9" s="68"/>
      <c r="FKE9" s="271"/>
      <c r="FKG9" s="272"/>
      <c r="FKH9" s="272"/>
      <c r="FKI9" s="272"/>
      <c r="FKJ9" s="273"/>
      <c r="FKK9" s="432"/>
      <c r="FKL9" s="268"/>
      <c r="FKM9" s="228"/>
      <c r="FKN9" s="433"/>
      <c r="FKO9" s="433"/>
      <c r="FKP9" s="68"/>
      <c r="FKQ9" s="271"/>
      <c r="FKS9" s="272"/>
      <c r="FKT9" s="272"/>
      <c r="FKU9" s="272"/>
      <c r="FKV9" s="273"/>
      <c r="FKW9" s="432"/>
      <c r="FKX9" s="268"/>
      <c r="FKY9" s="228"/>
      <c r="FKZ9" s="433"/>
      <c r="FLA9" s="433"/>
      <c r="FLB9" s="68"/>
      <c r="FLC9" s="271"/>
      <c r="FLE9" s="272"/>
      <c r="FLF9" s="272"/>
      <c r="FLG9" s="272"/>
      <c r="FLH9" s="273"/>
      <c r="FLI9" s="432"/>
      <c r="FLJ9" s="268"/>
      <c r="FLK9" s="228"/>
      <c r="FLL9" s="433"/>
      <c r="FLM9" s="433"/>
      <c r="FLN9" s="68"/>
      <c r="FLO9" s="271"/>
      <c r="FLQ9" s="272"/>
      <c r="FLR9" s="272"/>
      <c r="FLS9" s="272"/>
      <c r="FLT9" s="273"/>
      <c r="FLU9" s="432"/>
      <c r="FLV9" s="268"/>
      <c r="FLW9" s="228"/>
      <c r="FLX9" s="433"/>
      <c r="FLY9" s="433"/>
      <c r="FLZ9" s="68"/>
      <c r="FMA9" s="271"/>
      <c r="FMC9" s="272"/>
      <c r="FMD9" s="272"/>
      <c r="FME9" s="272"/>
      <c r="FMF9" s="273"/>
      <c r="FMG9" s="432"/>
      <c r="FMH9" s="268"/>
      <c r="FMI9" s="228"/>
      <c r="FMJ9" s="433"/>
      <c r="FMK9" s="433"/>
      <c r="FML9" s="68"/>
      <c r="FMM9" s="271"/>
      <c r="FMO9" s="272"/>
      <c r="FMP9" s="272"/>
      <c r="FMQ9" s="272"/>
      <c r="FMR9" s="273"/>
      <c r="FMS9" s="432"/>
      <c r="FMT9" s="268"/>
      <c r="FMU9" s="228"/>
      <c r="FMV9" s="433"/>
      <c r="FMW9" s="433"/>
      <c r="FMX9" s="68"/>
      <c r="FMY9" s="271"/>
      <c r="FNA9" s="272"/>
      <c r="FNB9" s="272"/>
      <c r="FNC9" s="272"/>
      <c r="FND9" s="273"/>
      <c r="FNE9" s="432"/>
      <c r="FNF9" s="268"/>
      <c r="FNG9" s="228"/>
      <c r="FNH9" s="433"/>
      <c r="FNI9" s="433"/>
      <c r="FNJ9" s="68"/>
      <c r="FNK9" s="271"/>
      <c r="FNM9" s="272"/>
      <c r="FNN9" s="272"/>
      <c r="FNO9" s="272"/>
      <c r="FNP9" s="273"/>
      <c r="FNQ9" s="432"/>
      <c r="FNR9" s="268"/>
      <c r="FNS9" s="228"/>
      <c r="FNT9" s="433"/>
      <c r="FNU9" s="433"/>
      <c r="FNV9" s="68"/>
      <c r="FNW9" s="271"/>
      <c r="FNY9" s="272"/>
      <c r="FNZ9" s="272"/>
      <c r="FOA9" s="272"/>
      <c r="FOB9" s="273"/>
      <c r="FOC9" s="432"/>
      <c r="FOD9" s="268"/>
      <c r="FOE9" s="228"/>
      <c r="FOF9" s="433"/>
      <c r="FOG9" s="433"/>
      <c r="FOH9" s="68"/>
      <c r="FOI9" s="271"/>
      <c r="FOK9" s="272"/>
      <c r="FOL9" s="272"/>
      <c r="FOM9" s="272"/>
      <c r="FON9" s="273"/>
      <c r="FOO9" s="432"/>
      <c r="FOP9" s="268"/>
      <c r="FOQ9" s="228"/>
      <c r="FOR9" s="433"/>
      <c r="FOS9" s="433"/>
      <c r="FOT9" s="68"/>
      <c r="FOU9" s="271"/>
      <c r="FOW9" s="272"/>
      <c r="FOX9" s="272"/>
      <c r="FOY9" s="272"/>
      <c r="FOZ9" s="273"/>
      <c r="FPA9" s="432"/>
      <c r="FPB9" s="268"/>
      <c r="FPC9" s="228"/>
      <c r="FPD9" s="433"/>
      <c r="FPE9" s="433"/>
      <c r="FPF9" s="68"/>
      <c r="FPG9" s="271"/>
      <c r="FPI9" s="272"/>
      <c r="FPJ9" s="272"/>
      <c r="FPK9" s="272"/>
      <c r="FPL9" s="273"/>
      <c r="FPM9" s="432"/>
      <c r="FPN9" s="268"/>
      <c r="FPO9" s="228"/>
      <c r="FPP9" s="433"/>
      <c r="FPQ9" s="433"/>
      <c r="FPR9" s="68"/>
      <c r="FPS9" s="271"/>
      <c r="FPU9" s="272"/>
      <c r="FPV9" s="272"/>
      <c r="FPW9" s="272"/>
      <c r="FPX9" s="273"/>
      <c r="FPY9" s="432"/>
      <c r="FPZ9" s="268"/>
      <c r="FQA9" s="228"/>
      <c r="FQB9" s="433"/>
      <c r="FQC9" s="433"/>
      <c r="FQD9" s="68"/>
      <c r="FQE9" s="271"/>
      <c r="FQG9" s="272"/>
      <c r="FQH9" s="272"/>
      <c r="FQI9" s="272"/>
      <c r="FQJ9" s="273"/>
      <c r="FQK9" s="432"/>
      <c r="FQL9" s="268"/>
      <c r="FQM9" s="228"/>
      <c r="FQN9" s="433"/>
      <c r="FQO9" s="433"/>
      <c r="FQP9" s="68"/>
      <c r="FQQ9" s="271"/>
      <c r="FQS9" s="272"/>
      <c r="FQT9" s="272"/>
      <c r="FQU9" s="272"/>
      <c r="FQV9" s="273"/>
      <c r="FQW9" s="432"/>
      <c r="FQX9" s="268"/>
      <c r="FQY9" s="228"/>
      <c r="FQZ9" s="433"/>
      <c r="FRA9" s="433"/>
      <c r="FRB9" s="68"/>
      <c r="FRC9" s="271"/>
      <c r="FRE9" s="272"/>
      <c r="FRF9" s="272"/>
      <c r="FRG9" s="272"/>
      <c r="FRH9" s="273"/>
      <c r="FRI9" s="432"/>
      <c r="FRJ9" s="268"/>
      <c r="FRK9" s="228"/>
      <c r="FRL9" s="433"/>
      <c r="FRM9" s="433"/>
      <c r="FRN9" s="68"/>
      <c r="FRO9" s="271"/>
      <c r="FRQ9" s="272"/>
      <c r="FRR9" s="272"/>
      <c r="FRS9" s="272"/>
      <c r="FRT9" s="273"/>
      <c r="FRU9" s="432"/>
      <c r="FRV9" s="268"/>
      <c r="FRW9" s="228"/>
      <c r="FRX9" s="433"/>
      <c r="FRY9" s="433"/>
      <c r="FRZ9" s="68"/>
      <c r="FSA9" s="271"/>
      <c r="FSC9" s="272"/>
      <c r="FSD9" s="272"/>
      <c r="FSE9" s="272"/>
      <c r="FSF9" s="273"/>
      <c r="FSG9" s="432"/>
      <c r="FSH9" s="268"/>
      <c r="FSI9" s="228"/>
      <c r="FSJ9" s="433"/>
      <c r="FSK9" s="433"/>
      <c r="FSL9" s="68"/>
      <c r="FSM9" s="271"/>
      <c r="FSO9" s="272"/>
      <c r="FSP9" s="272"/>
      <c r="FSQ9" s="272"/>
      <c r="FSR9" s="273"/>
      <c r="FSS9" s="432"/>
      <c r="FST9" s="268"/>
      <c r="FSU9" s="228"/>
      <c r="FSV9" s="433"/>
      <c r="FSW9" s="433"/>
      <c r="FSX9" s="68"/>
      <c r="FSY9" s="271"/>
      <c r="FTA9" s="272"/>
      <c r="FTB9" s="272"/>
      <c r="FTC9" s="272"/>
      <c r="FTD9" s="273"/>
      <c r="FTE9" s="432"/>
      <c r="FTF9" s="268"/>
      <c r="FTG9" s="228"/>
      <c r="FTH9" s="433"/>
      <c r="FTI9" s="433"/>
      <c r="FTJ9" s="68"/>
      <c r="FTK9" s="271"/>
      <c r="FTM9" s="272"/>
      <c r="FTN9" s="272"/>
      <c r="FTO9" s="272"/>
      <c r="FTP9" s="273"/>
      <c r="FTQ9" s="432"/>
      <c r="FTR9" s="268"/>
      <c r="FTS9" s="228"/>
      <c r="FTT9" s="433"/>
      <c r="FTU9" s="433"/>
      <c r="FTV9" s="68"/>
      <c r="FTW9" s="271"/>
      <c r="FTY9" s="272"/>
      <c r="FTZ9" s="272"/>
      <c r="FUA9" s="272"/>
      <c r="FUB9" s="273"/>
      <c r="FUC9" s="432"/>
      <c r="FUD9" s="268"/>
      <c r="FUE9" s="228"/>
      <c r="FUF9" s="433"/>
      <c r="FUG9" s="433"/>
      <c r="FUH9" s="68"/>
      <c r="FUI9" s="271"/>
      <c r="FUK9" s="272"/>
      <c r="FUL9" s="272"/>
      <c r="FUM9" s="272"/>
      <c r="FUN9" s="273"/>
      <c r="FUO9" s="432"/>
      <c r="FUP9" s="268"/>
      <c r="FUQ9" s="228"/>
      <c r="FUR9" s="433"/>
      <c r="FUS9" s="433"/>
      <c r="FUT9" s="68"/>
      <c r="FUU9" s="271"/>
      <c r="FUW9" s="272"/>
      <c r="FUX9" s="272"/>
      <c r="FUY9" s="272"/>
      <c r="FUZ9" s="273"/>
      <c r="FVA9" s="432"/>
      <c r="FVB9" s="268"/>
      <c r="FVC9" s="228"/>
      <c r="FVD9" s="433"/>
      <c r="FVE9" s="433"/>
      <c r="FVF9" s="68"/>
      <c r="FVG9" s="271"/>
      <c r="FVI9" s="272"/>
      <c r="FVJ9" s="272"/>
      <c r="FVK9" s="272"/>
      <c r="FVL9" s="273"/>
      <c r="FVM9" s="432"/>
      <c r="FVN9" s="268"/>
      <c r="FVO9" s="228"/>
      <c r="FVP9" s="433"/>
      <c r="FVQ9" s="433"/>
      <c r="FVR9" s="68"/>
      <c r="FVS9" s="271"/>
      <c r="FVU9" s="272"/>
      <c r="FVV9" s="272"/>
      <c r="FVW9" s="272"/>
      <c r="FVX9" s="273"/>
      <c r="FVY9" s="432"/>
      <c r="FVZ9" s="268"/>
      <c r="FWA9" s="228"/>
      <c r="FWB9" s="433"/>
      <c r="FWC9" s="433"/>
      <c r="FWD9" s="68"/>
      <c r="FWE9" s="271"/>
      <c r="FWG9" s="272"/>
      <c r="FWH9" s="272"/>
      <c r="FWI9" s="272"/>
      <c r="FWJ9" s="273"/>
      <c r="FWK9" s="432"/>
      <c r="FWL9" s="268"/>
      <c r="FWM9" s="228"/>
      <c r="FWN9" s="433"/>
      <c r="FWO9" s="433"/>
      <c r="FWP9" s="68"/>
      <c r="FWQ9" s="271"/>
      <c r="FWS9" s="272"/>
      <c r="FWT9" s="272"/>
      <c r="FWU9" s="272"/>
      <c r="FWV9" s="273"/>
      <c r="FWW9" s="432"/>
      <c r="FWX9" s="268"/>
      <c r="FWY9" s="228"/>
      <c r="FWZ9" s="433"/>
      <c r="FXA9" s="433"/>
      <c r="FXB9" s="68"/>
      <c r="FXC9" s="271"/>
      <c r="FXE9" s="272"/>
      <c r="FXF9" s="272"/>
      <c r="FXG9" s="272"/>
      <c r="FXH9" s="273"/>
      <c r="FXI9" s="432"/>
      <c r="FXJ9" s="268"/>
      <c r="FXK9" s="228"/>
      <c r="FXL9" s="433"/>
      <c r="FXM9" s="433"/>
      <c r="FXN9" s="68"/>
      <c r="FXO9" s="271"/>
      <c r="FXQ9" s="272"/>
      <c r="FXR9" s="272"/>
      <c r="FXS9" s="272"/>
      <c r="FXT9" s="273"/>
      <c r="FXU9" s="432"/>
      <c r="FXV9" s="268"/>
      <c r="FXW9" s="228"/>
      <c r="FXX9" s="433"/>
      <c r="FXY9" s="433"/>
      <c r="FXZ9" s="68"/>
      <c r="FYA9" s="271"/>
      <c r="FYC9" s="272"/>
      <c r="FYD9" s="272"/>
      <c r="FYE9" s="272"/>
      <c r="FYF9" s="273"/>
      <c r="FYG9" s="432"/>
      <c r="FYH9" s="268"/>
      <c r="FYI9" s="228"/>
      <c r="FYJ9" s="433"/>
      <c r="FYK9" s="433"/>
      <c r="FYL9" s="68"/>
      <c r="FYM9" s="271"/>
      <c r="FYO9" s="272"/>
      <c r="FYP9" s="272"/>
      <c r="FYQ9" s="272"/>
      <c r="FYR9" s="273"/>
      <c r="FYS9" s="432"/>
      <c r="FYT9" s="268"/>
      <c r="FYU9" s="228"/>
      <c r="FYV9" s="433"/>
      <c r="FYW9" s="433"/>
      <c r="FYX9" s="68"/>
      <c r="FYY9" s="271"/>
      <c r="FZA9" s="272"/>
      <c r="FZB9" s="272"/>
      <c r="FZC9" s="272"/>
      <c r="FZD9" s="273"/>
      <c r="FZE9" s="432"/>
      <c r="FZF9" s="268"/>
      <c r="FZG9" s="228"/>
      <c r="FZH9" s="433"/>
      <c r="FZI9" s="433"/>
      <c r="FZJ9" s="68"/>
      <c r="FZK9" s="271"/>
      <c r="FZM9" s="272"/>
      <c r="FZN9" s="272"/>
      <c r="FZO9" s="272"/>
      <c r="FZP9" s="273"/>
      <c r="FZQ9" s="432"/>
      <c r="FZR9" s="268"/>
      <c r="FZS9" s="228"/>
      <c r="FZT9" s="433"/>
      <c r="FZU9" s="433"/>
      <c r="FZV9" s="68"/>
      <c r="FZW9" s="271"/>
      <c r="FZY9" s="272"/>
      <c r="FZZ9" s="272"/>
      <c r="GAA9" s="272"/>
      <c r="GAB9" s="273"/>
      <c r="GAC9" s="432"/>
      <c r="GAD9" s="268"/>
      <c r="GAE9" s="228"/>
      <c r="GAF9" s="433"/>
      <c r="GAG9" s="433"/>
      <c r="GAH9" s="68"/>
      <c r="GAI9" s="271"/>
      <c r="GAK9" s="272"/>
      <c r="GAL9" s="272"/>
      <c r="GAM9" s="272"/>
      <c r="GAN9" s="273"/>
      <c r="GAO9" s="432"/>
      <c r="GAP9" s="268"/>
      <c r="GAQ9" s="228"/>
      <c r="GAR9" s="433"/>
      <c r="GAS9" s="433"/>
      <c r="GAT9" s="68"/>
      <c r="GAU9" s="271"/>
      <c r="GAW9" s="272"/>
      <c r="GAX9" s="272"/>
      <c r="GAY9" s="272"/>
      <c r="GAZ9" s="273"/>
      <c r="GBA9" s="432"/>
      <c r="GBB9" s="268"/>
      <c r="GBC9" s="228"/>
      <c r="GBD9" s="433"/>
      <c r="GBE9" s="433"/>
      <c r="GBF9" s="68"/>
      <c r="GBG9" s="271"/>
      <c r="GBI9" s="272"/>
      <c r="GBJ9" s="272"/>
      <c r="GBK9" s="272"/>
      <c r="GBL9" s="273"/>
      <c r="GBM9" s="432"/>
      <c r="GBN9" s="268"/>
      <c r="GBO9" s="228"/>
      <c r="GBP9" s="433"/>
      <c r="GBQ9" s="433"/>
      <c r="GBR9" s="68"/>
      <c r="GBS9" s="271"/>
      <c r="GBU9" s="272"/>
      <c r="GBV9" s="272"/>
      <c r="GBW9" s="272"/>
      <c r="GBX9" s="273"/>
      <c r="GBY9" s="432"/>
      <c r="GBZ9" s="268"/>
      <c r="GCA9" s="228"/>
      <c r="GCB9" s="433"/>
      <c r="GCC9" s="433"/>
      <c r="GCD9" s="68"/>
      <c r="GCE9" s="271"/>
      <c r="GCG9" s="272"/>
      <c r="GCH9" s="272"/>
      <c r="GCI9" s="272"/>
      <c r="GCJ9" s="273"/>
      <c r="GCK9" s="432"/>
      <c r="GCL9" s="268"/>
      <c r="GCM9" s="228"/>
      <c r="GCN9" s="433"/>
      <c r="GCO9" s="433"/>
      <c r="GCP9" s="68"/>
      <c r="GCQ9" s="271"/>
      <c r="GCS9" s="272"/>
      <c r="GCT9" s="272"/>
      <c r="GCU9" s="272"/>
      <c r="GCV9" s="273"/>
      <c r="GCW9" s="432"/>
      <c r="GCX9" s="268"/>
      <c r="GCY9" s="228"/>
      <c r="GCZ9" s="433"/>
      <c r="GDA9" s="433"/>
      <c r="GDB9" s="68"/>
      <c r="GDC9" s="271"/>
      <c r="GDE9" s="272"/>
      <c r="GDF9" s="272"/>
      <c r="GDG9" s="272"/>
      <c r="GDH9" s="273"/>
      <c r="GDI9" s="432"/>
      <c r="GDJ9" s="268"/>
      <c r="GDK9" s="228"/>
      <c r="GDL9" s="433"/>
      <c r="GDM9" s="433"/>
      <c r="GDN9" s="68"/>
      <c r="GDO9" s="271"/>
      <c r="GDQ9" s="272"/>
      <c r="GDR9" s="272"/>
      <c r="GDS9" s="272"/>
      <c r="GDT9" s="273"/>
      <c r="GDU9" s="432"/>
      <c r="GDV9" s="268"/>
      <c r="GDW9" s="228"/>
      <c r="GDX9" s="433"/>
      <c r="GDY9" s="433"/>
      <c r="GDZ9" s="68"/>
      <c r="GEA9" s="271"/>
      <c r="GEC9" s="272"/>
      <c r="GED9" s="272"/>
      <c r="GEE9" s="272"/>
      <c r="GEF9" s="273"/>
      <c r="GEG9" s="432"/>
      <c r="GEH9" s="268"/>
      <c r="GEI9" s="228"/>
      <c r="GEJ9" s="433"/>
      <c r="GEK9" s="433"/>
      <c r="GEL9" s="68"/>
      <c r="GEM9" s="271"/>
      <c r="GEO9" s="272"/>
      <c r="GEP9" s="272"/>
      <c r="GEQ9" s="272"/>
      <c r="GER9" s="273"/>
      <c r="GES9" s="432"/>
      <c r="GET9" s="268"/>
      <c r="GEU9" s="228"/>
      <c r="GEV9" s="433"/>
      <c r="GEW9" s="433"/>
      <c r="GEX9" s="68"/>
      <c r="GEY9" s="271"/>
      <c r="GFA9" s="272"/>
      <c r="GFB9" s="272"/>
      <c r="GFC9" s="272"/>
      <c r="GFD9" s="273"/>
      <c r="GFE9" s="432"/>
      <c r="GFF9" s="268"/>
      <c r="GFG9" s="228"/>
      <c r="GFH9" s="433"/>
      <c r="GFI9" s="433"/>
      <c r="GFJ9" s="68"/>
      <c r="GFK9" s="271"/>
      <c r="GFM9" s="272"/>
      <c r="GFN9" s="272"/>
      <c r="GFO9" s="272"/>
      <c r="GFP9" s="273"/>
      <c r="GFQ9" s="432"/>
      <c r="GFR9" s="268"/>
      <c r="GFS9" s="228"/>
      <c r="GFT9" s="433"/>
      <c r="GFU9" s="433"/>
      <c r="GFV9" s="68"/>
      <c r="GFW9" s="271"/>
      <c r="GFY9" s="272"/>
      <c r="GFZ9" s="272"/>
      <c r="GGA9" s="272"/>
      <c r="GGB9" s="273"/>
      <c r="GGC9" s="432"/>
      <c r="GGD9" s="268"/>
      <c r="GGE9" s="228"/>
      <c r="GGF9" s="433"/>
      <c r="GGG9" s="433"/>
      <c r="GGH9" s="68"/>
      <c r="GGI9" s="271"/>
      <c r="GGK9" s="272"/>
      <c r="GGL9" s="272"/>
      <c r="GGM9" s="272"/>
      <c r="GGN9" s="273"/>
      <c r="GGO9" s="432"/>
      <c r="GGP9" s="268"/>
      <c r="GGQ9" s="228"/>
      <c r="GGR9" s="433"/>
      <c r="GGS9" s="433"/>
      <c r="GGT9" s="68"/>
      <c r="GGU9" s="271"/>
      <c r="GGW9" s="272"/>
      <c r="GGX9" s="272"/>
      <c r="GGY9" s="272"/>
      <c r="GGZ9" s="273"/>
      <c r="GHA9" s="432"/>
      <c r="GHB9" s="268"/>
      <c r="GHC9" s="228"/>
      <c r="GHD9" s="433"/>
      <c r="GHE9" s="433"/>
      <c r="GHF9" s="68"/>
      <c r="GHG9" s="271"/>
      <c r="GHI9" s="272"/>
      <c r="GHJ9" s="272"/>
      <c r="GHK9" s="272"/>
      <c r="GHL9" s="273"/>
      <c r="GHM9" s="432"/>
      <c r="GHN9" s="268"/>
      <c r="GHO9" s="228"/>
      <c r="GHP9" s="433"/>
      <c r="GHQ9" s="433"/>
      <c r="GHR9" s="68"/>
      <c r="GHS9" s="271"/>
      <c r="GHU9" s="272"/>
      <c r="GHV9" s="272"/>
      <c r="GHW9" s="272"/>
      <c r="GHX9" s="273"/>
      <c r="GHY9" s="432"/>
      <c r="GHZ9" s="268"/>
      <c r="GIA9" s="228"/>
      <c r="GIB9" s="433"/>
      <c r="GIC9" s="433"/>
      <c r="GID9" s="68"/>
      <c r="GIE9" s="271"/>
      <c r="GIG9" s="272"/>
      <c r="GIH9" s="272"/>
      <c r="GII9" s="272"/>
      <c r="GIJ9" s="273"/>
      <c r="GIK9" s="432"/>
      <c r="GIL9" s="268"/>
      <c r="GIM9" s="228"/>
      <c r="GIN9" s="433"/>
      <c r="GIO9" s="433"/>
      <c r="GIP9" s="68"/>
      <c r="GIQ9" s="271"/>
      <c r="GIS9" s="272"/>
      <c r="GIT9" s="272"/>
      <c r="GIU9" s="272"/>
      <c r="GIV9" s="273"/>
      <c r="GIW9" s="432"/>
      <c r="GIX9" s="268"/>
      <c r="GIY9" s="228"/>
      <c r="GIZ9" s="433"/>
      <c r="GJA9" s="433"/>
      <c r="GJB9" s="68"/>
      <c r="GJC9" s="271"/>
      <c r="GJE9" s="272"/>
      <c r="GJF9" s="272"/>
      <c r="GJG9" s="272"/>
      <c r="GJH9" s="273"/>
      <c r="GJI9" s="432"/>
      <c r="GJJ9" s="268"/>
      <c r="GJK9" s="228"/>
      <c r="GJL9" s="433"/>
      <c r="GJM9" s="433"/>
      <c r="GJN9" s="68"/>
      <c r="GJO9" s="271"/>
      <c r="GJQ9" s="272"/>
      <c r="GJR9" s="272"/>
      <c r="GJS9" s="272"/>
      <c r="GJT9" s="273"/>
      <c r="GJU9" s="432"/>
      <c r="GJV9" s="268"/>
      <c r="GJW9" s="228"/>
      <c r="GJX9" s="433"/>
      <c r="GJY9" s="433"/>
      <c r="GJZ9" s="68"/>
      <c r="GKA9" s="271"/>
      <c r="GKC9" s="272"/>
      <c r="GKD9" s="272"/>
      <c r="GKE9" s="272"/>
      <c r="GKF9" s="273"/>
      <c r="GKG9" s="432"/>
      <c r="GKH9" s="268"/>
      <c r="GKI9" s="228"/>
      <c r="GKJ9" s="433"/>
      <c r="GKK9" s="433"/>
      <c r="GKL9" s="68"/>
      <c r="GKM9" s="271"/>
      <c r="GKO9" s="272"/>
      <c r="GKP9" s="272"/>
      <c r="GKQ9" s="272"/>
      <c r="GKR9" s="273"/>
      <c r="GKS9" s="432"/>
      <c r="GKT9" s="268"/>
      <c r="GKU9" s="228"/>
      <c r="GKV9" s="433"/>
      <c r="GKW9" s="433"/>
      <c r="GKX9" s="68"/>
      <c r="GKY9" s="271"/>
      <c r="GLA9" s="272"/>
      <c r="GLB9" s="272"/>
      <c r="GLC9" s="272"/>
      <c r="GLD9" s="273"/>
      <c r="GLE9" s="432"/>
      <c r="GLF9" s="268"/>
      <c r="GLG9" s="228"/>
      <c r="GLH9" s="433"/>
      <c r="GLI9" s="433"/>
      <c r="GLJ9" s="68"/>
      <c r="GLK9" s="271"/>
      <c r="GLM9" s="272"/>
      <c r="GLN9" s="272"/>
      <c r="GLO9" s="272"/>
      <c r="GLP9" s="273"/>
      <c r="GLQ9" s="432"/>
      <c r="GLR9" s="268"/>
      <c r="GLS9" s="228"/>
      <c r="GLT9" s="433"/>
      <c r="GLU9" s="433"/>
      <c r="GLV9" s="68"/>
      <c r="GLW9" s="271"/>
      <c r="GLY9" s="272"/>
      <c r="GLZ9" s="272"/>
      <c r="GMA9" s="272"/>
      <c r="GMB9" s="273"/>
      <c r="GMC9" s="432"/>
      <c r="GMD9" s="268"/>
      <c r="GME9" s="228"/>
      <c r="GMF9" s="433"/>
      <c r="GMG9" s="433"/>
      <c r="GMH9" s="68"/>
      <c r="GMI9" s="271"/>
      <c r="GMK9" s="272"/>
      <c r="GML9" s="272"/>
      <c r="GMM9" s="272"/>
      <c r="GMN9" s="273"/>
      <c r="GMO9" s="432"/>
      <c r="GMP9" s="268"/>
      <c r="GMQ9" s="228"/>
      <c r="GMR9" s="433"/>
      <c r="GMS9" s="433"/>
      <c r="GMT9" s="68"/>
      <c r="GMU9" s="271"/>
      <c r="GMW9" s="272"/>
      <c r="GMX9" s="272"/>
      <c r="GMY9" s="272"/>
      <c r="GMZ9" s="273"/>
      <c r="GNA9" s="432"/>
      <c r="GNB9" s="268"/>
      <c r="GNC9" s="228"/>
      <c r="GND9" s="433"/>
      <c r="GNE9" s="433"/>
      <c r="GNF9" s="68"/>
      <c r="GNG9" s="271"/>
      <c r="GNI9" s="272"/>
      <c r="GNJ9" s="272"/>
      <c r="GNK9" s="272"/>
      <c r="GNL9" s="273"/>
      <c r="GNM9" s="432"/>
      <c r="GNN9" s="268"/>
      <c r="GNO9" s="228"/>
      <c r="GNP9" s="433"/>
      <c r="GNQ9" s="433"/>
      <c r="GNR9" s="68"/>
      <c r="GNS9" s="271"/>
      <c r="GNU9" s="272"/>
      <c r="GNV9" s="272"/>
      <c r="GNW9" s="272"/>
      <c r="GNX9" s="273"/>
      <c r="GNY9" s="432"/>
      <c r="GNZ9" s="268"/>
      <c r="GOA9" s="228"/>
      <c r="GOB9" s="433"/>
      <c r="GOC9" s="433"/>
      <c r="GOD9" s="68"/>
      <c r="GOE9" s="271"/>
      <c r="GOG9" s="272"/>
      <c r="GOH9" s="272"/>
      <c r="GOI9" s="272"/>
      <c r="GOJ9" s="273"/>
      <c r="GOK9" s="432"/>
      <c r="GOL9" s="268"/>
      <c r="GOM9" s="228"/>
      <c r="GON9" s="433"/>
      <c r="GOO9" s="433"/>
      <c r="GOP9" s="68"/>
      <c r="GOQ9" s="271"/>
      <c r="GOS9" s="272"/>
      <c r="GOT9" s="272"/>
      <c r="GOU9" s="272"/>
      <c r="GOV9" s="273"/>
      <c r="GOW9" s="432"/>
      <c r="GOX9" s="268"/>
      <c r="GOY9" s="228"/>
      <c r="GOZ9" s="433"/>
      <c r="GPA9" s="433"/>
      <c r="GPB9" s="68"/>
      <c r="GPC9" s="271"/>
      <c r="GPE9" s="272"/>
      <c r="GPF9" s="272"/>
      <c r="GPG9" s="272"/>
      <c r="GPH9" s="273"/>
      <c r="GPI9" s="432"/>
      <c r="GPJ9" s="268"/>
      <c r="GPK9" s="228"/>
      <c r="GPL9" s="433"/>
      <c r="GPM9" s="433"/>
      <c r="GPN9" s="68"/>
      <c r="GPO9" s="271"/>
      <c r="GPQ9" s="272"/>
      <c r="GPR9" s="272"/>
      <c r="GPS9" s="272"/>
      <c r="GPT9" s="273"/>
      <c r="GPU9" s="432"/>
      <c r="GPV9" s="268"/>
      <c r="GPW9" s="228"/>
      <c r="GPX9" s="433"/>
      <c r="GPY9" s="433"/>
      <c r="GPZ9" s="68"/>
      <c r="GQA9" s="271"/>
      <c r="GQC9" s="272"/>
      <c r="GQD9" s="272"/>
      <c r="GQE9" s="272"/>
      <c r="GQF9" s="273"/>
      <c r="GQG9" s="432"/>
      <c r="GQH9" s="268"/>
      <c r="GQI9" s="228"/>
      <c r="GQJ9" s="433"/>
      <c r="GQK9" s="433"/>
      <c r="GQL9" s="68"/>
      <c r="GQM9" s="271"/>
      <c r="GQO9" s="272"/>
      <c r="GQP9" s="272"/>
      <c r="GQQ9" s="272"/>
      <c r="GQR9" s="273"/>
      <c r="GQS9" s="432"/>
      <c r="GQT9" s="268"/>
      <c r="GQU9" s="228"/>
      <c r="GQV9" s="433"/>
      <c r="GQW9" s="433"/>
      <c r="GQX9" s="68"/>
      <c r="GQY9" s="271"/>
      <c r="GRA9" s="272"/>
      <c r="GRB9" s="272"/>
      <c r="GRC9" s="272"/>
      <c r="GRD9" s="273"/>
      <c r="GRE9" s="432"/>
      <c r="GRF9" s="268"/>
      <c r="GRG9" s="228"/>
      <c r="GRH9" s="433"/>
      <c r="GRI9" s="433"/>
      <c r="GRJ9" s="68"/>
      <c r="GRK9" s="271"/>
      <c r="GRM9" s="272"/>
      <c r="GRN9" s="272"/>
      <c r="GRO9" s="272"/>
      <c r="GRP9" s="273"/>
      <c r="GRQ9" s="432"/>
      <c r="GRR9" s="268"/>
      <c r="GRS9" s="228"/>
      <c r="GRT9" s="433"/>
      <c r="GRU9" s="433"/>
      <c r="GRV9" s="68"/>
      <c r="GRW9" s="271"/>
      <c r="GRY9" s="272"/>
      <c r="GRZ9" s="272"/>
      <c r="GSA9" s="272"/>
      <c r="GSB9" s="273"/>
      <c r="GSC9" s="432"/>
      <c r="GSD9" s="268"/>
      <c r="GSE9" s="228"/>
      <c r="GSF9" s="433"/>
      <c r="GSG9" s="433"/>
      <c r="GSH9" s="68"/>
      <c r="GSI9" s="271"/>
      <c r="GSK9" s="272"/>
      <c r="GSL9" s="272"/>
      <c r="GSM9" s="272"/>
      <c r="GSN9" s="273"/>
      <c r="GSO9" s="432"/>
      <c r="GSP9" s="268"/>
      <c r="GSQ9" s="228"/>
      <c r="GSR9" s="433"/>
      <c r="GSS9" s="433"/>
      <c r="GST9" s="68"/>
      <c r="GSU9" s="271"/>
      <c r="GSW9" s="272"/>
      <c r="GSX9" s="272"/>
      <c r="GSY9" s="272"/>
      <c r="GSZ9" s="273"/>
      <c r="GTA9" s="432"/>
      <c r="GTB9" s="268"/>
      <c r="GTC9" s="228"/>
      <c r="GTD9" s="433"/>
      <c r="GTE9" s="433"/>
      <c r="GTF9" s="68"/>
      <c r="GTG9" s="271"/>
      <c r="GTI9" s="272"/>
      <c r="GTJ9" s="272"/>
      <c r="GTK9" s="272"/>
      <c r="GTL9" s="273"/>
      <c r="GTM9" s="432"/>
      <c r="GTN9" s="268"/>
      <c r="GTO9" s="228"/>
      <c r="GTP9" s="433"/>
      <c r="GTQ9" s="433"/>
      <c r="GTR9" s="68"/>
      <c r="GTS9" s="271"/>
      <c r="GTU9" s="272"/>
      <c r="GTV9" s="272"/>
      <c r="GTW9" s="272"/>
      <c r="GTX9" s="273"/>
      <c r="GTY9" s="432"/>
      <c r="GTZ9" s="268"/>
      <c r="GUA9" s="228"/>
      <c r="GUB9" s="433"/>
      <c r="GUC9" s="433"/>
      <c r="GUD9" s="68"/>
      <c r="GUE9" s="271"/>
      <c r="GUG9" s="272"/>
      <c r="GUH9" s="272"/>
      <c r="GUI9" s="272"/>
      <c r="GUJ9" s="273"/>
      <c r="GUK9" s="432"/>
      <c r="GUL9" s="268"/>
      <c r="GUM9" s="228"/>
      <c r="GUN9" s="433"/>
      <c r="GUO9" s="433"/>
      <c r="GUP9" s="68"/>
      <c r="GUQ9" s="271"/>
      <c r="GUS9" s="272"/>
      <c r="GUT9" s="272"/>
      <c r="GUU9" s="272"/>
      <c r="GUV9" s="273"/>
      <c r="GUW9" s="432"/>
      <c r="GUX9" s="268"/>
      <c r="GUY9" s="228"/>
      <c r="GUZ9" s="433"/>
      <c r="GVA9" s="433"/>
      <c r="GVB9" s="68"/>
      <c r="GVC9" s="271"/>
      <c r="GVE9" s="272"/>
      <c r="GVF9" s="272"/>
      <c r="GVG9" s="272"/>
      <c r="GVH9" s="273"/>
      <c r="GVI9" s="432"/>
      <c r="GVJ9" s="268"/>
      <c r="GVK9" s="228"/>
      <c r="GVL9" s="433"/>
      <c r="GVM9" s="433"/>
      <c r="GVN9" s="68"/>
      <c r="GVO9" s="271"/>
      <c r="GVQ9" s="272"/>
      <c r="GVR9" s="272"/>
      <c r="GVS9" s="272"/>
      <c r="GVT9" s="273"/>
      <c r="GVU9" s="432"/>
      <c r="GVV9" s="268"/>
      <c r="GVW9" s="228"/>
      <c r="GVX9" s="433"/>
      <c r="GVY9" s="433"/>
      <c r="GVZ9" s="68"/>
      <c r="GWA9" s="271"/>
      <c r="GWC9" s="272"/>
      <c r="GWD9" s="272"/>
      <c r="GWE9" s="272"/>
      <c r="GWF9" s="273"/>
      <c r="GWG9" s="432"/>
      <c r="GWH9" s="268"/>
      <c r="GWI9" s="228"/>
      <c r="GWJ9" s="433"/>
      <c r="GWK9" s="433"/>
      <c r="GWL9" s="68"/>
      <c r="GWM9" s="271"/>
      <c r="GWO9" s="272"/>
      <c r="GWP9" s="272"/>
      <c r="GWQ9" s="272"/>
      <c r="GWR9" s="273"/>
      <c r="GWS9" s="432"/>
      <c r="GWT9" s="268"/>
      <c r="GWU9" s="228"/>
      <c r="GWV9" s="433"/>
      <c r="GWW9" s="433"/>
      <c r="GWX9" s="68"/>
      <c r="GWY9" s="271"/>
      <c r="GXA9" s="272"/>
      <c r="GXB9" s="272"/>
      <c r="GXC9" s="272"/>
      <c r="GXD9" s="273"/>
      <c r="GXE9" s="432"/>
      <c r="GXF9" s="268"/>
      <c r="GXG9" s="228"/>
      <c r="GXH9" s="433"/>
      <c r="GXI9" s="433"/>
      <c r="GXJ9" s="68"/>
      <c r="GXK9" s="271"/>
      <c r="GXM9" s="272"/>
      <c r="GXN9" s="272"/>
      <c r="GXO9" s="272"/>
      <c r="GXP9" s="273"/>
      <c r="GXQ9" s="432"/>
      <c r="GXR9" s="268"/>
      <c r="GXS9" s="228"/>
      <c r="GXT9" s="433"/>
      <c r="GXU9" s="433"/>
      <c r="GXV9" s="68"/>
      <c r="GXW9" s="271"/>
      <c r="GXY9" s="272"/>
      <c r="GXZ9" s="272"/>
      <c r="GYA9" s="272"/>
      <c r="GYB9" s="273"/>
      <c r="GYC9" s="432"/>
      <c r="GYD9" s="268"/>
      <c r="GYE9" s="228"/>
      <c r="GYF9" s="433"/>
      <c r="GYG9" s="433"/>
      <c r="GYH9" s="68"/>
      <c r="GYI9" s="271"/>
      <c r="GYK9" s="272"/>
      <c r="GYL9" s="272"/>
      <c r="GYM9" s="272"/>
      <c r="GYN9" s="273"/>
      <c r="GYO9" s="432"/>
      <c r="GYP9" s="268"/>
      <c r="GYQ9" s="228"/>
      <c r="GYR9" s="433"/>
      <c r="GYS9" s="433"/>
      <c r="GYT9" s="68"/>
      <c r="GYU9" s="271"/>
      <c r="GYW9" s="272"/>
      <c r="GYX9" s="272"/>
      <c r="GYY9" s="272"/>
      <c r="GYZ9" s="273"/>
      <c r="GZA9" s="432"/>
      <c r="GZB9" s="268"/>
      <c r="GZC9" s="228"/>
      <c r="GZD9" s="433"/>
      <c r="GZE9" s="433"/>
      <c r="GZF9" s="68"/>
      <c r="GZG9" s="271"/>
      <c r="GZI9" s="272"/>
      <c r="GZJ9" s="272"/>
      <c r="GZK9" s="272"/>
      <c r="GZL9" s="273"/>
      <c r="GZM9" s="432"/>
      <c r="GZN9" s="268"/>
      <c r="GZO9" s="228"/>
      <c r="GZP9" s="433"/>
      <c r="GZQ9" s="433"/>
      <c r="GZR9" s="68"/>
      <c r="GZS9" s="271"/>
      <c r="GZU9" s="272"/>
      <c r="GZV9" s="272"/>
      <c r="GZW9" s="272"/>
      <c r="GZX9" s="273"/>
      <c r="GZY9" s="432"/>
      <c r="GZZ9" s="268"/>
      <c r="HAA9" s="228"/>
      <c r="HAB9" s="433"/>
      <c r="HAC9" s="433"/>
      <c r="HAD9" s="68"/>
      <c r="HAE9" s="271"/>
      <c r="HAG9" s="272"/>
      <c r="HAH9" s="272"/>
      <c r="HAI9" s="272"/>
      <c r="HAJ9" s="273"/>
      <c r="HAK9" s="432"/>
      <c r="HAL9" s="268"/>
      <c r="HAM9" s="228"/>
      <c r="HAN9" s="433"/>
      <c r="HAO9" s="433"/>
      <c r="HAP9" s="68"/>
      <c r="HAQ9" s="271"/>
      <c r="HAS9" s="272"/>
      <c r="HAT9" s="272"/>
      <c r="HAU9" s="272"/>
      <c r="HAV9" s="273"/>
      <c r="HAW9" s="432"/>
      <c r="HAX9" s="268"/>
      <c r="HAY9" s="228"/>
      <c r="HAZ9" s="433"/>
      <c r="HBA9" s="433"/>
      <c r="HBB9" s="68"/>
      <c r="HBC9" s="271"/>
      <c r="HBE9" s="272"/>
      <c r="HBF9" s="272"/>
      <c r="HBG9" s="272"/>
      <c r="HBH9" s="273"/>
      <c r="HBI9" s="432"/>
      <c r="HBJ9" s="268"/>
      <c r="HBK9" s="228"/>
      <c r="HBL9" s="433"/>
      <c r="HBM9" s="433"/>
      <c r="HBN9" s="68"/>
      <c r="HBO9" s="271"/>
      <c r="HBQ9" s="272"/>
      <c r="HBR9" s="272"/>
      <c r="HBS9" s="272"/>
      <c r="HBT9" s="273"/>
      <c r="HBU9" s="432"/>
      <c r="HBV9" s="268"/>
      <c r="HBW9" s="228"/>
      <c r="HBX9" s="433"/>
      <c r="HBY9" s="433"/>
      <c r="HBZ9" s="68"/>
      <c r="HCA9" s="271"/>
      <c r="HCC9" s="272"/>
      <c r="HCD9" s="272"/>
      <c r="HCE9" s="272"/>
      <c r="HCF9" s="273"/>
      <c r="HCG9" s="432"/>
      <c r="HCH9" s="268"/>
      <c r="HCI9" s="228"/>
      <c r="HCJ9" s="433"/>
      <c r="HCK9" s="433"/>
      <c r="HCL9" s="68"/>
      <c r="HCM9" s="271"/>
      <c r="HCO9" s="272"/>
      <c r="HCP9" s="272"/>
      <c r="HCQ9" s="272"/>
      <c r="HCR9" s="273"/>
      <c r="HCS9" s="432"/>
      <c r="HCT9" s="268"/>
      <c r="HCU9" s="228"/>
      <c r="HCV9" s="433"/>
      <c r="HCW9" s="433"/>
      <c r="HCX9" s="68"/>
      <c r="HCY9" s="271"/>
      <c r="HDA9" s="272"/>
      <c r="HDB9" s="272"/>
      <c r="HDC9" s="272"/>
      <c r="HDD9" s="273"/>
      <c r="HDE9" s="432"/>
      <c r="HDF9" s="268"/>
      <c r="HDG9" s="228"/>
      <c r="HDH9" s="433"/>
      <c r="HDI9" s="433"/>
      <c r="HDJ9" s="68"/>
      <c r="HDK9" s="271"/>
      <c r="HDM9" s="272"/>
      <c r="HDN9" s="272"/>
      <c r="HDO9" s="272"/>
      <c r="HDP9" s="273"/>
      <c r="HDQ9" s="432"/>
      <c r="HDR9" s="268"/>
      <c r="HDS9" s="228"/>
      <c r="HDT9" s="433"/>
      <c r="HDU9" s="433"/>
      <c r="HDV9" s="68"/>
      <c r="HDW9" s="271"/>
      <c r="HDY9" s="272"/>
      <c r="HDZ9" s="272"/>
      <c r="HEA9" s="272"/>
      <c r="HEB9" s="273"/>
      <c r="HEC9" s="432"/>
      <c r="HED9" s="268"/>
      <c r="HEE9" s="228"/>
      <c r="HEF9" s="433"/>
      <c r="HEG9" s="433"/>
      <c r="HEH9" s="68"/>
      <c r="HEI9" s="271"/>
      <c r="HEK9" s="272"/>
      <c r="HEL9" s="272"/>
      <c r="HEM9" s="272"/>
      <c r="HEN9" s="273"/>
      <c r="HEO9" s="432"/>
      <c r="HEP9" s="268"/>
      <c r="HEQ9" s="228"/>
      <c r="HER9" s="433"/>
      <c r="HES9" s="433"/>
      <c r="HET9" s="68"/>
      <c r="HEU9" s="271"/>
      <c r="HEW9" s="272"/>
      <c r="HEX9" s="272"/>
      <c r="HEY9" s="272"/>
      <c r="HEZ9" s="273"/>
      <c r="HFA9" s="432"/>
      <c r="HFB9" s="268"/>
      <c r="HFC9" s="228"/>
      <c r="HFD9" s="433"/>
      <c r="HFE9" s="433"/>
      <c r="HFF9" s="68"/>
      <c r="HFG9" s="271"/>
      <c r="HFI9" s="272"/>
      <c r="HFJ9" s="272"/>
      <c r="HFK9" s="272"/>
      <c r="HFL9" s="273"/>
      <c r="HFM9" s="432"/>
      <c r="HFN9" s="268"/>
      <c r="HFO9" s="228"/>
      <c r="HFP9" s="433"/>
      <c r="HFQ9" s="433"/>
      <c r="HFR9" s="68"/>
      <c r="HFS9" s="271"/>
      <c r="HFU9" s="272"/>
      <c r="HFV9" s="272"/>
      <c r="HFW9" s="272"/>
      <c r="HFX9" s="273"/>
      <c r="HFY9" s="432"/>
      <c r="HFZ9" s="268"/>
      <c r="HGA9" s="228"/>
      <c r="HGB9" s="433"/>
      <c r="HGC9" s="433"/>
      <c r="HGD9" s="68"/>
      <c r="HGE9" s="271"/>
      <c r="HGG9" s="272"/>
      <c r="HGH9" s="272"/>
      <c r="HGI9" s="272"/>
      <c r="HGJ9" s="273"/>
      <c r="HGK9" s="432"/>
      <c r="HGL9" s="268"/>
      <c r="HGM9" s="228"/>
      <c r="HGN9" s="433"/>
      <c r="HGO9" s="433"/>
      <c r="HGP9" s="68"/>
      <c r="HGQ9" s="271"/>
      <c r="HGS9" s="272"/>
      <c r="HGT9" s="272"/>
      <c r="HGU9" s="272"/>
      <c r="HGV9" s="273"/>
      <c r="HGW9" s="432"/>
      <c r="HGX9" s="268"/>
      <c r="HGY9" s="228"/>
      <c r="HGZ9" s="433"/>
      <c r="HHA9" s="433"/>
      <c r="HHB9" s="68"/>
      <c r="HHC9" s="271"/>
      <c r="HHE9" s="272"/>
      <c r="HHF9" s="272"/>
      <c r="HHG9" s="272"/>
      <c r="HHH9" s="273"/>
      <c r="HHI9" s="432"/>
      <c r="HHJ9" s="268"/>
      <c r="HHK9" s="228"/>
      <c r="HHL9" s="433"/>
      <c r="HHM9" s="433"/>
      <c r="HHN9" s="68"/>
      <c r="HHO9" s="271"/>
      <c r="HHQ9" s="272"/>
      <c r="HHR9" s="272"/>
      <c r="HHS9" s="272"/>
      <c r="HHT9" s="273"/>
      <c r="HHU9" s="432"/>
      <c r="HHV9" s="268"/>
      <c r="HHW9" s="228"/>
      <c r="HHX9" s="433"/>
      <c r="HHY9" s="433"/>
      <c r="HHZ9" s="68"/>
      <c r="HIA9" s="271"/>
      <c r="HIC9" s="272"/>
      <c r="HID9" s="272"/>
      <c r="HIE9" s="272"/>
      <c r="HIF9" s="273"/>
      <c r="HIG9" s="432"/>
      <c r="HIH9" s="268"/>
      <c r="HII9" s="228"/>
      <c r="HIJ9" s="433"/>
      <c r="HIK9" s="433"/>
      <c r="HIL9" s="68"/>
      <c r="HIM9" s="271"/>
      <c r="HIO9" s="272"/>
      <c r="HIP9" s="272"/>
      <c r="HIQ9" s="272"/>
      <c r="HIR9" s="273"/>
      <c r="HIS9" s="432"/>
      <c r="HIT9" s="268"/>
      <c r="HIU9" s="228"/>
      <c r="HIV9" s="433"/>
      <c r="HIW9" s="433"/>
      <c r="HIX9" s="68"/>
      <c r="HIY9" s="271"/>
      <c r="HJA9" s="272"/>
      <c r="HJB9" s="272"/>
      <c r="HJC9" s="272"/>
      <c r="HJD9" s="273"/>
      <c r="HJE9" s="432"/>
      <c r="HJF9" s="268"/>
      <c r="HJG9" s="228"/>
      <c r="HJH9" s="433"/>
      <c r="HJI9" s="433"/>
      <c r="HJJ9" s="68"/>
      <c r="HJK9" s="271"/>
      <c r="HJM9" s="272"/>
      <c r="HJN9" s="272"/>
      <c r="HJO9" s="272"/>
      <c r="HJP9" s="273"/>
      <c r="HJQ9" s="432"/>
      <c r="HJR9" s="268"/>
      <c r="HJS9" s="228"/>
      <c r="HJT9" s="433"/>
      <c r="HJU9" s="433"/>
      <c r="HJV9" s="68"/>
      <c r="HJW9" s="271"/>
      <c r="HJY9" s="272"/>
      <c r="HJZ9" s="272"/>
      <c r="HKA9" s="272"/>
      <c r="HKB9" s="273"/>
      <c r="HKC9" s="432"/>
      <c r="HKD9" s="268"/>
      <c r="HKE9" s="228"/>
      <c r="HKF9" s="433"/>
      <c r="HKG9" s="433"/>
      <c r="HKH9" s="68"/>
      <c r="HKI9" s="271"/>
      <c r="HKK9" s="272"/>
      <c r="HKL9" s="272"/>
      <c r="HKM9" s="272"/>
      <c r="HKN9" s="273"/>
      <c r="HKO9" s="432"/>
      <c r="HKP9" s="268"/>
      <c r="HKQ9" s="228"/>
      <c r="HKR9" s="433"/>
      <c r="HKS9" s="433"/>
      <c r="HKT9" s="68"/>
      <c r="HKU9" s="271"/>
      <c r="HKW9" s="272"/>
      <c r="HKX9" s="272"/>
      <c r="HKY9" s="272"/>
      <c r="HKZ9" s="273"/>
      <c r="HLA9" s="432"/>
      <c r="HLB9" s="268"/>
      <c r="HLC9" s="228"/>
      <c r="HLD9" s="433"/>
      <c r="HLE9" s="433"/>
      <c r="HLF9" s="68"/>
      <c r="HLG9" s="271"/>
      <c r="HLI9" s="272"/>
      <c r="HLJ9" s="272"/>
      <c r="HLK9" s="272"/>
      <c r="HLL9" s="273"/>
      <c r="HLM9" s="432"/>
      <c r="HLN9" s="268"/>
      <c r="HLO9" s="228"/>
      <c r="HLP9" s="433"/>
      <c r="HLQ9" s="433"/>
      <c r="HLR9" s="68"/>
      <c r="HLS9" s="271"/>
      <c r="HLU9" s="272"/>
      <c r="HLV9" s="272"/>
      <c r="HLW9" s="272"/>
      <c r="HLX9" s="273"/>
      <c r="HLY9" s="432"/>
      <c r="HLZ9" s="268"/>
      <c r="HMA9" s="228"/>
      <c r="HMB9" s="433"/>
      <c r="HMC9" s="433"/>
      <c r="HMD9" s="68"/>
      <c r="HME9" s="271"/>
      <c r="HMG9" s="272"/>
      <c r="HMH9" s="272"/>
      <c r="HMI9" s="272"/>
      <c r="HMJ9" s="273"/>
      <c r="HMK9" s="432"/>
      <c r="HML9" s="268"/>
      <c r="HMM9" s="228"/>
      <c r="HMN9" s="433"/>
      <c r="HMO9" s="433"/>
      <c r="HMP9" s="68"/>
      <c r="HMQ9" s="271"/>
      <c r="HMS9" s="272"/>
      <c r="HMT9" s="272"/>
      <c r="HMU9" s="272"/>
      <c r="HMV9" s="273"/>
      <c r="HMW9" s="432"/>
      <c r="HMX9" s="268"/>
      <c r="HMY9" s="228"/>
      <c r="HMZ9" s="433"/>
      <c r="HNA9" s="433"/>
      <c r="HNB9" s="68"/>
      <c r="HNC9" s="271"/>
      <c r="HNE9" s="272"/>
      <c r="HNF9" s="272"/>
      <c r="HNG9" s="272"/>
      <c r="HNH9" s="273"/>
      <c r="HNI9" s="432"/>
      <c r="HNJ9" s="268"/>
      <c r="HNK9" s="228"/>
      <c r="HNL9" s="433"/>
      <c r="HNM9" s="433"/>
      <c r="HNN9" s="68"/>
      <c r="HNO9" s="271"/>
      <c r="HNQ9" s="272"/>
      <c r="HNR9" s="272"/>
      <c r="HNS9" s="272"/>
      <c r="HNT9" s="273"/>
      <c r="HNU9" s="432"/>
      <c r="HNV9" s="268"/>
      <c r="HNW9" s="228"/>
      <c r="HNX9" s="433"/>
      <c r="HNY9" s="433"/>
      <c r="HNZ9" s="68"/>
      <c r="HOA9" s="271"/>
      <c r="HOC9" s="272"/>
      <c r="HOD9" s="272"/>
      <c r="HOE9" s="272"/>
      <c r="HOF9" s="273"/>
      <c r="HOG9" s="432"/>
      <c r="HOH9" s="268"/>
      <c r="HOI9" s="228"/>
      <c r="HOJ9" s="433"/>
      <c r="HOK9" s="433"/>
      <c r="HOL9" s="68"/>
      <c r="HOM9" s="271"/>
      <c r="HOO9" s="272"/>
      <c r="HOP9" s="272"/>
      <c r="HOQ9" s="272"/>
      <c r="HOR9" s="273"/>
      <c r="HOS9" s="432"/>
      <c r="HOT9" s="268"/>
      <c r="HOU9" s="228"/>
      <c r="HOV9" s="433"/>
      <c r="HOW9" s="433"/>
      <c r="HOX9" s="68"/>
      <c r="HOY9" s="271"/>
      <c r="HPA9" s="272"/>
      <c r="HPB9" s="272"/>
      <c r="HPC9" s="272"/>
      <c r="HPD9" s="273"/>
      <c r="HPE9" s="432"/>
      <c r="HPF9" s="268"/>
      <c r="HPG9" s="228"/>
      <c r="HPH9" s="433"/>
      <c r="HPI9" s="433"/>
      <c r="HPJ9" s="68"/>
      <c r="HPK9" s="271"/>
      <c r="HPM9" s="272"/>
      <c r="HPN9" s="272"/>
      <c r="HPO9" s="272"/>
      <c r="HPP9" s="273"/>
      <c r="HPQ9" s="432"/>
      <c r="HPR9" s="268"/>
      <c r="HPS9" s="228"/>
      <c r="HPT9" s="433"/>
      <c r="HPU9" s="433"/>
      <c r="HPV9" s="68"/>
      <c r="HPW9" s="271"/>
      <c r="HPY9" s="272"/>
      <c r="HPZ9" s="272"/>
      <c r="HQA9" s="272"/>
      <c r="HQB9" s="273"/>
      <c r="HQC9" s="432"/>
      <c r="HQD9" s="268"/>
      <c r="HQE9" s="228"/>
      <c r="HQF9" s="433"/>
      <c r="HQG9" s="433"/>
      <c r="HQH9" s="68"/>
      <c r="HQI9" s="271"/>
      <c r="HQK9" s="272"/>
      <c r="HQL9" s="272"/>
      <c r="HQM9" s="272"/>
      <c r="HQN9" s="273"/>
      <c r="HQO9" s="432"/>
      <c r="HQP9" s="268"/>
      <c r="HQQ9" s="228"/>
      <c r="HQR9" s="433"/>
      <c r="HQS9" s="433"/>
      <c r="HQT9" s="68"/>
      <c r="HQU9" s="271"/>
      <c r="HQW9" s="272"/>
      <c r="HQX9" s="272"/>
      <c r="HQY9" s="272"/>
      <c r="HQZ9" s="273"/>
      <c r="HRA9" s="432"/>
      <c r="HRB9" s="268"/>
      <c r="HRC9" s="228"/>
      <c r="HRD9" s="433"/>
      <c r="HRE9" s="433"/>
      <c r="HRF9" s="68"/>
      <c r="HRG9" s="271"/>
      <c r="HRI9" s="272"/>
      <c r="HRJ9" s="272"/>
      <c r="HRK9" s="272"/>
      <c r="HRL9" s="273"/>
      <c r="HRM9" s="432"/>
      <c r="HRN9" s="268"/>
      <c r="HRO9" s="228"/>
      <c r="HRP9" s="433"/>
      <c r="HRQ9" s="433"/>
      <c r="HRR9" s="68"/>
      <c r="HRS9" s="271"/>
      <c r="HRU9" s="272"/>
      <c r="HRV9" s="272"/>
      <c r="HRW9" s="272"/>
      <c r="HRX9" s="273"/>
      <c r="HRY9" s="432"/>
      <c r="HRZ9" s="268"/>
      <c r="HSA9" s="228"/>
      <c r="HSB9" s="433"/>
      <c r="HSC9" s="433"/>
      <c r="HSD9" s="68"/>
      <c r="HSE9" s="271"/>
      <c r="HSG9" s="272"/>
      <c r="HSH9" s="272"/>
      <c r="HSI9" s="272"/>
      <c r="HSJ9" s="273"/>
      <c r="HSK9" s="432"/>
      <c r="HSL9" s="268"/>
      <c r="HSM9" s="228"/>
      <c r="HSN9" s="433"/>
      <c r="HSO9" s="433"/>
      <c r="HSP9" s="68"/>
      <c r="HSQ9" s="271"/>
      <c r="HSS9" s="272"/>
      <c r="HST9" s="272"/>
      <c r="HSU9" s="272"/>
      <c r="HSV9" s="273"/>
      <c r="HSW9" s="432"/>
      <c r="HSX9" s="268"/>
      <c r="HSY9" s="228"/>
      <c r="HSZ9" s="433"/>
      <c r="HTA9" s="433"/>
      <c r="HTB9" s="68"/>
      <c r="HTC9" s="271"/>
      <c r="HTE9" s="272"/>
      <c r="HTF9" s="272"/>
      <c r="HTG9" s="272"/>
      <c r="HTH9" s="273"/>
      <c r="HTI9" s="432"/>
      <c r="HTJ9" s="268"/>
      <c r="HTK9" s="228"/>
      <c r="HTL9" s="433"/>
      <c r="HTM9" s="433"/>
      <c r="HTN9" s="68"/>
      <c r="HTO9" s="271"/>
      <c r="HTQ9" s="272"/>
      <c r="HTR9" s="272"/>
      <c r="HTS9" s="272"/>
      <c r="HTT9" s="273"/>
      <c r="HTU9" s="432"/>
      <c r="HTV9" s="268"/>
      <c r="HTW9" s="228"/>
      <c r="HTX9" s="433"/>
      <c r="HTY9" s="433"/>
      <c r="HTZ9" s="68"/>
      <c r="HUA9" s="271"/>
      <c r="HUC9" s="272"/>
      <c r="HUD9" s="272"/>
      <c r="HUE9" s="272"/>
      <c r="HUF9" s="273"/>
      <c r="HUG9" s="432"/>
      <c r="HUH9" s="268"/>
      <c r="HUI9" s="228"/>
      <c r="HUJ9" s="433"/>
      <c r="HUK9" s="433"/>
      <c r="HUL9" s="68"/>
      <c r="HUM9" s="271"/>
      <c r="HUO9" s="272"/>
      <c r="HUP9" s="272"/>
      <c r="HUQ9" s="272"/>
      <c r="HUR9" s="273"/>
      <c r="HUS9" s="432"/>
      <c r="HUT9" s="268"/>
      <c r="HUU9" s="228"/>
      <c r="HUV9" s="433"/>
      <c r="HUW9" s="433"/>
      <c r="HUX9" s="68"/>
      <c r="HUY9" s="271"/>
      <c r="HVA9" s="272"/>
      <c r="HVB9" s="272"/>
      <c r="HVC9" s="272"/>
      <c r="HVD9" s="273"/>
      <c r="HVE9" s="432"/>
      <c r="HVF9" s="268"/>
      <c r="HVG9" s="228"/>
      <c r="HVH9" s="433"/>
      <c r="HVI9" s="433"/>
      <c r="HVJ9" s="68"/>
      <c r="HVK9" s="271"/>
      <c r="HVM9" s="272"/>
      <c r="HVN9" s="272"/>
      <c r="HVO9" s="272"/>
      <c r="HVP9" s="273"/>
      <c r="HVQ9" s="432"/>
      <c r="HVR9" s="268"/>
      <c r="HVS9" s="228"/>
      <c r="HVT9" s="433"/>
      <c r="HVU9" s="433"/>
      <c r="HVV9" s="68"/>
      <c r="HVW9" s="271"/>
      <c r="HVY9" s="272"/>
      <c r="HVZ9" s="272"/>
      <c r="HWA9" s="272"/>
      <c r="HWB9" s="273"/>
      <c r="HWC9" s="432"/>
      <c r="HWD9" s="268"/>
      <c r="HWE9" s="228"/>
      <c r="HWF9" s="433"/>
      <c r="HWG9" s="433"/>
      <c r="HWH9" s="68"/>
      <c r="HWI9" s="271"/>
      <c r="HWK9" s="272"/>
      <c r="HWL9" s="272"/>
      <c r="HWM9" s="272"/>
      <c r="HWN9" s="273"/>
      <c r="HWO9" s="432"/>
      <c r="HWP9" s="268"/>
      <c r="HWQ9" s="228"/>
      <c r="HWR9" s="433"/>
      <c r="HWS9" s="433"/>
      <c r="HWT9" s="68"/>
      <c r="HWU9" s="271"/>
      <c r="HWW9" s="272"/>
      <c r="HWX9" s="272"/>
      <c r="HWY9" s="272"/>
      <c r="HWZ9" s="273"/>
      <c r="HXA9" s="432"/>
      <c r="HXB9" s="268"/>
      <c r="HXC9" s="228"/>
      <c r="HXD9" s="433"/>
      <c r="HXE9" s="433"/>
      <c r="HXF9" s="68"/>
      <c r="HXG9" s="271"/>
      <c r="HXI9" s="272"/>
      <c r="HXJ9" s="272"/>
      <c r="HXK9" s="272"/>
      <c r="HXL9" s="273"/>
      <c r="HXM9" s="432"/>
      <c r="HXN9" s="268"/>
      <c r="HXO9" s="228"/>
      <c r="HXP9" s="433"/>
      <c r="HXQ9" s="433"/>
      <c r="HXR9" s="68"/>
      <c r="HXS9" s="271"/>
      <c r="HXU9" s="272"/>
      <c r="HXV9" s="272"/>
      <c r="HXW9" s="272"/>
      <c r="HXX9" s="273"/>
      <c r="HXY9" s="432"/>
      <c r="HXZ9" s="268"/>
      <c r="HYA9" s="228"/>
      <c r="HYB9" s="433"/>
      <c r="HYC9" s="433"/>
      <c r="HYD9" s="68"/>
      <c r="HYE9" s="271"/>
      <c r="HYG9" s="272"/>
      <c r="HYH9" s="272"/>
      <c r="HYI9" s="272"/>
      <c r="HYJ9" s="273"/>
      <c r="HYK9" s="432"/>
      <c r="HYL9" s="268"/>
      <c r="HYM9" s="228"/>
      <c r="HYN9" s="433"/>
      <c r="HYO9" s="433"/>
      <c r="HYP9" s="68"/>
      <c r="HYQ9" s="271"/>
      <c r="HYS9" s="272"/>
      <c r="HYT9" s="272"/>
      <c r="HYU9" s="272"/>
      <c r="HYV9" s="273"/>
      <c r="HYW9" s="432"/>
      <c r="HYX9" s="268"/>
      <c r="HYY9" s="228"/>
      <c r="HYZ9" s="433"/>
      <c r="HZA9" s="433"/>
      <c r="HZB9" s="68"/>
      <c r="HZC9" s="271"/>
      <c r="HZE9" s="272"/>
      <c r="HZF9" s="272"/>
      <c r="HZG9" s="272"/>
      <c r="HZH9" s="273"/>
      <c r="HZI9" s="432"/>
      <c r="HZJ9" s="268"/>
      <c r="HZK9" s="228"/>
      <c r="HZL9" s="433"/>
      <c r="HZM9" s="433"/>
      <c r="HZN9" s="68"/>
      <c r="HZO9" s="271"/>
      <c r="HZQ9" s="272"/>
      <c r="HZR9" s="272"/>
      <c r="HZS9" s="272"/>
      <c r="HZT9" s="273"/>
      <c r="HZU9" s="432"/>
      <c r="HZV9" s="268"/>
      <c r="HZW9" s="228"/>
      <c r="HZX9" s="433"/>
      <c r="HZY9" s="433"/>
      <c r="HZZ9" s="68"/>
      <c r="IAA9" s="271"/>
      <c r="IAC9" s="272"/>
      <c r="IAD9" s="272"/>
      <c r="IAE9" s="272"/>
      <c r="IAF9" s="273"/>
      <c r="IAG9" s="432"/>
      <c r="IAH9" s="268"/>
      <c r="IAI9" s="228"/>
      <c r="IAJ9" s="433"/>
      <c r="IAK9" s="433"/>
      <c r="IAL9" s="68"/>
      <c r="IAM9" s="271"/>
      <c r="IAO9" s="272"/>
      <c r="IAP9" s="272"/>
      <c r="IAQ9" s="272"/>
      <c r="IAR9" s="273"/>
      <c r="IAS9" s="432"/>
      <c r="IAT9" s="268"/>
      <c r="IAU9" s="228"/>
      <c r="IAV9" s="433"/>
      <c r="IAW9" s="433"/>
      <c r="IAX9" s="68"/>
      <c r="IAY9" s="271"/>
      <c r="IBA9" s="272"/>
      <c r="IBB9" s="272"/>
      <c r="IBC9" s="272"/>
      <c r="IBD9" s="273"/>
      <c r="IBE9" s="432"/>
      <c r="IBF9" s="268"/>
      <c r="IBG9" s="228"/>
      <c r="IBH9" s="433"/>
      <c r="IBI9" s="433"/>
      <c r="IBJ9" s="68"/>
      <c r="IBK9" s="271"/>
      <c r="IBM9" s="272"/>
      <c r="IBN9" s="272"/>
      <c r="IBO9" s="272"/>
      <c r="IBP9" s="273"/>
      <c r="IBQ9" s="432"/>
      <c r="IBR9" s="268"/>
      <c r="IBS9" s="228"/>
      <c r="IBT9" s="433"/>
      <c r="IBU9" s="433"/>
      <c r="IBV9" s="68"/>
      <c r="IBW9" s="271"/>
      <c r="IBY9" s="272"/>
      <c r="IBZ9" s="272"/>
      <c r="ICA9" s="272"/>
      <c r="ICB9" s="273"/>
      <c r="ICC9" s="432"/>
      <c r="ICD9" s="268"/>
      <c r="ICE9" s="228"/>
      <c r="ICF9" s="433"/>
      <c r="ICG9" s="433"/>
      <c r="ICH9" s="68"/>
      <c r="ICI9" s="271"/>
      <c r="ICK9" s="272"/>
      <c r="ICL9" s="272"/>
      <c r="ICM9" s="272"/>
      <c r="ICN9" s="273"/>
      <c r="ICO9" s="432"/>
      <c r="ICP9" s="268"/>
      <c r="ICQ9" s="228"/>
      <c r="ICR9" s="433"/>
      <c r="ICS9" s="433"/>
      <c r="ICT9" s="68"/>
      <c r="ICU9" s="271"/>
      <c r="ICW9" s="272"/>
      <c r="ICX9" s="272"/>
      <c r="ICY9" s="272"/>
      <c r="ICZ9" s="273"/>
      <c r="IDA9" s="432"/>
      <c r="IDB9" s="268"/>
      <c r="IDC9" s="228"/>
      <c r="IDD9" s="433"/>
      <c r="IDE9" s="433"/>
      <c r="IDF9" s="68"/>
      <c r="IDG9" s="271"/>
      <c r="IDI9" s="272"/>
      <c r="IDJ9" s="272"/>
      <c r="IDK9" s="272"/>
      <c r="IDL9" s="273"/>
      <c r="IDM9" s="432"/>
      <c r="IDN9" s="268"/>
      <c r="IDO9" s="228"/>
      <c r="IDP9" s="433"/>
      <c r="IDQ9" s="433"/>
      <c r="IDR9" s="68"/>
      <c r="IDS9" s="271"/>
      <c r="IDU9" s="272"/>
      <c r="IDV9" s="272"/>
      <c r="IDW9" s="272"/>
      <c r="IDX9" s="273"/>
      <c r="IDY9" s="432"/>
      <c r="IDZ9" s="268"/>
      <c r="IEA9" s="228"/>
      <c r="IEB9" s="433"/>
      <c r="IEC9" s="433"/>
      <c r="IED9" s="68"/>
      <c r="IEE9" s="271"/>
      <c r="IEG9" s="272"/>
      <c r="IEH9" s="272"/>
      <c r="IEI9" s="272"/>
      <c r="IEJ9" s="273"/>
      <c r="IEK9" s="432"/>
      <c r="IEL9" s="268"/>
      <c r="IEM9" s="228"/>
      <c r="IEN9" s="433"/>
      <c r="IEO9" s="433"/>
      <c r="IEP9" s="68"/>
      <c r="IEQ9" s="271"/>
      <c r="IES9" s="272"/>
      <c r="IET9" s="272"/>
      <c r="IEU9" s="272"/>
      <c r="IEV9" s="273"/>
      <c r="IEW9" s="432"/>
      <c r="IEX9" s="268"/>
      <c r="IEY9" s="228"/>
      <c r="IEZ9" s="433"/>
      <c r="IFA9" s="433"/>
      <c r="IFB9" s="68"/>
      <c r="IFC9" s="271"/>
      <c r="IFE9" s="272"/>
      <c r="IFF9" s="272"/>
      <c r="IFG9" s="272"/>
      <c r="IFH9" s="273"/>
      <c r="IFI9" s="432"/>
      <c r="IFJ9" s="268"/>
      <c r="IFK9" s="228"/>
      <c r="IFL9" s="433"/>
      <c r="IFM9" s="433"/>
      <c r="IFN9" s="68"/>
      <c r="IFO9" s="271"/>
      <c r="IFQ9" s="272"/>
      <c r="IFR9" s="272"/>
      <c r="IFS9" s="272"/>
      <c r="IFT9" s="273"/>
      <c r="IFU9" s="432"/>
      <c r="IFV9" s="268"/>
      <c r="IFW9" s="228"/>
      <c r="IFX9" s="433"/>
      <c r="IFY9" s="433"/>
      <c r="IFZ9" s="68"/>
      <c r="IGA9" s="271"/>
      <c r="IGC9" s="272"/>
      <c r="IGD9" s="272"/>
      <c r="IGE9" s="272"/>
      <c r="IGF9" s="273"/>
      <c r="IGG9" s="432"/>
      <c r="IGH9" s="268"/>
      <c r="IGI9" s="228"/>
      <c r="IGJ9" s="433"/>
      <c r="IGK9" s="433"/>
      <c r="IGL9" s="68"/>
      <c r="IGM9" s="271"/>
      <c r="IGO9" s="272"/>
      <c r="IGP9" s="272"/>
      <c r="IGQ9" s="272"/>
      <c r="IGR9" s="273"/>
      <c r="IGS9" s="432"/>
      <c r="IGT9" s="268"/>
      <c r="IGU9" s="228"/>
      <c r="IGV9" s="433"/>
      <c r="IGW9" s="433"/>
      <c r="IGX9" s="68"/>
      <c r="IGY9" s="271"/>
      <c r="IHA9" s="272"/>
      <c r="IHB9" s="272"/>
      <c r="IHC9" s="272"/>
      <c r="IHD9" s="273"/>
      <c r="IHE9" s="432"/>
      <c r="IHF9" s="268"/>
      <c r="IHG9" s="228"/>
      <c r="IHH9" s="433"/>
      <c r="IHI9" s="433"/>
      <c r="IHJ9" s="68"/>
      <c r="IHK9" s="271"/>
      <c r="IHM9" s="272"/>
      <c r="IHN9" s="272"/>
      <c r="IHO9" s="272"/>
      <c r="IHP9" s="273"/>
      <c r="IHQ9" s="432"/>
      <c r="IHR9" s="268"/>
      <c r="IHS9" s="228"/>
      <c r="IHT9" s="433"/>
      <c r="IHU9" s="433"/>
      <c r="IHV9" s="68"/>
      <c r="IHW9" s="271"/>
      <c r="IHY9" s="272"/>
      <c r="IHZ9" s="272"/>
      <c r="IIA9" s="272"/>
      <c r="IIB9" s="273"/>
      <c r="IIC9" s="432"/>
      <c r="IID9" s="268"/>
      <c r="IIE9" s="228"/>
      <c r="IIF9" s="433"/>
      <c r="IIG9" s="433"/>
      <c r="IIH9" s="68"/>
      <c r="III9" s="271"/>
      <c r="IIK9" s="272"/>
      <c r="IIL9" s="272"/>
      <c r="IIM9" s="272"/>
      <c r="IIN9" s="273"/>
      <c r="IIO9" s="432"/>
      <c r="IIP9" s="268"/>
      <c r="IIQ9" s="228"/>
      <c r="IIR9" s="433"/>
      <c r="IIS9" s="433"/>
      <c r="IIT9" s="68"/>
      <c r="IIU9" s="271"/>
      <c r="IIW9" s="272"/>
      <c r="IIX9" s="272"/>
      <c r="IIY9" s="272"/>
      <c r="IIZ9" s="273"/>
      <c r="IJA9" s="432"/>
      <c r="IJB9" s="268"/>
      <c r="IJC9" s="228"/>
      <c r="IJD9" s="433"/>
      <c r="IJE9" s="433"/>
      <c r="IJF9" s="68"/>
      <c r="IJG9" s="271"/>
      <c r="IJI9" s="272"/>
      <c r="IJJ9" s="272"/>
      <c r="IJK9" s="272"/>
      <c r="IJL9" s="273"/>
      <c r="IJM9" s="432"/>
      <c r="IJN9" s="268"/>
      <c r="IJO9" s="228"/>
      <c r="IJP9" s="433"/>
      <c r="IJQ9" s="433"/>
      <c r="IJR9" s="68"/>
      <c r="IJS9" s="271"/>
      <c r="IJU9" s="272"/>
      <c r="IJV9" s="272"/>
      <c r="IJW9" s="272"/>
      <c r="IJX9" s="273"/>
      <c r="IJY9" s="432"/>
      <c r="IJZ9" s="268"/>
      <c r="IKA9" s="228"/>
      <c r="IKB9" s="433"/>
      <c r="IKC9" s="433"/>
      <c r="IKD9" s="68"/>
      <c r="IKE9" s="271"/>
      <c r="IKG9" s="272"/>
      <c r="IKH9" s="272"/>
      <c r="IKI9" s="272"/>
      <c r="IKJ9" s="273"/>
      <c r="IKK9" s="432"/>
      <c r="IKL9" s="268"/>
      <c r="IKM9" s="228"/>
      <c r="IKN9" s="433"/>
      <c r="IKO9" s="433"/>
      <c r="IKP9" s="68"/>
      <c r="IKQ9" s="271"/>
      <c r="IKS9" s="272"/>
      <c r="IKT9" s="272"/>
      <c r="IKU9" s="272"/>
      <c r="IKV9" s="273"/>
      <c r="IKW9" s="432"/>
      <c r="IKX9" s="268"/>
      <c r="IKY9" s="228"/>
      <c r="IKZ9" s="433"/>
      <c r="ILA9" s="433"/>
      <c r="ILB9" s="68"/>
      <c r="ILC9" s="271"/>
      <c r="ILE9" s="272"/>
      <c r="ILF9" s="272"/>
      <c r="ILG9" s="272"/>
      <c r="ILH9" s="273"/>
      <c r="ILI9" s="432"/>
      <c r="ILJ9" s="268"/>
      <c r="ILK9" s="228"/>
      <c r="ILL9" s="433"/>
      <c r="ILM9" s="433"/>
      <c r="ILN9" s="68"/>
      <c r="ILO9" s="271"/>
      <c r="ILQ9" s="272"/>
      <c r="ILR9" s="272"/>
      <c r="ILS9" s="272"/>
      <c r="ILT9" s="273"/>
      <c r="ILU9" s="432"/>
      <c r="ILV9" s="268"/>
      <c r="ILW9" s="228"/>
      <c r="ILX9" s="433"/>
      <c r="ILY9" s="433"/>
      <c r="ILZ9" s="68"/>
      <c r="IMA9" s="271"/>
      <c r="IMC9" s="272"/>
      <c r="IMD9" s="272"/>
      <c r="IME9" s="272"/>
      <c r="IMF9" s="273"/>
      <c r="IMG9" s="432"/>
      <c r="IMH9" s="268"/>
      <c r="IMI9" s="228"/>
      <c r="IMJ9" s="433"/>
      <c r="IMK9" s="433"/>
      <c r="IML9" s="68"/>
      <c r="IMM9" s="271"/>
      <c r="IMO9" s="272"/>
      <c r="IMP9" s="272"/>
      <c r="IMQ9" s="272"/>
      <c r="IMR9" s="273"/>
      <c r="IMS9" s="432"/>
      <c r="IMT9" s="268"/>
      <c r="IMU9" s="228"/>
      <c r="IMV9" s="433"/>
      <c r="IMW9" s="433"/>
      <c r="IMX9" s="68"/>
      <c r="IMY9" s="271"/>
      <c r="INA9" s="272"/>
      <c r="INB9" s="272"/>
      <c r="INC9" s="272"/>
      <c r="IND9" s="273"/>
      <c r="INE9" s="432"/>
      <c r="INF9" s="268"/>
      <c r="ING9" s="228"/>
      <c r="INH9" s="433"/>
      <c r="INI9" s="433"/>
      <c r="INJ9" s="68"/>
      <c r="INK9" s="271"/>
      <c r="INM9" s="272"/>
      <c r="INN9" s="272"/>
      <c r="INO9" s="272"/>
      <c r="INP9" s="273"/>
      <c r="INQ9" s="432"/>
      <c r="INR9" s="268"/>
      <c r="INS9" s="228"/>
      <c r="INT9" s="433"/>
      <c r="INU9" s="433"/>
      <c r="INV9" s="68"/>
      <c r="INW9" s="271"/>
      <c r="INY9" s="272"/>
      <c r="INZ9" s="272"/>
      <c r="IOA9" s="272"/>
      <c r="IOB9" s="273"/>
      <c r="IOC9" s="432"/>
      <c r="IOD9" s="268"/>
      <c r="IOE9" s="228"/>
      <c r="IOF9" s="433"/>
      <c r="IOG9" s="433"/>
      <c r="IOH9" s="68"/>
      <c r="IOI9" s="271"/>
      <c r="IOK9" s="272"/>
      <c r="IOL9" s="272"/>
      <c r="IOM9" s="272"/>
      <c r="ION9" s="273"/>
      <c r="IOO9" s="432"/>
      <c r="IOP9" s="268"/>
      <c r="IOQ9" s="228"/>
      <c r="IOR9" s="433"/>
      <c r="IOS9" s="433"/>
      <c r="IOT9" s="68"/>
      <c r="IOU9" s="271"/>
      <c r="IOW9" s="272"/>
      <c r="IOX9" s="272"/>
      <c r="IOY9" s="272"/>
      <c r="IOZ9" s="273"/>
      <c r="IPA9" s="432"/>
      <c r="IPB9" s="268"/>
      <c r="IPC9" s="228"/>
      <c r="IPD9" s="433"/>
      <c r="IPE9" s="433"/>
      <c r="IPF9" s="68"/>
      <c r="IPG9" s="271"/>
      <c r="IPI9" s="272"/>
      <c r="IPJ9" s="272"/>
      <c r="IPK9" s="272"/>
      <c r="IPL9" s="273"/>
      <c r="IPM9" s="432"/>
      <c r="IPN9" s="268"/>
      <c r="IPO9" s="228"/>
      <c r="IPP9" s="433"/>
      <c r="IPQ9" s="433"/>
      <c r="IPR9" s="68"/>
      <c r="IPS9" s="271"/>
      <c r="IPU9" s="272"/>
      <c r="IPV9" s="272"/>
      <c r="IPW9" s="272"/>
      <c r="IPX9" s="273"/>
      <c r="IPY9" s="432"/>
      <c r="IPZ9" s="268"/>
      <c r="IQA9" s="228"/>
      <c r="IQB9" s="433"/>
      <c r="IQC9" s="433"/>
      <c r="IQD9" s="68"/>
      <c r="IQE9" s="271"/>
      <c r="IQG9" s="272"/>
      <c r="IQH9" s="272"/>
      <c r="IQI9" s="272"/>
      <c r="IQJ9" s="273"/>
      <c r="IQK9" s="432"/>
      <c r="IQL9" s="268"/>
      <c r="IQM9" s="228"/>
      <c r="IQN9" s="433"/>
      <c r="IQO9" s="433"/>
      <c r="IQP9" s="68"/>
      <c r="IQQ9" s="271"/>
      <c r="IQS9" s="272"/>
      <c r="IQT9" s="272"/>
      <c r="IQU9" s="272"/>
      <c r="IQV9" s="273"/>
      <c r="IQW9" s="432"/>
      <c r="IQX9" s="268"/>
      <c r="IQY9" s="228"/>
      <c r="IQZ9" s="433"/>
      <c r="IRA9" s="433"/>
      <c r="IRB9" s="68"/>
      <c r="IRC9" s="271"/>
      <c r="IRE9" s="272"/>
      <c r="IRF9" s="272"/>
      <c r="IRG9" s="272"/>
      <c r="IRH9" s="273"/>
      <c r="IRI9" s="432"/>
      <c r="IRJ9" s="268"/>
      <c r="IRK9" s="228"/>
      <c r="IRL9" s="433"/>
      <c r="IRM9" s="433"/>
      <c r="IRN9" s="68"/>
      <c r="IRO9" s="271"/>
      <c r="IRQ9" s="272"/>
      <c r="IRR9" s="272"/>
      <c r="IRS9" s="272"/>
      <c r="IRT9" s="273"/>
      <c r="IRU9" s="432"/>
      <c r="IRV9" s="268"/>
      <c r="IRW9" s="228"/>
      <c r="IRX9" s="433"/>
      <c r="IRY9" s="433"/>
      <c r="IRZ9" s="68"/>
      <c r="ISA9" s="271"/>
      <c r="ISC9" s="272"/>
      <c r="ISD9" s="272"/>
      <c r="ISE9" s="272"/>
      <c r="ISF9" s="273"/>
      <c r="ISG9" s="432"/>
      <c r="ISH9" s="268"/>
      <c r="ISI9" s="228"/>
      <c r="ISJ9" s="433"/>
      <c r="ISK9" s="433"/>
      <c r="ISL9" s="68"/>
      <c r="ISM9" s="271"/>
      <c r="ISO9" s="272"/>
      <c r="ISP9" s="272"/>
      <c r="ISQ9" s="272"/>
      <c r="ISR9" s="273"/>
      <c r="ISS9" s="432"/>
      <c r="IST9" s="268"/>
      <c r="ISU9" s="228"/>
      <c r="ISV9" s="433"/>
      <c r="ISW9" s="433"/>
      <c r="ISX9" s="68"/>
      <c r="ISY9" s="271"/>
      <c r="ITA9" s="272"/>
      <c r="ITB9" s="272"/>
      <c r="ITC9" s="272"/>
      <c r="ITD9" s="273"/>
      <c r="ITE9" s="432"/>
      <c r="ITF9" s="268"/>
      <c r="ITG9" s="228"/>
      <c r="ITH9" s="433"/>
      <c r="ITI9" s="433"/>
      <c r="ITJ9" s="68"/>
      <c r="ITK9" s="271"/>
      <c r="ITM9" s="272"/>
      <c r="ITN9" s="272"/>
      <c r="ITO9" s="272"/>
      <c r="ITP9" s="273"/>
      <c r="ITQ9" s="432"/>
      <c r="ITR9" s="268"/>
      <c r="ITS9" s="228"/>
      <c r="ITT9" s="433"/>
      <c r="ITU9" s="433"/>
      <c r="ITV9" s="68"/>
      <c r="ITW9" s="271"/>
      <c r="ITY9" s="272"/>
      <c r="ITZ9" s="272"/>
      <c r="IUA9" s="272"/>
      <c r="IUB9" s="273"/>
      <c r="IUC9" s="432"/>
      <c r="IUD9" s="268"/>
      <c r="IUE9" s="228"/>
      <c r="IUF9" s="433"/>
      <c r="IUG9" s="433"/>
      <c r="IUH9" s="68"/>
      <c r="IUI9" s="271"/>
      <c r="IUK9" s="272"/>
      <c r="IUL9" s="272"/>
      <c r="IUM9" s="272"/>
      <c r="IUN9" s="273"/>
      <c r="IUO9" s="432"/>
      <c r="IUP9" s="268"/>
      <c r="IUQ9" s="228"/>
      <c r="IUR9" s="433"/>
      <c r="IUS9" s="433"/>
      <c r="IUT9" s="68"/>
      <c r="IUU9" s="271"/>
      <c r="IUW9" s="272"/>
      <c r="IUX9" s="272"/>
      <c r="IUY9" s="272"/>
      <c r="IUZ9" s="273"/>
      <c r="IVA9" s="432"/>
      <c r="IVB9" s="268"/>
      <c r="IVC9" s="228"/>
      <c r="IVD9" s="433"/>
      <c r="IVE9" s="433"/>
      <c r="IVF9" s="68"/>
      <c r="IVG9" s="271"/>
      <c r="IVI9" s="272"/>
      <c r="IVJ9" s="272"/>
      <c r="IVK9" s="272"/>
      <c r="IVL9" s="273"/>
      <c r="IVM9" s="432"/>
      <c r="IVN9" s="268"/>
      <c r="IVO9" s="228"/>
      <c r="IVP9" s="433"/>
      <c r="IVQ9" s="433"/>
      <c r="IVR9" s="68"/>
      <c r="IVS9" s="271"/>
      <c r="IVU9" s="272"/>
      <c r="IVV9" s="272"/>
      <c r="IVW9" s="272"/>
      <c r="IVX9" s="273"/>
      <c r="IVY9" s="432"/>
      <c r="IVZ9" s="268"/>
      <c r="IWA9" s="228"/>
      <c r="IWB9" s="433"/>
      <c r="IWC9" s="433"/>
      <c r="IWD9" s="68"/>
      <c r="IWE9" s="271"/>
      <c r="IWG9" s="272"/>
      <c r="IWH9" s="272"/>
      <c r="IWI9" s="272"/>
      <c r="IWJ9" s="273"/>
      <c r="IWK9" s="432"/>
      <c r="IWL9" s="268"/>
      <c r="IWM9" s="228"/>
      <c r="IWN9" s="433"/>
      <c r="IWO9" s="433"/>
      <c r="IWP9" s="68"/>
      <c r="IWQ9" s="271"/>
      <c r="IWS9" s="272"/>
      <c r="IWT9" s="272"/>
      <c r="IWU9" s="272"/>
      <c r="IWV9" s="273"/>
      <c r="IWW9" s="432"/>
      <c r="IWX9" s="268"/>
      <c r="IWY9" s="228"/>
      <c r="IWZ9" s="433"/>
      <c r="IXA9" s="433"/>
      <c r="IXB9" s="68"/>
      <c r="IXC9" s="271"/>
      <c r="IXE9" s="272"/>
      <c r="IXF9" s="272"/>
      <c r="IXG9" s="272"/>
      <c r="IXH9" s="273"/>
      <c r="IXI9" s="432"/>
      <c r="IXJ9" s="268"/>
      <c r="IXK9" s="228"/>
      <c r="IXL9" s="433"/>
      <c r="IXM9" s="433"/>
      <c r="IXN9" s="68"/>
      <c r="IXO9" s="271"/>
      <c r="IXQ9" s="272"/>
      <c r="IXR9" s="272"/>
      <c r="IXS9" s="272"/>
      <c r="IXT9" s="273"/>
      <c r="IXU9" s="432"/>
      <c r="IXV9" s="268"/>
      <c r="IXW9" s="228"/>
      <c r="IXX9" s="433"/>
      <c r="IXY9" s="433"/>
      <c r="IXZ9" s="68"/>
      <c r="IYA9" s="271"/>
      <c r="IYC9" s="272"/>
      <c r="IYD9" s="272"/>
      <c r="IYE9" s="272"/>
      <c r="IYF9" s="273"/>
      <c r="IYG9" s="432"/>
      <c r="IYH9" s="268"/>
      <c r="IYI9" s="228"/>
      <c r="IYJ9" s="433"/>
      <c r="IYK9" s="433"/>
      <c r="IYL9" s="68"/>
      <c r="IYM9" s="271"/>
      <c r="IYO9" s="272"/>
      <c r="IYP9" s="272"/>
      <c r="IYQ9" s="272"/>
      <c r="IYR9" s="273"/>
      <c r="IYS9" s="432"/>
      <c r="IYT9" s="268"/>
      <c r="IYU9" s="228"/>
      <c r="IYV9" s="433"/>
      <c r="IYW9" s="433"/>
      <c r="IYX9" s="68"/>
      <c r="IYY9" s="271"/>
      <c r="IZA9" s="272"/>
      <c r="IZB9" s="272"/>
      <c r="IZC9" s="272"/>
      <c r="IZD9" s="273"/>
      <c r="IZE9" s="432"/>
      <c r="IZF9" s="268"/>
      <c r="IZG9" s="228"/>
      <c r="IZH9" s="433"/>
      <c r="IZI9" s="433"/>
      <c r="IZJ9" s="68"/>
      <c r="IZK9" s="271"/>
      <c r="IZM9" s="272"/>
      <c r="IZN9" s="272"/>
      <c r="IZO9" s="272"/>
      <c r="IZP9" s="273"/>
      <c r="IZQ9" s="432"/>
      <c r="IZR9" s="268"/>
      <c r="IZS9" s="228"/>
      <c r="IZT9" s="433"/>
      <c r="IZU9" s="433"/>
      <c r="IZV9" s="68"/>
      <c r="IZW9" s="271"/>
      <c r="IZY9" s="272"/>
      <c r="IZZ9" s="272"/>
      <c r="JAA9" s="272"/>
      <c r="JAB9" s="273"/>
      <c r="JAC9" s="432"/>
      <c r="JAD9" s="268"/>
      <c r="JAE9" s="228"/>
      <c r="JAF9" s="433"/>
      <c r="JAG9" s="433"/>
      <c r="JAH9" s="68"/>
      <c r="JAI9" s="271"/>
      <c r="JAK9" s="272"/>
      <c r="JAL9" s="272"/>
      <c r="JAM9" s="272"/>
      <c r="JAN9" s="273"/>
      <c r="JAO9" s="432"/>
      <c r="JAP9" s="268"/>
      <c r="JAQ9" s="228"/>
      <c r="JAR9" s="433"/>
      <c r="JAS9" s="433"/>
      <c r="JAT9" s="68"/>
      <c r="JAU9" s="271"/>
      <c r="JAW9" s="272"/>
      <c r="JAX9" s="272"/>
      <c r="JAY9" s="272"/>
      <c r="JAZ9" s="273"/>
      <c r="JBA9" s="432"/>
      <c r="JBB9" s="268"/>
      <c r="JBC9" s="228"/>
      <c r="JBD9" s="433"/>
      <c r="JBE9" s="433"/>
      <c r="JBF9" s="68"/>
      <c r="JBG9" s="271"/>
      <c r="JBI9" s="272"/>
      <c r="JBJ9" s="272"/>
      <c r="JBK9" s="272"/>
      <c r="JBL9" s="273"/>
      <c r="JBM9" s="432"/>
      <c r="JBN9" s="268"/>
      <c r="JBO9" s="228"/>
      <c r="JBP9" s="433"/>
      <c r="JBQ9" s="433"/>
      <c r="JBR9" s="68"/>
      <c r="JBS9" s="271"/>
      <c r="JBU9" s="272"/>
      <c r="JBV9" s="272"/>
      <c r="JBW9" s="272"/>
      <c r="JBX9" s="273"/>
      <c r="JBY9" s="432"/>
      <c r="JBZ9" s="268"/>
      <c r="JCA9" s="228"/>
      <c r="JCB9" s="433"/>
      <c r="JCC9" s="433"/>
      <c r="JCD9" s="68"/>
      <c r="JCE9" s="271"/>
      <c r="JCG9" s="272"/>
      <c r="JCH9" s="272"/>
      <c r="JCI9" s="272"/>
      <c r="JCJ9" s="273"/>
      <c r="JCK9" s="432"/>
      <c r="JCL9" s="268"/>
      <c r="JCM9" s="228"/>
      <c r="JCN9" s="433"/>
      <c r="JCO9" s="433"/>
      <c r="JCP9" s="68"/>
      <c r="JCQ9" s="271"/>
      <c r="JCS9" s="272"/>
      <c r="JCT9" s="272"/>
      <c r="JCU9" s="272"/>
      <c r="JCV9" s="273"/>
      <c r="JCW9" s="432"/>
      <c r="JCX9" s="268"/>
      <c r="JCY9" s="228"/>
      <c r="JCZ9" s="433"/>
      <c r="JDA9" s="433"/>
      <c r="JDB9" s="68"/>
      <c r="JDC9" s="271"/>
      <c r="JDE9" s="272"/>
      <c r="JDF9" s="272"/>
      <c r="JDG9" s="272"/>
      <c r="JDH9" s="273"/>
      <c r="JDI9" s="432"/>
      <c r="JDJ9" s="268"/>
      <c r="JDK9" s="228"/>
      <c r="JDL9" s="433"/>
      <c r="JDM9" s="433"/>
      <c r="JDN9" s="68"/>
      <c r="JDO9" s="271"/>
      <c r="JDQ9" s="272"/>
      <c r="JDR9" s="272"/>
      <c r="JDS9" s="272"/>
      <c r="JDT9" s="273"/>
      <c r="JDU9" s="432"/>
      <c r="JDV9" s="268"/>
      <c r="JDW9" s="228"/>
      <c r="JDX9" s="433"/>
      <c r="JDY9" s="433"/>
      <c r="JDZ9" s="68"/>
      <c r="JEA9" s="271"/>
      <c r="JEC9" s="272"/>
      <c r="JED9" s="272"/>
      <c r="JEE9" s="272"/>
      <c r="JEF9" s="273"/>
      <c r="JEG9" s="432"/>
      <c r="JEH9" s="268"/>
      <c r="JEI9" s="228"/>
      <c r="JEJ9" s="433"/>
      <c r="JEK9" s="433"/>
      <c r="JEL9" s="68"/>
      <c r="JEM9" s="271"/>
      <c r="JEO9" s="272"/>
      <c r="JEP9" s="272"/>
      <c r="JEQ9" s="272"/>
      <c r="JER9" s="273"/>
      <c r="JES9" s="432"/>
      <c r="JET9" s="268"/>
      <c r="JEU9" s="228"/>
      <c r="JEV9" s="433"/>
      <c r="JEW9" s="433"/>
      <c r="JEX9" s="68"/>
      <c r="JEY9" s="271"/>
      <c r="JFA9" s="272"/>
      <c r="JFB9" s="272"/>
      <c r="JFC9" s="272"/>
      <c r="JFD9" s="273"/>
      <c r="JFE9" s="432"/>
      <c r="JFF9" s="268"/>
      <c r="JFG9" s="228"/>
      <c r="JFH9" s="433"/>
      <c r="JFI9" s="433"/>
      <c r="JFJ9" s="68"/>
      <c r="JFK9" s="271"/>
      <c r="JFM9" s="272"/>
      <c r="JFN9" s="272"/>
      <c r="JFO9" s="272"/>
      <c r="JFP9" s="273"/>
      <c r="JFQ9" s="432"/>
      <c r="JFR9" s="268"/>
      <c r="JFS9" s="228"/>
      <c r="JFT9" s="433"/>
      <c r="JFU9" s="433"/>
      <c r="JFV9" s="68"/>
      <c r="JFW9" s="271"/>
      <c r="JFY9" s="272"/>
      <c r="JFZ9" s="272"/>
      <c r="JGA9" s="272"/>
      <c r="JGB9" s="273"/>
      <c r="JGC9" s="432"/>
      <c r="JGD9" s="268"/>
      <c r="JGE9" s="228"/>
      <c r="JGF9" s="433"/>
      <c r="JGG9" s="433"/>
      <c r="JGH9" s="68"/>
      <c r="JGI9" s="271"/>
      <c r="JGK9" s="272"/>
      <c r="JGL9" s="272"/>
      <c r="JGM9" s="272"/>
      <c r="JGN9" s="273"/>
      <c r="JGO9" s="432"/>
      <c r="JGP9" s="268"/>
      <c r="JGQ9" s="228"/>
      <c r="JGR9" s="433"/>
      <c r="JGS9" s="433"/>
      <c r="JGT9" s="68"/>
      <c r="JGU9" s="271"/>
      <c r="JGW9" s="272"/>
      <c r="JGX9" s="272"/>
      <c r="JGY9" s="272"/>
      <c r="JGZ9" s="273"/>
      <c r="JHA9" s="432"/>
      <c r="JHB9" s="268"/>
      <c r="JHC9" s="228"/>
      <c r="JHD9" s="433"/>
      <c r="JHE9" s="433"/>
      <c r="JHF9" s="68"/>
      <c r="JHG9" s="271"/>
      <c r="JHI9" s="272"/>
      <c r="JHJ9" s="272"/>
      <c r="JHK9" s="272"/>
      <c r="JHL9" s="273"/>
      <c r="JHM9" s="432"/>
      <c r="JHN9" s="268"/>
      <c r="JHO9" s="228"/>
      <c r="JHP9" s="433"/>
      <c r="JHQ9" s="433"/>
      <c r="JHR9" s="68"/>
      <c r="JHS9" s="271"/>
      <c r="JHU9" s="272"/>
      <c r="JHV9" s="272"/>
      <c r="JHW9" s="272"/>
      <c r="JHX9" s="273"/>
      <c r="JHY9" s="432"/>
      <c r="JHZ9" s="268"/>
      <c r="JIA9" s="228"/>
      <c r="JIB9" s="433"/>
      <c r="JIC9" s="433"/>
      <c r="JID9" s="68"/>
      <c r="JIE9" s="271"/>
      <c r="JIG9" s="272"/>
      <c r="JIH9" s="272"/>
      <c r="JII9" s="272"/>
      <c r="JIJ9" s="273"/>
      <c r="JIK9" s="432"/>
      <c r="JIL9" s="268"/>
      <c r="JIM9" s="228"/>
      <c r="JIN9" s="433"/>
      <c r="JIO9" s="433"/>
      <c r="JIP9" s="68"/>
      <c r="JIQ9" s="271"/>
      <c r="JIS9" s="272"/>
      <c r="JIT9" s="272"/>
      <c r="JIU9" s="272"/>
      <c r="JIV9" s="273"/>
      <c r="JIW9" s="432"/>
      <c r="JIX9" s="268"/>
      <c r="JIY9" s="228"/>
      <c r="JIZ9" s="433"/>
      <c r="JJA9" s="433"/>
      <c r="JJB9" s="68"/>
      <c r="JJC9" s="271"/>
      <c r="JJE9" s="272"/>
      <c r="JJF9" s="272"/>
      <c r="JJG9" s="272"/>
      <c r="JJH9" s="273"/>
      <c r="JJI9" s="432"/>
      <c r="JJJ9" s="268"/>
      <c r="JJK9" s="228"/>
      <c r="JJL9" s="433"/>
      <c r="JJM9" s="433"/>
      <c r="JJN9" s="68"/>
      <c r="JJO9" s="271"/>
      <c r="JJQ9" s="272"/>
      <c r="JJR9" s="272"/>
      <c r="JJS9" s="272"/>
      <c r="JJT9" s="273"/>
      <c r="JJU9" s="432"/>
      <c r="JJV9" s="268"/>
      <c r="JJW9" s="228"/>
      <c r="JJX9" s="433"/>
      <c r="JJY9" s="433"/>
      <c r="JJZ9" s="68"/>
      <c r="JKA9" s="271"/>
      <c r="JKC9" s="272"/>
      <c r="JKD9" s="272"/>
      <c r="JKE9" s="272"/>
      <c r="JKF9" s="273"/>
      <c r="JKG9" s="432"/>
      <c r="JKH9" s="268"/>
      <c r="JKI9" s="228"/>
      <c r="JKJ9" s="433"/>
      <c r="JKK9" s="433"/>
      <c r="JKL9" s="68"/>
      <c r="JKM9" s="271"/>
      <c r="JKO9" s="272"/>
      <c r="JKP9" s="272"/>
      <c r="JKQ9" s="272"/>
      <c r="JKR9" s="273"/>
      <c r="JKS9" s="432"/>
      <c r="JKT9" s="268"/>
      <c r="JKU9" s="228"/>
      <c r="JKV9" s="433"/>
      <c r="JKW9" s="433"/>
      <c r="JKX9" s="68"/>
      <c r="JKY9" s="271"/>
      <c r="JLA9" s="272"/>
      <c r="JLB9" s="272"/>
      <c r="JLC9" s="272"/>
      <c r="JLD9" s="273"/>
      <c r="JLE9" s="432"/>
      <c r="JLF9" s="268"/>
      <c r="JLG9" s="228"/>
      <c r="JLH9" s="433"/>
      <c r="JLI9" s="433"/>
      <c r="JLJ9" s="68"/>
      <c r="JLK9" s="271"/>
      <c r="JLM9" s="272"/>
      <c r="JLN9" s="272"/>
      <c r="JLO9" s="272"/>
      <c r="JLP9" s="273"/>
      <c r="JLQ9" s="432"/>
      <c r="JLR9" s="268"/>
      <c r="JLS9" s="228"/>
      <c r="JLT9" s="433"/>
      <c r="JLU9" s="433"/>
      <c r="JLV9" s="68"/>
      <c r="JLW9" s="271"/>
      <c r="JLY9" s="272"/>
      <c r="JLZ9" s="272"/>
      <c r="JMA9" s="272"/>
      <c r="JMB9" s="273"/>
      <c r="JMC9" s="432"/>
      <c r="JMD9" s="268"/>
      <c r="JME9" s="228"/>
      <c r="JMF9" s="433"/>
      <c r="JMG9" s="433"/>
      <c r="JMH9" s="68"/>
      <c r="JMI9" s="271"/>
      <c r="JMK9" s="272"/>
      <c r="JML9" s="272"/>
      <c r="JMM9" s="272"/>
      <c r="JMN9" s="273"/>
      <c r="JMO9" s="432"/>
      <c r="JMP9" s="268"/>
      <c r="JMQ9" s="228"/>
      <c r="JMR9" s="433"/>
      <c r="JMS9" s="433"/>
      <c r="JMT9" s="68"/>
      <c r="JMU9" s="271"/>
      <c r="JMW9" s="272"/>
      <c r="JMX9" s="272"/>
      <c r="JMY9" s="272"/>
      <c r="JMZ9" s="273"/>
      <c r="JNA9" s="432"/>
      <c r="JNB9" s="268"/>
      <c r="JNC9" s="228"/>
      <c r="JND9" s="433"/>
      <c r="JNE9" s="433"/>
      <c r="JNF9" s="68"/>
      <c r="JNG9" s="271"/>
      <c r="JNI9" s="272"/>
      <c r="JNJ9" s="272"/>
      <c r="JNK9" s="272"/>
      <c r="JNL9" s="273"/>
      <c r="JNM9" s="432"/>
      <c r="JNN9" s="268"/>
      <c r="JNO9" s="228"/>
      <c r="JNP9" s="433"/>
      <c r="JNQ9" s="433"/>
      <c r="JNR9" s="68"/>
      <c r="JNS9" s="271"/>
      <c r="JNU9" s="272"/>
      <c r="JNV9" s="272"/>
      <c r="JNW9" s="272"/>
      <c r="JNX9" s="273"/>
      <c r="JNY9" s="432"/>
      <c r="JNZ9" s="268"/>
      <c r="JOA9" s="228"/>
      <c r="JOB9" s="433"/>
      <c r="JOC9" s="433"/>
      <c r="JOD9" s="68"/>
      <c r="JOE9" s="271"/>
      <c r="JOG9" s="272"/>
      <c r="JOH9" s="272"/>
      <c r="JOI9" s="272"/>
      <c r="JOJ9" s="273"/>
      <c r="JOK9" s="432"/>
      <c r="JOL9" s="268"/>
      <c r="JOM9" s="228"/>
      <c r="JON9" s="433"/>
      <c r="JOO9" s="433"/>
      <c r="JOP9" s="68"/>
      <c r="JOQ9" s="271"/>
      <c r="JOS9" s="272"/>
      <c r="JOT9" s="272"/>
      <c r="JOU9" s="272"/>
      <c r="JOV9" s="273"/>
      <c r="JOW9" s="432"/>
      <c r="JOX9" s="268"/>
      <c r="JOY9" s="228"/>
      <c r="JOZ9" s="433"/>
      <c r="JPA9" s="433"/>
      <c r="JPB9" s="68"/>
      <c r="JPC9" s="271"/>
      <c r="JPE9" s="272"/>
      <c r="JPF9" s="272"/>
      <c r="JPG9" s="272"/>
      <c r="JPH9" s="273"/>
      <c r="JPI9" s="432"/>
      <c r="JPJ9" s="268"/>
      <c r="JPK9" s="228"/>
      <c r="JPL9" s="433"/>
      <c r="JPM9" s="433"/>
      <c r="JPN9" s="68"/>
      <c r="JPO9" s="271"/>
      <c r="JPQ9" s="272"/>
      <c r="JPR9" s="272"/>
      <c r="JPS9" s="272"/>
      <c r="JPT9" s="273"/>
      <c r="JPU9" s="432"/>
      <c r="JPV9" s="268"/>
      <c r="JPW9" s="228"/>
      <c r="JPX9" s="433"/>
      <c r="JPY9" s="433"/>
      <c r="JPZ9" s="68"/>
      <c r="JQA9" s="271"/>
      <c r="JQC9" s="272"/>
      <c r="JQD9" s="272"/>
      <c r="JQE9" s="272"/>
      <c r="JQF9" s="273"/>
      <c r="JQG9" s="432"/>
      <c r="JQH9" s="268"/>
      <c r="JQI9" s="228"/>
      <c r="JQJ9" s="433"/>
      <c r="JQK9" s="433"/>
      <c r="JQL9" s="68"/>
      <c r="JQM9" s="271"/>
      <c r="JQO9" s="272"/>
      <c r="JQP9" s="272"/>
      <c r="JQQ9" s="272"/>
      <c r="JQR9" s="273"/>
      <c r="JQS9" s="432"/>
      <c r="JQT9" s="268"/>
      <c r="JQU9" s="228"/>
      <c r="JQV9" s="433"/>
      <c r="JQW9" s="433"/>
      <c r="JQX9" s="68"/>
      <c r="JQY9" s="271"/>
      <c r="JRA9" s="272"/>
      <c r="JRB9" s="272"/>
      <c r="JRC9" s="272"/>
      <c r="JRD9" s="273"/>
      <c r="JRE9" s="432"/>
      <c r="JRF9" s="268"/>
      <c r="JRG9" s="228"/>
      <c r="JRH9" s="433"/>
      <c r="JRI9" s="433"/>
      <c r="JRJ9" s="68"/>
      <c r="JRK9" s="271"/>
      <c r="JRM9" s="272"/>
      <c r="JRN9" s="272"/>
      <c r="JRO9" s="272"/>
      <c r="JRP9" s="273"/>
      <c r="JRQ9" s="432"/>
      <c r="JRR9" s="268"/>
      <c r="JRS9" s="228"/>
      <c r="JRT9" s="433"/>
      <c r="JRU9" s="433"/>
      <c r="JRV9" s="68"/>
      <c r="JRW9" s="271"/>
      <c r="JRY9" s="272"/>
      <c r="JRZ9" s="272"/>
      <c r="JSA9" s="272"/>
      <c r="JSB9" s="273"/>
      <c r="JSC9" s="432"/>
      <c r="JSD9" s="268"/>
      <c r="JSE9" s="228"/>
      <c r="JSF9" s="433"/>
      <c r="JSG9" s="433"/>
      <c r="JSH9" s="68"/>
      <c r="JSI9" s="271"/>
      <c r="JSK9" s="272"/>
      <c r="JSL9" s="272"/>
      <c r="JSM9" s="272"/>
      <c r="JSN9" s="273"/>
      <c r="JSO9" s="432"/>
      <c r="JSP9" s="268"/>
      <c r="JSQ9" s="228"/>
      <c r="JSR9" s="433"/>
      <c r="JSS9" s="433"/>
      <c r="JST9" s="68"/>
      <c r="JSU9" s="271"/>
      <c r="JSW9" s="272"/>
      <c r="JSX9" s="272"/>
      <c r="JSY9" s="272"/>
      <c r="JSZ9" s="273"/>
      <c r="JTA9" s="432"/>
      <c r="JTB9" s="268"/>
      <c r="JTC9" s="228"/>
      <c r="JTD9" s="433"/>
      <c r="JTE9" s="433"/>
      <c r="JTF9" s="68"/>
      <c r="JTG9" s="271"/>
      <c r="JTI9" s="272"/>
      <c r="JTJ9" s="272"/>
      <c r="JTK9" s="272"/>
      <c r="JTL9" s="273"/>
      <c r="JTM9" s="432"/>
      <c r="JTN9" s="268"/>
      <c r="JTO9" s="228"/>
      <c r="JTP9" s="433"/>
      <c r="JTQ9" s="433"/>
      <c r="JTR9" s="68"/>
      <c r="JTS9" s="271"/>
      <c r="JTU9" s="272"/>
      <c r="JTV9" s="272"/>
      <c r="JTW9" s="272"/>
      <c r="JTX9" s="273"/>
      <c r="JTY9" s="432"/>
      <c r="JTZ9" s="268"/>
      <c r="JUA9" s="228"/>
      <c r="JUB9" s="433"/>
      <c r="JUC9" s="433"/>
      <c r="JUD9" s="68"/>
      <c r="JUE9" s="271"/>
      <c r="JUG9" s="272"/>
      <c r="JUH9" s="272"/>
      <c r="JUI9" s="272"/>
      <c r="JUJ9" s="273"/>
      <c r="JUK9" s="432"/>
      <c r="JUL9" s="268"/>
      <c r="JUM9" s="228"/>
      <c r="JUN9" s="433"/>
      <c r="JUO9" s="433"/>
      <c r="JUP9" s="68"/>
      <c r="JUQ9" s="271"/>
      <c r="JUS9" s="272"/>
      <c r="JUT9" s="272"/>
      <c r="JUU9" s="272"/>
      <c r="JUV9" s="273"/>
      <c r="JUW9" s="432"/>
      <c r="JUX9" s="268"/>
      <c r="JUY9" s="228"/>
      <c r="JUZ9" s="433"/>
      <c r="JVA9" s="433"/>
      <c r="JVB9" s="68"/>
      <c r="JVC9" s="271"/>
      <c r="JVE9" s="272"/>
      <c r="JVF9" s="272"/>
      <c r="JVG9" s="272"/>
      <c r="JVH9" s="273"/>
      <c r="JVI9" s="432"/>
      <c r="JVJ9" s="268"/>
      <c r="JVK9" s="228"/>
      <c r="JVL9" s="433"/>
      <c r="JVM9" s="433"/>
      <c r="JVN9" s="68"/>
      <c r="JVO9" s="271"/>
      <c r="JVQ9" s="272"/>
      <c r="JVR9" s="272"/>
      <c r="JVS9" s="272"/>
      <c r="JVT9" s="273"/>
      <c r="JVU9" s="432"/>
      <c r="JVV9" s="268"/>
      <c r="JVW9" s="228"/>
      <c r="JVX9" s="433"/>
      <c r="JVY9" s="433"/>
      <c r="JVZ9" s="68"/>
      <c r="JWA9" s="271"/>
      <c r="JWC9" s="272"/>
      <c r="JWD9" s="272"/>
      <c r="JWE9" s="272"/>
      <c r="JWF9" s="273"/>
      <c r="JWG9" s="432"/>
      <c r="JWH9" s="268"/>
      <c r="JWI9" s="228"/>
      <c r="JWJ9" s="433"/>
      <c r="JWK9" s="433"/>
      <c r="JWL9" s="68"/>
      <c r="JWM9" s="271"/>
      <c r="JWO9" s="272"/>
      <c r="JWP9" s="272"/>
      <c r="JWQ9" s="272"/>
      <c r="JWR9" s="273"/>
      <c r="JWS9" s="432"/>
      <c r="JWT9" s="268"/>
      <c r="JWU9" s="228"/>
      <c r="JWV9" s="433"/>
      <c r="JWW9" s="433"/>
      <c r="JWX9" s="68"/>
      <c r="JWY9" s="271"/>
      <c r="JXA9" s="272"/>
      <c r="JXB9" s="272"/>
      <c r="JXC9" s="272"/>
      <c r="JXD9" s="273"/>
      <c r="JXE9" s="432"/>
      <c r="JXF9" s="268"/>
      <c r="JXG9" s="228"/>
      <c r="JXH9" s="433"/>
      <c r="JXI9" s="433"/>
      <c r="JXJ9" s="68"/>
      <c r="JXK9" s="271"/>
      <c r="JXM9" s="272"/>
      <c r="JXN9" s="272"/>
      <c r="JXO9" s="272"/>
      <c r="JXP9" s="273"/>
      <c r="JXQ9" s="432"/>
      <c r="JXR9" s="268"/>
      <c r="JXS9" s="228"/>
      <c r="JXT9" s="433"/>
      <c r="JXU9" s="433"/>
      <c r="JXV9" s="68"/>
      <c r="JXW9" s="271"/>
      <c r="JXY9" s="272"/>
      <c r="JXZ9" s="272"/>
      <c r="JYA9" s="272"/>
      <c r="JYB9" s="273"/>
      <c r="JYC9" s="432"/>
      <c r="JYD9" s="268"/>
      <c r="JYE9" s="228"/>
      <c r="JYF9" s="433"/>
      <c r="JYG9" s="433"/>
      <c r="JYH9" s="68"/>
      <c r="JYI9" s="271"/>
      <c r="JYK9" s="272"/>
      <c r="JYL9" s="272"/>
      <c r="JYM9" s="272"/>
      <c r="JYN9" s="273"/>
      <c r="JYO9" s="432"/>
      <c r="JYP9" s="268"/>
      <c r="JYQ9" s="228"/>
      <c r="JYR9" s="433"/>
      <c r="JYS9" s="433"/>
      <c r="JYT9" s="68"/>
      <c r="JYU9" s="271"/>
      <c r="JYW9" s="272"/>
      <c r="JYX9" s="272"/>
      <c r="JYY9" s="272"/>
      <c r="JYZ9" s="273"/>
      <c r="JZA9" s="432"/>
      <c r="JZB9" s="268"/>
      <c r="JZC9" s="228"/>
      <c r="JZD9" s="433"/>
      <c r="JZE9" s="433"/>
      <c r="JZF9" s="68"/>
      <c r="JZG9" s="271"/>
      <c r="JZI9" s="272"/>
      <c r="JZJ9" s="272"/>
      <c r="JZK9" s="272"/>
      <c r="JZL9" s="273"/>
      <c r="JZM9" s="432"/>
      <c r="JZN9" s="268"/>
      <c r="JZO9" s="228"/>
      <c r="JZP9" s="433"/>
      <c r="JZQ9" s="433"/>
      <c r="JZR9" s="68"/>
      <c r="JZS9" s="271"/>
      <c r="JZU9" s="272"/>
      <c r="JZV9" s="272"/>
      <c r="JZW9" s="272"/>
      <c r="JZX9" s="273"/>
      <c r="JZY9" s="432"/>
      <c r="JZZ9" s="268"/>
      <c r="KAA9" s="228"/>
      <c r="KAB9" s="433"/>
      <c r="KAC9" s="433"/>
      <c r="KAD9" s="68"/>
      <c r="KAE9" s="271"/>
      <c r="KAG9" s="272"/>
      <c r="KAH9" s="272"/>
      <c r="KAI9" s="272"/>
      <c r="KAJ9" s="273"/>
      <c r="KAK9" s="432"/>
      <c r="KAL9" s="268"/>
      <c r="KAM9" s="228"/>
      <c r="KAN9" s="433"/>
      <c r="KAO9" s="433"/>
      <c r="KAP9" s="68"/>
      <c r="KAQ9" s="271"/>
      <c r="KAS9" s="272"/>
      <c r="KAT9" s="272"/>
      <c r="KAU9" s="272"/>
      <c r="KAV9" s="273"/>
      <c r="KAW9" s="432"/>
      <c r="KAX9" s="268"/>
      <c r="KAY9" s="228"/>
      <c r="KAZ9" s="433"/>
      <c r="KBA9" s="433"/>
      <c r="KBB9" s="68"/>
      <c r="KBC9" s="271"/>
      <c r="KBE9" s="272"/>
      <c r="KBF9" s="272"/>
      <c r="KBG9" s="272"/>
      <c r="KBH9" s="273"/>
      <c r="KBI9" s="432"/>
      <c r="KBJ9" s="268"/>
      <c r="KBK9" s="228"/>
      <c r="KBL9" s="433"/>
      <c r="KBM9" s="433"/>
      <c r="KBN9" s="68"/>
      <c r="KBO9" s="271"/>
      <c r="KBQ9" s="272"/>
      <c r="KBR9" s="272"/>
      <c r="KBS9" s="272"/>
      <c r="KBT9" s="273"/>
      <c r="KBU9" s="432"/>
      <c r="KBV9" s="268"/>
      <c r="KBW9" s="228"/>
      <c r="KBX9" s="433"/>
      <c r="KBY9" s="433"/>
      <c r="KBZ9" s="68"/>
      <c r="KCA9" s="271"/>
      <c r="KCC9" s="272"/>
      <c r="KCD9" s="272"/>
      <c r="KCE9" s="272"/>
      <c r="KCF9" s="273"/>
      <c r="KCG9" s="432"/>
      <c r="KCH9" s="268"/>
      <c r="KCI9" s="228"/>
      <c r="KCJ9" s="433"/>
      <c r="KCK9" s="433"/>
      <c r="KCL9" s="68"/>
      <c r="KCM9" s="271"/>
      <c r="KCO9" s="272"/>
      <c r="KCP9" s="272"/>
      <c r="KCQ9" s="272"/>
      <c r="KCR9" s="273"/>
      <c r="KCS9" s="432"/>
      <c r="KCT9" s="268"/>
      <c r="KCU9" s="228"/>
      <c r="KCV9" s="433"/>
      <c r="KCW9" s="433"/>
      <c r="KCX9" s="68"/>
      <c r="KCY9" s="271"/>
      <c r="KDA9" s="272"/>
      <c r="KDB9" s="272"/>
      <c r="KDC9" s="272"/>
      <c r="KDD9" s="273"/>
      <c r="KDE9" s="432"/>
      <c r="KDF9" s="268"/>
      <c r="KDG9" s="228"/>
      <c r="KDH9" s="433"/>
      <c r="KDI9" s="433"/>
      <c r="KDJ9" s="68"/>
      <c r="KDK9" s="271"/>
      <c r="KDM9" s="272"/>
      <c r="KDN9" s="272"/>
      <c r="KDO9" s="272"/>
      <c r="KDP9" s="273"/>
      <c r="KDQ9" s="432"/>
      <c r="KDR9" s="268"/>
      <c r="KDS9" s="228"/>
      <c r="KDT9" s="433"/>
      <c r="KDU9" s="433"/>
      <c r="KDV9" s="68"/>
      <c r="KDW9" s="271"/>
      <c r="KDY9" s="272"/>
      <c r="KDZ9" s="272"/>
      <c r="KEA9" s="272"/>
      <c r="KEB9" s="273"/>
      <c r="KEC9" s="432"/>
      <c r="KED9" s="268"/>
      <c r="KEE9" s="228"/>
      <c r="KEF9" s="433"/>
      <c r="KEG9" s="433"/>
      <c r="KEH9" s="68"/>
      <c r="KEI9" s="271"/>
      <c r="KEK9" s="272"/>
      <c r="KEL9" s="272"/>
      <c r="KEM9" s="272"/>
      <c r="KEN9" s="273"/>
      <c r="KEO9" s="432"/>
      <c r="KEP9" s="268"/>
      <c r="KEQ9" s="228"/>
      <c r="KER9" s="433"/>
      <c r="KES9" s="433"/>
      <c r="KET9" s="68"/>
      <c r="KEU9" s="271"/>
      <c r="KEW9" s="272"/>
      <c r="KEX9" s="272"/>
      <c r="KEY9" s="272"/>
      <c r="KEZ9" s="273"/>
      <c r="KFA9" s="432"/>
      <c r="KFB9" s="268"/>
      <c r="KFC9" s="228"/>
      <c r="KFD9" s="433"/>
      <c r="KFE9" s="433"/>
      <c r="KFF9" s="68"/>
      <c r="KFG9" s="271"/>
      <c r="KFI9" s="272"/>
      <c r="KFJ9" s="272"/>
      <c r="KFK9" s="272"/>
      <c r="KFL9" s="273"/>
      <c r="KFM9" s="432"/>
      <c r="KFN9" s="268"/>
      <c r="KFO9" s="228"/>
      <c r="KFP9" s="433"/>
      <c r="KFQ9" s="433"/>
      <c r="KFR9" s="68"/>
      <c r="KFS9" s="271"/>
      <c r="KFU9" s="272"/>
      <c r="KFV9" s="272"/>
      <c r="KFW9" s="272"/>
      <c r="KFX9" s="273"/>
      <c r="KFY9" s="432"/>
      <c r="KFZ9" s="268"/>
      <c r="KGA9" s="228"/>
      <c r="KGB9" s="433"/>
      <c r="KGC9" s="433"/>
      <c r="KGD9" s="68"/>
      <c r="KGE9" s="271"/>
      <c r="KGG9" s="272"/>
      <c r="KGH9" s="272"/>
      <c r="KGI9" s="272"/>
      <c r="KGJ9" s="273"/>
      <c r="KGK9" s="432"/>
      <c r="KGL9" s="268"/>
      <c r="KGM9" s="228"/>
      <c r="KGN9" s="433"/>
      <c r="KGO9" s="433"/>
      <c r="KGP9" s="68"/>
      <c r="KGQ9" s="271"/>
      <c r="KGS9" s="272"/>
      <c r="KGT9" s="272"/>
      <c r="KGU9" s="272"/>
      <c r="KGV9" s="273"/>
      <c r="KGW9" s="432"/>
      <c r="KGX9" s="268"/>
      <c r="KGY9" s="228"/>
      <c r="KGZ9" s="433"/>
      <c r="KHA9" s="433"/>
      <c r="KHB9" s="68"/>
      <c r="KHC9" s="271"/>
      <c r="KHE9" s="272"/>
      <c r="KHF9" s="272"/>
      <c r="KHG9" s="272"/>
      <c r="KHH9" s="273"/>
      <c r="KHI9" s="432"/>
      <c r="KHJ9" s="268"/>
      <c r="KHK9" s="228"/>
      <c r="KHL9" s="433"/>
      <c r="KHM9" s="433"/>
      <c r="KHN9" s="68"/>
      <c r="KHO9" s="271"/>
      <c r="KHQ9" s="272"/>
      <c r="KHR9" s="272"/>
      <c r="KHS9" s="272"/>
      <c r="KHT9" s="273"/>
      <c r="KHU9" s="432"/>
      <c r="KHV9" s="268"/>
      <c r="KHW9" s="228"/>
      <c r="KHX9" s="433"/>
      <c r="KHY9" s="433"/>
      <c r="KHZ9" s="68"/>
      <c r="KIA9" s="271"/>
      <c r="KIC9" s="272"/>
      <c r="KID9" s="272"/>
      <c r="KIE9" s="272"/>
      <c r="KIF9" s="273"/>
      <c r="KIG9" s="432"/>
      <c r="KIH9" s="268"/>
      <c r="KII9" s="228"/>
      <c r="KIJ9" s="433"/>
      <c r="KIK9" s="433"/>
      <c r="KIL9" s="68"/>
      <c r="KIM9" s="271"/>
      <c r="KIO9" s="272"/>
      <c r="KIP9" s="272"/>
      <c r="KIQ9" s="272"/>
      <c r="KIR9" s="273"/>
      <c r="KIS9" s="432"/>
      <c r="KIT9" s="268"/>
      <c r="KIU9" s="228"/>
      <c r="KIV9" s="433"/>
      <c r="KIW9" s="433"/>
      <c r="KIX9" s="68"/>
      <c r="KIY9" s="271"/>
      <c r="KJA9" s="272"/>
      <c r="KJB9" s="272"/>
      <c r="KJC9" s="272"/>
      <c r="KJD9" s="273"/>
      <c r="KJE9" s="432"/>
      <c r="KJF9" s="268"/>
      <c r="KJG9" s="228"/>
      <c r="KJH9" s="433"/>
      <c r="KJI9" s="433"/>
      <c r="KJJ9" s="68"/>
      <c r="KJK9" s="271"/>
      <c r="KJM9" s="272"/>
      <c r="KJN9" s="272"/>
      <c r="KJO9" s="272"/>
      <c r="KJP9" s="273"/>
      <c r="KJQ9" s="432"/>
      <c r="KJR9" s="268"/>
      <c r="KJS9" s="228"/>
      <c r="KJT9" s="433"/>
      <c r="KJU9" s="433"/>
      <c r="KJV9" s="68"/>
      <c r="KJW9" s="271"/>
      <c r="KJY9" s="272"/>
      <c r="KJZ9" s="272"/>
      <c r="KKA9" s="272"/>
      <c r="KKB9" s="273"/>
      <c r="KKC9" s="432"/>
      <c r="KKD9" s="268"/>
      <c r="KKE9" s="228"/>
      <c r="KKF9" s="433"/>
      <c r="KKG9" s="433"/>
      <c r="KKH9" s="68"/>
      <c r="KKI9" s="271"/>
      <c r="KKK9" s="272"/>
      <c r="KKL9" s="272"/>
      <c r="KKM9" s="272"/>
      <c r="KKN9" s="273"/>
      <c r="KKO9" s="432"/>
      <c r="KKP9" s="268"/>
      <c r="KKQ9" s="228"/>
      <c r="KKR9" s="433"/>
      <c r="KKS9" s="433"/>
      <c r="KKT9" s="68"/>
      <c r="KKU9" s="271"/>
      <c r="KKW9" s="272"/>
      <c r="KKX9" s="272"/>
      <c r="KKY9" s="272"/>
      <c r="KKZ9" s="273"/>
      <c r="KLA9" s="432"/>
      <c r="KLB9" s="268"/>
      <c r="KLC9" s="228"/>
      <c r="KLD9" s="433"/>
      <c r="KLE9" s="433"/>
      <c r="KLF9" s="68"/>
      <c r="KLG9" s="271"/>
      <c r="KLI9" s="272"/>
      <c r="KLJ9" s="272"/>
      <c r="KLK9" s="272"/>
      <c r="KLL9" s="273"/>
      <c r="KLM9" s="432"/>
      <c r="KLN9" s="268"/>
      <c r="KLO9" s="228"/>
      <c r="KLP9" s="433"/>
      <c r="KLQ9" s="433"/>
      <c r="KLR9" s="68"/>
      <c r="KLS9" s="271"/>
      <c r="KLU9" s="272"/>
      <c r="KLV9" s="272"/>
      <c r="KLW9" s="272"/>
      <c r="KLX9" s="273"/>
      <c r="KLY9" s="432"/>
      <c r="KLZ9" s="268"/>
      <c r="KMA9" s="228"/>
      <c r="KMB9" s="433"/>
      <c r="KMC9" s="433"/>
      <c r="KMD9" s="68"/>
      <c r="KME9" s="271"/>
      <c r="KMG9" s="272"/>
      <c r="KMH9" s="272"/>
      <c r="KMI9" s="272"/>
      <c r="KMJ9" s="273"/>
      <c r="KMK9" s="432"/>
      <c r="KML9" s="268"/>
      <c r="KMM9" s="228"/>
      <c r="KMN9" s="433"/>
      <c r="KMO9" s="433"/>
      <c r="KMP9" s="68"/>
      <c r="KMQ9" s="271"/>
      <c r="KMS9" s="272"/>
      <c r="KMT9" s="272"/>
      <c r="KMU9" s="272"/>
      <c r="KMV9" s="273"/>
      <c r="KMW9" s="432"/>
      <c r="KMX9" s="268"/>
      <c r="KMY9" s="228"/>
      <c r="KMZ9" s="433"/>
      <c r="KNA9" s="433"/>
      <c r="KNB9" s="68"/>
      <c r="KNC9" s="271"/>
      <c r="KNE9" s="272"/>
      <c r="KNF9" s="272"/>
      <c r="KNG9" s="272"/>
      <c r="KNH9" s="273"/>
      <c r="KNI9" s="432"/>
      <c r="KNJ9" s="268"/>
      <c r="KNK9" s="228"/>
      <c r="KNL9" s="433"/>
      <c r="KNM9" s="433"/>
      <c r="KNN9" s="68"/>
      <c r="KNO9" s="271"/>
      <c r="KNQ9" s="272"/>
      <c r="KNR9" s="272"/>
      <c r="KNS9" s="272"/>
      <c r="KNT9" s="273"/>
      <c r="KNU9" s="432"/>
      <c r="KNV9" s="268"/>
      <c r="KNW9" s="228"/>
      <c r="KNX9" s="433"/>
      <c r="KNY9" s="433"/>
      <c r="KNZ9" s="68"/>
      <c r="KOA9" s="271"/>
      <c r="KOC9" s="272"/>
      <c r="KOD9" s="272"/>
      <c r="KOE9" s="272"/>
      <c r="KOF9" s="273"/>
      <c r="KOG9" s="432"/>
      <c r="KOH9" s="268"/>
      <c r="KOI9" s="228"/>
      <c r="KOJ9" s="433"/>
      <c r="KOK9" s="433"/>
      <c r="KOL9" s="68"/>
      <c r="KOM9" s="271"/>
      <c r="KOO9" s="272"/>
      <c r="KOP9" s="272"/>
      <c r="KOQ9" s="272"/>
      <c r="KOR9" s="273"/>
      <c r="KOS9" s="432"/>
      <c r="KOT9" s="268"/>
      <c r="KOU9" s="228"/>
      <c r="KOV9" s="433"/>
      <c r="KOW9" s="433"/>
      <c r="KOX9" s="68"/>
      <c r="KOY9" s="271"/>
      <c r="KPA9" s="272"/>
      <c r="KPB9" s="272"/>
      <c r="KPC9" s="272"/>
      <c r="KPD9" s="273"/>
      <c r="KPE9" s="432"/>
      <c r="KPF9" s="268"/>
      <c r="KPG9" s="228"/>
      <c r="KPH9" s="433"/>
      <c r="KPI9" s="433"/>
      <c r="KPJ9" s="68"/>
      <c r="KPK9" s="271"/>
      <c r="KPM9" s="272"/>
      <c r="KPN9" s="272"/>
      <c r="KPO9" s="272"/>
      <c r="KPP9" s="273"/>
      <c r="KPQ9" s="432"/>
      <c r="KPR9" s="268"/>
      <c r="KPS9" s="228"/>
      <c r="KPT9" s="433"/>
      <c r="KPU9" s="433"/>
      <c r="KPV9" s="68"/>
      <c r="KPW9" s="271"/>
      <c r="KPY9" s="272"/>
      <c r="KPZ9" s="272"/>
      <c r="KQA9" s="272"/>
      <c r="KQB9" s="273"/>
      <c r="KQC9" s="432"/>
      <c r="KQD9" s="268"/>
      <c r="KQE9" s="228"/>
      <c r="KQF9" s="433"/>
      <c r="KQG9" s="433"/>
      <c r="KQH9" s="68"/>
      <c r="KQI9" s="271"/>
      <c r="KQK9" s="272"/>
      <c r="KQL9" s="272"/>
      <c r="KQM9" s="272"/>
      <c r="KQN9" s="273"/>
      <c r="KQO9" s="432"/>
      <c r="KQP9" s="268"/>
      <c r="KQQ9" s="228"/>
      <c r="KQR9" s="433"/>
      <c r="KQS9" s="433"/>
      <c r="KQT9" s="68"/>
      <c r="KQU9" s="271"/>
      <c r="KQW9" s="272"/>
      <c r="KQX9" s="272"/>
      <c r="KQY9" s="272"/>
      <c r="KQZ9" s="273"/>
      <c r="KRA9" s="432"/>
      <c r="KRB9" s="268"/>
      <c r="KRC9" s="228"/>
      <c r="KRD9" s="433"/>
      <c r="KRE9" s="433"/>
      <c r="KRF9" s="68"/>
      <c r="KRG9" s="271"/>
      <c r="KRI9" s="272"/>
      <c r="KRJ9" s="272"/>
      <c r="KRK9" s="272"/>
      <c r="KRL9" s="273"/>
      <c r="KRM9" s="432"/>
      <c r="KRN9" s="268"/>
      <c r="KRO9" s="228"/>
      <c r="KRP9" s="433"/>
      <c r="KRQ9" s="433"/>
      <c r="KRR9" s="68"/>
      <c r="KRS9" s="271"/>
      <c r="KRU9" s="272"/>
      <c r="KRV9" s="272"/>
      <c r="KRW9" s="272"/>
      <c r="KRX9" s="273"/>
      <c r="KRY9" s="432"/>
      <c r="KRZ9" s="268"/>
      <c r="KSA9" s="228"/>
      <c r="KSB9" s="433"/>
      <c r="KSC9" s="433"/>
      <c r="KSD9" s="68"/>
      <c r="KSE9" s="271"/>
      <c r="KSG9" s="272"/>
      <c r="KSH9" s="272"/>
      <c r="KSI9" s="272"/>
      <c r="KSJ9" s="273"/>
      <c r="KSK9" s="432"/>
      <c r="KSL9" s="268"/>
      <c r="KSM9" s="228"/>
      <c r="KSN9" s="433"/>
      <c r="KSO9" s="433"/>
      <c r="KSP9" s="68"/>
      <c r="KSQ9" s="271"/>
      <c r="KSS9" s="272"/>
      <c r="KST9" s="272"/>
      <c r="KSU9" s="272"/>
      <c r="KSV9" s="273"/>
      <c r="KSW9" s="432"/>
      <c r="KSX9" s="268"/>
      <c r="KSY9" s="228"/>
      <c r="KSZ9" s="433"/>
      <c r="KTA9" s="433"/>
      <c r="KTB9" s="68"/>
      <c r="KTC9" s="271"/>
      <c r="KTE9" s="272"/>
      <c r="KTF9" s="272"/>
      <c r="KTG9" s="272"/>
      <c r="KTH9" s="273"/>
      <c r="KTI9" s="432"/>
      <c r="KTJ9" s="268"/>
      <c r="KTK9" s="228"/>
      <c r="KTL9" s="433"/>
      <c r="KTM9" s="433"/>
      <c r="KTN9" s="68"/>
      <c r="KTO9" s="271"/>
      <c r="KTQ9" s="272"/>
      <c r="KTR9" s="272"/>
      <c r="KTS9" s="272"/>
      <c r="KTT9" s="273"/>
      <c r="KTU9" s="432"/>
      <c r="KTV9" s="268"/>
      <c r="KTW9" s="228"/>
      <c r="KTX9" s="433"/>
      <c r="KTY9" s="433"/>
      <c r="KTZ9" s="68"/>
      <c r="KUA9" s="271"/>
      <c r="KUC9" s="272"/>
      <c r="KUD9" s="272"/>
      <c r="KUE9" s="272"/>
      <c r="KUF9" s="273"/>
      <c r="KUG9" s="432"/>
      <c r="KUH9" s="268"/>
      <c r="KUI9" s="228"/>
      <c r="KUJ9" s="433"/>
      <c r="KUK9" s="433"/>
      <c r="KUL9" s="68"/>
      <c r="KUM9" s="271"/>
      <c r="KUO9" s="272"/>
      <c r="KUP9" s="272"/>
      <c r="KUQ9" s="272"/>
      <c r="KUR9" s="273"/>
      <c r="KUS9" s="432"/>
      <c r="KUT9" s="268"/>
      <c r="KUU9" s="228"/>
      <c r="KUV9" s="433"/>
      <c r="KUW9" s="433"/>
      <c r="KUX9" s="68"/>
      <c r="KUY9" s="271"/>
      <c r="KVA9" s="272"/>
      <c r="KVB9" s="272"/>
      <c r="KVC9" s="272"/>
      <c r="KVD9" s="273"/>
      <c r="KVE9" s="432"/>
      <c r="KVF9" s="268"/>
      <c r="KVG9" s="228"/>
      <c r="KVH9" s="433"/>
      <c r="KVI9" s="433"/>
      <c r="KVJ9" s="68"/>
      <c r="KVK9" s="271"/>
      <c r="KVM9" s="272"/>
      <c r="KVN9" s="272"/>
      <c r="KVO9" s="272"/>
      <c r="KVP9" s="273"/>
      <c r="KVQ9" s="432"/>
      <c r="KVR9" s="268"/>
      <c r="KVS9" s="228"/>
      <c r="KVT9" s="433"/>
      <c r="KVU9" s="433"/>
      <c r="KVV9" s="68"/>
      <c r="KVW9" s="271"/>
      <c r="KVY9" s="272"/>
      <c r="KVZ9" s="272"/>
      <c r="KWA9" s="272"/>
      <c r="KWB9" s="273"/>
      <c r="KWC9" s="432"/>
      <c r="KWD9" s="268"/>
      <c r="KWE9" s="228"/>
      <c r="KWF9" s="433"/>
      <c r="KWG9" s="433"/>
      <c r="KWH9" s="68"/>
      <c r="KWI9" s="271"/>
      <c r="KWK9" s="272"/>
      <c r="KWL9" s="272"/>
      <c r="KWM9" s="272"/>
      <c r="KWN9" s="273"/>
      <c r="KWO9" s="432"/>
      <c r="KWP9" s="268"/>
      <c r="KWQ9" s="228"/>
      <c r="KWR9" s="433"/>
      <c r="KWS9" s="433"/>
      <c r="KWT9" s="68"/>
      <c r="KWU9" s="271"/>
      <c r="KWW9" s="272"/>
      <c r="KWX9" s="272"/>
      <c r="KWY9" s="272"/>
      <c r="KWZ9" s="273"/>
      <c r="KXA9" s="432"/>
      <c r="KXB9" s="268"/>
      <c r="KXC9" s="228"/>
      <c r="KXD9" s="433"/>
      <c r="KXE9" s="433"/>
      <c r="KXF9" s="68"/>
      <c r="KXG9" s="271"/>
      <c r="KXI9" s="272"/>
      <c r="KXJ9" s="272"/>
      <c r="KXK9" s="272"/>
      <c r="KXL9" s="273"/>
      <c r="KXM9" s="432"/>
      <c r="KXN9" s="268"/>
      <c r="KXO9" s="228"/>
      <c r="KXP9" s="433"/>
      <c r="KXQ9" s="433"/>
      <c r="KXR9" s="68"/>
      <c r="KXS9" s="271"/>
      <c r="KXU9" s="272"/>
      <c r="KXV9" s="272"/>
      <c r="KXW9" s="272"/>
      <c r="KXX9" s="273"/>
      <c r="KXY9" s="432"/>
      <c r="KXZ9" s="268"/>
      <c r="KYA9" s="228"/>
      <c r="KYB9" s="433"/>
      <c r="KYC9" s="433"/>
      <c r="KYD9" s="68"/>
      <c r="KYE9" s="271"/>
      <c r="KYG9" s="272"/>
      <c r="KYH9" s="272"/>
      <c r="KYI9" s="272"/>
      <c r="KYJ9" s="273"/>
      <c r="KYK9" s="432"/>
      <c r="KYL9" s="268"/>
      <c r="KYM9" s="228"/>
      <c r="KYN9" s="433"/>
      <c r="KYO9" s="433"/>
      <c r="KYP9" s="68"/>
      <c r="KYQ9" s="271"/>
      <c r="KYS9" s="272"/>
      <c r="KYT9" s="272"/>
      <c r="KYU9" s="272"/>
      <c r="KYV9" s="273"/>
      <c r="KYW9" s="432"/>
      <c r="KYX9" s="268"/>
      <c r="KYY9" s="228"/>
      <c r="KYZ9" s="433"/>
      <c r="KZA9" s="433"/>
      <c r="KZB9" s="68"/>
      <c r="KZC9" s="271"/>
      <c r="KZE9" s="272"/>
      <c r="KZF9" s="272"/>
      <c r="KZG9" s="272"/>
      <c r="KZH9" s="273"/>
      <c r="KZI9" s="432"/>
      <c r="KZJ9" s="268"/>
      <c r="KZK9" s="228"/>
      <c r="KZL9" s="433"/>
      <c r="KZM9" s="433"/>
      <c r="KZN9" s="68"/>
      <c r="KZO9" s="271"/>
      <c r="KZQ9" s="272"/>
      <c r="KZR9" s="272"/>
      <c r="KZS9" s="272"/>
      <c r="KZT9" s="273"/>
      <c r="KZU9" s="432"/>
      <c r="KZV9" s="268"/>
      <c r="KZW9" s="228"/>
      <c r="KZX9" s="433"/>
      <c r="KZY9" s="433"/>
      <c r="KZZ9" s="68"/>
      <c r="LAA9" s="271"/>
      <c r="LAC9" s="272"/>
      <c r="LAD9" s="272"/>
      <c r="LAE9" s="272"/>
      <c r="LAF9" s="273"/>
      <c r="LAG9" s="432"/>
      <c r="LAH9" s="268"/>
      <c r="LAI9" s="228"/>
      <c r="LAJ9" s="433"/>
      <c r="LAK9" s="433"/>
      <c r="LAL9" s="68"/>
      <c r="LAM9" s="271"/>
      <c r="LAO9" s="272"/>
      <c r="LAP9" s="272"/>
      <c r="LAQ9" s="272"/>
      <c r="LAR9" s="273"/>
      <c r="LAS9" s="432"/>
      <c r="LAT9" s="268"/>
      <c r="LAU9" s="228"/>
      <c r="LAV9" s="433"/>
      <c r="LAW9" s="433"/>
      <c r="LAX9" s="68"/>
      <c r="LAY9" s="271"/>
      <c r="LBA9" s="272"/>
      <c r="LBB9" s="272"/>
      <c r="LBC9" s="272"/>
      <c r="LBD9" s="273"/>
      <c r="LBE9" s="432"/>
      <c r="LBF9" s="268"/>
      <c r="LBG9" s="228"/>
      <c r="LBH9" s="433"/>
      <c r="LBI9" s="433"/>
      <c r="LBJ9" s="68"/>
      <c r="LBK9" s="271"/>
      <c r="LBM9" s="272"/>
      <c r="LBN9" s="272"/>
      <c r="LBO9" s="272"/>
      <c r="LBP9" s="273"/>
      <c r="LBQ9" s="432"/>
      <c r="LBR9" s="268"/>
      <c r="LBS9" s="228"/>
      <c r="LBT9" s="433"/>
      <c r="LBU9" s="433"/>
      <c r="LBV9" s="68"/>
      <c r="LBW9" s="271"/>
      <c r="LBY9" s="272"/>
      <c r="LBZ9" s="272"/>
      <c r="LCA9" s="272"/>
      <c r="LCB9" s="273"/>
      <c r="LCC9" s="432"/>
      <c r="LCD9" s="268"/>
      <c r="LCE9" s="228"/>
      <c r="LCF9" s="433"/>
      <c r="LCG9" s="433"/>
      <c r="LCH9" s="68"/>
      <c r="LCI9" s="271"/>
      <c r="LCK9" s="272"/>
      <c r="LCL9" s="272"/>
      <c r="LCM9" s="272"/>
      <c r="LCN9" s="273"/>
      <c r="LCO9" s="432"/>
      <c r="LCP9" s="268"/>
      <c r="LCQ9" s="228"/>
      <c r="LCR9" s="433"/>
      <c r="LCS9" s="433"/>
      <c r="LCT9" s="68"/>
      <c r="LCU9" s="271"/>
      <c r="LCW9" s="272"/>
      <c r="LCX9" s="272"/>
      <c r="LCY9" s="272"/>
      <c r="LCZ9" s="273"/>
      <c r="LDA9" s="432"/>
      <c r="LDB9" s="268"/>
      <c r="LDC9" s="228"/>
      <c r="LDD9" s="433"/>
      <c r="LDE9" s="433"/>
      <c r="LDF9" s="68"/>
      <c r="LDG9" s="271"/>
      <c r="LDI9" s="272"/>
      <c r="LDJ9" s="272"/>
      <c r="LDK9" s="272"/>
      <c r="LDL9" s="273"/>
      <c r="LDM9" s="432"/>
      <c r="LDN9" s="268"/>
      <c r="LDO9" s="228"/>
      <c r="LDP9" s="433"/>
      <c r="LDQ9" s="433"/>
      <c r="LDR9" s="68"/>
      <c r="LDS9" s="271"/>
      <c r="LDU9" s="272"/>
      <c r="LDV9" s="272"/>
      <c r="LDW9" s="272"/>
      <c r="LDX9" s="273"/>
      <c r="LDY9" s="432"/>
      <c r="LDZ9" s="268"/>
      <c r="LEA9" s="228"/>
      <c r="LEB9" s="433"/>
      <c r="LEC9" s="433"/>
      <c r="LED9" s="68"/>
      <c r="LEE9" s="271"/>
      <c r="LEG9" s="272"/>
      <c r="LEH9" s="272"/>
      <c r="LEI9" s="272"/>
      <c r="LEJ9" s="273"/>
      <c r="LEK9" s="432"/>
      <c r="LEL9" s="268"/>
      <c r="LEM9" s="228"/>
      <c r="LEN9" s="433"/>
      <c r="LEO9" s="433"/>
      <c r="LEP9" s="68"/>
      <c r="LEQ9" s="271"/>
      <c r="LES9" s="272"/>
      <c r="LET9" s="272"/>
      <c r="LEU9" s="272"/>
      <c r="LEV9" s="273"/>
      <c r="LEW9" s="432"/>
      <c r="LEX9" s="268"/>
      <c r="LEY9" s="228"/>
      <c r="LEZ9" s="433"/>
      <c r="LFA9" s="433"/>
      <c r="LFB9" s="68"/>
      <c r="LFC9" s="271"/>
      <c r="LFE9" s="272"/>
      <c r="LFF9" s="272"/>
      <c r="LFG9" s="272"/>
      <c r="LFH9" s="273"/>
      <c r="LFI9" s="432"/>
      <c r="LFJ9" s="268"/>
      <c r="LFK9" s="228"/>
      <c r="LFL9" s="433"/>
      <c r="LFM9" s="433"/>
      <c r="LFN9" s="68"/>
      <c r="LFO9" s="271"/>
      <c r="LFQ9" s="272"/>
      <c r="LFR9" s="272"/>
      <c r="LFS9" s="272"/>
      <c r="LFT9" s="273"/>
      <c r="LFU9" s="432"/>
      <c r="LFV9" s="268"/>
      <c r="LFW9" s="228"/>
      <c r="LFX9" s="433"/>
      <c r="LFY9" s="433"/>
      <c r="LFZ9" s="68"/>
      <c r="LGA9" s="271"/>
      <c r="LGC9" s="272"/>
      <c r="LGD9" s="272"/>
      <c r="LGE9" s="272"/>
      <c r="LGF9" s="273"/>
      <c r="LGG9" s="432"/>
      <c r="LGH9" s="268"/>
      <c r="LGI9" s="228"/>
      <c r="LGJ9" s="433"/>
      <c r="LGK9" s="433"/>
      <c r="LGL9" s="68"/>
      <c r="LGM9" s="271"/>
      <c r="LGO9" s="272"/>
      <c r="LGP9" s="272"/>
      <c r="LGQ9" s="272"/>
      <c r="LGR9" s="273"/>
      <c r="LGS9" s="432"/>
      <c r="LGT9" s="268"/>
      <c r="LGU9" s="228"/>
      <c r="LGV9" s="433"/>
      <c r="LGW9" s="433"/>
      <c r="LGX9" s="68"/>
      <c r="LGY9" s="271"/>
      <c r="LHA9" s="272"/>
      <c r="LHB9" s="272"/>
      <c r="LHC9" s="272"/>
      <c r="LHD9" s="273"/>
      <c r="LHE9" s="432"/>
      <c r="LHF9" s="268"/>
      <c r="LHG9" s="228"/>
      <c r="LHH9" s="433"/>
      <c r="LHI9" s="433"/>
      <c r="LHJ9" s="68"/>
      <c r="LHK9" s="271"/>
      <c r="LHM9" s="272"/>
      <c r="LHN9" s="272"/>
      <c r="LHO9" s="272"/>
      <c r="LHP9" s="273"/>
      <c r="LHQ9" s="432"/>
      <c r="LHR9" s="268"/>
      <c r="LHS9" s="228"/>
      <c r="LHT9" s="433"/>
      <c r="LHU9" s="433"/>
      <c r="LHV9" s="68"/>
      <c r="LHW9" s="271"/>
      <c r="LHY9" s="272"/>
      <c r="LHZ9" s="272"/>
      <c r="LIA9" s="272"/>
      <c r="LIB9" s="273"/>
      <c r="LIC9" s="432"/>
      <c r="LID9" s="268"/>
      <c r="LIE9" s="228"/>
      <c r="LIF9" s="433"/>
      <c r="LIG9" s="433"/>
      <c r="LIH9" s="68"/>
      <c r="LII9" s="271"/>
      <c r="LIK9" s="272"/>
      <c r="LIL9" s="272"/>
      <c r="LIM9" s="272"/>
      <c r="LIN9" s="273"/>
      <c r="LIO9" s="432"/>
      <c r="LIP9" s="268"/>
      <c r="LIQ9" s="228"/>
      <c r="LIR9" s="433"/>
      <c r="LIS9" s="433"/>
      <c r="LIT9" s="68"/>
      <c r="LIU9" s="271"/>
      <c r="LIW9" s="272"/>
      <c r="LIX9" s="272"/>
      <c r="LIY9" s="272"/>
      <c r="LIZ9" s="273"/>
      <c r="LJA9" s="432"/>
      <c r="LJB9" s="268"/>
      <c r="LJC9" s="228"/>
      <c r="LJD9" s="433"/>
      <c r="LJE9" s="433"/>
      <c r="LJF9" s="68"/>
      <c r="LJG9" s="271"/>
      <c r="LJI9" s="272"/>
      <c r="LJJ9" s="272"/>
      <c r="LJK9" s="272"/>
      <c r="LJL9" s="273"/>
      <c r="LJM9" s="432"/>
      <c r="LJN9" s="268"/>
      <c r="LJO9" s="228"/>
      <c r="LJP9" s="433"/>
      <c r="LJQ9" s="433"/>
      <c r="LJR9" s="68"/>
      <c r="LJS9" s="271"/>
      <c r="LJU9" s="272"/>
      <c r="LJV9" s="272"/>
      <c r="LJW9" s="272"/>
      <c r="LJX9" s="273"/>
      <c r="LJY9" s="432"/>
      <c r="LJZ9" s="268"/>
      <c r="LKA9" s="228"/>
      <c r="LKB9" s="433"/>
      <c r="LKC9" s="433"/>
      <c r="LKD9" s="68"/>
      <c r="LKE9" s="271"/>
      <c r="LKG9" s="272"/>
      <c r="LKH9" s="272"/>
      <c r="LKI9" s="272"/>
      <c r="LKJ9" s="273"/>
      <c r="LKK9" s="432"/>
      <c r="LKL9" s="268"/>
      <c r="LKM9" s="228"/>
      <c r="LKN9" s="433"/>
      <c r="LKO9" s="433"/>
      <c r="LKP9" s="68"/>
      <c r="LKQ9" s="271"/>
      <c r="LKS9" s="272"/>
      <c r="LKT9" s="272"/>
      <c r="LKU9" s="272"/>
      <c r="LKV9" s="273"/>
      <c r="LKW9" s="432"/>
      <c r="LKX9" s="268"/>
      <c r="LKY9" s="228"/>
      <c r="LKZ9" s="433"/>
      <c r="LLA9" s="433"/>
      <c r="LLB9" s="68"/>
      <c r="LLC9" s="271"/>
      <c r="LLE9" s="272"/>
      <c r="LLF9" s="272"/>
      <c r="LLG9" s="272"/>
      <c r="LLH9" s="273"/>
      <c r="LLI9" s="432"/>
      <c r="LLJ9" s="268"/>
      <c r="LLK9" s="228"/>
      <c r="LLL9" s="433"/>
      <c r="LLM9" s="433"/>
      <c r="LLN9" s="68"/>
      <c r="LLO9" s="271"/>
      <c r="LLQ9" s="272"/>
      <c r="LLR9" s="272"/>
      <c r="LLS9" s="272"/>
      <c r="LLT9" s="273"/>
      <c r="LLU9" s="432"/>
      <c r="LLV9" s="268"/>
      <c r="LLW9" s="228"/>
      <c r="LLX9" s="433"/>
      <c r="LLY9" s="433"/>
      <c r="LLZ9" s="68"/>
      <c r="LMA9" s="271"/>
      <c r="LMC9" s="272"/>
      <c r="LMD9" s="272"/>
      <c r="LME9" s="272"/>
      <c r="LMF9" s="273"/>
      <c r="LMG9" s="432"/>
      <c r="LMH9" s="268"/>
      <c r="LMI9" s="228"/>
      <c r="LMJ9" s="433"/>
      <c r="LMK9" s="433"/>
      <c r="LML9" s="68"/>
      <c r="LMM9" s="271"/>
      <c r="LMO9" s="272"/>
      <c r="LMP9" s="272"/>
      <c r="LMQ9" s="272"/>
      <c r="LMR9" s="273"/>
      <c r="LMS9" s="432"/>
      <c r="LMT9" s="268"/>
      <c r="LMU9" s="228"/>
      <c r="LMV9" s="433"/>
      <c r="LMW9" s="433"/>
      <c r="LMX9" s="68"/>
      <c r="LMY9" s="271"/>
      <c r="LNA9" s="272"/>
      <c r="LNB9" s="272"/>
      <c r="LNC9" s="272"/>
      <c r="LND9" s="273"/>
      <c r="LNE9" s="432"/>
      <c r="LNF9" s="268"/>
      <c r="LNG9" s="228"/>
      <c r="LNH9" s="433"/>
      <c r="LNI9" s="433"/>
      <c r="LNJ9" s="68"/>
      <c r="LNK9" s="271"/>
      <c r="LNM9" s="272"/>
      <c r="LNN9" s="272"/>
      <c r="LNO9" s="272"/>
      <c r="LNP9" s="273"/>
      <c r="LNQ9" s="432"/>
      <c r="LNR9" s="268"/>
      <c r="LNS9" s="228"/>
      <c r="LNT9" s="433"/>
      <c r="LNU9" s="433"/>
      <c r="LNV9" s="68"/>
      <c r="LNW9" s="271"/>
      <c r="LNY9" s="272"/>
      <c r="LNZ9" s="272"/>
      <c r="LOA9" s="272"/>
      <c r="LOB9" s="273"/>
      <c r="LOC9" s="432"/>
      <c r="LOD9" s="268"/>
      <c r="LOE9" s="228"/>
      <c r="LOF9" s="433"/>
      <c r="LOG9" s="433"/>
      <c r="LOH9" s="68"/>
      <c r="LOI9" s="271"/>
      <c r="LOK9" s="272"/>
      <c r="LOL9" s="272"/>
      <c r="LOM9" s="272"/>
      <c r="LON9" s="273"/>
      <c r="LOO9" s="432"/>
      <c r="LOP9" s="268"/>
      <c r="LOQ9" s="228"/>
      <c r="LOR9" s="433"/>
      <c r="LOS9" s="433"/>
      <c r="LOT9" s="68"/>
      <c r="LOU9" s="271"/>
      <c r="LOW9" s="272"/>
      <c r="LOX9" s="272"/>
      <c r="LOY9" s="272"/>
      <c r="LOZ9" s="273"/>
      <c r="LPA9" s="432"/>
      <c r="LPB9" s="268"/>
      <c r="LPC9" s="228"/>
      <c r="LPD9" s="433"/>
      <c r="LPE9" s="433"/>
      <c r="LPF9" s="68"/>
      <c r="LPG9" s="271"/>
      <c r="LPI9" s="272"/>
      <c r="LPJ9" s="272"/>
      <c r="LPK9" s="272"/>
      <c r="LPL9" s="273"/>
      <c r="LPM9" s="432"/>
      <c r="LPN9" s="268"/>
      <c r="LPO9" s="228"/>
      <c r="LPP9" s="433"/>
      <c r="LPQ9" s="433"/>
      <c r="LPR9" s="68"/>
      <c r="LPS9" s="271"/>
      <c r="LPU9" s="272"/>
      <c r="LPV9" s="272"/>
      <c r="LPW9" s="272"/>
      <c r="LPX9" s="273"/>
      <c r="LPY9" s="432"/>
      <c r="LPZ9" s="268"/>
      <c r="LQA9" s="228"/>
      <c r="LQB9" s="433"/>
      <c r="LQC9" s="433"/>
      <c r="LQD9" s="68"/>
      <c r="LQE9" s="271"/>
      <c r="LQG9" s="272"/>
      <c r="LQH9" s="272"/>
      <c r="LQI9" s="272"/>
      <c r="LQJ9" s="273"/>
      <c r="LQK9" s="432"/>
      <c r="LQL9" s="268"/>
      <c r="LQM9" s="228"/>
      <c r="LQN9" s="433"/>
      <c r="LQO9" s="433"/>
      <c r="LQP9" s="68"/>
      <c r="LQQ9" s="271"/>
      <c r="LQS9" s="272"/>
      <c r="LQT9" s="272"/>
      <c r="LQU9" s="272"/>
      <c r="LQV9" s="273"/>
      <c r="LQW9" s="432"/>
      <c r="LQX9" s="268"/>
      <c r="LQY9" s="228"/>
      <c r="LQZ9" s="433"/>
      <c r="LRA9" s="433"/>
      <c r="LRB9" s="68"/>
      <c r="LRC9" s="271"/>
      <c r="LRE9" s="272"/>
      <c r="LRF9" s="272"/>
      <c r="LRG9" s="272"/>
      <c r="LRH9" s="273"/>
      <c r="LRI9" s="432"/>
      <c r="LRJ9" s="268"/>
      <c r="LRK9" s="228"/>
      <c r="LRL9" s="433"/>
      <c r="LRM9" s="433"/>
      <c r="LRN9" s="68"/>
      <c r="LRO9" s="271"/>
      <c r="LRQ9" s="272"/>
      <c r="LRR9" s="272"/>
      <c r="LRS9" s="272"/>
      <c r="LRT9" s="273"/>
      <c r="LRU9" s="432"/>
      <c r="LRV9" s="268"/>
      <c r="LRW9" s="228"/>
      <c r="LRX9" s="433"/>
      <c r="LRY9" s="433"/>
      <c r="LRZ9" s="68"/>
      <c r="LSA9" s="271"/>
      <c r="LSC9" s="272"/>
      <c r="LSD9" s="272"/>
      <c r="LSE9" s="272"/>
      <c r="LSF9" s="273"/>
      <c r="LSG9" s="432"/>
      <c r="LSH9" s="268"/>
      <c r="LSI9" s="228"/>
      <c r="LSJ9" s="433"/>
      <c r="LSK9" s="433"/>
      <c r="LSL9" s="68"/>
      <c r="LSM9" s="271"/>
      <c r="LSO9" s="272"/>
      <c r="LSP9" s="272"/>
      <c r="LSQ9" s="272"/>
      <c r="LSR9" s="273"/>
      <c r="LSS9" s="432"/>
      <c r="LST9" s="268"/>
      <c r="LSU9" s="228"/>
      <c r="LSV9" s="433"/>
      <c r="LSW9" s="433"/>
      <c r="LSX9" s="68"/>
      <c r="LSY9" s="271"/>
      <c r="LTA9" s="272"/>
      <c r="LTB9" s="272"/>
      <c r="LTC9" s="272"/>
      <c r="LTD9" s="273"/>
      <c r="LTE9" s="432"/>
      <c r="LTF9" s="268"/>
      <c r="LTG9" s="228"/>
      <c r="LTH9" s="433"/>
      <c r="LTI9" s="433"/>
      <c r="LTJ9" s="68"/>
      <c r="LTK9" s="271"/>
      <c r="LTM9" s="272"/>
      <c r="LTN9" s="272"/>
      <c r="LTO9" s="272"/>
      <c r="LTP9" s="273"/>
      <c r="LTQ9" s="432"/>
      <c r="LTR9" s="268"/>
      <c r="LTS9" s="228"/>
      <c r="LTT9" s="433"/>
      <c r="LTU9" s="433"/>
      <c r="LTV9" s="68"/>
      <c r="LTW9" s="271"/>
      <c r="LTY9" s="272"/>
      <c r="LTZ9" s="272"/>
      <c r="LUA9" s="272"/>
      <c r="LUB9" s="273"/>
      <c r="LUC9" s="432"/>
      <c r="LUD9" s="268"/>
      <c r="LUE9" s="228"/>
      <c r="LUF9" s="433"/>
      <c r="LUG9" s="433"/>
      <c r="LUH9" s="68"/>
      <c r="LUI9" s="271"/>
      <c r="LUK9" s="272"/>
      <c r="LUL9" s="272"/>
      <c r="LUM9" s="272"/>
      <c r="LUN9" s="273"/>
      <c r="LUO9" s="432"/>
      <c r="LUP9" s="268"/>
      <c r="LUQ9" s="228"/>
      <c r="LUR9" s="433"/>
      <c r="LUS9" s="433"/>
      <c r="LUT9" s="68"/>
      <c r="LUU9" s="271"/>
      <c r="LUW9" s="272"/>
      <c r="LUX9" s="272"/>
      <c r="LUY9" s="272"/>
      <c r="LUZ9" s="273"/>
      <c r="LVA9" s="432"/>
      <c r="LVB9" s="268"/>
      <c r="LVC9" s="228"/>
      <c r="LVD9" s="433"/>
      <c r="LVE9" s="433"/>
      <c r="LVF9" s="68"/>
      <c r="LVG9" s="271"/>
      <c r="LVI9" s="272"/>
      <c r="LVJ9" s="272"/>
      <c r="LVK9" s="272"/>
      <c r="LVL9" s="273"/>
      <c r="LVM9" s="432"/>
      <c r="LVN9" s="268"/>
      <c r="LVO9" s="228"/>
      <c r="LVP9" s="433"/>
      <c r="LVQ9" s="433"/>
      <c r="LVR9" s="68"/>
      <c r="LVS9" s="271"/>
      <c r="LVU9" s="272"/>
      <c r="LVV9" s="272"/>
      <c r="LVW9" s="272"/>
      <c r="LVX9" s="273"/>
      <c r="LVY9" s="432"/>
      <c r="LVZ9" s="268"/>
      <c r="LWA9" s="228"/>
      <c r="LWB9" s="433"/>
      <c r="LWC9" s="433"/>
      <c r="LWD9" s="68"/>
      <c r="LWE9" s="271"/>
      <c r="LWG9" s="272"/>
      <c r="LWH9" s="272"/>
      <c r="LWI9" s="272"/>
      <c r="LWJ9" s="273"/>
      <c r="LWK9" s="432"/>
      <c r="LWL9" s="268"/>
      <c r="LWM9" s="228"/>
      <c r="LWN9" s="433"/>
      <c r="LWO9" s="433"/>
      <c r="LWP9" s="68"/>
      <c r="LWQ9" s="271"/>
      <c r="LWS9" s="272"/>
      <c r="LWT9" s="272"/>
      <c r="LWU9" s="272"/>
      <c r="LWV9" s="273"/>
      <c r="LWW9" s="432"/>
      <c r="LWX9" s="268"/>
      <c r="LWY9" s="228"/>
      <c r="LWZ9" s="433"/>
      <c r="LXA9" s="433"/>
      <c r="LXB9" s="68"/>
      <c r="LXC9" s="271"/>
      <c r="LXE9" s="272"/>
      <c r="LXF9" s="272"/>
      <c r="LXG9" s="272"/>
      <c r="LXH9" s="273"/>
      <c r="LXI9" s="432"/>
      <c r="LXJ9" s="268"/>
      <c r="LXK9" s="228"/>
      <c r="LXL9" s="433"/>
      <c r="LXM9" s="433"/>
      <c r="LXN9" s="68"/>
      <c r="LXO9" s="271"/>
      <c r="LXQ9" s="272"/>
      <c r="LXR9" s="272"/>
      <c r="LXS9" s="272"/>
      <c r="LXT9" s="273"/>
      <c r="LXU9" s="432"/>
      <c r="LXV9" s="268"/>
      <c r="LXW9" s="228"/>
      <c r="LXX9" s="433"/>
      <c r="LXY9" s="433"/>
      <c r="LXZ9" s="68"/>
      <c r="LYA9" s="271"/>
      <c r="LYC9" s="272"/>
      <c r="LYD9" s="272"/>
      <c r="LYE9" s="272"/>
      <c r="LYF9" s="273"/>
      <c r="LYG9" s="432"/>
      <c r="LYH9" s="268"/>
      <c r="LYI9" s="228"/>
      <c r="LYJ9" s="433"/>
      <c r="LYK9" s="433"/>
      <c r="LYL9" s="68"/>
      <c r="LYM9" s="271"/>
      <c r="LYO9" s="272"/>
      <c r="LYP9" s="272"/>
      <c r="LYQ9" s="272"/>
      <c r="LYR9" s="273"/>
      <c r="LYS9" s="432"/>
      <c r="LYT9" s="268"/>
      <c r="LYU9" s="228"/>
      <c r="LYV9" s="433"/>
      <c r="LYW9" s="433"/>
      <c r="LYX9" s="68"/>
      <c r="LYY9" s="271"/>
      <c r="LZA9" s="272"/>
      <c r="LZB9" s="272"/>
      <c r="LZC9" s="272"/>
      <c r="LZD9" s="273"/>
      <c r="LZE9" s="432"/>
      <c r="LZF9" s="268"/>
      <c r="LZG9" s="228"/>
      <c r="LZH9" s="433"/>
      <c r="LZI9" s="433"/>
      <c r="LZJ9" s="68"/>
      <c r="LZK9" s="271"/>
      <c r="LZM9" s="272"/>
      <c r="LZN9" s="272"/>
      <c r="LZO9" s="272"/>
      <c r="LZP9" s="273"/>
      <c r="LZQ9" s="432"/>
      <c r="LZR9" s="268"/>
      <c r="LZS9" s="228"/>
      <c r="LZT9" s="433"/>
      <c r="LZU9" s="433"/>
      <c r="LZV9" s="68"/>
      <c r="LZW9" s="271"/>
      <c r="LZY9" s="272"/>
      <c r="LZZ9" s="272"/>
      <c r="MAA9" s="272"/>
      <c r="MAB9" s="273"/>
      <c r="MAC9" s="432"/>
      <c r="MAD9" s="268"/>
      <c r="MAE9" s="228"/>
      <c r="MAF9" s="433"/>
      <c r="MAG9" s="433"/>
      <c r="MAH9" s="68"/>
      <c r="MAI9" s="271"/>
      <c r="MAK9" s="272"/>
      <c r="MAL9" s="272"/>
      <c r="MAM9" s="272"/>
      <c r="MAN9" s="273"/>
      <c r="MAO9" s="432"/>
      <c r="MAP9" s="268"/>
      <c r="MAQ9" s="228"/>
      <c r="MAR9" s="433"/>
      <c r="MAS9" s="433"/>
      <c r="MAT9" s="68"/>
      <c r="MAU9" s="271"/>
      <c r="MAW9" s="272"/>
      <c r="MAX9" s="272"/>
      <c r="MAY9" s="272"/>
      <c r="MAZ9" s="273"/>
      <c r="MBA9" s="432"/>
      <c r="MBB9" s="268"/>
      <c r="MBC9" s="228"/>
      <c r="MBD9" s="433"/>
      <c r="MBE9" s="433"/>
      <c r="MBF9" s="68"/>
      <c r="MBG9" s="271"/>
      <c r="MBI9" s="272"/>
      <c r="MBJ9" s="272"/>
      <c r="MBK9" s="272"/>
      <c r="MBL9" s="273"/>
      <c r="MBM9" s="432"/>
      <c r="MBN9" s="268"/>
      <c r="MBO9" s="228"/>
      <c r="MBP9" s="433"/>
      <c r="MBQ9" s="433"/>
      <c r="MBR9" s="68"/>
      <c r="MBS9" s="271"/>
      <c r="MBU9" s="272"/>
      <c r="MBV9" s="272"/>
      <c r="MBW9" s="272"/>
      <c r="MBX9" s="273"/>
      <c r="MBY9" s="432"/>
      <c r="MBZ9" s="268"/>
      <c r="MCA9" s="228"/>
      <c r="MCB9" s="433"/>
      <c r="MCC9" s="433"/>
      <c r="MCD9" s="68"/>
      <c r="MCE9" s="271"/>
      <c r="MCG9" s="272"/>
      <c r="MCH9" s="272"/>
      <c r="MCI9" s="272"/>
      <c r="MCJ9" s="273"/>
      <c r="MCK9" s="432"/>
      <c r="MCL9" s="268"/>
      <c r="MCM9" s="228"/>
      <c r="MCN9" s="433"/>
      <c r="MCO9" s="433"/>
      <c r="MCP9" s="68"/>
      <c r="MCQ9" s="271"/>
      <c r="MCS9" s="272"/>
      <c r="MCT9" s="272"/>
      <c r="MCU9" s="272"/>
      <c r="MCV9" s="273"/>
      <c r="MCW9" s="432"/>
      <c r="MCX9" s="268"/>
      <c r="MCY9" s="228"/>
      <c r="MCZ9" s="433"/>
      <c r="MDA9" s="433"/>
      <c r="MDB9" s="68"/>
      <c r="MDC9" s="271"/>
      <c r="MDE9" s="272"/>
      <c r="MDF9" s="272"/>
      <c r="MDG9" s="272"/>
      <c r="MDH9" s="273"/>
      <c r="MDI9" s="432"/>
      <c r="MDJ9" s="268"/>
      <c r="MDK9" s="228"/>
      <c r="MDL9" s="433"/>
      <c r="MDM9" s="433"/>
      <c r="MDN9" s="68"/>
      <c r="MDO9" s="271"/>
      <c r="MDQ9" s="272"/>
      <c r="MDR9" s="272"/>
      <c r="MDS9" s="272"/>
      <c r="MDT9" s="273"/>
      <c r="MDU9" s="432"/>
      <c r="MDV9" s="268"/>
      <c r="MDW9" s="228"/>
      <c r="MDX9" s="433"/>
      <c r="MDY9" s="433"/>
      <c r="MDZ9" s="68"/>
      <c r="MEA9" s="271"/>
      <c r="MEC9" s="272"/>
      <c r="MED9" s="272"/>
      <c r="MEE9" s="272"/>
      <c r="MEF9" s="273"/>
      <c r="MEG9" s="432"/>
      <c r="MEH9" s="268"/>
      <c r="MEI9" s="228"/>
      <c r="MEJ9" s="433"/>
      <c r="MEK9" s="433"/>
      <c r="MEL9" s="68"/>
      <c r="MEM9" s="271"/>
      <c r="MEO9" s="272"/>
      <c r="MEP9" s="272"/>
      <c r="MEQ9" s="272"/>
      <c r="MER9" s="273"/>
      <c r="MES9" s="432"/>
      <c r="MET9" s="268"/>
      <c r="MEU9" s="228"/>
      <c r="MEV9" s="433"/>
      <c r="MEW9" s="433"/>
      <c r="MEX9" s="68"/>
      <c r="MEY9" s="271"/>
      <c r="MFA9" s="272"/>
      <c r="MFB9" s="272"/>
      <c r="MFC9" s="272"/>
      <c r="MFD9" s="273"/>
      <c r="MFE9" s="432"/>
      <c r="MFF9" s="268"/>
      <c r="MFG9" s="228"/>
      <c r="MFH9" s="433"/>
      <c r="MFI9" s="433"/>
      <c r="MFJ9" s="68"/>
      <c r="MFK9" s="271"/>
      <c r="MFM9" s="272"/>
      <c r="MFN9" s="272"/>
      <c r="MFO9" s="272"/>
      <c r="MFP9" s="273"/>
      <c r="MFQ9" s="432"/>
      <c r="MFR9" s="268"/>
      <c r="MFS9" s="228"/>
      <c r="MFT9" s="433"/>
      <c r="MFU9" s="433"/>
      <c r="MFV9" s="68"/>
      <c r="MFW9" s="271"/>
      <c r="MFY9" s="272"/>
      <c r="MFZ9" s="272"/>
      <c r="MGA9" s="272"/>
      <c r="MGB9" s="273"/>
      <c r="MGC9" s="432"/>
      <c r="MGD9" s="268"/>
      <c r="MGE9" s="228"/>
      <c r="MGF9" s="433"/>
      <c r="MGG9" s="433"/>
      <c r="MGH9" s="68"/>
      <c r="MGI9" s="271"/>
      <c r="MGK9" s="272"/>
      <c r="MGL9" s="272"/>
      <c r="MGM9" s="272"/>
      <c r="MGN9" s="273"/>
      <c r="MGO9" s="432"/>
      <c r="MGP9" s="268"/>
      <c r="MGQ9" s="228"/>
      <c r="MGR9" s="433"/>
      <c r="MGS9" s="433"/>
      <c r="MGT9" s="68"/>
      <c r="MGU9" s="271"/>
      <c r="MGW9" s="272"/>
      <c r="MGX9" s="272"/>
      <c r="MGY9" s="272"/>
      <c r="MGZ9" s="273"/>
      <c r="MHA9" s="432"/>
      <c r="MHB9" s="268"/>
      <c r="MHC9" s="228"/>
      <c r="MHD9" s="433"/>
      <c r="MHE9" s="433"/>
      <c r="MHF9" s="68"/>
      <c r="MHG9" s="271"/>
      <c r="MHI9" s="272"/>
      <c r="MHJ9" s="272"/>
      <c r="MHK9" s="272"/>
      <c r="MHL9" s="273"/>
      <c r="MHM9" s="432"/>
      <c r="MHN9" s="268"/>
      <c r="MHO9" s="228"/>
      <c r="MHP9" s="433"/>
      <c r="MHQ9" s="433"/>
      <c r="MHR9" s="68"/>
      <c r="MHS9" s="271"/>
      <c r="MHU9" s="272"/>
      <c r="MHV9" s="272"/>
      <c r="MHW9" s="272"/>
      <c r="MHX9" s="273"/>
      <c r="MHY9" s="432"/>
      <c r="MHZ9" s="268"/>
      <c r="MIA9" s="228"/>
      <c r="MIB9" s="433"/>
      <c r="MIC9" s="433"/>
      <c r="MID9" s="68"/>
      <c r="MIE9" s="271"/>
      <c r="MIG9" s="272"/>
      <c r="MIH9" s="272"/>
      <c r="MII9" s="272"/>
      <c r="MIJ9" s="273"/>
      <c r="MIK9" s="432"/>
      <c r="MIL9" s="268"/>
      <c r="MIM9" s="228"/>
      <c r="MIN9" s="433"/>
      <c r="MIO9" s="433"/>
      <c r="MIP9" s="68"/>
      <c r="MIQ9" s="271"/>
      <c r="MIS9" s="272"/>
      <c r="MIT9" s="272"/>
      <c r="MIU9" s="272"/>
      <c r="MIV9" s="273"/>
      <c r="MIW9" s="432"/>
      <c r="MIX9" s="268"/>
      <c r="MIY9" s="228"/>
      <c r="MIZ9" s="433"/>
      <c r="MJA9" s="433"/>
      <c r="MJB9" s="68"/>
      <c r="MJC9" s="271"/>
      <c r="MJE9" s="272"/>
      <c r="MJF9" s="272"/>
      <c r="MJG9" s="272"/>
      <c r="MJH9" s="273"/>
      <c r="MJI9" s="432"/>
      <c r="MJJ9" s="268"/>
      <c r="MJK9" s="228"/>
      <c r="MJL9" s="433"/>
      <c r="MJM9" s="433"/>
      <c r="MJN9" s="68"/>
      <c r="MJO9" s="271"/>
      <c r="MJQ9" s="272"/>
      <c r="MJR9" s="272"/>
      <c r="MJS9" s="272"/>
      <c r="MJT9" s="273"/>
      <c r="MJU9" s="432"/>
      <c r="MJV9" s="268"/>
      <c r="MJW9" s="228"/>
      <c r="MJX9" s="433"/>
      <c r="MJY9" s="433"/>
      <c r="MJZ9" s="68"/>
      <c r="MKA9" s="271"/>
      <c r="MKC9" s="272"/>
      <c r="MKD9" s="272"/>
      <c r="MKE9" s="272"/>
      <c r="MKF9" s="273"/>
      <c r="MKG9" s="432"/>
      <c r="MKH9" s="268"/>
      <c r="MKI9" s="228"/>
      <c r="MKJ9" s="433"/>
      <c r="MKK9" s="433"/>
      <c r="MKL9" s="68"/>
      <c r="MKM9" s="271"/>
      <c r="MKO9" s="272"/>
      <c r="MKP9" s="272"/>
      <c r="MKQ9" s="272"/>
      <c r="MKR9" s="273"/>
      <c r="MKS9" s="432"/>
      <c r="MKT9" s="268"/>
      <c r="MKU9" s="228"/>
      <c r="MKV9" s="433"/>
      <c r="MKW9" s="433"/>
      <c r="MKX9" s="68"/>
      <c r="MKY9" s="271"/>
      <c r="MLA9" s="272"/>
      <c r="MLB9" s="272"/>
      <c r="MLC9" s="272"/>
      <c r="MLD9" s="273"/>
      <c r="MLE9" s="432"/>
      <c r="MLF9" s="268"/>
      <c r="MLG9" s="228"/>
      <c r="MLH9" s="433"/>
      <c r="MLI9" s="433"/>
      <c r="MLJ9" s="68"/>
      <c r="MLK9" s="271"/>
      <c r="MLM9" s="272"/>
      <c r="MLN9" s="272"/>
      <c r="MLO9" s="272"/>
      <c r="MLP9" s="273"/>
      <c r="MLQ9" s="432"/>
      <c r="MLR9" s="268"/>
      <c r="MLS9" s="228"/>
      <c r="MLT9" s="433"/>
      <c r="MLU9" s="433"/>
      <c r="MLV9" s="68"/>
      <c r="MLW9" s="271"/>
      <c r="MLY9" s="272"/>
      <c r="MLZ9" s="272"/>
      <c r="MMA9" s="272"/>
      <c r="MMB9" s="273"/>
      <c r="MMC9" s="432"/>
      <c r="MMD9" s="268"/>
      <c r="MME9" s="228"/>
      <c r="MMF9" s="433"/>
      <c r="MMG9" s="433"/>
      <c r="MMH9" s="68"/>
      <c r="MMI9" s="271"/>
      <c r="MMK9" s="272"/>
      <c r="MML9" s="272"/>
      <c r="MMM9" s="272"/>
      <c r="MMN9" s="273"/>
      <c r="MMO9" s="432"/>
      <c r="MMP9" s="268"/>
      <c r="MMQ9" s="228"/>
      <c r="MMR9" s="433"/>
      <c r="MMS9" s="433"/>
      <c r="MMT9" s="68"/>
      <c r="MMU9" s="271"/>
      <c r="MMW9" s="272"/>
      <c r="MMX9" s="272"/>
      <c r="MMY9" s="272"/>
      <c r="MMZ9" s="273"/>
      <c r="MNA9" s="432"/>
      <c r="MNB9" s="268"/>
      <c r="MNC9" s="228"/>
      <c r="MND9" s="433"/>
      <c r="MNE9" s="433"/>
      <c r="MNF9" s="68"/>
      <c r="MNG9" s="271"/>
      <c r="MNI9" s="272"/>
      <c r="MNJ9" s="272"/>
      <c r="MNK9" s="272"/>
      <c r="MNL9" s="273"/>
      <c r="MNM9" s="432"/>
      <c r="MNN9" s="268"/>
      <c r="MNO9" s="228"/>
      <c r="MNP9" s="433"/>
      <c r="MNQ9" s="433"/>
      <c r="MNR9" s="68"/>
      <c r="MNS9" s="271"/>
      <c r="MNU9" s="272"/>
      <c r="MNV9" s="272"/>
      <c r="MNW9" s="272"/>
      <c r="MNX9" s="273"/>
      <c r="MNY9" s="432"/>
      <c r="MNZ9" s="268"/>
      <c r="MOA9" s="228"/>
      <c r="MOB9" s="433"/>
      <c r="MOC9" s="433"/>
      <c r="MOD9" s="68"/>
      <c r="MOE9" s="271"/>
      <c r="MOG9" s="272"/>
      <c r="MOH9" s="272"/>
      <c r="MOI9" s="272"/>
      <c r="MOJ9" s="273"/>
      <c r="MOK9" s="432"/>
      <c r="MOL9" s="268"/>
      <c r="MOM9" s="228"/>
      <c r="MON9" s="433"/>
      <c r="MOO9" s="433"/>
      <c r="MOP9" s="68"/>
      <c r="MOQ9" s="271"/>
      <c r="MOS9" s="272"/>
      <c r="MOT9" s="272"/>
      <c r="MOU9" s="272"/>
      <c r="MOV9" s="273"/>
      <c r="MOW9" s="432"/>
      <c r="MOX9" s="268"/>
      <c r="MOY9" s="228"/>
      <c r="MOZ9" s="433"/>
      <c r="MPA9" s="433"/>
      <c r="MPB9" s="68"/>
      <c r="MPC9" s="271"/>
      <c r="MPE9" s="272"/>
      <c r="MPF9" s="272"/>
      <c r="MPG9" s="272"/>
      <c r="MPH9" s="273"/>
      <c r="MPI9" s="432"/>
      <c r="MPJ9" s="268"/>
      <c r="MPK9" s="228"/>
      <c r="MPL9" s="433"/>
      <c r="MPM9" s="433"/>
      <c r="MPN9" s="68"/>
      <c r="MPO9" s="271"/>
      <c r="MPQ9" s="272"/>
      <c r="MPR9" s="272"/>
      <c r="MPS9" s="272"/>
      <c r="MPT9" s="273"/>
      <c r="MPU9" s="432"/>
      <c r="MPV9" s="268"/>
      <c r="MPW9" s="228"/>
      <c r="MPX9" s="433"/>
      <c r="MPY9" s="433"/>
      <c r="MPZ9" s="68"/>
      <c r="MQA9" s="271"/>
      <c r="MQC9" s="272"/>
      <c r="MQD9" s="272"/>
      <c r="MQE9" s="272"/>
      <c r="MQF9" s="273"/>
      <c r="MQG9" s="432"/>
      <c r="MQH9" s="268"/>
      <c r="MQI9" s="228"/>
      <c r="MQJ9" s="433"/>
      <c r="MQK9" s="433"/>
      <c r="MQL9" s="68"/>
      <c r="MQM9" s="271"/>
      <c r="MQO9" s="272"/>
      <c r="MQP9" s="272"/>
      <c r="MQQ9" s="272"/>
      <c r="MQR9" s="273"/>
      <c r="MQS9" s="432"/>
      <c r="MQT9" s="268"/>
      <c r="MQU9" s="228"/>
      <c r="MQV9" s="433"/>
      <c r="MQW9" s="433"/>
      <c r="MQX9" s="68"/>
      <c r="MQY9" s="271"/>
      <c r="MRA9" s="272"/>
      <c r="MRB9" s="272"/>
      <c r="MRC9" s="272"/>
      <c r="MRD9" s="273"/>
      <c r="MRE9" s="432"/>
      <c r="MRF9" s="268"/>
      <c r="MRG9" s="228"/>
      <c r="MRH9" s="433"/>
      <c r="MRI9" s="433"/>
      <c r="MRJ9" s="68"/>
      <c r="MRK9" s="271"/>
      <c r="MRM9" s="272"/>
      <c r="MRN9" s="272"/>
      <c r="MRO9" s="272"/>
      <c r="MRP9" s="273"/>
      <c r="MRQ9" s="432"/>
      <c r="MRR9" s="268"/>
      <c r="MRS9" s="228"/>
      <c r="MRT9" s="433"/>
      <c r="MRU9" s="433"/>
      <c r="MRV9" s="68"/>
      <c r="MRW9" s="271"/>
      <c r="MRY9" s="272"/>
      <c r="MRZ9" s="272"/>
      <c r="MSA9" s="272"/>
      <c r="MSB9" s="273"/>
      <c r="MSC9" s="432"/>
      <c r="MSD9" s="268"/>
      <c r="MSE9" s="228"/>
      <c r="MSF9" s="433"/>
      <c r="MSG9" s="433"/>
      <c r="MSH9" s="68"/>
      <c r="MSI9" s="271"/>
      <c r="MSK9" s="272"/>
      <c r="MSL9" s="272"/>
      <c r="MSM9" s="272"/>
      <c r="MSN9" s="273"/>
      <c r="MSO9" s="432"/>
      <c r="MSP9" s="268"/>
      <c r="MSQ9" s="228"/>
      <c r="MSR9" s="433"/>
      <c r="MSS9" s="433"/>
      <c r="MST9" s="68"/>
      <c r="MSU9" s="271"/>
      <c r="MSW9" s="272"/>
      <c r="MSX9" s="272"/>
      <c r="MSY9" s="272"/>
      <c r="MSZ9" s="273"/>
      <c r="MTA9" s="432"/>
      <c r="MTB9" s="268"/>
      <c r="MTC9" s="228"/>
      <c r="MTD9" s="433"/>
      <c r="MTE9" s="433"/>
      <c r="MTF9" s="68"/>
      <c r="MTG9" s="271"/>
      <c r="MTI9" s="272"/>
      <c r="MTJ9" s="272"/>
      <c r="MTK9" s="272"/>
      <c r="MTL9" s="273"/>
      <c r="MTM9" s="432"/>
      <c r="MTN9" s="268"/>
      <c r="MTO9" s="228"/>
      <c r="MTP9" s="433"/>
      <c r="MTQ9" s="433"/>
      <c r="MTR9" s="68"/>
      <c r="MTS9" s="271"/>
      <c r="MTU9" s="272"/>
      <c r="MTV9" s="272"/>
      <c r="MTW9" s="272"/>
      <c r="MTX9" s="273"/>
      <c r="MTY9" s="432"/>
      <c r="MTZ9" s="268"/>
      <c r="MUA9" s="228"/>
      <c r="MUB9" s="433"/>
      <c r="MUC9" s="433"/>
      <c r="MUD9" s="68"/>
      <c r="MUE9" s="271"/>
      <c r="MUG9" s="272"/>
      <c r="MUH9" s="272"/>
      <c r="MUI9" s="272"/>
      <c r="MUJ9" s="273"/>
      <c r="MUK9" s="432"/>
      <c r="MUL9" s="268"/>
      <c r="MUM9" s="228"/>
      <c r="MUN9" s="433"/>
      <c r="MUO9" s="433"/>
      <c r="MUP9" s="68"/>
      <c r="MUQ9" s="271"/>
      <c r="MUS9" s="272"/>
      <c r="MUT9" s="272"/>
      <c r="MUU9" s="272"/>
      <c r="MUV9" s="273"/>
      <c r="MUW9" s="432"/>
      <c r="MUX9" s="268"/>
      <c r="MUY9" s="228"/>
      <c r="MUZ9" s="433"/>
      <c r="MVA9" s="433"/>
      <c r="MVB9" s="68"/>
      <c r="MVC9" s="271"/>
      <c r="MVE9" s="272"/>
      <c r="MVF9" s="272"/>
      <c r="MVG9" s="272"/>
      <c r="MVH9" s="273"/>
      <c r="MVI9" s="432"/>
      <c r="MVJ9" s="268"/>
      <c r="MVK9" s="228"/>
      <c r="MVL9" s="433"/>
      <c r="MVM9" s="433"/>
      <c r="MVN9" s="68"/>
      <c r="MVO9" s="271"/>
      <c r="MVQ9" s="272"/>
      <c r="MVR9" s="272"/>
      <c r="MVS9" s="272"/>
      <c r="MVT9" s="273"/>
      <c r="MVU9" s="432"/>
      <c r="MVV9" s="268"/>
      <c r="MVW9" s="228"/>
      <c r="MVX9" s="433"/>
      <c r="MVY9" s="433"/>
      <c r="MVZ9" s="68"/>
      <c r="MWA9" s="271"/>
      <c r="MWC9" s="272"/>
      <c r="MWD9" s="272"/>
      <c r="MWE9" s="272"/>
      <c r="MWF9" s="273"/>
      <c r="MWG9" s="432"/>
      <c r="MWH9" s="268"/>
      <c r="MWI9" s="228"/>
      <c r="MWJ9" s="433"/>
      <c r="MWK9" s="433"/>
      <c r="MWL9" s="68"/>
      <c r="MWM9" s="271"/>
      <c r="MWO9" s="272"/>
      <c r="MWP9" s="272"/>
      <c r="MWQ9" s="272"/>
      <c r="MWR9" s="273"/>
      <c r="MWS9" s="432"/>
      <c r="MWT9" s="268"/>
      <c r="MWU9" s="228"/>
      <c r="MWV9" s="433"/>
      <c r="MWW9" s="433"/>
      <c r="MWX9" s="68"/>
      <c r="MWY9" s="271"/>
      <c r="MXA9" s="272"/>
      <c r="MXB9" s="272"/>
      <c r="MXC9" s="272"/>
      <c r="MXD9" s="273"/>
      <c r="MXE9" s="432"/>
      <c r="MXF9" s="268"/>
      <c r="MXG9" s="228"/>
      <c r="MXH9" s="433"/>
      <c r="MXI9" s="433"/>
      <c r="MXJ9" s="68"/>
      <c r="MXK9" s="271"/>
      <c r="MXM9" s="272"/>
      <c r="MXN9" s="272"/>
      <c r="MXO9" s="272"/>
      <c r="MXP9" s="273"/>
      <c r="MXQ9" s="432"/>
      <c r="MXR9" s="268"/>
      <c r="MXS9" s="228"/>
      <c r="MXT9" s="433"/>
      <c r="MXU9" s="433"/>
      <c r="MXV9" s="68"/>
      <c r="MXW9" s="271"/>
      <c r="MXY9" s="272"/>
      <c r="MXZ9" s="272"/>
      <c r="MYA9" s="272"/>
      <c r="MYB9" s="273"/>
      <c r="MYC9" s="432"/>
      <c r="MYD9" s="268"/>
      <c r="MYE9" s="228"/>
      <c r="MYF9" s="433"/>
      <c r="MYG9" s="433"/>
      <c r="MYH9" s="68"/>
      <c r="MYI9" s="271"/>
      <c r="MYK9" s="272"/>
      <c r="MYL9" s="272"/>
      <c r="MYM9" s="272"/>
      <c r="MYN9" s="273"/>
      <c r="MYO9" s="432"/>
      <c r="MYP9" s="268"/>
      <c r="MYQ9" s="228"/>
      <c r="MYR9" s="433"/>
      <c r="MYS9" s="433"/>
      <c r="MYT9" s="68"/>
      <c r="MYU9" s="271"/>
      <c r="MYW9" s="272"/>
      <c r="MYX9" s="272"/>
      <c r="MYY9" s="272"/>
      <c r="MYZ9" s="273"/>
      <c r="MZA9" s="432"/>
      <c r="MZB9" s="268"/>
      <c r="MZC9" s="228"/>
      <c r="MZD9" s="433"/>
      <c r="MZE9" s="433"/>
      <c r="MZF9" s="68"/>
      <c r="MZG9" s="271"/>
      <c r="MZI9" s="272"/>
      <c r="MZJ9" s="272"/>
      <c r="MZK9" s="272"/>
      <c r="MZL9" s="273"/>
      <c r="MZM9" s="432"/>
      <c r="MZN9" s="268"/>
      <c r="MZO9" s="228"/>
      <c r="MZP9" s="433"/>
      <c r="MZQ9" s="433"/>
      <c r="MZR9" s="68"/>
      <c r="MZS9" s="271"/>
      <c r="MZU9" s="272"/>
      <c r="MZV9" s="272"/>
      <c r="MZW9" s="272"/>
      <c r="MZX9" s="273"/>
      <c r="MZY9" s="432"/>
      <c r="MZZ9" s="268"/>
      <c r="NAA9" s="228"/>
      <c r="NAB9" s="433"/>
      <c r="NAC9" s="433"/>
      <c r="NAD9" s="68"/>
      <c r="NAE9" s="271"/>
      <c r="NAG9" s="272"/>
      <c r="NAH9" s="272"/>
      <c r="NAI9" s="272"/>
      <c r="NAJ9" s="273"/>
      <c r="NAK9" s="432"/>
      <c r="NAL9" s="268"/>
      <c r="NAM9" s="228"/>
      <c r="NAN9" s="433"/>
      <c r="NAO9" s="433"/>
      <c r="NAP9" s="68"/>
      <c r="NAQ9" s="271"/>
      <c r="NAS9" s="272"/>
      <c r="NAT9" s="272"/>
      <c r="NAU9" s="272"/>
      <c r="NAV9" s="273"/>
      <c r="NAW9" s="432"/>
      <c r="NAX9" s="268"/>
      <c r="NAY9" s="228"/>
      <c r="NAZ9" s="433"/>
      <c r="NBA9" s="433"/>
      <c r="NBB9" s="68"/>
      <c r="NBC9" s="271"/>
      <c r="NBE9" s="272"/>
      <c r="NBF9" s="272"/>
      <c r="NBG9" s="272"/>
      <c r="NBH9" s="273"/>
      <c r="NBI9" s="432"/>
      <c r="NBJ9" s="268"/>
      <c r="NBK9" s="228"/>
      <c r="NBL9" s="433"/>
      <c r="NBM9" s="433"/>
      <c r="NBN9" s="68"/>
      <c r="NBO9" s="271"/>
      <c r="NBQ9" s="272"/>
      <c r="NBR9" s="272"/>
      <c r="NBS9" s="272"/>
      <c r="NBT9" s="273"/>
      <c r="NBU9" s="432"/>
      <c r="NBV9" s="268"/>
      <c r="NBW9" s="228"/>
      <c r="NBX9" s="433"/>
      <c r="NBY9" s="433"/>
      <c r="NBZ9" s="68"/>
      <c r="NCA9" s="271"/>
      <c r="NCC9" s="272"/>
      <c r="NCD9" s="272"/>
      <c r="NCE9" s="272"/>
      <c r="NCF9" s="273"/>
      <c r="NCG9" s="432"/>
      <c r="NCH9" s="268"/>
      <c r="NCI9" s="228"/>
      <c r="NCJ9" s="433"/>
      <c r="NCK9" s="433"/>
      <c r="NCL9" s="68"/>
      <c r="NCM9" s="271"/>
      <c r="NCO9" s="272"/>
      <c r="NCP9" s="272"/>
      <c r="NCQ9" s="272"/>
      <c r="NCR9" s="273"/>
      <c r="NCS9" s="432"/>
      <c r="NCT9" s="268"/>
      <c r="NCU9" s="228"/>
      <c r="NCV9" s="433"/>
      <c r="NCW9" s="433"/>
      <c r="NCX9" s="68"/>
      <c r="NCY9" s="271"/>
      <c r="NDA9" s="272"/>
      <c r="NDB9" s="272"/>
      <c r="NDC9" s="272"/>
      <c r="NDD9" s="273"/>
      <c r="NDE9" s="432"/>
      <c r="NDF9" s="268"/>
      <c r="NDG9" s="228"/>
      <c r="NDH9" s="433"/>
      <c r="NDI9" s="433"/>
      <c r="NDJ9" s="68"/>
      <c r="NDK9" s="271"/>
      <c r="NDM9" s="272"/>
      <c r="NDN9" s="272"/>
      <c r="NDO9" s="272"/>
      <c r="NDP9" s="273"/>
      <c r="NDQ9" s="432"/>
      <c r="NDR9" s="268"/>
      <c r="NDS9" s="228"/>
      <c r="NDT9" s="433"/>
      <c r="NDU9" s="433"/>
      <c r="NDV9" s="68"/>
      <c r="NDW9" s="271"/>
      <c r="NDY9" s="272"/>
      <c r="NDZ9" s="272"/>
      <c r="NEA9" s="272"/>
      <c r="NEB9" s="273"/>
      <c r="NEC9" s="432"/>
      <c r="NED9" s="268"/>
      <c r="NEE9" s="228"/>
      <c r="NEF9" s="433"/>
      <c r="NEG9" s="433"/>
      <c r="NEH9" s="68"/>
      <c r="NEI9" s="271"/>
      <c r="NEK9" s="272"/>
      <c r="NEL9" s="272"/>
      <c r="NEM9" s="272"/>
      <c r="NEN9" s="273"/>
      <c r="NEO9" s="432"/>
      <c r="NEP9" s="268"/>
      <c r="NEQ9" s="228"/>
      <c r="NER9" s="433"/>
      <c r="NES9" s="433"/>
      <c r="NET9" s="68"/>
      <c r="NEU9" s="271"/>
      <c r="NEW9" s="272"/>
      <c r="NEX9" s="272"/>
      <c r="NEY9" s="272"/>
      <c r="NEZ9" s="273"/>
      <c r="NFA9" s="432"/>
      <c r="NFB9" s="268"/>
      <c r="NFC9" s="228"/>
      <c r="NFD9" s="433"/>
      <c r="NFE9" s="433"/>
      <c r="NFF9" s="68"/>
      <c r="NFG9" s="271"/>
      <c r="NFI9" s="272"/>
      <c r="NFJ9" s="272"/>
      <c r="NFK9" s="272"/>
      <c r="NFL9" s="273"/>
      <c r="NFM9" s="432"/>
      <c r="NFN9" s="268"/>
      <c r="NFO9" s="228"/>
      <c r="NFP9" s="433"/>
      <c r="NFQ9" s="433"/>
      <c r="NFR9" s="68"/>
      <c r="NFS9" s="271"/>
      <c r="NFU9" s="272"/>
      <c r="NFV9" s="272"/>
      <c r="NFW9" s="272"/>
      <c r="NFX9" s="273"/>
      <c r="NFY9" s="432"/>
      <c r="NFZ9" s="268"/>
      <c r="NGA9" s="228"/>
      <c r="NGB9" s="433"/>
      <c r="NGC9" s="433"/>
      <c r="NGD9" s="68"/>
      <c r="NGE9" s="271"/>
      <c r="NGG9" s="272"/>
      <c r="NGH9" s="272"/>
      <c r="NGI9" s="272"/>
      <c r="NGJ9" s="273"/>
      <c r="NGK9" s="432"/>
      <c r="NGL9" s="268"/>
      <c r="NGM9" s="228"/>
      <c r="NGN9" s="433"/>
      <c r="NGO9" s="433"/>
      <c r="NGP9" s="68"/>
      <c r="NGQ9" s="271"/>
      <c r="NGS9" s="272"/>
      <c r="NGT9" s="272"/>
      <c r="NGU9" s="272"/>
      <c r="NGV9" s="273"/>
      <c r="NGW9" s="432"/>
      <c r="NGX9" s="268"/>
      <c r="NGY9" s="228"/>
      <c r="NGZ9" s="433"/>
      <c r="NHA9" s="433"/>
      <c r="NHB9" s="68"/>
      <c r="NHC9" s="271"/>
      <c r="NHE9" s="272"/>
      <c r="NHF9" s="272"/>
      <c r="NHG9" s="272"/>
      <c r="NHH9" s="273"/>
      <c r="NHI9" s="432"/>
      <c r="NHJ9" s="268"/>
      <c r="NHK9" s="228"/>
      <c r="NHL9" s="433"/>
      <c r="NHM9" s="433"/>
      <c r="NHN9" s="68"/>
      <c r="NHO9" s="271"/>
      <c r="NHQ9" s="272"/>
      <c r="NHR9" s="272"/>
      <c r="NHS9" s="272"/>
      <c r="NHT9" s="273"/>
      <c r="NHU9" s="432"/>
      <c r="NHV9" s="268"/>
      <c r="NHW9" s="228"/>
      <c r="NHX9" s="433"/>
      <c r="NHY9" s="433"/>
      <c r="NHZ9" s="68"/>
      <c r="NIA9" s="271"/>
      <c r="NIC9" s="272"/>
      <c r="NID9" s="272"/>
      <c r="NIE9" s="272"/>
      <c r="NIF9" s="273"/>
      <c r="NIG9" s="432"/>
      <c r="NIH9" s="268"/>
      <c r="NII9" s="228"/>
      <c r="NIJ9" s="433"/>
      <c r="NIK9" s="433"/>
      <c r="NIL9" s="68"/>
      <c r="NIM9" s="271"/>
      <c r="NIO9" s="272"/>
      <c r="NIP9" s="272"/>
      <c r="NIQ9" s="272"/>
      <c r="NIR9" s="273"/>
      <c r="NIS9" s="432"/>
      <c r="NIT9" s="268"/>
      <c r="NIU9" s="228"/>
      <c r="NIV9" s="433"/>
      <c r="NIW9" s="433"/>
      <c r="NIX9" s="68"/>
      <c r="NIY9" s="271"/>
      <c r="NJA9" s="272"/>
      <c r="NJB9" s="272"/>
      <c r="NJC9" s="272"/>
      <c r="NJD9" s="273"/>
      <c r="NJE9" s="432"/>
      <c r="NJF9" s="268"/>
      <c r="NJG9" s="228"/>
      <c r="NJH9" s="433"/>
      <c r="NJI9" s="433"/>
      <c r="NJJ9" s="68"/>
      <c r="NJK9" s="271"/>
      <c r="NJM9" s="272"/>
      <c r="NJN9" s="272"/>
      <c r="NJO9" s="272"/>
      <c r="NJP9" s="273"/>
      <c r="NJQ9" s="432"/>
      <c r="NJR9" s="268"/>
      <c r="NJS9" s="228"/>
      <c r="NJT9" s="433"/>
      <c r="NJU9" s="433"/>
      <c r="NJV9" s="68"/>
      <c r="NJW9" s="271"/>
      <c r="NJY9" s="272"/>
      <c r="NJZ9" s="272"/>
      <c r="NKA9" s="272"/>
      <c r="NKB9" s="273"/>
      <c r="NKC9" s="432"/>
      <c r="NKD9" s="268"/>
      <c r="NKE9" s="228"/>
      <c r="NKF9" s="433"/>
      <c r="NKG9" s="433"/>
      <c r="NKH9" s="68"/>
      <c r="NKI9" s="271"/>
      <c r="NKK9" s="272"/>
      <c r="NKL9" s="272"/>
      <c r="NKM9" s="272"/>
      <c r="NKN9" s="273"/>
      <c r="NKO9" s="432"/>
      <c r="NKP9" s="268"/>
      <c r="NKQ9" s="228"/>
      <c r="NKR9" s="433"/>
      <c r="NKS9" s="433"/>
      <c r="NKT9" s="68"/>
      <c r="NKU9" s="271"/>
      <c r="NKW9" s="272"/>
      <c r="NKX9" s="272"/>
      <c r="NKY9" s="272"/>
      <c r="NKZ9" s="273"/>
      <c r="NLA9" s="432"/>
      <c r="NLB9" s="268"/>
      <c r="NLC9" s="228"/>
      <c r="NLD9" s="433"/>
      <c r="NLE9" s="433"/>
      <c r="NLF9" s="68"/>
      <c r="NLG9" s="271"/>
      <c r="NLI9" s="272"/>
      <c r="NLJ9" s="272"/>
      <c r="NLK9" s="272"/>
      <c r="NLL9" s="273"/>
      <c r="NLM9" s="432"/>
      <c r="NLN9" s="268"/>
      <c r="NLO9" s="228"/>
      <c r="NLP9" s="433"/>
      <c r="NLQ9" s="433"/>
      <c r="NLR9" s="68"/>
      <c r="NLS9" s="271"/>
      <c r="NLU9" s="272"/>
      <c r="NLV9" s="272"/>
      <c r="NLW9" s="272"/>
      <c r="NLX9" s="273"/>
      <c r="NLY9" s="432"/>
      <c r="NLZ9" s="268"/>
      <c r="NMA9" s="228"/>
      <c r="NMB9" s="433"/>
      <c r="NMC9" s="433"/>
      <c r="NMD9" s="68"/>
      <c r="NME9" s="271"/>
      <c r="NMG9" s="272"/>
      <c r="NMH9" s="272"/>
      <c r="NMI9" s="272"/>
      <c r="NMJ9" s="273"/>
      <c r="NMK9" s="432"/>
      <c r="NML9" s="268"/>
      <c r="NMM9" s="228"/>
      <c r="NMN9" s="433"/>
      <c r="NMO9" s="433"/>
      <c r="NMP9" s="68"/>
      <c r="NMQ9" s="271"/>
      <c r="NMS9" s="272"/>
      <c r="NMT9" s="272"/>
      <c r="NMU9" s="272"/>
      <c r="NMV9" s="273"/>
      <c r="NMW9" s="432"/>
      <c r="NMX9" s="268"/>
      <c r="NMY9" s="228"/>
      <c r="NMZ9" s="433"/>
      <c r="NNA9" s="433"/>
      <c r="NNB9" s="68"/>
      <c r="NNC9" s="271"/>
      <c r="NNE9" s="272"/>
      <c r="NNF9" s="272"/>
      <c r="NNG9" s="272"/>
      <c r="NNH9" s="273"/>
      <c r="NNI9" s="432"/>
      <c r="NNJ9" s="268"/>
      <c r="NNK9" s="228"/>
      <c r="NNL9" s="433"/>
      <c r="NNM9" s="433"/>
      <c r="NNN9" s="68"/>
      <c r="NNO9" s="271"/>
      <c r="NNQ9" s="272"/>
      <c r="NNR9" s="272"/>
      <c r="NNS9" s="272"/>
      <c r="NNT9" s="273"/>
      <c r="NNU9" s="432"/>
      <c r="NNV9" s="268"/>
      <c r="NNW9" s="228"/>
      <c r="NNX9" s="433"/>
      <c r="NNY9" s="433"/>
      <c r="NNZ9" s="68"/>
      <c r="NOA9" s="271"/>
      <c r="NOC9" s="272"/>
      <c r="NOD9" s="272"/>
      <c r="NOE9" s="272"/>
      <c r="NOF9" s="273"/>
      <c r="NOG9" s="432"/>
      <c r="NOH9" s="268"/>
      <c r="NOI9" s="228"/>
      <c r="NOJ9" s="433"/>
      <c r="NOK9" s="433"/>
      <c r="NOL9" s="68"/>
      <c r="NOM9" s="271"/>
      <c r="NOO9" s="272"/>
      <c r="NOP9" s="272"/>
      <c r="NOQ9" s="272"/>
      <c r="NOR9" s="273"/>
      <c r="NOS9" s="432"/>
      <c r="NOT9" s="268"/>
      <c r="NOU9" s="228"/>
      <c r="NOV9" s="433"/>
      <c r="NOW9" s="433"/>
      <c r="NOX9" s="68"/>
      <c r="NOY9" s="271"/>
      <c r="NPA9" s="272"/>
      <c r="NPB9" s="272"/>
      <c r="NPC9" s="272"/>
      <c r="NPD9" s="273"/>
      <c r="NPE9" s="432"/>
      <c r="NPF9" s="268"/>
      <c r="NPG9" s="228"/>
      <c r="NPH9" s="433"/>
      <c r="NPI9" s="433"/>
      <c r="NPJ9" s="68"/>
      <c r="NPK9" s="271"/>
      <c r="NPM9" s="272"/>
      <c r="NPN9" s="272"/>
      <c r="NPO9" s="272"/>
      <c r="NPP9" s="273"/>
      <c r="NPQ9" s="432"/>
      <c r="NPR9" s="268"/>
      <c r="NPS9" s="228"/>
      <c r="NPT9" s="433"/>
      <c r="NPU9" s="433"/>
      <c r="NPV9" s="68"/>
      <c r="NPW9" s="271"/>
      <c r="NPY9" s="272"/>
      <c r="NPZ9" s="272"/>
      <c r="NQA9" s="272"/>
      <c r="NQB9" s="273"/>
      <c r="NQC9" s="432"/>
      <c r="NQD9" s="268"/>
      <c r="NQE9" s="228"/>
      <c r="NQF9" s="433"/>
      <c r="NQG9" s="433"/>
      <c r="NQH9" s="68"/>
      <c r="NQI9" s="271"/>
      <c r="NQK9" s="272"/>
      <c r="NQL9" s="272"/>
      <c r="NQM9" s="272"/>
      <c r="NQN9" s="273"/>
      <c r="NQO9" s="432"/>
      <c r="NQP9" s="268"/>
      <c r="NQQ9" s="228"/>
      <c r="NQR9" s="433"/>
      <c r="NQS9" s="433"/>
      <c r="NQT9" s="68"/>
      <c r="NQU9" s="271"/>
      <c r="NQW9" s="272"/>
      <c r="NQX9" s="272"/>
      <c r="NQY9" s="272"/>
      <c r="NQZ9" s="273"/>
      <c r="NRA9" s="432"/>
      <c r="NRB9" s="268"/>
      <c r="NRC9" s="228"/>
      <c r="NRD9" s="433"/>
      <c r="NRE9" s="433"/>
      <c r="NRF9" s="68"/>
      <c r="NRG9" s="271"/>
      <c r="NRI9" s="272"/>
      <c r="NRJ9" s="272"/>
      <c r="NRK9" s="272"/>
      <c r="NRL9" s="273"/>
      <c r="NRM9" s="432"/>
      <c r="NRN9" s="268"/>
      <c r="NRO9" s="228"/>
      <c r="NRP9" s="433"/>
      <c r="NRQ9" s="433"/>
      <c r="NRR9" s="68"/>
      <c r="NRS9" s="271"/>
      <c r="NRU9" s="272"/>
      <c r="NRV9" s="272"/>
      <c r="NRW9" s="272"/>
      <c r="NRX9" s="273"/>
      <c r="NRY9" s="432"/>
      <c r="NRZ9" s="268"/>
      <c r="NSA9" s="228"/>
      <c r="NSB9" s="433"/>
      <c r="NSC9" s="433"/>
      <c r="NSD9" s="68"/>
      <c r="NSE9" s="271"/>
      <c r="NSG9" s="272"/>
      <c r="NSH9" s="272"/>
      <c r="NSI9" s="272"/>
      <c r="NSJ9" s="273"/>
      <c r="NSK9" s="432"/>
      <c r="NSL9" s="268"/>
      <c r="NSM9" s="228"/>
      <c r="NSN9" s="433"/>
      <c r="NSO9" s="433"/>
      <c r="NSP9" s="68"/>
      <c r="NSQ9" s="271"/>
      <c r="NSS9" s="272"/>
      <c r="NST9" s="272"/>
      <c r="NSU9" s="272"/>
      <c r="NSV9" s="273"/>
      <c r="NSW9" s="432"/>
      <c r="NSX9" s="268"/>
      <c r="NSY9" s="228"/>
      <c r="NSZ9" s="433"/>
      <c r="NTA9" s="433"/>
      <c r="NTB9" s="68"/>
      <c r="NTC9" s="271"/>
      <c r="NTE9" s="272"/>
      <c r="NTF9" s="272"/>
      <c r="NTG9" s="272"/>
      <c r="NTH9" s="273"/>
      <c r="NTI9" s="432"/>
      <c r="NTJ9" s="268"/>
      <c r="NTK9" s="228"/>
      <c r="NTL9" s="433"/>
      <c r="NTM9" s="433"/>
      <c r="NTN9" s="68"/>
      <c r="NTO9" s="271"/>
      <c r="NTQ9" s="272"/>
      <c r="NTR9" s="272"/>
      <c r="NTS9" s="272"/>
      <c r="NTT9" s="273"/>
      <c r="NTU9" s="432"/>
      <c r="NTV9" s="268"/>
      <c r="NTW9" s="228"/>
      <c r="NTX9" s="433"/>
      <c r="NTY9" s="433"/>
      <c r="NTZ9" s="68"/>
      <c r="NUA9" s="271"/>
      <c r="NUC9" s="272"/>
      <c r="NUD9" s="272"/>
      <c r="NUE9" s="272"/>
      <c r="NUF9" s="273"/>
      <c r="NUG9" s="432"/>
      <c r="NUH9" s="268"/>
      <c r="NUI9" s="228"/>
      <c r="NUJ9" s="433"/>
      <c r="NUK9" s="433"/>
      <c r="NUL9" s="68"/>
      <c r="NUM9" s="271"/>
      <c r="NUO9" s="272"/>
      <c r="NUP9" s="272"/>
      <c r="NUQ9" s="272"/>
      <c r="NUR9" s="273"/>
      <c r="NUS9" s="432"/>
      <c r="NUT9" s="268"/>
      <c r="NUU9" s="228"/>
      <c r="NUV9" s="433"/>
      <c r="NUW9" s="433"/>
      <c r="NUX9" s="68"/>
      <c r="NUY9" s="271"/>
      <c r="NVA9" s="272"/>
      <c r="NVB9" s="272"/>
      <c r="NVC9" s="272"/>
      <c r="NVD9" s="273"/>
      <c r="NVE9" s="432"/>
      <c r="NVF9" s="268"/>
      <c r="NVG9" s="228"/>
      <c r="NVH9" s="433"/>
      <c r="NVI9" s="433"/>
      <c r="NVJ9" s="68"/>
      <c r="NVK9" s="271"/>
      <c r="NVM9" s="272"/>
      <c r="NVN9" s="272"/>
      <c r="NVO9" s="272"/>
      <c r="NVP9" s="273"/>
      <c r="NVQ9" s="432"/>
      <c r="NVR9" s="268"/>
      <c r="NVS9" s="228"/>
      <c r="NVT9" s="433"/>
      <c r="NVU9" s="433"/>
      <c r="NVV9" s="68"/>
      <c r="NVW9" s="271"/>
      <c r="NVY9" s="272"/>
      <c r="NVZ9" s="272"/>
      <c r="NWA9" s="272"/>
      <c r="NWB9" s="273"/>
      <c r="NWC9" s="432"/>
      <c r="NWD9" s="268"/>
      <c r="NWE9" s="228"/>
      <c r="NWF9" s="433"/>
      <c r="NWG9" s="433"/>
      <c r="NWH9" s="68"/>
      <c r="NWI9" s="271"/>
      <c r="NWK9" s="272"/>
      <c r="NWL9" s="272"/>
      <c r="NWM9" s="272"/>
      <c r="NWN9" s="273"/>
      <c r="NWO9" s="432"/>
      <c r="NWP9" s="268"/>
      <c r="NWQ9" s="228"/>
      <c r="NWR9" s="433"/>
      <c r="NWS9" s="433"/>
      <c r="NWT9" s="68"/>
      <c r="NWU9" s="271"/>
      <c r="NWW9" s="272"/>
      <c r="NWX9" s="272"/>
      <c r="NWY9" s="272"/>
      <c r="NWZ9" s="273"/>
      <c r="NXA9" s="432"/>
      <c r="NXB9" s="268"/>
      <c r="NXC9" s="228"/>
      <c r="NXD9" s="433"/>
      <c r="NXE9" s="433"/>
      <c r="NXF9" s="68"/>
      <c r="NXG9" s="271"/>
      <c r="NXI9" s="272"/>
      <c r="NXJ9" s="272"/>
      <c r="NXK9" s="272"/>
      <c r="NXL9" s="273"/>
      <c r="NXM9" s="432"/>
      <c r="NXN9" s="268"/>
      <c r="NXO9" s="228"/>
      <c r="NXP9" s="433"/>
      <c r="NXQ9" s="433"/>
      <c r="NXR9" s="68"/>
      <c r="NXS9" s="271"/>
      <c r="NXU9" s="272"/>
      <c r="NXV9" s="272"/>
      <c r="NXW9" s="272"/>
      <c r="NXX9" s="273"/>
      <c r="NXY9" s="432"/>
      <c r="NXZ9" s="268"/>
      <c r="NYA9" s="228"/>
      <c r="NYB9" s="433"/>
      <c r="NYC9" s="433"/>
      <c r="NYD9" s="68"/>
      <c r="NYE9" s="271"/>
      <c r="NYG9" s="272"/>
      <c r="NYH9" s="272"/>
      <c r="NYI9" s="272"/>
      <c r="NYJ9" s="273"/>
      <c r="NYK9" s="432"/>
      <c r="NYL9" s="268"/>
      <c r="NYM9" s="228"/>
      <c r="NYN9" s="433"/>
      <c r="NYO9" s="433"/>
      <c r="NYP9" s="68"/>
      <c r="NYQ9" s="271"/>
      <c r="NYS9" s="272"/>
      <c r="NYT9" s="272"/>
      <c r="NYU9" s="272"/>
      <c r="NYV9" s="273"/>
      <c r="NYW9" s="432"/>
      <c r="NYX9" s="268"/>
      <c r="NYY9" s="228"/>
      <c r="NYZ9" s="433"/>
      <c r="NZA9" s="433"/>
      <c r="NZB9" s="68"/>
      <c r="NZC9" s="271"/>
      <c r="NZE9" s="272"/>
      <c r="NZF9" s="272"/>
      <c r="NZG9" s="272"/>
      <c r="NZH9" s="273"/>
      <c r="NZI9" s="432"/>
      <c r="NZJ9" s="268"/>
      <c r="NZK9" s="228"/>
      <c r="NZL9" s="433"/>
      <c r="NZM9" s="433"/>
      <c r="NZN9" s="68"/>
      <c r="NZO9" s="271"/>
      <c r="NZQ9" s="272"/>
      <c r="NZR9" s="272"/>
      <c r="NZS9" s="272"/>
      <c r="NZT9" s="273"/>
      <c r="NZU9" s="432"/>
      <c r="NZV9" s="268"/>
      <c r="NZW9" s="228"/>
      <c r="NZX9" s="433"/>
      <c r="NZY9" s="433"/>
      <c r="NZZ9" s="68"/>
      <c r="OAA9" s="271"/>
      <c r="OAC9" s="272"/>
      <c r="OAD9" s="272"/>
      <c r="OAE9" s="272"/>
      <c r="OAF9" s="273"/>
      <c r="OAG9" s="432"/>
      <c r="OAH9" s="268"/>
      <c r="OAI9" s="228"/>
      <c r="OAJ9" s="433"/>
      <c r="OAK9" s="433"/>
      <c r="OAL9" s="68"/>
      <c r="OAM9" s="271"/>
      <c r="OAO9" s="272"/>
      <c r="OAP9" s="272"/>
      <c r="OAQ9" s="272"/>
      <c r="OAR9" s="273"/>
      <c r="OAS9" s="432"/>
      <c r="OAT9" s="268"/>
      <c r="OAU9" s="228"/>
      <c r="OAV9" s="433"/>
      <c r="OAW9" s="433"/>
      <c r="OAX9" s="68"/>
      <c r="OAY9" s="271"/>
      <c r="OBA9" s="272"/>
      <c r="OBB9" s="272"/>
      <c r="OBC9" s="272"/>
      <c r="OBD9" s="273"/>
      <c r="OBE9" s="432"/>
      <c r="OBF9" s="268"/>
      <c r="OBG9" s="228"/>
      <c r="OBH9" s="433"/>
      <c r="OBI9" s="433"/>
      <c r="OBJ9" s="68"/>
      <c r="OBK9" s="271"/>
      <c r="OBM9" s="272"/>
      <c r="OBN9" s="272"/>
      <c r="OBO9" s="272"/>
      <c r="OBP9" s="273"/>
      <c r="OBQ9" s="432"/>
      <c r="OBR9" s="268"/>
      <c r="OBS9" s="228"/>
      <c r="OBT9" s="433"/>
      <c r="OBU9" s="433"/>
      <c r="OBV9" s="68"/>
      <c r="OBW9" s="271"/>
      <c r="OBY9" s="272"/>
      <c r="OBZ9" s="272"/>
      <c r="OCA9" s="272"/>
      <c r="OCB9" s="273"/>
      <c r="OCC9" s="432"/>
      <c r="OCD9" s="268"/>
      <c r="OCE9" s="228"/>
      <c r="OCF9" s="433"/>
      <c r="OCG9" s="433"/>
      <c r="OCH9" s="68"/>
      <c r="OCI9" s="271"/>
      <c r="OCK9" s="272"/>
      <c r="OCL9" s="272"/>
      <c r="OCM9" s="272"/>
      <c r="OCN9" s="273"/>
      <c r="OCO9" s="432"/>
      <c r="OCP9" s="268"/>
      <c r="OCQ9" s="228"/>
      <c r="OCR9" s="433"/>
      <c r="OCS9" s="433"/>
      <c r="OCT9" s="68"/>
      <c r="OCU9" s="271"/>
      <c r="OCW9" s="272"/>
      <c r="OCX9" s="272"/>
      <c r="OCY9" s="272"/>
      <c r="OCZ9" s="273"/>
      <c r="ODA9" s="432"/>
      <c r="ODB9" s="268"/>
      <c r="ODC9" s="228"/>
      <c r="ODD9" s="433"/>
      <c r="ODE9" s="433"/>
      <c r="ODF9" s="68"/>
      <c r="ODG9" s="271"/>
      <c r="ODI9" s="272"/>
      <c r="ODJ9" s="272"/>
      <c r="ODK9" s="272"/>
      <c r="ODL9" s="273"/>
      <c r="ODM9" s="432"/>
      <c r="ODN9" s="268"/>
      <c r="ODO9" s="228"/>
      <c r="ODP9" s="433"/>
      <c r="ODQ9" s="433"/>
      <c r="ODR9" s="68"/>
      <c r="ODS9" s="271"/>
      <c r="ODU9" s="272"/>
      <c r="ODV9" s="272"/>
      <c r="ODW9" s="272"/>
      <c r="ODX9" s="273"/>
      <c r="ODY9" s="432"/>
      <c r="ODZ9" s="268"/>
      <c r="OEA9" s="228"/>
      <c r="OEB9" s="433"/>
      <c r="OEC9" s="433"/>
      <c r="OED9" s="68"/>
      <c r="OEE9" s="271"/>
      <c r="OEG9" s="272"/>
      <c r="OEH9" s="272"/>
      <c r="OEI9" s="272"/>
      <c r="OEJ9" s="273"/>
      <c r="OEK9" s="432"/>
      <c r="OEL9" s="268"/>
      <c r="OEM9" s="228"/>
      <c r="OEN9" s="433"/>
      <c r="OEO9" s="433"/>
      <c r="OEP9" s="68"/>
      <c r="OEQ9" s="271"/>
      <c r="OES9" s="272"/>
      <c r="OET9" s="272"/>
      <c r="OEU9" s="272"/>
      <c r="OEV9" s="273"/>
      <c r="OEW9" s="432"/>
      <c r="OEX9" s="268"/>
      <c r="OEY9" s="228"/>
      <c r="OEZ9" s="433"/>
      <c r="OFA9" s="433"/>
      <c r="OFB9" s="68"/>
      <c r="OFC9" s="271"/>
      <c r="OFE9" s="272"/>
      <c r="OFF9" s="272"/>
      <c r="OFG9" s="272"/>
      <c r="OFH9" s="273"/>
      <c r="OFI9" s="432"/>
      <c r="OFJ9" s="268"/>
      <c r="OFK9" s="228"/>
      <c r="OFL9" s="433"/>
      <c r="OFM9" s="433"/>
      <c r="OFN9" s="68"/>
      <c r="OFO9" s="271"/>
      <c r="OFQ9" s="272"/>
      <c r="OFR9" s="272"/>
      <c r="OFS9" s="272"/>
      <c r="OFT9" s="273"/>
      <c r="OFU9" s="432"/>
      <c r="OFV9" s="268"/>
      <c r="OFW9" s="228"/>
      <c r="OFX9" s="433"/>
      <c r="OFY9" s="433"/>
      <c r="OFZ9" s="68"/>
      <c r="OGA9" s="271"/>
      <c r="OGC9" s="272"/>
      <c r="OGD9" s="272"/>
      <c r="OGE9" s="272"/>
      <c r="OGF9" s="273"/>
      <c r="OGG9" s="432"/>
      <c r="OGH9" s="268"/>
      <c r="OGI9" s="228"/>
      <c r="OGJ9" s="433"/>
      <c r="OGK9" s="433"/>
      <c r="OGL9" s="68"/>
      <c r="OGM9" s="271"/>
      <c r="OGO9" s="272"/>
      <c r="OGP9" s="272"/>
      <c r="OGQ9" s="272"/>
      <c r="OGR9" s="273"/>
      <c r="OGS9" s="432"/>
      <c r="OGT9" s="268"/>
      <c r="OGU9" s="228"/>
      <c r="OGV9" s="433"/>
      <c r="OGW9" s="433"/>
      <c r="OGX9" s="68"/>
      <c r="OGY9" s="271"/>
      <c r="OHA9" s="272"/>
      <c r="OHB9" s="272"/>
      <c r="OHC9" s="272"/>
      <c r="OHD9" s="273"/>
      <c r="OHE9" s="432"/>
      <c r="OHF9" s="268"/>
      <c r="OHG9" s="228"/>
      <c r="OHH9" s="433"/>
      <c r="OHI9" s="433"/>
      <c r="OHJ9" s="68"/>
      <c r="OHK9" s="271"/>
      <c r="OHM9" s="272"/>
      <c r="OHN9" s="272"/>
      <c r="OHO9" s="272"/>
      <c r="OHP9" s="273"/>
      <c r="OHQ9" s="432"/>
      <c r="OHR9" s="268"/>
      <c r="OHS9" s="228"/>
      <c r="OHT9" s="433"/>
      <c r="OHU9" s="433"/>
      <c r="OHV9" s="68"/>
      <c r="OHW9" s="271"/>
      <c r="OHY9" s="272"/>
      <c r="OHZ9" s="272"/>
      <c r="OIA9" s="272"/>
      <c r="OIB9" s="273"/>
      <c r="OIC9" s="432"/>
      <c r="OID9" s="268"/>
      <c r="OIE9" s="228"/>
      <c r="OIF9" s="433"/>
      <c r="OIG9" s="433"/>
      <c r="OIH9" s="68"/>
      <c r="OII9" s="271"/>
      <c r="OIK9" s="272"/>
      <c r="OIL9" s="272"/>
      <c r="OIM9" s="272"/>
      <c r="OIN9" s="273"/>
      <c r="OIO9" s="432"/>
      <c r="OIP9" s="268"/>
      <c r="OIQ9" s="228"/>
      <c r="OIR9" s="433"/>
      <c r="OIS9" s="433"/>
      <c r="OIT9" s="68"/>
      <c r="OIU9" s="271"/>
      <c r="OIW9" s="272"/>
      <c r="OIX9" s="272"/>
      <c r="OIY9" s="272"/>
      <c r="OIZ9" s="273"/>
      <c r="OJA9" s="432"/>
      <c r="OJB9" s="268"/>
      <c r="OJC9" s="228"/>
      <c r="OJD9" s="433"/>
      <c r="OJE9" s="433"/>
      <c r="OJF9" s="68"/>
      <c r="OJG9" s="271"/>
      <c r="OJI9" s="272"/>
      <c r="OJJ9" s="272"/>
      <c r="OJK9" s="272"/>
      <c r="OJL9" s="273"/>
      <c r="OJM9" s="432"/>
      <c r="OJN9" s="268"/>
      <c r="OJO9" s="228"/>
      <c r="OJP9" s="433"/>
      <c r="OJQ9" s="433"/>
      <c r="OJR9" s="68"/>
      <c r="OJS9" s="271"/>
      <c r="OJU9" s="272"/>
      <c r="OJV9" s="272"/>
      <c r="OJW9" s="272"/>
      <c r="OJX9" s="273"/>
      <c r="OJY9" s="432"/>
      <c r="OJZ9" s="268"/>
      <c r="OKA9" s="228"/>
      <c r="OKB9" s="433"/>
      <c r="OKC9" s="433"/>
      <c r="OKD9" s="68"/>
      <c r="OKE9" s="271"/>
      <c r="OKG9" s="272"/>
      <c r="OKH9" s="272"/>
      <c r="OKI9" s="272"/>
      <c r="OKJ9" s="273"/>
      <c r="OKK9" s="432"/>
      <c r="OKL9" s="268"/>
      <c r="OKM9" s="228"/>
      <c r="OKN9" s="433"/>
      <c r="OKO9" s="433"/>
      <c r="OKP9" s="68"/>
      <c r="OKQ9" s="271"/>
      <c r="OKS9" s="272"/>
      <c r="OKT9" s="272"/>
      <c r="OKU9" s="272"/>
      <c r="OKV9" s="273"/>
      <c r="OKW9" s="432"/>
      <c r="OKX9" s="268"/>
      <c r="OKY9" s="228"/>
      <c r="OKZ9" s="433"/>
      <c r="OLA9" s="433"/>
      <c r="OLB9" s="68"/>
      <c r="OLC9" s="271"/>
      <c r="OLE9" s="272"/>
      <c r="OLF9" s="272"/>
      <c r="OLG9" s="272"/>
      <c r="OLH9" s="273"/>
      <c r="OLI9" s="432"/>
      <c r="OLJ9" s="268"/>
      <c r="OLK9" s="228"/>
      <c r="OLL9" s="433"/>
      <c r="OLM9" s="433"/>
      <c r="OLN9" s="68"/>
      <c r="OLO9" s="271"/>
      <c r="OLQ9" s="272"/>
      <c r="OLR9" s="272"/>
      <c r="OLS9" s="272"/>
      <c r="OLT9" s="273"/>
      <c r="OLU9" s="432"/>
      <c r="OLV9" s="268"/>
      <c r="OLW9" s="228"/>
      <c r="OLX9" s="433"/>
      <c r="OLY9" s="433"/>
      <c r="OLZ9" s="68"/>
      <c r="OMA9" s="271"/>
      <c r="OMC9" s="272"/>
      <c r="OMD9" s="272"/>
      <c r="OME9" s="272"/>
      <c r="OMF9" s="273"/>
      <c r="OMG9" s="432"/>
      <c r="OMH9" s="268"/>
      <c r="OMI9" s="228"/>
      <c r="OMJ9" s="433"/>
      <c r="OMK9" s="433"/>
      <c r="OML9" s="68"/>
      <c r="OMM9" s="271"/>
      <c r="OMO9" s="272"/>
      <c r="OMP9" s="272"/>
      <c r="OMQ9" s="272"/>
      <c r="OMR9" s="273"/>
      <c r="OMS9" s="432"/>
      <c r="OMT9" s="268"/>
      <c r="OMU9" s="228"/>
      <c r="OMV9" s="433"/>
      <c r="OMW9" s="433"/>
      <c r="OMX9" s="68"/>
      <c r="OMY9" s="271"/>
      <c r="ONA9" s="272"/>
      <c r="ONB9" s="272"/>
      <c r="ONC9" s="272"/>
      <c r="OND9" s="273"/>
      <c r="ONE9" s="432"/>
      <c r="ONF9" s="268"/>
      <c r="ONG9" s="228"/>
      <c r="ONH9" s="433"/>
      <c r="ONI9" s="433"/>
      <c r="ONJ9" s="68"/>
      <c r="ONK9" s="271"/>
      <c r="ONM9" s="272"/>
      <c r="ONN9" s="272"/>
      <c r="ONO9" s="272"/>
      <c r="ONP9" s="273"/>
      <c r="ONQ9" s="432"/>
      <c r="ONR9" s="268"/>
      <c r="ONS9" s="228"/>
      <c r="ONT9" s="433"/>
      <c r="ONU9" s="433"/>
      <c r="ONV9" s="68"/>
      <c r="ONW9" s="271"/>
      <c r="ONY9" s="272"/>
      <c r="ONZ9" s="272"/>
      <c r="OOA9" s="272"/>
      <c r="OOB9" s="273"/>
      <c r="OOC9" s="432"/>
      <c r="OOD9" s="268"/>
      <c r="OOE9" s="228"/>
      <c r="OOF9" s="433"/>
      <c r="OOG9" s="433"/>
      <c r="OOH9" s="68"/>
      <c r="OOI9" s="271"/>
      <c r="OOK9" s="272"/>
      <c r="OOL9" s="272"/>
      <c r="OOM9" s="272"/>
      <c r="OON9" s="273"/>
      <c r="OOO9" s="432"/>
      <c r="OOP9" s="268"/>
      <c r="OOQ9" s="228"/>
      <c r="OOR9" s="433"/>
      <c r="OOS9" s="433"/>
      <c r="OOT9" s="68"/>
      <c r="OOU9" s="271"/>
      <c r="OOW9" s="272"/>
      <c r="OOX9" s="272"/>
      <c r="OOY9" s="272"/>
      <c r="OOZ9" s="273"/>
      <c r="OPA9" s="432"/>
      <c r="OPB9" s="268"/>
      <c r="OPC9" s="228"/>
      <c r="OPD9" s="433"/>
      <c r="OPE9" s="433"/>
      <c r="OPF9" s="68"/>
      <c r="OPG9" s="271"/>
      <c r="OPI9" s="272"/>
      <c r="OPJ9" s="272"/>
      <c r="OPK9" s="272"/>
      <c r="OPL9" s="273"/>
      <c r="OPM9" s="432"/>
      <c r="OPN9" s="268"/>
      <c r="OPO9" s="228"/>
      <c r="OPP9" s="433"/>
      <c r="OPQ9" s="433"/>
      <c r="OPR9" s="68"/>
      <c r="OPS9" s="271"/>
      <c r="OPU9" s="272"/>
      <c r="OPV9" s="272"/>
      <c r="OPW9" s="272"/>
      <c r="OPX9" s="273"/>
      <c r="OPY9" s="432"/>
      <c r="OPZ9" s="268"/>
      <c r="OQA9" s="228"/>
      <c r="OQB9" s="433"/>
      <c r="OQC9" s="433"/>
      <c r="OQD9" s="68"/>
      <c r="OQE9" s="271"/>
      <c r="OQG9" s="272"/>
      <c r="OQH9" s="272"/>
      <c r="OQI9" s="272"/>
      <c r="OQJ9" s="273"/>
      <c r="OQK9" s="432"/>
      <c r="OQL9" s="268"/>
      <c r="OQM9" s="228"/>
      <c r="OQN9" s="433"/>
      <c r="OQO9" s="433"/>
      <c r="OQP9" s="68"/>
      <c r="OQQ9" s="271"/>
      <c r="OQS9" s="272"/>
      <c r="OQT9" s="272"/>
      <c r="OQU9" s="272"/>
      <c r="OQV9" s="273"/>
      <c r="OQW9" s="432"/>
      <c r="OQX9" s="268"/>
      <c r="OQY9" s="228"/>
      <c r="OQZ9" s="433"/>
      <c r="ORA9" s="433"/>
      <c r="ORB9" s="68"/>
      <c r="ORC9" s="271"/>
      <c r="ORE9" s="272"/>
      <c r="ORF9" s="272"/>
      <c r="ORG9" s="272"/>
      <c r="ORH9" s="273"/>
      <c r="ORI9" s="432"/>
      <c r="ORJ9" s="268"/>
      <c r="ORK9" s="228"/>
      <c r="ORL9" s="433"/>
      <c r="ORM9" s="433"/>
      <c r="ORN9" s="68"/>
      <c r="ORO9" s="271"/>
      <c r="ORQ9" s="272"/>
      <c r="ORR9" s="272"/>
      <c r="ORS9" s="272"/>
      <c r="ORT9" s="273"/>
      <c r="ORU9" s="432"/>
      <c r="ORV9" s="268"/>
      <c r="ORW9" s="228"/>
      <c r="ORX9" s="433"/>
      <c r="ORY9" s="433"/>
      <c r="ORZ9" s="68"/>
      <c r="OSA9" s="271"/>
      <c r="OSC9" s="272"/>
      <c r="OSD9" s="272"/>
      <c r="OSE9" s="272"/>
      <c r="OSF9" s="273"/>
      <c r="OSG9" s="432"/>
      <c r="OSH9" s="268"/>
      <c r="OSI9" s="228"/>
      <c r="OSJ9" s="433"/>
      <c r="OSK9" s="433"/>
      <c r="OSL9" s="68"/>
      <c r="OSM9" s="271"/>
      <c r="OSO9" s="272"/>
      <c r="OSP9" s="272"/>
      <c r="OSQ9" s="272"/>
      <c r="OSR9" s="273"/>
      <c r="OSS9" s="432"/>
      <c r="OST9" s="268"/>
      <c r="OSU9" s="228"/>
      <c r="OSV9" s="433"/>
      <c r="OSW9" s="433"/>
      <c r="OSX9" s="68"/>
      <c r="OSY9" s="271"/>
      <c r="OTA9" s="272"/>
      <c r="OTB9" s="272"/>
      <c r="OTC9" s="272"/>
      <c r="OTD9" s="273"/>
      <c r="OTE9" s="432"/>
      <c r="OTF9" s="268"/>
      <c r="OTG9" s="228"/>
      <c r="OTH9" s="433"/>
      <c r="OTI9" s="433"/>
      <c r="OTJ9" s="68"/>
      <c r="OTK9" s="271"/>
      <c r="OTM9" s="272"/>
      <c r="OTN9" s="272"/>
      <c r="OTO9" s="272"/>
      <c r="OTP9" s="273"/>
      <c r="OTQ9" s="432"/>
      <c r="OTR9" s="268"/>
      <c r="OTS9" s="228"/>
      <c r="OTT9" s="433"/>
      <c r="OTU9" s="433"/>
      <c r="OTV9" s="68"/>
      <c r="OTW9" s="271"/>
      <c r="OTY9" s="272"/>
      <c r="OTZ9" s="272"/>
      <c r="OUA9" s="272"/>
      <c r="OUB9" s="273"/>
      <c r="OUC9" s="432"/>
      <c r="OUD9" s="268"/>
      <c r="OUE9" s="228"/>
      <c r="OUF9" s="433"/>
      <c r="OUG9" s="433"/>
      <c r="OUH9" s="68"/>
      <c r="OUI9" s="271"/>
      <c r="OUK9" s="272"/>
      <c r="OUL9" s="272"/>
      <c r="OUM9" s="272"/>
      <c r="OUN9" s="273"/>
      <c r="OUO9" s="432"/>
      <c r="OUP9" s="268"/>
      <c r="OUQ9" s="228"/>
      <c r="OUR9" s="433"/>
      <c r="OUS9" s="433"/>
      <c r="OUT9" s="68"/>
      <c r="OUU9" s="271"/>
      <c r="OUW9" s="272"/>
      <c r="OUX9" s="272"/>
      <c r="OUY9" s="272"/>
      <c r="OUZ9" s="273"/>
      <c r="OVA9" s="432"/>
      <c r="OVB9" s="268"/>
      <c r="OVC9" s="228"/>
      <c r="OVD9" s="433"/>
      <c r="OVE9" s="433"/>
      <c r="OVF9" s="68"/>
      <c r="OVG9" s="271"/>
      <c r="OVI9" s="272"/>
      <c r="OVJ9" s="272"/>
      <c r="OVK9" s="272"/>
      <c r="OVL9" s="273"/>
      <c r="OVM9" s="432"/>
      <c r="OVN9" s="268"/>
      <c r="OVO9" s="228"/>
      <c r="OVP9" s="433"/>
      <c r="OVQ9" s="433"/>
      <c r="OVR9" s="68"/>
      <c r="OVS9" s="271"/>
      <c r="OVU9" s="272"/>
      <c r="OVV9" s="272"/>
      <c r="OVW9" s="272"/>
      <c r="OVX9" s="273"/>
      <c r="OVY9" s="432"/>
      <c r="OVZ9" s="268"/>
      <c r="OWA9" s="228"/>
      <c r="OWB9" s="433"/>
      <c r="OWC9" s="433"/>
      <c r="OWD9" s="68"/>
      <c r="OWE9" s="271"/>
      <c r="OWG9" s="272"/>
      <c r="OWH9" s="272"/>
      <c r="OWI9" s="272"/>
      <c r="OWJ9" s="273"/>
      <c r="OWK9" s="432"/>
      <c r="OWL9" s="268"/>
      <c r="OWM9" s="228"/>
      <c r="OWN9" s="433"/>
      <c r="OWO9" s="433"/>
      <c r="OWP9" s="68"/>
      <c r="OWQ9" s="271"/>
      <c r="OWS9" s="272"/>
      <c r="OWT9" s="272"/>
      <c r="OWU9" s="272"/>
      <c r="OWV9" s="273"/>
      <c r="OWW9" s="432"/>
      <c r="OWX9" s="268"/>
      <c r="OWY9" s="228"/>
      <c r="OWZ9" s="433"/>
      <c r="OXA9" s="433"/>
      <c r="OXB9" s="68"/>
      <c r="OXC9" s="271"/>
      <c r="OXE9" s="272"/>
      <c r="OXF9" s="272"/>
      <c r="OXG9" s="272"/>
      <c r="OXH9" s="273"/>
      <c r="OXI9" s="432"/>
      <c r="OXJ9" s="268"/>
      <c r="OXK9" s="228"/>
      <c r="OXL9" s="433"/>
      <c r="OXM9" s="433"/>
      <c r="OXN9" s="68"/>
      <c r="OXO9" s="271"/>
      <c r="OXQ9" s="272"/>
      <c r="OXR9" s="272"/>
      <c r="OXS9" s="272"/>
      <c r="OXT9" s="273"/>
      <c r="OXU9" s="432"/>
      <c r="OXV9" s="268"/>
      <c r="OXW9" s="228"/>
      <c r="OXX9" s="433"/>
      <c r="OXY9" s="433"/>
      <c r="OXZ9" s="68"/>
      <c r="OYA9" s="271"/>
      <c r="OYC9" s="272"/>
      <c r="OYD9" s="272"/>
      <c r="OYE9" s="272"/>
      <c r="OYF9" s="273"/>
      <c r="OYG9" s="432"/>
      <c r="OYH9" s="268"/>
      <c r="OYI9" s="228"/>
      <c r="OYJ9" s="433"/>
      <c r="OYK9" s="433"/>
      <c r="OYL9" s="68"/>
      <c r="OYM9" s="271"/>
      <c r="OYO9" s="272"/>
      <c r="OYP9" s="272"/>
      <c r="OYQ9" s="272"/>
      <c r="OYR9" s="273"/>
      <c r="OYS9" s="432"/>
      <c r="OYT9" s="268"/>
      <c r="OYU9" s="228"/>
      <c r="OYV9" s="433"/>
      <c r="OYW9" s="433"/>
      <c r="OYX9" s="68"/>
      <c r="OYY9" s="271"/>
      <c r="OZA9" s="272"/>
      <c r="OZB9" s="272"/>
      <c r="OZC9" s="272"/>
      <c r="OZD9" s="273"/>
      <c r="OZE9" s="432"/>
      <c r="OZF9" s="268"/>
      <c r="OZG9" s="228"/>
      <c r="OZH9" s="433"/>
      <c r="OZI9" s="433"/>
      <c r="OZJ9" s="68"/>
      <c r="OZK9" s="271"/>
      <c r="OZM9" s="272"/>
      <c r="OZN9" s="272"/>
      <c r="OZO9" s="272"/>
      <c r="OZP9" s="273"/>
      <c r="OZQ9" s="432"/>
      <c r="OZR9" s="268"/>
      <c r="OZS9" s="228"/>
      <c r="OZT9" s="433"/>
      <c r="OZU9" s="433"/>
      <c r="OZV9" s="68"/>
      <c r="OZW9" s="271"/>
      <c r="OZY9" s="272"/>
      <c r="OZZ9" s="272"/>
      <c r="PAA9" s="272"/>
      <c r="PAB9" s="273"/>
      <c r="PAC9" s="432"/>
      <c r="PAD9" s="268"/>
      <c r="PAE9" s="228"/>
      <c r="PAF9" s="433"/>
      <c r="PAG9" s="433"/>
      <c r="PAH9" s="68"/>
      <c r="PAI9" s="271"/>
      <c r="PAK9" s="272"/>
      <c r="PAL9" s="272"/>
      <c r="PAM9" s="272"/>
      <c r="PAN9" s="273"/>
      <c r="PAO9" s="432"/>
      <c r="PAP9" s="268"/>
      <c r="PAQ9" s="228"/>
      <c r="PAR9" s="433"/>
      <c r="PAS9" s="433"/>
      <c r="PAT9" s="68"/>
      <c r="PAU9" s="271"/>
      <c r="PAW9" s="272"/>
      <c r="PAX9" s="272"/>
      <c r="PAY9" s="272"/>
      <c r="PAZ9" s="273"/>
      <c r="PBA9" s="432"/>
      <c r="PBB9" s="268"/>
      <c r="PBC9" s="228"/>
      <c r="PBD9" s="433"/>
      <c r="PBE9" s="433"/>
      <c r="PBF9" s="68"/>
      <c r="PBG9" s="271"/>
      <c r="PBI9" s="272"/>
      <c r="PBJ9" s="272"/>
      <c r="PBK9" s="272"/>
      <c r="PBL9" s="273"/>
      <c r="PBM9" s="432"/>
      <c r="PBN9" s="268"/>
      <c r="PBO9" s="228"/>
      <c r="PBP9" s="433"/>
      <c r="PBQ9" s="433"/>
      <c r="PBR9" s="68"/>
      <c r="PBS9" s="271"/>
      <c r="PBU9" s="272"/>
      <c r="PBV9" s="272"/>
      <c r="PBW9" s="272"/>
      <c r="PBX9" s="273"/>
      <c r="PBY9" s="432"/>
      <c r="PBZ9" s="268"/>
      <c r="PCA9" s="228"/>
      <c r="PCB9" s="433"/>
      <c r="PCC9" s="433"/>
      <c r="PCD9" s="68"/>
      <c r="PCE9" s="271"/>
      <c r="PCG9" s="272"/>
      <c r="PCH9" s="272"/>
      <c r="PCI9" s="272"/>
      <c r="PCJ9" s="273"/>
      <c r="PCK9" s="432"/>
      <c r="PCL9" s="268"/>
      <c r="PCM9" s="228"/>
      <c r="PCN9" s="433"/>
      <c r="PCO9" s="433"/>
      <c r="PCP9" s="68"/>
      <c r="PCQ9" s="271"/>
      <c r="PCS9" s="272"/>
      <c r="PCT9" s="272"/>
      <c r="PCU9" s="272"/>
      <c r="PCV9" s="273"/>
      <c r="PCW9" s="432"/>
      <c r="PCX9" s="268"/>
      <c r="PCY9" s="228"/>
      <c r="PCZ9" s="433"/>
      <c r="PDA9" s="433"/>
      <c r="PDB9" s="68"/>
      <c r="PDC9" s="271"/>
      <c r="PDE9" s="272"/>
      <c r="PDF9" s="272"/>
      <c r="PDG9" s="272"/>
      <c r="PDH9" s="273"/>
      <c r="PDI9" s="432"/>
      <c r="PDJ9" s="268"/>
      <c r="PDK9" s="228"/>
      <c r="PDL9" s="433"/>
      <c r="PDM9" s="433"/>
      <c r="PDN9" s="68"/>
      <c r="PDO9" s="271"/>
      <c r="PDQ9" s="272"/>
      <c r="PDR9" s="272"/>
      <c r="PDS9" s="272"/>
      <c r="PDT9" s="273"/>
      <c r="PDU9" s="432"/>
      <c r="PDV9" s="268"/>
      <c r="PDW9" s="228"/>
      <c r="PDX9" s="433"/>
      <c r="PDY9" s="433"/>
      <c r="PDZ9" s="68"/>
      <c r="PEA9" s="271"/>
      <c r="PEC9" s="272"/>
      <c r="PED9" s="272"/>
      <c r="PEE9" s="272"/>
      <c r="PEF9" s="273"/>
      <c r="PEG9" s="432"/>
      <c r="PEH9" s="268"/>
      <c r="PEI9" s="228"/>
      <c r="PEJ9" s="433"/>
      <c r="PEK9" s="433"/>
      <c r="PEL9" s="68"/>
      <c r="PEM9" s="271"/>
      <c r="PEO9" s="272"/>
      <c r="PEP9" s="272"/>
      <c r="PEQ9" s="272"/>
      <c r="PER9" s="273"/>
      <c r="PES9" s="432"/>
      <c r="PET9" s="268"/>
      <c r="PEU9" s="228"/>
      <c r="PEV9" s="433"/>
      <c r="PEW9" s="433"/>
      <c r="PEX9" s="68"/>
      <c r="PEY9" s="271"/>
      <c r="PFA9" s="272"/>
      <c r="PFB9" s="272"/>
      <c r="PFC9" s="272"/>
      <c r="PFD9" s="273"/>
      <c r="PFE9" s="432"/>
      <c r="PFF9" s="268"/>
      <c r="PFG9" s="228"/>
      <c r="PFH9" s="433"/>
      <c r="PFI9" s="433"/>
      <c r="PFJ9" s="68"/>
      <c r="PFK9" s="271"/>
      <c r="PFM9" s="272"/>
      <c r="PFN9" s="272"/>
      <c r="PFO9" s="272"/>
      <c r="PFP9" s="273"/>
      <c r="PFQ9" s="432"/>
      <c r="PFR9" s="268"/>
      <c r="PFS9" s="228"/>
      <c r="PFT9" s="433"/>
      <c r="PFU9" s="433"/>
      <c r="PFV9" s="68"/>
      <c r="PFW9" s="271"/>
      <c r="PFY9" s="272"/>
      <c r="PFZ9" s="272"/>
      <c r="PGA9" s="272"/>
      <c r="PGB9" s="273"/>
      <c r="PGC9" s="432"/>
      <c r="PGD9" s="268"/>
      <c r="PGE9" s="228"/>
      <c r="PGF9" s="433"/>
      <c r="PGG9" s="433"/>
      <c r="PGH9" s="68"/>
      <c r="PGI9" s="271"/>
      <c r="PGK9" s="272"/>
      <c r="PGL9" s="272"/>
      <c r="PGM9" s="272"/>
      <c r="PGN9" s="273"/>
      <c r="PGO9" s="432"/>
      <c r="PGP9" s="268"/>
      <c r="PGQ9" s="228"/>
      <c r="PGR9" s="433"/>
      <c r="PGS9" s="433"/>
      <c r="PGT9" s="68"/>
      <c r="PGU9" s="271"/>
      <c r="PGW9" s="272"/>
      <c r="PGX9" s="272"/>
      <c r="PGY9" s="272"/>
      <c r="PGZ9" s="273"/>
      <c r="PHA9" s="432"/>
      <c r="PHB9" s="268"/>
      <c r="PHC9" s="228"/>
      <c r="PHD9" s="433"/>
      <c r="PHE9" s="433"/>
      <c r="PHF9" s="68"/>
      <c r="PHG9" s="271"/>
      <c r="PHI9" s="272"/>
      <c r="PHJ9" s="272"/>
      <c r="PHK9" s="272"/>
      <c r="PHL9" s="273"/>
      <c r="PHM9" s="432"/>
      <c r="PHN9" s="268"/>
      <c r="PHO9" s="228"/>
      <c r="PHP9" s="433"/>
      <c r="PHQ9" s="433"/>
      <c r="PHR9" s="68"/>
      <c r="PHS9" s="271"/>
      <c r="PHU9" s="272"/>
      <c r="PHV9" s="272"/>
      <c r="PHW9" s="272"/>
      <c r="PHX9" s="273"/>
      <c r="PHY9" s="432"/>
      <c r="PHZ9" s="268"/>
      <c r="PIA9" s="228"/>
      <c r="PIB9" s="433"/>
      <c r="PIC9" s="433"/>
      <c r="PID9" s="68"/>
      <c r="PIE9" s="271"/>
      <c r="PIG9" s="272"/>
      <c r="PIH9" s="272"/>
      <c r="PII9" s="272"/>
      <c r="PIJ9" s="273"/>
      <c r="PIK9" s="432"/>
      <c r="PIL9" s="268"/>
      <c r="PIM9" s="228"/>
      <c r="PIN9" s="433"/>
      <c r="PIO9" s="433"/>
      <c r="PIP9" s="68"/>
      <c r="PIQ9" s="271"/>
      <c r="PIS9" s="272"/>
      <c r="PIT9" s="272"/>
      <c r="PIU9" s="272"/>
      <c r="PIV9" s="273"/>
      <c r="PIW9" s="432"/>
      <c r="PIX9" s="268"/>
      <c r="PIY9" s="228"/>
      <c r="PIZ9" s="433"/>
      <c r="PJA9" s="433"/>
      <c r="PJB9" s="68"/>
      <c r="PJC9" s="271"/>
      <c r="PJE9" s="272"/>
      <c r="PJF9" s="272"/>
      <c r="PJG9" s="272"/>
      <c r="PJH9" s="273"/>
      <c r="PJI9" s="432"/>
      <c r="PJJ9" s="268"/>
      <c r="PJK9" s="228"/>
      <c r="PJL9" s="433"/>
      <c r="PJM9" s="433"/>
      <c r="PJN9" s="68"/>
      <c r="PJO9" s="271"/>
      <c r="PJQ9" s="272"/>
      <c r="PJR9" s="272"/>
      <c r="PJS9" s="272"/>
      <c r="PJT9" s="273"/>
      <c r="PJU9" s="432"/>
      <c r="PJV9" s="268"/>
      <c r="PJW9" s="228"/>
      <c r="PJX9" s="433"/>
      <c r="PJY9" s="433"/>
      <c r="PJZ9" s="68"/>
      <c r="PKA9" s="271"/>
      <c r="PKC9" s="272"/>
      <c r="PKD9" s="272"/>
      <c r="PKE9" s="272"/>
      <c r="PKF9" s="273"/>
      <c r="PKG9" s="432"/>
      <c r="PKH9" s="268"/>
      <c r="PKI9" s="228"/>
      <c r="PKJ9" s="433"/>
      <c r="PKK9" s="433"/>
      <c r="PKL9" s="68"/>
      <c r="PKM9" s="271"/>
      <c r="PKO9" s="272"/>
      <c r="PKP9" s="272"/>
      <c r="PKQ9" s="272"/>
      <c r="PKR9" s="273"/>
      <c r="PKS9" s="432"/>
      <c r="PKT9" s="268"/>
      <c r="PKU9" s="228"/>
      <c r="PKV9" s="433"/>
      <c r="PKW9" s="433"/>
      <c r="PKX9" s="68"/>
      <c r="PKY9" s="271"/>
      <c r="PLA9" s="272"/>
      <c r="PLB9" s="272"/>
      <c r="PLC9" s="272"/>
      <c r="PLD9" s="273"/>
      <c r="PLE9" s="432"/>
      <c r="PLF9" s="268"/>
      <c r="PLG9" s="228"/>
      <c r="PLH9" s="433"/>
      <c r="PLI9" s="433"/>
      <c r="PLJ9" s="68"/>
      <c r="PLK9" s="271"/>
      <c r="PLM9" s="272"/>
      <c r="PLN9" s="272"/>
      <c r="PLO9" s="272"/>
      <c r="PLP9" s="273"/>
      <c r="PLQ9" s="432"/>
      <c r="PLR9" s="268"/>
      <c r="PLS9" s="228"/>
      <c r="PLT9" s="433"/>
      <c r="PLU9" s="433"/>
      <c r="PLV9" s="68"/>
      <c r="PLW9" s="271"/>
      <c r="PLY9" s="272"/>
      <c r="PLZ9" s="272"/>
      <c r="PMA9" s="272"/>
      <c r="PMB9" s="273"/>
      <c r="PMC9" s="432"/>
      <c r="PMD9" s="268"/>
      <c r="PME9" s="228"/>
      <c r="PMF9" s="433"/>
      <c r="PMG9" s="433"/>
      <c r="PMH9" s="68"/>
      <c r="PMI9" s="271"/>
      <c r="PMK9" s="272"/>
      <c r="PML9" s="272"/>
      <c r="PMM9" s="272"/>
      <c r="PMN9" s="273"/>
      <c r="PMO9" s="432"/>
      <c r="PMP9" s="268"/>
      <c r="PMQ9" s="228"/>
      <c r="PMR9" s="433"/>
      <c r="PMS9" s="433"/>
      <c r="PMT9" s="68"/>
      <c r="PMU9" s="271"/>
      <c r="PMW9" s="272"/>
      <c r="PMX9" s="272"/>
      <c r="PMY9" s="272"/>
      <c r="PMZ9" s="273"/>
      <c r="PNA9" s="432"/>
      <c r="PNB9" s="268"/>
      <c r="PNC9" s="228"/>
      <c r="PND9" s="433"/>
      <c r="PNE9" s="433"/>
      <c r="PNF9" s="68"/>
      <c r="PNG9" s="271"/>
      <c r="PNI9" s="272"/>
      <c r="PNJ9" s="272"/>
      <c r="PNK9" s="272"/>
      <c r="PNL9" s="273"/>
      <c r="PNM9" s="432"/>
      <c r="PNN9" s="268"/>
      <c r="PNO9" s="228"/>
      <c r="PNP9" s="433"/>
      <c r="PNQ9" s="433"/>
      <c r="PNR9" s="68"/>
      <c r="PNS9" s="271"/>
      <c r="PNU9" s="272"/>
      <c r="PNV9" s="272"/>
      <c r="PNW9" s="272"/>
      <c r="PNX9" s="273"/>
      <c r="PNY9" s="432"/>
      <c r="PNZ9" s="268"/>
      <c r="POA9" s="228"/>
      <c r="POB9" s="433"/>
      <c r="POC9" s="433"/>
      <c r="POD9" s="68"/>
      <c r="POE9" s="271"/>
      <c r="POG9" s="272"/>
      <c r="POH9" s="272"/>
      <c r="POI9" s="272"/>
      <c r="POJ9" s="273"/>
      <c r="POK9" s="432"/>
      <c r="POL9" s="268"/>
      <c r="POM9" s="228"/>
      <c r="PON9" s="433"/>
      <c r="POO9" s="433"/>
      <c r="POP9" s="68"/>
      <c r="POQ9" s="271"/>
      <c r="POS9" s="272"/>
      <c r="POT9" s="272"/>
      <c r="POU9" s="272"/>
      <c r="POV9" s="273"/>
      <c r="POW9" s="432"/>
      <c r="POX9" s="268"/>
      <c r="POY9" s="228"/>
      <c r="POZ9" s="433"/>
      <c r="PPA9" s="433"/>
      <c r="PPB9" s="68"/>
      <c r="PPC9" s="271"/>
      <c r="PPE9" s="272"/>
      <c r="PPF9" s="272"/>
      <c r="PPG9" s="272"/>
      <c r="PPH9" s="273"/>
      <c r="PPI9" s="432"/>
      <c r="PPJ9" s="268"/>
      <c r="PPK9" s="228"/>
      <c r="PPL9" s="433"/>
      <c r="PPM9" s="433"/>
      <c r="PPN9" s="68"/>
      <c r="PPO9" s="271"/>
      <c r="PPQ9" s="272"/>
      <c r="PPR9" s="272"/>
      <c r="PPS9" s="272"/>
      <c r="PPT9" s="273"/>
      <c r="PPU9" s="432"/>
      <c r="PPV9" s="268"/>
      <c r="PPW9" s="228"/>
      <c r="PPX9" s="433"/>
      <c r="PPY9" s="433"/>
      <c r="PPZ9" s="68"/>
      <c r="PQA9" s="271"/>
      <c r="PQC9" s="272"/>
      <c r="PQD9" s="272"/>
      <c r="PQE9" s="272"/>
      <c r="PQF9" s="273"/>
      <c r="PQG9" s="432"/>
      <c r="PQH9" s="268"/>
      <c r="PQI9" s="228"/>
      <c r="PQJ9" s="433"/>
      <c r="PQK9" s="433"/>
      <c r="PQL9" s="68"/>
      <c r="PQM9" s="271"/>
      <c r="PQO9" s="272"/>
      <c r="PQP9" s="272"/>
      <c r="PQQ9" s="272"/>
      <c r="PQR9" s="273"/>
      <c r="PQS9" s="432"/>
      <c r="PQT9" s="268"/>
      <c r="PQU9" s="228"/>
      <c r="PQV9" s="433"/>
      <c r="PQW9" s="433"/>
      <c r="PQX9" s="68"/>
      <c r="PQY9" s="271"/>
      <c r="PRA9" s="272"/>
      <c r="PRB9" s="272"/>
      <c r="PRC9" s="272"/>
      <c r="PRD9" s="273"/>
      <c r="PRE9" s="432"/>
      <c r="PRF9" s="268"/>
      <c r="PRG9" s="228"/>
      <c r="PRH9" s="433"/>
      <c r="PRI9" s="433"/>
      <c r="PRJ9" s="68"/>
      <c r="PRK9" s="271"/>
      <c r="PRM9" s="272"/>
      <c r="PRN9" s="272"/>
      <c r="PRO9" s="272"/>
      <c r="PRP9" s="273"/>
      <c r="PRQ9" s="432"/>
      <c r="PRR9" s="268"/>
      <c r="PRS9" s="228"/>
      <c r="PRT9" s="433"/>
      <c r="PRU9" s="433"/>
      <c r="PRV9" s="68"/>
      <c r="PRW9" s="271"/>
      <c r="PRY9" s="272"/>
      <c r="PRZ9" s="272"/>
      <c r="PSA9" s="272"/>
      <c r="PSB9" s="273"/>
      <c r="PSC9" s="432"/>
      <c r="PSD9" s="268"/>
      <c r="PSE9" s="228"/>
      <c r="PSF9" s="433"/>
      <c r="PSG9" s="433"/>
      <c r="PSH9" s="68"/>
      <c r="PSI9" s="271"/>
      <c r="PSK9" s="272"/>
      <c r="PSL9" s="272"/>
      <c r="PSM9" s="272"/>
      <c r="PSN9" s="273"/>
      <c r="PSO9" s="432"/>
      <c r="PSP9" s="268"/>
      <c r="PSQ9" s="228"/>
      <c r="PSR9" s="433"/>
      <c r="PSS9" s="433"/>
      <c r="PST9" s="68"/>
      <c r="PSU9" s="271"/>
      <c r="PSW9" s="272"/>
      <c r="PSX9" s="272"/>
      <c r="PSY9" s="272"/>
      <c r="PSZ9" s="273"/>
      <c r="PTA9" s="432"/>
      <c r="PTB9" s="268"/>
      <c r="PTC9" s="228"/>
      <c r="PTD9" s="433"/>
      <c r="PTE9" s="433"/>
      <c r="PTF9" s="68"/>
      <c r="PTG9" s="271"/>
      <c r="PTI9" s="272"/>
      <c r="PTJ9" s="272"/>
      <c r="PTK9" s="272"/>
      <c r="PTL9" s="273"/>
      <c r="PTM9" s="432"/>
      <c r="PTN9" s="268"/>
      <c r="PTO9" s="228"/>
      <c r="PTP9" s="433"/>
      <c r="PTQ9" s="433"/>
      <c r="PTR9" s="68"/>
      <c r="PTS9" s="271"/>
      <c r="PTU9" s="272"/>
      <c r="PTV9" s="272"/>
      <c r="PTW9" s="272"/>
      <c r="PTX9" s="273"/>
      <c r="PTY9" s="432"/>
      <c r="PTZ9" s="268"/>
      <c r="PUA9" s="228"/>
      <c r="PUB9" s="433"/>
      <c r="PUC9" s="433"/>
      <c r="PUD9" s="68"/>
      <c r="PUE9" s="271"/>
      <c r="PUG9" s="272"/>
      <c r="PUH9" s="272"/>
      <c r="PUI9" s="272"/>
      <c r="PUJ9" s="273"/>
      <c r="PUK9" s="432"/>
      <c r="PUL9" s="268"/>
      <c r="PUM9" s="228"/>
      <c r="PUN9" s="433"/>
      <c r="PUO9" s="433"/>
      <c r="PUP9" s="68"/>
      <c r="PUQ9" s="271"/>
      <c r="PUS9" s="272"/>
      <c r="PUT9" s="272"/>
      <c r="PUU9" s="272"/>
      <c r="PUV9" s="273"/>
      <c r="PUW9" s="432"/>
      <c r="PUX9" s="268"/>
      <c r="PUY9" s="228"/>
      <c r="PUZ9" s="433"/>
      <c r="PVA9" s="433"/>
      <c r="PVB9" s="68"/>
      <c r="PVC9" s="271"/>
      <c r="PVE9" s="272"/>
      <c r="PVF9" s="272"/>
      <c r="PVG9" s="272"/>
      <c r="PVH9" s="273"/>
      <c r="PVI9" s="432"/>
      <c r="PVJ9" s="268"/>
      <c r="PVK9" s="228"/>
      <c r="PVL9" s="433"/>
      <c r="PVM9" s="433"/>
      <c r="PVN9" s="68"/>
      <c r="PVO9" s="271"/>
      <c r="PVQ9" s="272"/>
      <c r="PVR9" s="272"/>
      <c r="PVS9" s="272"/>
      <c r="PVT9" s="273"/>
      <c r="PVU9" s="432"/>
      <c r="PVV9" s="268"/>
      <c r="PVW9" s="228"/>
      <c r="PVX9" s="433"/>
      <c r="PVY9" s="433"/>
      <c r="PVZ9" s="68"/>
      <c r="PWA9" s="271"/>
      <c r="PWC9" s="272"/>
      <c r="PWD9" s="272"/>
      <c r="PWE9" s="272"/>
      <c r="PWF9" s="273"/>
      <c r="PWG9" s="432"/>
      <c r="PWH9" s="268"/>
      <c r="PWI9" s="228"/>
      <c r="PWJ9" s="433"/>
      <c r="PWK9" s="433"/>
      <c r="PWL9" s="68"/>
      <c r="PWM9" s="271"/>
      <c r="PWO9" s="272"/>
      <c r="PWP9" s="272"/>
      <c r="PWQ9" s="272"/>
      <c r="PWR9" s="273"/>
      <c r="PWS9" s="432"/>
      <c r="PWT9" s="268"/>
      <c r="PWU9" s="228"/>
      <c r="PWV9" s="433"/>
      <c r="PWW9" s="433"/>
      <c r="PWX9" s="68"/>
      <c r="PWY9" s="271"/>
      <c r="PXA9" s="272"/>
      <c r="PXB9" s="272"/>
      <c r="PXC9" s="272"/>
      <c r="PXD9" s="273"/>
      <c r="PXE9" s="432"/>
      <c r="PXF9" s="268"/>
      <c r="PXG9" s="228"/>
      <c r="PXH9" s="433"/>
      <c r="PXI9" s="433"/>
      <c r="PXJ9" s="68"/>
      <c r="PXK9" s="271"/>
      <c r="PXM9" s="272"/>
      <c r="PXN9" s="272"/>
      <c r="PXO9" s="272"/>
      <c r="PXP9" s="273"/>
      <c r="PXQ9" s="432"/>
      <c r="PXR9" s="268"/>
      <c r="PXS9" s="228"/>
      <c r="PXT9" s="433"/>
      <c r="PXU9" s="433"/>
      <c r="PXV9" s="68"/>
      <c r="PXW9" s="271"/>
      <c r="PXY9" s="272"/>
      <c r="PXZ9" s="272"/>
      <c r="PYA9" s="272"/>
      <c r="PYB9" s="273"/>
      <c r="PYC9" s="432"/>
      <c r="PYD9" s="268"/>
      <c r="PYE9" s="228"/>
      <c r="PYF9" s="433"/>
      <c r="PYG9" s="433"/>
      <c r="PYH9" s="68"/>
      <c r="PYI9" s="271"/>
      <c r="PYK9" s="272"/>
      <c r="PYL9" s="272"/>
      <c r="PYM9" s="272"/>
      <c r="PYN9" s="273"/>
      <c r="PYO9" s="432"/>
      <c r="PYP9" s="268"/>
      <c r="PYQ9" s="228"/>
      <c r="PYR9" s="433"/>
      <c r="PYS9" s="433"/>
      <c r="PYT9" s="68"/>
      <c r="PYU9" s="271"/>
      <c r="PYW9" s="272"/>
      <c r="PYX9" s="272"/>
      <c r="PYY9" s="272"/>
      <c r="PYZ9" s="273"/>
      <c r="PZA9" s="432"/>
      <c r="PZB9" s="268"/>
      <c r="PZC9" s="228"/>
      <c r="PZD9" s="433"/>
      <c r="PZE9" s="433"/>
      <c r="PZF9" s="68"/>
      <c r="PZG9" s="271"/>
      <c r="PZI9" s="272"/>
      <c r="PZJ9" s="272"/>
      <c r="PZK9" s="272"/>
      <c r="PZL9" s="273"/>
      <c r="PZM9" s="432"/>
      <c r="PZN9" s="268"/>
      <c r="PZO9" s="228"/>
      <c r="PZP9" s="433"/>
      <c r="PZQ9" s="433"/>
      <c r="PZR9" s="68"/>
      <c r="PZS9" s="271"/>
      <c r="PZU9" s="272"/>
      <c r="PZV9" s="272"/>
      <c r="PZW9" s="272"/>
      <c r="PZX9" s="273"/>
      <c r="PZY9" s="432"/>
      <c r="PZZ9" s="268"/>
      <c r="QAA9" s="228"/>
      <c r="QAB9" s="433"/>
      <c r="QAC9" s="433"/>
      <c r="QAD9" s="68"/>
      <c r="QAE9" s="271"/>
      <c r="QAG9" s="272"/>
      <c r="QAH9" s="272"/>
      <c r="QAI9" s="272"/>
      <c r="QAJ9" s="273"/>
      <c r="QAK9" s="432"/>
      <c r="QAL9" s="268"/>
      <c r="QAM9" s="228"/>
      <c r="QAN9" s="433"/>
      <c r="QAO9" s="433"/>
      <c r="QAP9" s="68"/>
      <c r="QAQ9" s="271"/>
      <c r="QAS9" s="272"/>
      <c r="QAT9" s="272"/>
      <c r="QAU9" s="272"/>
      <c r="QAV9" s="273"/>
      <c r="QAW9" s="432"/>
      <c r="QAX9" s="268"/>
      <c r="QAY9" s="228"/>
      <c r="QAZ9" s="433"/>
      <c r="QBA9" s="433"/>
      <c r="QBB9" s="68"/>
      <c r="QBC9" s="271"/>
      <c r="QBE9" s="272"/>
      <c r="QBF9" s="272"/>
      <c r="QBG9" s="272"/>
      <c r="QBH9" s="273"/>
      <c r="QBI9" s="432"/>
      <c r="QBJ9" s="268"/>
      <c r="QBK9" s="228"/>
      <c r="QBL9" s="433"/>
      <c r="QBM9" s="433"/>
      <c r="QBN9" s="68"/>
      <c r="QBO9" s="271"/>
      <c r="QBQ9" s="272"/>
      <c r="QBR9" s="272"/>
      <c r="QBS9" s="272"/>
      <c r="QBT9" s="273"/>
      <c r="QBU9" s="432"/>
      <c r="QBV9" s="268"/>
      <c r="QBW9" s="228"/>
      <c r="QBX9" s="433"/>
      <c r="QBY9" s="433"/>
      <c r="QBZ9" s="68"/>
      <c r="QCA9" s="271"/>
      <c r="QCC9" s="272"/>
      <c r="QCD9" s="272"/>
      <c r="QCE9" s="272"/>
      <c r="QCF9" s="273"/>
      <c r="QCG9" s="432"/>
      <c r="QCH9" s="268"/>
      <c r="QCI9" s="228"/>
      <c r="QCJ9" s="433"/>
      <c r="QCK9" s="433"/>
      <c r="QCL9" s="68"/>
      <c r="QCM9" s="271"/>
      <c r="QCO9" s="272"/>
      <c r="QCP9" s="272"/>
      <c r="QCQ9" s="272"/>
      <c r="QCR9" s="273"/>
      <c r="QCS9" s="432"/>
      <c r="QCT9" s="268"/>
      <c r="QCU9" s="228"/>
      <c r="QCV9" s="433"/>
      <c r="QCW9" s="433"/>
      <c r="QCX9" s="68"/>
      <c r="QCY9" s="271"/>
      <c r="QDA9" s="272"/>
      <c r="QDB9" s="272"/>
      <c r="QDC9" s="272"/>
      <c r="QDD9" s="273"/>
      <c r="QDE9" s="432"/>
      <c r="QDF9" s="268"/>
      <c r="QDG9" s="228"/>
      <c r="QDH9" s="433"/>
      <c r="QDI9" s="433"/>
      <c r="QDJ9" s="68"/>
      <c r="QDK9" s="271"/>
      <c r="QDM9" s="272"/>
      <c r="QDN9" s="272"/>
      <c r="QDO9" s="272"/>
      <c r="QDP9" s="273"/>
      <c r="QDQ9" s="432"/>
      <c r="QDR9" s="268"/>
      <c r="QDS9" s="228"/>
      <c r="QDT9" s="433"/>
      <c r="QDU9" s="433"/>
      <c r="QDV9" s="68"/>
      <c r="QDW9" s="271"/>
      <c r="QDY9" s="272"/>
      <c r="QDZ9" s="272"/>
      <c r="QEA9" s="272"/>
      <c r="QEB9" s="273"/>
      <c r="QEC9" s="432"/>
      <c r="QED9" s="268"/>
      <c r="QEE9" s="228"/>
      <c r="QEF9" s="433"/>
      <c r="QEG9" s="433"/>
      <c r="QEH9" s="68"/>
      <c r="QEI9" s="271"/>
      <c r="QEK9" s="272"/>
      <c r="QEL9" s="272"/>
      <c r="QEM9" s="272"/>
      <c r="QEN9" s="273"/>
      <c r="QEO9" s="432"/>
      <c r="QEP9" s="268"/>
      <c r="QEQ9" s="228"/>
      <c r="QER9" s="433"/>
      <c r="QES9" s="433"/>
      <c r="QET9" s="68"/>
      <c r="QEU9" s="271"/>
      <c r="QEW9" s="272"/>
      <c r="QEX9" s="272"/>
      <c r="QEY9" s="272"/>
      <c r="QEZ9" s="273"/>
      <c r="QFA9" s="432"/>
      <c r="QFB9" s="268"/>
      <c r="QFC9" s="228"/>
      <c r="QFD9" s="433"/>
      <c r="QFE9" s="433"/>
      <c r="QFF9" s="68"/>
      <c r="QFG9" s="271"/>
      <c r="QFI9" s="272"/>
      <c r="QFJ9" s="272"/>
      <c r="QFK9" s="272"/>
      <c r="QFL9" s="273"/>
      <c r="QFM9" s="432"/>
      <c r="QFN9" s="268"/>
      <c r="QFO9" s="228"/>
      <c r="QFP9" s="433"/>
      <c r="QFQ9" s="433"/>
      <c r="QFR9" s="68"/>
      <c r="QFS9" s="271"/>
      <c r="QFU9" s="272"/>
      <c r="QFV9" s="272"/>
      <c r="QFW9" s="272"/>
      <c r="QFX9" s="273"/>
      <c r="QFY9" s="432"/>
      <c r="QFZ9" s="268"/>
      <c r="QGA9" s="228"/>
      <c r="QGB9" s="433"/>
      <c r="QGC9" s="433"/>
      <c r="QGD9" s="68"/>
      <c r="QGE9" s="271"/>
      <c r="QGG9" s="272"/>
      <c r="QGH9" s="272"/>
      <c r="QGI9" s="272"/>
      <c r="QGJ9" s="273"/>
      <c r="QGK9" s="432"/>
      <c r="QGL9" s="268"/>
      <c r="QGM9" s="228"/>
      <c r="QGN9" s="433"/>
      <c r="QGO9" s="433"/>
      <c r="QGP9" s="68"/>
      <c r="QGQ9" s="271"/>
      <c r="QGS9" s="272"/>
      <c r="QGT9" s="272"/>
      <c r="QGU9" s="272"/>
      <c r="QGV9" s="273"/>
      <c r="QGW9" s="432"/>
      <c r="QGX9" s="268"/>
      <c r="QGY9" s="228"/>
      <c r="QGZ9" s="433"/>
      <c r="QHA9" s="433"/>
      <c r="QHB9" s="68"/>
      <c r="QHC9" s="271"/>
      <c r="QHE9" s="272"/>
      <c r="QHF9" s="272"/>
      <c r="QHG9" s="272"/>
      <c r="QHH9" s="273"/>
      <c r="QHI9" s="432"/>
      <c r="QHJ9" s="268"/>
      <c r="QHK9" s="228"/>
      <c r="QHL9" s="433"/>
      <c r="QHM9" s="433"/>
      <c r="QHN9" s="68"/>
      <c r="QHO9" s="271"/>
      <c r="QHQ9" s="272"/>
      <c r="QHR9" s="272"/>
      <c r="QHS9" s="272"/>
      <c r="QHT9" s="273"/>
      <c r="QHU9" s="432"/>
      <c r="QHV9" s="268"/>
      <c r="QHW9" s="228"/>
      <c r="QHX9" s="433"/>
      <c r="QHY9" s="433"/>
      <c r="QHZ9" s="68"/>
      <c r="QIA9" s="271"/>
      <c r="QIC9" s="272"/>
      <c r="QID9" s="272"/>
      <c r="QIE9" s="272"/>
      <c r="QIF9" s="273"/>
      <c r="QIG9" s="432"/>
      <c r="QIH9" s="268"/>
      <c r="QII9" s="228"/>
      <c r="QIJ9" s="433"/>
      <c r="QIK9" s="433"/>
      <c r="QIL9" s="68"/>
      <c r="QIM9" s="271"/>
      <c r="QIO9" s="272"/>
      <c r="QIP9" s="272"/>
      <c r="QIQ9" s="272"/>
      <c r="QIR9" s="273"/>
      <c r="QIS9" s="432"/>
      <c r="QIT9" s="268"/>
      <c r="QIU9" s="228"/>
      <c r="QIV9" s="433"/>
      <c r="QIW9" s="433"/>
      <c r="QIX9" s="68"/>
      <c r="QIY9" s="271"/>
      <c r="QJA9" s="272"/>
      <c r="QJB9" s="272"/>
      <c r="QJC9" s="272"/>
      <c r="QJD9" s="273"/>
      <c r="QJE9" s="432"/>
      <c r="QJF9" s="268"/>
      <c r="QJG9" s="228"/>
      <c r="QJH9" s="433"/>
      <c r="QJI9" s="433"/>
      <c r="QJJ9" s="68"/>
      <c r="QJK9" s="271"/>
      <c r="QJM9" s="272"/>
      <c r="QJN9" s="272"/>
      <c r="QJO9" s="272"/>
      <c r="QJP9" s="273"/>
      <c r="QJQ9" s="432"/>
      <c r="QJR9" s="268"/>
      <c r="QJS9" s="228"/>
      <c r="QJT9" s="433"/>
      <c r="QJU9" s="433"/>
      <c r="QJV9" s="68"/>
      <c r="QJW9" s="271"/>
      <c r="QJY9" s="272"/>
      <c r="QJZ9" s="272"/>
      <c r="QKA9" s="272"/>
      <c r="QKB9" s="273"/>
      <c r="QKC9" s="432"/>
      <c r="QKD9" s="268"/>
      <c r="QKE9" s="228"/>
      <c r="QKF9" s="433"/>
      <c r="QKG9" s="433"/>
      <c r="QKH9" s="68"/>
      <c r="QKI9" s="271"/>
      <c r="QKK9" s="272"/>
      <c r="QKL9" s="272"/>
      <c r="QKM9" s="272"/>
      <c r="QKN9" s="273"/>
      <c r="QKO9" s="432"/>
      <c r="QKP9" s="268"/>
      <c r="QKQ9" s="228"/>
      <c r="QKR9" s="433"/>
      <c r="QKS9" s="433"/>
      <c r="QKT9" s="68"/>
      <c r="QKU9" s="271"/>
      <c r="QKW9" s="272"/>
      <c r="QKX9" s="272"/>
      <c r="QKY9" s="272"/>
      <c r="QKZ9" s="273"/>
      <c r="QLA9" s="432"/>
      <c r="QLB9" s="268"/>
      <c r="QLC9" s="228"/>
      <c r="QLD9" s="433"/>
      <c r="QLE9" s="433"/>
      <c r="QLF9" s="68"/>
      <c r="QLG9" s="271"/>
      <c r="QLI9" s="272"/>
      <c r="QLJ9" s="272"/>
      <c r="QLK9" s="272"/>
      <c r="QLL9" s="273"/>
      <c r="QLM9" s="432"/>
      <c r="QLN9" s="268"/>
      <c r="QLO9" s="228"/>
      <c r="QLP9" s="433"/>
      <c r="QLQ9" s="433"/>
      <c r="QLR9" s="68"/>
      <c r="QLS9" s="271"/>
      <c r="QLU9" s="272"/>
      <c r="QLV9" s="272"/>
      <c r="QLW9" s="272"/>
      <c r="QLX9" s="273"/>
      <c r="QLY9" s="432"/>
      <c r="QLZ9" s="268"/>
      <c r="QMA9" s="228"/>
      <c r="QMB9" s="433"/>
      <c r="QMC9" s="433"/>
      <c r="QMD9" s="68"/>
      <c r="QME9" s="271"/>
      <c r="QMG9" s="272"/>
      <c r="QMH9" s="272"/>
      <c r="QMI9" s="272"/>
      <c r="QMJ9" s="273"/>
      <c r="QMK9" s="432"/>
      <c r="QML9" s="268"/>
      <c r="QMM9" s="228"/>
      <c r="QMN9" s="433"/>
      <c r="QMO9" s="433"/>
      <c r="QMP9" s="68"/>
      <c r="QMQ9" s="271"/>
      <c r="QMS9" s="272"/>
      <c r="QMT9" s="272"/>
      <c r="QMU9" s="272"/>
      <c r="QMV9" s="273"/>
      <c r="QMW9" s="432"/>
      <c r="QMX9" s="268"/>
      <c r="QMY9" s="228"/>
      <c r="QMZ9" s="433"/>
      <c r="QNA9" s="433"/>
      <c r="QNB9" s="68"/>
      <c r="QNC9" s="271"/>
      <c r="QNE9" s="272"/>
      <c r="QNF9" s="272"/>
      <c r="QNG9" s="272"/>
      <c r="QNH9" s="273"/>
      <c r="QNI9" s="432"/>
      <c r="QNJ9" s="268"/>
      <c r="QNK9" s="228"/>
      <c r="QNL9" s="433"/>
      <c r="QNM9" s="433"/>
      <c r="QNN9" s="68"/>
      <c r="QNO9" s="271"/>
      <c r="QNQ9" s="272"/>
      <c r="QNR9" s="272"/>
      <c r="QNS9" s="272"/>
      <c r="QNT9" s="273"/>
      <c r="QNU9" s="432"/>
      <c r="QNV9" s="268"/>
      <c r="QNW9" s="228"/>
      <c r="QNX9" s="433"/>
      <c r="QNY9" s="433"/>
      <c r="QNZ9" s="68"/>
      <c r="QOA9" s="271"/>
      <c r="QOC9" s="272"/>
      <c r="QOD9" s="272"/>
      <c r="QOE9" s="272"/>
      <c r="QOF9" s="273"/>
      <c r="QOG9" s="432"/>
      <c r="QOH9" s="268"/>
      <c r="QOI9" s="228"/>
      <c r="QOJ9" s="433"/>
      <c r="QOK9" s="433"/>
      <c r="QOL9" s="68"/>
      <c r="QOM9" s="271"/>
      <c r="QOO9" s="272"/>
      <c r="QOP9" s="272"/>
      <c r="QOQ9" s="272"/>
      <c r="QOR9" s="273"/>
      <c r="QOS9" s="432"/>
      <c r="QOT9" s="268"/>
      <c r="QOU9" s="228"/>
      <c r="QOV9" s="433"/>
      <c r="QOW9" s="433"/>
      <c r="QOX9" s="68"/>
      <c r="QOY9" s="271"/>
      <c r="QPA9" s="272"/>
      <c r="QPB9" s="272"/>
      <c r="QPC9" s="272"/>
      <c r="QPD9" s="273"/>
      <c r="QPE9" s="432"/>
      <c r="QPF9" s="268"/>
      <c r="QPG9" s="228"/>
      <c r="QPH9" s="433"/>
      <c r="QPI9" s="433"/>
      <c r="QPJ9" s="68"/>
      <c r="QPK9" s="271"/>
      <c r="QPM9" s="272"/>
      <c r="QPN9" s="272"/>
      <c r="QPO9" s="272"/>
      <c r="QPP9" s="273"/>
      <c r="QPQ9" s="432"/>
      <c r="QPR9" s="268"/>
      <c r="QPS9" s="228"/>
      <c r="QPT9" s="433"/>
      <c r="QPU9" s="433"/>
      <c r="QPV9" s="68"/>
      <c r="QPW9" s="271"/>
      <c r="QPY9" s="272"/>
      <c r="QPZ9" s="272"/>
      <c r="QQA9" s="272"/>
      <c r="QQB9" s="273"/>
      <c r="QQC9" s="432"/>
      <c r="QQD9" s="268"/>
      <c r="QQE9" s="228"/>
      <c r="QQF9" s="433"/>
      <c r="QQG9" s="433"/>
      <c r="QQH9" s="68"/>
      <c r="QQI9" s="271"/>
      <c r="QQK9" s="272"/>
      <c r="QQL9" s="272"/>
      <c r="QQM9" s="272"/>
      <c r="QQN9" s="273"/>
      <c r="QQO9" s="432"/>
      <c r="QQP9" s="268"/>
      <c r="QQQ9" s="228"/>
      <c r="QQR9" s="433"/>
      <c r="QQS9" s="433"/>
      <c r="QQT9" s="68"/>
      <c r="QQU9" s="271"/>
      <c r="QQW9" s="272"/>
      <c r="QQX9" s="272"/>
      <c r="QQY9" s="272"/>
      <c r="QQZ9" s="273"/>
      <c r="QRA9" s="432"/>
      <c r="QRB9" s="268"/>
      <c r="QRC9" s="228"/>
      <c r="QRD9" s="433"/>
      <c r="QRE9" s="433"/>
      <c r="QRF9" s="68"/>
      <c r="QRG9" s="271"/>
      <c r="QRI9" s="272"/>
      <c r="QRJ9" s="272"/>
      <c r="QRK9" s="272"/>
      <c r="QRL9" s="273"/>
      <c r="QRM9" s="432"/>
      <c r="QRN9" s="268"/>
      <c r="QRO9" s="228"/>
      <c r="QRP9" s="433"/>
      <c r="QRQ9" s="433"/>
      <c r="QRR9" s="68"/>
      <c r="QRS9" s="271"/>
      <c r="QRU9" s="272"/>
      <c r="QRV9" s="272"/>
      <c r="QRW9" s="272"/>
      <c r="QRX9" s="273"/>
      <c r="QRY9" s="432"/>
      <c r="QRZ9" s="268"/>
      <c r="QSA9" s="228"/>
      <c r="QSB9" s="433"/>
      <c r="QSC9" s="433"/>
      <c r="QSD9" s="68"/>
      <c r="QSE9" s="271"/>
      <c r="QSG9" s="272"/>
      <c r="QSH9" s="272"/>
      <c r="QSI9" s="272"/>
      <c r="QSJ9" s="273"/>
      <c r="QSK9" s="432"/>
      <c r="QSL9" s="268"/>
      <c r="QSM9" s="228"/>
      <c r="QSN9" s="433"/>
      <c r="QSO9" s="433"/>
      <c r="QSP9" s="68"/>
      <c r="QSQ9" s="271"/>
      <c r="QSS9" s="272"/>
      <c r="QST9" s="272"/>
      <c r="QSU9" s="272"/>
      <c r="QSV9" s="273"/>
      <c r="QSW9" s="432"/>
      <c r="QSX9" s="268"/>
      <c r="QSY9" s="228"/>
      <c r="QSZ9" s="433"/>
      <c r="QTA9" s="433"/>
      <c r="QTB9" s="68"/>
      <c r="QTC9" s="271"/>
      <c r="QTE9" s="272"/>
      <c r="QTF9" s="272"/>
      <c r="QTG9" s="272"/>
      <c r="QTH9" s="273"/>
      <c r="QTI9" s="432"/>
      <c r="QTJ9" s="268"/>
      <c r="QTK9" s="228"/>
      <c r="QTL9" s="433"/>
      <c r="QTM9" s="433"/>
      <c r="QTN9" s="68"/>
      <c r="QTO9" s="271"/>
      <c r="QTQ9" s="272"/>
      <c r="QTR9" s="272"/>
      <c r="QTS9" s="272"/>
      <c r="QTT9" s="273"/>
      <c r="QTU9" s="432"/>
      <c r="QTV9" s="268"/>
      <c r="QTW9" s="228"/>
      <c r="QTX9" s="433"/>
      <c r="QTY9" s="433"/>
      <c r="QTZ9" s="68"/>
      <c r="QUA9" s="271"/>
      <c r="QUC9" s="272"/>
      <c r="QUD9" s="272"/>
      <c r="QUE9" s="272"/>
      <c r="QUF9" s="273"/>
      <c r="QUG9" s="432"/>
      <c r="QUH9" s="268"/>
      <c r="QUI9" s="228"/>
      <c r="QUJ9" s="433"/>
      <c r="QUK9" s="433"/>
      <c r="QUL9" s="68"/>
      <c r="QUM9" s="271"/>
      <c r="QUO9" s="272"/>
      <c r="QUP9" s="272"/>
      <c r="QUQ9" s="272"/>
      <c r="QUR9" s="273"/>
      <c r="QUS9" s="432"/>
      <c r="QUT9" s="268"/>
      <c r="QUU9" s="228"/>
      <c r="QUV9" s="433"/>
      <c r="QUW9" s="433"/>
      <c r="QUX9" s="68"/>
      <c r="QUY9" s="271"/>
      <c r="QVA9" s="272"/>
      <c r="QVB9" s="272"/>
      <c r="QVC9" s="272"/>
      <c r="QVD9" s="273"/>
      <c r="QVE9" s="432"/>
      <c r="QVF9" s="268"/>
      <c r="QVG9" s="228"/>
      <c r="QVH9" s="433"/>
      <c r="QVI9" s="433"/>
      <c r="QVJ9" s="68"/>
      <c r="QVK9" s="271"/>
      <c r="QVM9" s="272"/>
      <c r="QVN9" s="272"/>
      <c r="QVO9" s="272"/>
      <c r="QVP9" s="273"/>
      <c r="QVQ9" s="432"/>
      <c r="QVR9" s="268"/>
      <c r="QVS9" s="228"/>
      <c r="QVT9" s="433"/>
      <c r="QVU9" s="433"/>
      <c r="QVV9" s="68"/>
      <c r="QVW9" s="271"/>
      <c r="QVY9" s="272"/>
      <c r="QVZ9" s="272"/>
      <c r="QWA9" s="272"/>
      <c r="QWB9" s="273"/>
      <c r="QWC9" s="432"/>
      <c r="QWD9" s="268"/>
      <c r="QWE9" s="228"/>
      <c r="QWF9" s="433"/>
      <c r="QWG9" s="433"/>
      <c r="QWH9" s="68"/>
      <c r="QWI9" s="271"/>
      <c r="QWK9" s="272"/>
      <c r="QWL9" s="272"/>
      <c r="QWM9" s="272"/>
      <c r="QWN9" s="273"/>
      <c r="QWO9" s="432"/>
      <c r="QWP9" s="268"/>
      <c r="QWQ9" s="228"/>
      <c r="QWR9" s="433"/>
      <c r="QWS9" s="433"/>
      <c r="QWT9" s="68"/>
      <c r="QWU9" s="271"/>
      <c r="QWW9" s="272"/>
      <c r="QWX9" s="272"/>
      <c r="QWY9" s="272"/>
      <c r="QWZ9" s="273"/>
      <c r="QXA9" s="432"/>
      <c r="QXB9" s="268"/>
      <c r="QXC9" s="228"/>
      <c r="QXD9" s="433"/>
      <c r="QXE9" s="433"/>
      <c r="QXF9" s="68"/>
      <c r="QXG9" s="271"/>
      <c r="QXI9" s="272"/>
      <c r="QXJ9" s="272"/>
      <c r="QXK9" s="272"/>
      <c r="QXL9" s="273"/>
      <c r="QXM9" s="432"/>
      <c r="QXN9" s="268"/>
      <c r="QXO9" s="228"/>
      <c r="QXP9" s="433"/>
      <c r="QXQ9" s="433"/>
      <c r="QXR9" s="68"/>
      <c r="QXS9" s="271"/>
      <c r="QXU9" s="272"/>
      <c r="QXV9" s="272"/>
      <c r="QXW9" s="272"/>
      <c r="QXX9" s="273"/>
      <c r="QXY9" s="432"/>
      <c r="QXZ9" s="268"/>
      <c r="QYA9" s="228"/>
      <c r="QYB9" s="433"/>
      <c r="QYC9" s="433"/>
      <c r="QYD9" s="68"/>
      <c r="QYE9" s="271"/>
      <c r="QYG9" s="272"/>
      <c r="QYH9" s="272"/>
      <c r="QYI9" s="272"/>
      <c r="QYJ9" s="273"/>
      <c r="QYK9" s="432"/>
      <c r="QYL9" s="268"/>
      <c r="QYM9" s="228"/>
      <c r="QYN9" s="433"/>
      <c r="QYO9" s="433"/>
      <c r="QYP9" s="68"/>
      <c r="QYQ9" s="271"/>
      <c r="QYS9" s="272"/>
      <c r="QYT9" s="272"/>
      <c r="QYU9" s="272"/>
      <c r="QYV9" s="273"/>
      <c r="QYW9" s="432"/>
      <c r="QYX9" s="268"/>
      <c r="QYY9" s="228"/>
      <c r="QYZ9" s="433"/>
      <c r="QZA9" s="433"/>
      <c r="QZB9" s="68"/>
      <c r="QZC9" s="271"/>
      <c r="QZE9" s="272"/>
      <c r="QZF9" s="272"/>
      <c r="QZG9" s="272"/>
      <c r="QZH9" s="273"/>
      <c r="QZI9" s="432"/>
      <c r="QZJ9" s="268"/>
      <c r="QZK9" s="228"/>
      <c r="QZL9" s="433"/>
      <c r="QZM9" s="433"/>
      <c r="QZN9" s="68"/>
      <c r="QZO9" s="271"/>
      <c r="QZQ9" s="272"/>
      <c r="QZR9" s="272"/>
      <c r="QZS9" s="272"/>
      <c r="QZT9" s="273"/>
      <c r="QZU9" s="432"/>
      <c r="QZV9" s="268"/>
      <c r="QZW9" s="228"/>
      <c r="QZX9" s="433"/>
      <c r="QZY9" s="433"/>
      <c r="QZZ9" s="68"/>
      <c r="RAA9" s="271"/>
      <c r="RAC9" s="272"/>
      <c r="RAD9" s="272"/>
      <c r="RAE9" s="272"/>
      <c r="RAF9" s="273"/>
      <c r="RAG9" s="432"/>
      <c r="RAH9" s="268"/>
      <c r="RAI9" s="228"/>
      <c r="RAJ9" s="433"/>
      <c r="RAK9" s="433"/>
      <c r="RAL9" s="68"/>
      <c r="RAM9" s="271"/>
      <c r="RAO9" s="272"/>
      <c r="RAP9" s="272"/>
      <c r="RAQ9" s="272"/>
      <c r="RAR9" s="273"/>
      <c r="RAS9" s="432"/>
      <c r="RAT9" s="268"/>
      <c r="RAU9" s="228"/>
      <c r="RAV9" s="433"/>
      <c r="RAW9" s="433"/>
      <c r="RAX9" s="68"/>
      <c r="RAY9" s="271"/>
      <c r="RBA9" s="272"/>
      <c r="RBB9" s="272"/>
      <c r="RBC9" s="272"/>
      <c r="RBD9" s="273"/>
      <c r="RBE9" s="432"/>
      <c r="RBF9" s="268"/>
      <c r="RBG9" s="228"/>
      <c r="RBH9" s="433"/>
      <c r="RBI9" s="433"/>
      <c r="RBJ9" s="68"/>
      <c r="RBK9" s="271"/>
      <c r="RBM9" s="272"/>
      <c r="RBN9" s="272"/>
      <c r="RBO9" s="272"/>
      <c r="RBP9" s="273"/>
      <c r="RBQ9" s="432"/>
      <c r="RBR9" s="268"/>
      <c r="RBS9" s="228"/>
      <c r="RBT9" s="433"/>
      <c r="RBU9" s="433"/>
      <c r="RBV9" s="68"/>
      <c r="RBW9" s="271"/>
      <c r="RBY9" s="272"/>
      <c r="RBZ9" s="272"/>
      <c r="RCA9" s="272"/>
      <c r="RCB9" s="273"/>
      <c r="RCC9" s="432"/>
      <c r="RCD9" s="268"/>
      <c r="RCE9" s="228"/>
      <c r="RCF9" s="433"/>
      <c r="RCG9" s="433"/>
      <c r="RCH9" s="68"/>
      <c r="RCI9" s="271"/>
      <c r="RCK9" s="272"/>
      <c r="RCL9" s="272"/>
      <c r="RCM9" s="272"/>
      <c r="RCN9" s="273"/>
      <c r="RCO9" s="432"/>
      <c r="RCP9" s="268"/>
      <c r="RCQ9" s="228"/>
      <c r="RCR9" s="433"/>
      <c r="RCS9" s="433"/>
      <c r="RCT9" s="68"/>
      <c r="RCU9" s="271"/>
      <c r="RCW9" s="272"/>
      <c r="RCX9" s="272"/>
      <c r="RCY9" s="272"/>
      <c r="RCZ9" s="273"/>
      <c r="RDA9" s="432"/>
      <c r="RDB9" s="268"/>
      <c r="RDC9" s="228"/>
      <c r="RDD9" s="433"/>
      <c r="RDE9" s="433"/>
      <c r="RDF9" s="68"/>
      <c r="RDG9" s="271"/>
      <c r="RDI9" s="272"/>
      <c r="RDJ9" s="272"/>
      <c r="RDK9" s="272"/>
      <c r="RDL9" s="273"/>
      <c r="RDM9" s="432"/>
      <c r="RDN9" s="268"/>
      <c r="RDO9" s="228"/>
      <c r="RDP9" s="433"/>
      <c r="RDQ9" s="433"/>
      <c r="RDR9" s="68"/>
      <c r="RDS9" s="271"/>
      <c r="RDU9" s="272"/>
      <c r="RDV9" s="272"/>
      <c r="RDW9" s="272"/>
      <c r="RDX9" s="273"/>
      <c r="RDY9" s="432"/>
      <c r="RDZ9" s="268"/>
      <c r="REA9" s="228"/>
      <c r="REB9" s="433"/>
      <c r="REC9" s="433"/>
      <c r="RED9" s="68"/>
      <c r="REE9" s="271"/>
      <c r="REG9" s="272"/>
      <c r="REH9" s="272"/>
      <c r="REI9" s="272"/>
      <c r="REJ9" s="273"/>
      <c r="REK9" s="432"/>
      <c r="REL9" s="268"/>
      <c r="REM9" s="228"/>
      <c r="REN9" s="433"/>
      <c r="REO9" s="433"/>
      <c r="REP9" s="68"/>
      <c r="REQ9" s="271"/>
      <c r="RES9" s="272"/>
      <c r="RET9" s="272"/>
      <c r="REU9" s="272"/>
      <c r="REV9" s="273"/>
      <c r="REW9" s="432"/>
      <c r="REX9" s="268"/>
      <c r="REY9" s="228"/>
      <c r="REZ9" s="433"/>
      <c r="RFA9" s="433"/>
      <c r="RFB9" s="68"/>
      <c r="RFC9" s="271"/>
      <c r="RFE9" s="272"/>
      <c r="RFF9" s="272"/>
      <c r="RFG9" s="272"/>
      <c r="RFH9" s="273"/>
      <c r="RFI9" s="432"/>
      <c r="RFJ9" s="268"/>
      <c r="RFK9" s="228"/>
      <c r="RFL9" s="433"/>
      <c r="RFM9" s="433"/>
      <c r="RFN9" s="68"/>
      <c r="RFO9" s="271"/>
      <c r="RFQ9" s="272"/>
      <c r="RFR9" s="272"/>
      <c r="RFS9" s="272"/>
      <c r="RFT9" s="273"/>
      <c r="RFU9" s="432"/>
      <c r="RFV9" s="268"/>
      <c r="RFW9" s="228"/>
      <c r="RFX9" s="433"/>
      <c r="RFY9" s="433"/>
      <c r="RFZ9" s="68"/>
      <c r="RGA9" s="271"/>
      <c r="RGC9" s="272"/>
      <c r="RGD9" s="272"/>
      <c r="RGE9" s="272"/>
      <c r="RGF9" s="273"/>
      <c r="RGG9" s="432"/>
      <c r="RGH9" s="268"/>
      <c r="RGI9" s="228"/>
      <c r="RGJ9" s="433"/>
      <c r="RGK9" s="433"/>
      <c r="RGL9" s="68"/>
      <c r="RGM9" s="271"/>
      <c r="RGO9" s="272"/>
      <c r="RGP9" s="272"/>
      <c r="RGQ9" s="272"/>
      <c r="RGR9" s="273"/>
      <c r="RGS9" s="432"/>
      <c r="RGT9" s="268"/>
      <c r="RGU9" s="228"/>
      <c r="RGV9" s="433"/>
      <c r="RGW9" s="433"/>
      <c r="RGX9" s="68"/>
      <c r="RGY9" s="271"/>
      <c r="RHA9" s="272"/>
      <c r="RHB9" s="272"/>
      <c r="RHC9" s="272"/>
      <c r="RHD9" s="273"/>
      <c r="RHE9" s="432"/>
      <c r="RHF9" s="268"/>
      <c r="RHG9" s="228"/>
      <c r="RHH9" s="433"/>
      <c r="RHI9" s="433"/>
      <c r="RHJ9" s="68"/>
      <c r="RHK9" s="271"/>
      <c r="RHM9" s="272"/>
      <c r="RHN9" s="272"/>
      <c r="RHO9" s="272"/>
      <c r="RHP9" s="273"/>
      <c r="RHQ9" s="432"/>
      <c r="RHR9" s="268"/>
      <c r="RHS9" s="228"/>
      <c r="RHT9" s="433"/>
      <c r="RHU9" s="433"/>
      <c r="RHV9" s="68"/>
      <c r="RHW9" s="271"/>
      <c r="RHY9" s="272"/>
      <c r="RHZ9" s="272"/>
      <c r="RIA9" s="272"/>
      <c r="RIB9" s="273"/>
      <c r="RIC9" s="432"/>
      <c r="RID9" s="268"/>
      <c r="RIE9" s="228"/>
      <c r="RIF9" s="433"/>
      <c r="RIG9" s="433"/>
      <c r="RIH9" s="68"/>
      <c r="RII9" s="271"/>
      <c r="RIK9" s="272"/>
      <c r="RIL9" s="272"/>
      <c r="RIM9" s="272"/>
      <c r="RIN9" s="273"/>
      <c r="RIO9" s="432"/>
      <c r="RIP9" s="268"/>
      <c r="RIQ9" s="228"/>
      <c r="RIR9" s="433"/>
      <c r="RIS9" s="433"/>
      <c r="RIT9" s="68"/>
      <c r="RIU9" s="271"/>
      <c r="RIW9" s="272"/>
      <c r="RIX9" s="272"/>
      <c r="RIY9" s="272"/>
      <c r="RIZ9" s="273"/>
      <c r="RJA9" s="432"/>
      <c r="RJB9" s="268"/>
      <c r="RJC9" s="228"/>
      <c r="RJD9" s="433"/>
      <c r="RJE9" s="433"/>
      <c r="RJF9" s="68"/>
      <c r="RJG9" s="271"/>
      <c r="RJI9" s="272"/>
      <c r="RJJ9" s="272"/>
      <c r="RJK9" s="272"/>
      <c r="RJL9" s="273"/>
      <c r="RJM9" s="432"/>
      <c r="RJN9" s="268"/>
      <c r="RJO9" s="228"/>
      <c r="RJP9" s="433"/>
      <c r="RJQ9" s="433"/>
      <c r="RJR9" s="68"/>
      <c r="RJS9" s="271"/>
      <c r="RJU9" s="272"/>
      <c r="RJV9" s="272"/>
      <c r="RJW9" s="272"/>
      <c r="RJX9" s="273"/>
      <c r="RJY9" s="432"/>
      <c r="RJZ9" s="268"/>
      <c r="RKA9" s="228"/>
      <c r="RKB9" s="433"/>
      <c r="RKC9" s="433"/>
      <c r="RKD9" s="68"/>
      <c r="RKE9" s="271"/>
      <c r="RKG9" s="272"/>
      <c r="RKH9" s="272"/>
      <c r="RKI9" s="272"/>
      <c r="RKJ9" s="273"/>
      <c r="RKK9" s="432"/>
      <c r="RKL9" s="268"/>
      <c r="RKM9" s="228"/>
      <c r="RKN9" s="433"/>
      <c r="RKO9" s="433"/>
      <c r="RKP9" s="68"/>
      <c r="RKQ9" s="271"/>
      <c r="RKS9" s="272"/>
      <c r="RKT9" s="272"/>
      <c r="RKU9" s="272"/>
      <c r="RKV9" s="273"/>
      <c r="RKW9" s="432"/>
      <c r="RKX9" s="268"/>
      <c r="RKY9" s="228"/>
      <c r="RKZ9" s="433"/>
      <c r="RLA9" s="433"/>
      <c r="RLB9" s="68"/>
      <c r="RLC9" s="271"/>
      <c r="RLE9" s="272"/>
      <c r="RLF9" s="272"/>
      <c r="RLG9" s="272"/>
      <c r="RLH9" s="273"/>
      <c r="RLI9" s="432"/>
      <c r="RLJ9" s="268"/>
      <c r="RLK9" s="228"/>
      <c r="RLL9" s="433"/>
      <c r="RLM9" s="433"/>
      <c r="RLN9" s="68"/>
      <c r="RLO9" s="271"/>
      <c r="RLQ9" s="272"/>
      <c r="RLR9" s="272"/>
      <c r="RLS9" s="272"/>
      <c r="RLT9" s="273"/>
      <c r="RLU9" s="432"/>
      <c r="RLV9" s="268"/>
      <c r="RLW9" s="228"/>
      <c r="RLX9" s="433"/>
      <c r="RLY9" s="433"/>
      <c r="RLZ9" s="68"/>
      <c r="RMA9" s="271"/>
      <c r="RMC9" s="272"/>
      <c r="RMD9" s="272"/>
      <c r="RME9" s="272"/>
      <c r="RMF9" s="273"/>
      <c r="RMG9" s="432"/>
      <c r="RMH9" s="268"/>
      <c r="RMI9" s="228"/>
      <c r="RMJ9" s="433"/>
      <c r="RMK9" s="433"/>
      <c r="RML9" s="68"/>
      <c r="RMM9" s="271"/>
      <c r="RMO9" s="272"/>
      <c r="RMP9" s="272"/>
      <c r="RMQ9" s="272"/>
      <c r="RMR9" s="273"/>
      <c r="RMS9" s="432"/>
      <c r="RMT9" s="268"/>
      <c r="RMU9" s="228"/>
      <c r="RMV9" s="433"/>
      <c r="RMW9" s="433"/>
      <c r="RMX9" s="68"/>
      <c r="RMY9" s="271"/>
      <c r="RNA9" s="272"/>
      <c r="RNB9" s="272"/>
      <c r="RNC9" s="272"/>
      <c r="RND9" s="273"/>
      <c r="RNE9" s="432"/>
      <c r="RNF9" s="268"/>
      <c r="RNG9" s="228"/>
      <c r="RNH9" s="433"/>
      <c r="RNI9" s="433"/>
      <c r="RNJ9" s="68"/>
      <c r="RNK9" s="271"/>
      <c r="RNM9" s="272"/>
      <c r="RNN9" s="272"/>
      <c r="RNO9" s="272"/>
      <c r="RNP9" s="273"/>
      <c r="RNQ9" s="432"/>
      <c r="RNR9" s="268"/>
      <c r="RNS9" s="228"/>
      <c r="RNT9" s="433"/>
      <c r="RNU9" s="433"/>
      <c r="RNV9" s="68"/>
      <c r="RNW9" s="271"/>
      <c r="RNY9" s="272"/>
      <c r="RNZ9" s="272"/>
      <c r="ROA9" s="272"/>
      <c r="ROB9" s="273"/>
      <c r="ROC9" s="432"/>
      <c r="ROD9" s="268"/>
      <c r="ROE9" s="228"/>
      <c r="ROF9" s="433"/>
      <c r="ROG9" s="433"/>
      <c r="ROH9" s="68"/>
      <c r="ROI9" s="271"/>
      <c r="ROK9" s="272"/>
      <c r="ROL9" s="272"/>
      <c r="ROM9" s="272"/>
      <c r="RON9" s="273"/>
      <c r="ROO9" s="432"/>
      <c r="ROP9" s="268"/>
      <c r="ROQ9" s="228"/>
      <c r="ROR9" s="433"/>
      <c r="ROS9" s="433"/>
      <c r="ROT9" s="68"/>
      <c r="ROU9" s="271"/>
      <c r="ROW9" s="272"/>
      <c r="ROX9" s="272"/>
      <c r="ROY9" s="272"/>
      <c r="ROZ9" s="273"/>
      <c r="RPA9" s="432"/>
      <c r="RPB9" s="268"/>
      <c r="RPC9" s="228"/>
      <c r="RPD9" s="433"/>
      <c r="RPE9" s="433"/>
      <c r="RPF9" s="68"/>
      <c r="RPG9" s="271"/>
      <c r="RPI9" s="272"/>
      <c r="RPJ9" s="272"/>
      <c r="RPK9" s="272"/>
      <c r="RPL9" s="273"/>
      <c r="RPM9" s="432"/>
      <c r="RPN9" s="268"/>
      <c r="RPO9" s="228"/>
      <c r="RPP9" s="433"/>
      <c r="RPQ9" s="433"/>
      <c r="RPR9" s="68"/>
      <c r="RPS9" s="271"/>
      <c r="RPU9" s="272"/>
      <c r="RPV9" s="272"/>
      <c r="RPW9" s="272"/>
      <c r="RPX9" s="273"/>
      <c r="RPY9" s="432"/>
      <c r="RPZ9" s="268"/>
      <c r="RQA9" s="228"/>
      <c r="RQB9" s="433"/>
      <c r="RQC9" s="433"/>
      <c r="RQD9" s="68"/>
      <c r="RQE9" s="271"/>
      <c r="RQG9" s="272"/>
      <c r="RQH9" s="272"/>
      <c r="RQI9" s="272"/>
      <c r="RQJ9" s="273"/>
      <c r="RQK9" s="432"/>
      <c r="RQL9" s="268"/>
      <c r="RQM9" s="228"/>
      <c r="RQN9" s="433"/>
      <c r="RQO9" s="433"/>
      <c r="RQP9" s="68"/>
      <c r="RQQ9" s="271"/>
      <c r="RQS9" s="272"/>
      <c r="RQT9" s="272"/>
      <c r="RQU9" s="272"/>
      <c r="RQV9" s="273"/>
      <c r="RQW9" s="432"/>
      <c r="RQX9" s="268"/>
      <c r="RQY9" s="228"/>
      <c r="RQZ9" s="433"/>
      <c r="RRA9" s="433"/>
      <c r="RRB9" s="68"/>
      <c r="RRC9" s="271"/>
      <c r="RRE9" s="272"/>
      <c r="RRF9" s="272"/>
      <c r="RRG9" s="272"/>
      <c r="RRH9" s="273"/>
      <c r="RRI9" s="432"/>
      <c r="RRJ9" s="268"/>
      <c r="RRK9" s="228"/>
      <c r="RRL9" s="433"/>
      <c r="RRM9" s="433"/>
      <c r="RRN9" s="68"/>
      <c r="RRO9" s="271"/>
      <c r="RRQ9" s="272"/>
      <c r="RRR9" s="272"/>
      <c r="RRS9" s="272"/>
      <c r="RRT9" s="273"/>
      <c r="RRU9" s="432"/>
      <c r="RRV9" s="268"/>
      <c r="RRW9" s="228"/>
      <c r="RRX9" s="433"/>
      <c r="RRY9" s="433"/>
      <c r="RRZ9" s="68"/>
      <c r="RSA9" s="271"/>
      <c r="RSC9" s="272"/>
      <c r="RSD9" s="272"/>
      <c r="RSE9" s="272"/>
      <c r="RSF9" s="273"/>
      <c r="RSG9" s="432"/>
      <c r="RSH9" s="268"/>
      <c r="RSI9" s="228"/>
      <c r="RSJ9" s="433"/>
      <c r="RSK9" s="433"/>
      <c r="RSL9" s="68"/>
      <c r="RSM9" s="271"/>
      <c r="RSO9" s="272"/>
      <c r="RSP9" s="272"/>
      <c r="RSQ9" s="272"/>
      <c r="RSR9" s="273"/>
      <c r="RSS9" s="432"/>
      <c r="RST9" s="268"/>
      <c r="RSU9" s="228"/>
      <c r="RSV9" s="433"/>
      <c r="RSW9" s="433"/>
      <c r="RSX9" s="68"/>
      <c r="RSY9" s="271"/>
      <c r="RTA9" s="272"/>
      <c r="RTB9" s="272"/>
      <c r="RTC9" s="272"/>
      <c r="RTD9" s="273"/>
      <c r="RTE9" s="432"/>
      <c r="RTF9" s="268"/>
      <c r="RTG9" s="228"/>
      <c r="RTH9" s="433"/>
      <c r="RTI9" s="433"/>
      <c r="RTJ9" s="68"/>
      <c r="RTK9" s="271"/>
      <c r="RTM9" s="272"/>
      <c r="RTN9" s="272"/>
      <c r="RTO9" s="272"/>
      <c r="RTP9" s="273"/>
      <c r="RTQ9" s="432"/>
      <c r="RTR9" s="268"/>
      <c r="RTS9" s="228"/>
      <c r="RTT9" s="433"/>
      <c r="RTU9" s="433"/>
      <c r="RTV9" s="68"/>
      <c r="RTW9" s="271"/>
      <c r="RTY9" s="272"/>
      <c r="RTZ9" s="272"/>
      <c r="RUA9" s="272"/>
      <c r="RUB9" s="273"/>
      <c r="RUC9" s="432"/>
      <c r="RUD9" s="268"/>
      <c r="RUE9" s="228"/>
      <c r="RUF9" s="433"/>
      <c r="RUG9" s="433"/>
      <c r="RUH9" s="68"/>
      <c r="RUI9" s="271"/>
      <c r="RUK9" s="272"/>
      <c r="RUL9" s="272"/>
      <c r="RUM9" s="272"/>
      <c r="RUN9" s="273"/>
      <c r="RUO9" s="432"/>
      <c r="RUP9" s="268"/>
      <c r="RUQ9" s="228"/>
      <c r="RUR9" s="433"/>
      <c r="RUS9" s="433"/>
      <c r="RUT9" s="68"/>
      <c r="RUU9" s="271"/>
      <c r="RUW9" s="272"/>
      <c r="RUX9" s="272"/>
      <c r="RUY9" s="272"/>
      <c r="RUZ9" s="273"/>
      <c r="RVA9" s="432"/>
      <c r="RVB9" s="268"/>
      <c r="RVC9" s="228"/>
      <c r="RVD9" s="433"/>
      <c r="RVE9" s="433"/>
      <c r="RVF9" s="68"/>
      <c r="RVG9" s="271"/>
      <c r="RVI9" s="272"/>
      <c r="RVJ9" s="272"/>
      <c r="RVK9" s="272"/>
      <c r="RVL9" s="273"/>
      <c r="RVM9" s="432"/>
      <c r="RVN9" s="268"/>
      <c r="RVO9" s="228"/>
      <c r="RVP9" s="433"/>
      <c r="RVQ9" s="433"/>
      <c r="RVR9" s="68"/>
      <c r="RVS9" s="271"/>
      <c r="RVU9" s="272"/>
      <c r="RVV9" s="272"/>
      <c r="RVW9" s="272"/>
      <c r="RVX9" s="273"/>
      <c r="RVY9" s="432"/>
      <c r="RVZ9" s="268"/>
      <c r="RWA9" s="228"/>
      <c r="RWB9" s="433"/>
      <c r="RWC9" s="433"/>
      <c r="RWD9" s="68"/>
      <c r="RWE9" s="271"/>
      <c r="RWG9" s="272"/>
      <c r="RWH9" s="272"/>
      <c r="RWI9" s="272"/>
      <c r="RWJ9" s="273"/>
      <c r="RWK9" s="432"/>
      <c r="RWL9" s="268"/>
      <c r="RWM9" s="228"/>
      <c r="RWN9" s="433"/>
      <c r="RWO9" s="433"/>
      <c r="RWP9" s="68"/>
      <c r="RWQ9" s="271"/>
      <c r="RWS9" s="272"/>
      <c r="RWT9" s="272"/>
      <c r="RWU9" s="272"/>
      <c r="RWV9" s="273"/>
      <c r="RWW9" s="432"/>
      <c r="RWX9" s="268"/>
      <c r="RWY9" s="228"/>
      <c r="RWZ9" s="433"/>
      <c r="RXA9" s="433"/>
      <c r="RXB9" s="68"/>
      <c r="RXC9" s="271"/>
      <c r="RXE9" s="272"/>
      <c r="RXF9" s="272"/>
      <c r="RXG9" s="272"/>
      <c r="RXH9" s="273"/>
      <c r="RXI9" s="432"/>
      <c r="RXJ9" s="268"/>
      <c r="RXK9" s="228"/>
      <c r="RXL9" s="433"/>
      <c r="RXM9" s="433"/>
      <c r="RXN9" s="68"/>
      <c r="RXO9" s="271"/>
      <c r="RXQ9" s="272"/>
      <c r="RXR9" s="272"/>
      <c r="RXS9" s="272"/>
      <c r="RXT9" s="273"/>
      <c r="RXU9" s="432"/>
      <c r="RXV9" s="268"/>
      <c r="RXW9" s="228"/>
      <c r="RXX9" s="433"/>
      <c r="RXY9" s="433"/>
      <c r="RXZ9" s="68"/>
      <c r="RYA9" s="271"/>
      <c r="RYC9" s="272"/>
      <c r="RYD9" s="272"/>
      <c r="RYE9" s="272"/>
      <c r="RYF9" s="273"/>
      <c r="RYG9" s="432"/>
      <c r="RYH9" s="268"/>
      <c r="RYI9" s="228"/>
      <c r="RYJ9" s="433"/>
      <c r="RYK9" s="433"/>
      <c r="RYL9" s="68"/>
      <c r="RYM9" s="271"/>
      <c r="RYO9" s="272"/>
      <c r="RYP9" s="272"/>
      <c r="RYQ9" s="272"/>
      <c r="RYR9" s="273"/>
      <c r="RYS9" s="432"/>
      <c r="RYT9" s="268"/>
      <c r="RYU9" s="228"/>
      <c r="RYV9" s="433"/>
      <c r="RYW9" s="433"/>
      <c r="RYX9" s="68"/>
      <c r="RYY9" s="271"/>
      <c r="RZA9" s="272"/>
      <c r="RZB9" s="272"/>
      <c r="RZC9" s="272"/>
      <c r="RZD9" s="273"/>
      <c r="RZE9" s="432"/>
      <c r="RZF9" s="268"/>
      <c r="RZG9" s="228"/>
      <c r="RZH9" s="433"/>
      <c r="RZI9" s="433"/>
      <c r="RZJ9" s="68"/>
      <c r="RZK9" s="271"/>
      <c r="RZM9" s="272"/>
      <c r="RZN9" s="272"/>
      <c r="RZO9" s="272"/>
      <c r="RZP9" s="273"/>
      <c r="RZQ9" s="432"/>
      <c r="RZR9" s="268"/>
      <c r="RZS9" s="228"/>
      <c r="RZT9" s="433"/>
      <c r="RZU9" s="433"/>
      <c r="RZV9" s="68"/>
      <c r="RZW9" s="271"/>
      <c r="RZY9" s="272"/>
      <c r="RZZ9" s="272"/>
      <c r="SAA9" s="272"/>
      <c r="SAB9" s="273"/>
      <c r="SAC9" s="432"/>
      <c r="SAD9" s="268"/>
      <c r="SAE9" s="228"/>
      <c r="SAF9" s="433"/>
      <c r="SAG9" s="433"/>
      <c r="SAH9" s="68"/>
      <c r="SAI9" s="271"/>
      <c r="SAK9" s="272"/>
      <c r="SAL9" s="272"/>
      <c r="SAM9" s="272"/>
      <c r="SAN9" s="273"/>
      <c r="SAO9" s="432"/>
      <c r="SAP9" s="268"/>
      <c r="SAQ9" s="228"/>
      <c r="SAR9" s="433"/>
      <c r="SAS9" s="433"/>
      <c r="SAT9" s="68"/>
      <c r="SAU9" s="271"/>
      <c r="SAW9" s="272"/>
      <c r="SAX9" s="272"/>
      <c r="SAY9" s="272"/>
      <c r="SAZ9" s="273"/>
      <c r="SBA9" s="432"/>
      <c r="SBB9" s="268"/>
      <c r="SBC9" s="228"/>
      <c r="SBD9" s="433"/>
      <c r="SBE9" s="433"/>
      <c r="SBF9" s="68"/>
      <c r="SBG9" s="271"/>
      <c r="SBI9" s="272"/>
      <c r="SBJ9" s="272"/>
      <c r="SBK9" s="272"/>
      <c r="SBL9" s="273"/>
      <c r="SBM9" s="432"/>
      <c r="SBN9" s="268"/>
      <c r="SBO9" s="228"/>
      <c r="SBP9" s="433"/>
      <c r="SBQ9" s="433"/>
      <c r="SBR9" s="68"/>
      <c r="SBS9" s="271"/>
      <c r="SBU9" s="272"/>
      <c r="SBV9" s="272"/>
      <c r="SBW9" s="272"/>
      <c r="SBX9" s="273"/>
      <c r="SBY9" s="432"/>
      <c r="SBZ9" s="268"/>
      <c r="SCA9" s="228"/>
      <c r="SCB9" s="433"/>
      <c r="SCC9" s="433"/>
      <c r="SCD9" s="68"/>
      <c r="SCE9" s="271"/>
      <c r="SCG9" s="272"/>
      <c r="SCH9" s="272"/>
      <c r="SCI9" s="272"/>
      <c r="SCJ9" s="273"/>
      <c r="SCK9" s="432"/>
      <c r="SCL9" s="268"/>
      <c r="SCM9" s="228"/>
      <c r="SCN9" s="433"/>
      <c r="SCO9" s="433"/>
      <c r="SCP9" s="68"/>
      <c r="SCQ9" s="271"/>
      <c r="SCS9" s="272"/>
      <c r="SCT9" s="272"/>
      <c r="SCU9" s="272"/>
      <c r="SCV9" s="273"/>
      <c r="SCW9" s="432"/>
      <c r="SCX9" s="268"/>
      <c r="SCY9" s="228"/>
      <c r="SCZ9" s="433"/>
      <c r="SDA9" s="433"/>
      <c r="SDB9" s="68"/>
      <c r="SDC9" s="271"/>
      <c r="SDE9" s="272"/>
      <c r="SDF9" s="272"/>
      <c r="SDG9" s="272"/>
      <c r="SDH9" s="273"/>
      <c r="SDI9" s="432"/>
      <c r="SDJ9" s="268"/>
      <c r="SDK9" s="228"/>
      <c r="SDL9" s="433"/>
      <c r="SDM9" s="433"/>
      <c r="SDN9" s="68"/>
      <c r="SDO9" s="271"/>
      <c r="SDQ9" s="272"/>
      <c r="SDR9" s="272"/>
      <c r="SDS9" s="272"/>
      <c r="SDT9" s="273"/>
      <c r="SDU9" s="432"/>
      <c r="SDV9" s="268"/>
      <c r="SDW9" s="228"/>
      <c r="SDX9" s="433"/>
      <c r="SDY9" s="433"/>
      <c r="SDZ9" s="68"/>
      <c r="SEA9" s="271"/>
      <c r="SEC9" s="272"/>
      <c r="SED9" s="272"/>
      <c r="SEE9" s="272"/>
      <c r="SEF9" s="273"/>
      <c r="SEG9" s="432"/>
      <c r="SEH9" s="268"/>
      <c r="SEI9" s="228"/>
      <c r="SEJ9" s="433"/>
      <c r="SEK9" s="433"/>
      <c r="SEL9" s="68"/>
      <c r="SEM9" s="271"/>
      <c r="SEO9" s="272"/>
      <c r="SEP9" s="272"/>
      <c r="SEQ9" s="272"/>
      <c r="SER9" s="273"/>
      <c r="SES9" s="432"/>
      <c r="SET9" s="268"/>
      <c r="SEU9" s="228"/>
      <c r="SEV9" s="433"/>
      <c r="SEW9" s="433"/>
      <c r="SEX9" s="68"/>
      <c r="SEY9" s="271"/>
      <c r="SFA9" s="272"/>
      <c r="SFB9" s="272"/>
      <c r="SFC9" s="272"/>
      <c r="SFD9" s="273"/>
      <c r="SFE9" s="432"/>
      <c r="SFF9" s="268"/>
      <c r="SFG9" s="228"/>
      <c r="SFH9" s="433"/>
      <c r="SFI9" s="433"/>
      <c r="SFJ9" s="68"/>
      <c r="SFK9" s="271"/>
      <c r="SFM9" s="272"/>
      <c r="SFN9" s="272"/>
      <c r="SFO9" s="272"/>
      <c r="SFP9" s="273"/>
      <c r="SFQ9" s="432"/>
      <c r="SFR9" s="268"/>
      <c r="SFS9" s="228"/>
      <c r="SFT9" s="433"/>
      <c r="SFU9" s="433"/>
      <c r="SFV9" s="68"/>
      <c r="SFW9" s="271"/>
      <c r="SFY9" s="272"/>
      <c r="SFZ9" s="272"/>
      <c r="SGA9" s="272"/>
      <c r="SGB9" s="273"/>
      <c r="SGC9" s="432"/>
      <c r="SGD9" s="268"/>
      <c r="SGE9" s="228"/>
      <c r="SGF9" s="433"/>
      <c r="SGG9" s="433"/>
      <c r="SGH9" s="68"/>
      <c r="SGI9" s="271"/>
      <c r="SGK9" s="272"/>
      <c r="SGL9" s="272"/>
      <c r="SGM9" s="272"/>
      <c r="SGN9" s="273"/>
      <c r="SGO9" s="432"/>
      <c r="SGP9" s="268"/>
      <c r="SGQ9" s="228"/>
      <c r="SGR9" s="433"/>
      <c r="SGS9" s="433"/>
      <c r="SGT9" s="68"/>
      <c r="SGU9" s="271"/>
      <c r="SGW9" s="272"/>
      <c r="SGX9" s="272"/>
      <c r="SGY9" s="272"/>
      <c r="SGZ9" s="273"/>
      <c r="SHA9" s="432"/>
      <c r="SHB9" s="268"/>
      <c r="SHC9" s="228"/>
      <c r="SHD9" s="433"/>
      <c r="SHE9" s="433"/>
      <c r="SHF9" s="68"/>
      <c r="SHG9" s="271"/>
      <c r="SHI9" s="272"/>
      <c r="SHJ9" s="272"/>
      <c r="SHK9" s="272"/>
      <c r="SHL9" s="273"/>
      <c r="SHM9" s="432"/>
      <c r="SHN9" s="268"/>
      <c r="SHO9" s="228"/>
      <c r="SHP9" s="433"/>
      <c r="SHQ9" s="433"/>
      <c r="SHR9" s="68"/>
      <c r="SHS9" s="271"/>
      <c r="SHU9" s="272"/>
      <c r="SHV9" s="272"/>
      <c r="SHW9" s="272"/>
      <c r="SHX9" s="273"/>
      <c r="SHY9" s="432"/>
      <c r="SHZ9" s="268"/>
      <c r="SIA9" s="228"/>
      <c r="SIB9" s="433"/>
      <c r="SIC9" s="433"/>
      <c r="SID9" s="68"/>
      <c r="SIE9" s="271"/>
      <c r="SIG9" s="272"/>
      <c r="SIH9" s="272"/>
      <c r="SII9" s="272"/>
      <c r="SIJ9" s="273"/>
      <c r="SIK9" s="432"/>
      <c r="SIL9" s="268"/>
      <c r="SIM9" s="228"/>
      <c r="SIN9" s="433"/>
      <c r="SIO9" s="433"/>
      <c r="SIP9" s="68"/>
      <c r="SIQ9" s="271"/>
      <c r="SIS9" s="272"/>
      <c r="SIT9" s="272"/>
      <c r="SIU9" s="272"/>
      <c r="SIV9" s="273"/>
      <c r="SIW9" s="432"/>
      <c r="SIX9" s="268"/>
      <c r="SIY9" s="228"/>
      <c r="SIZ9" s="433"/>
      <c r="SJA9" s="433"/>
      <c r="SJB9" s="68"/>
      <c r="SJC9" s="271"/>
      <c r="SJE9" s="272"/>
      <c r="SJF9" s="272"/>
      <c r="SJG9" s="272"/>
      <c r="SJH9" s="273"/>
      <c r="SJI9" s="432"/>
      <c r="SJJ9" s="268"/>
      <c r="SJK9" s="228"/>
      <c r="SJL9" s="433"/>
      <c r="SJM9" s="433"/>
      <c r="SJN9" s="68"/>
      <c r="SJO9" s="271"/>
      <c r="SJQ9" s="272"/>
      <c r="SJR9" s="272"/>
      <c r="SJS9" s="272"/>
      <c r="SJT9" s="273"/>
      <c r="SJU9" s="432"/>
      <c r="SJV9" s="268"/>
      <c r="SJW9" s="228"/>
      <c r="SJX9" s="433"/>
      <c r="SJY9" s="433"/>
      <c r="SJZ9" s="68"/>
      <c r="SKA9" s="271"/>
      <c r="SKC9" s="272"/>
      <c r="SKD9" s="272"/>
      <c r="SKE9" s="272"/>
      <c r="SKF9" s="273"/>
      <c r="SKG9" s="432"/>
      <c r="SKH9" s="268"/>
      <c r="SKI9" s="228"/>
      <c r="SKJ9" s="433"/>
      <c r="SKK9" s="433"/>
      <c r="SKL9" s="68"/>
      <c r="SKM9" s="271"/>
      <c r="SKO9" s="272"/>
      <c r="SKP9" s="272"/>
      <c r="SKQ9" s="272"/>
      <c r="SKR9" s="273"/>
      <c r="SKS9" s="432"/>
      <c r="SKT9" s="268"/>
      <c r="SKU9" s="228"/>
      <c r="SKV9" s="433"/>
      <c r="SKW9" s="433"/>
      <c r="SKX9" s="68"/>
      <c r="SKY9" s="271"/>
      <c r="SLA9" s="272"/>
      <c r="SLB9" s="272"/>
      <c r="SLC9" s="272"/>
      <c r="SLD9" s="273"/>
      <c r="SLE9" s="432"/>
      <c r="SLF9" s="268"/>
      <c r="SLG9" s="228"/>
      <c r="SLH9" s="433"/>
      <c r="SLI9" s="433"/>
      <c r="SLJ9" s="68"/>
      <c r="SLK9" s="271"/>
      <c r="SLM9" s="272"/>
      <c r="SLN9" s="272"/>
      <c r="SLO9" s="272"/>
      <c r="SLP9" s="273"/>
      <c r="SLQ9" s="432"/>
      <c r="SLR9" s="268"/>
      <c r="SLS9" s="228"/>
      <c r="SLT9" s="433"/>
      <c r="SLU9" s="433"/>
      <c r="SLV9" s="68"/>
      <c r="SLW9" s="271"/>
      <c r="SLY9" s="272"/>
      <c r="SLZ9" s="272"/>
      <c r="SMA9" s="272"/>
      <c r="SMB9" s="273"/>
      <c r="SMC9" s="432"/>
      <c r="SMD9" s="268"/>
      <c r="SME9" s="228"/>
      <c r="SMF9" s="433"/>
      <c r="SMG9" s="433"/>
      <c r="SMH9" s="68"/>
      <c r="SMI9" s="271"/>
      <c r="SMK9" s="272"/>
      <c r="SML9" s="272"/>
      <c r="SMM9" s="272"/>
      <c r="SMN9" s="273"/>
      <c r="SMO9" s="432"/>
      <c r="SMP9" s="268"/>
      <c r="SMQ9" s="228"/>
      <c r="SMR9" s="433"/>
      <c r="SMS9" s="433"/>
      <c r="SMT9" s="68"/>
      <c r="SMU9" s="271"/>
      <c r="SMW9" s="272"/>
      <c r="SMX9" s="272"/>
      <c r="SMY9" s="272"/>
      <c r="SMZ9" s="273"/>
      <c r="SNA9" s="432"/>
      <c r="SNB9" s="268"/>
      <c r="SNC9" s="228"/>
      <c r="SND9" s="433"/>
      <c r="SNE9" s="433"/>
      <c r="SNF9" s="68"/>
      <c r="SNG9" s="271"/>
      <c r="SNI9" s="272"/>
      <c r="SNJ9" s="272"/>
      <c r="SNK9" s="272"/>
      <c r="SNL9" s="273"/>
      <c r="SNM9" s="432"/>
      <c r="SNN9" s="268"/>
      <c r="SNO9" s="228"/>
      <c r="SNP9" s="433"/>
      <c r="SNQ9" s="433"/>
      <c r="SNR9" s="68"/>
      <c r="SNS9" s="271"/>
      <c r="SNU9" s="272"/>
      <c r="SNV9" s="272"/>
      <c r="SNW9" s="272"/>
      <c r="SNX9" s="273"/>
      <c r="SNY9" s="432"/>
      <c r="SNZ9" s="268"/>
      <c r="SOA9" s="228"/>
      <c r="SOB9" s="433"/>
      <c r="SOC9" s="433"/>
      <c r="SOD9" s="68"/>
      <c r="SOE9" s="271"/>
      <c r="SOG9" s="272"/>
      <c r="SOH9" s="272"/>
      <c r="SOI9" s="272"/>
      <c r="SOJ9" s="273"/>
      <c r="SOK9" s="432"/>
      <c r="SOL9" s="268"/>
      <c r="SOM9" s="228"/>
      <c r="SON9" s="433"/>
      <c r="SOO9" s="433"/>
      <c r="SOP9" s="68"/>
      <c r="SOQ9" s="271"/>
      <c r="SOS9" s="272"/>
      <c r="SOT9" s="272"/>
      <c r="SOU9" s="272"/>
      <c r="SOV9" s="273"/>
      <c r="SOW9" s="432"/>
      <c r="SOX9" s="268"/>
      <c r="SOY9" s="228"/>
      <c r="SOZ9" s="433"/>
      <c r="SPA9" s="433"/>
      <c r="SPB9" s="68"/>
      <c r="SPC9" s="271"/>
      <c r="SPE9" s="272"/>
      <c r="SPF9" s="272"/>
      <c r="SPG9" s="272"/>
      <c r="SPH9" s="273"/>
      <c r="SPI9" s="432"/>
      <c r="SPJ9" s="268"/>
      <c r="SPK9" s="228"/>
      <c r="SPL9" s="433"/>
      <c r="SPM9" s="433"/>
      <c r="SPN9" s="68"/>
      <c r="SPO9" s="271"/>
      <c r="SPQ9" s="272"/>
      <c r="SPR9" s="272"/>
      <c r="SPS9" s="272"/>
      <c r="SPT9" s="273"/>
      <c r="SPU9" s="432"/>
      <c r="SPV9" s="268"/>
      <c r="SPW9" s="228"/>
      <c r="SPX9" s="433"/>
      <c r="SPY9" s="433"/>
      <c r="SPZ9" s="68"/>
      <c r="SQA9" s="271"/>
      <c r="SQC9" s="272"/>
      <c r="SQD9" s="272"/>
      <c r="SQE9" s="272"/>
      <c r="SQF9" s="273"/>
      <c r="SQG9" s="432"/>
      <c r="SQH9" s="268"/>
      <c r="SQI9" s="228"/>
      <c r="SQJ9" s="433"/>
      <c r="SQK9" s="433"/>
      <c r="SQL9" s="68"/>
      <c r="SQM9" s="271"/>
      <c r="SQO9" s="272"/>
      <c r="SQP9" s="272"/>
      <c r="SQQ9" s="272"/>
      <c r="SQR9" s="273"/>
      <c r="SQS9" s="432"/>
      <c r="SQT9" s="268"/>
      <c r="SQU9" s="228"/>
      <c r="SQV9" s="433"/>
      <c r="SQW9" s="433"/>
      <c r="SQX9" s="68"/>
      <c r="SQY9" s="271"/>
      <c r="SRA9" s="272"/>
      <c r="SRB9" s="272"/>
      <c r="SRC9" s="272"/>
      <c r="SRD9" s="273"/>
      <c r="SRE9" s="432"/>
      <c r="SRF9" s="268"/>
      <c r="SRG9" s="228"/>
      <c r="SRH9" s="433"/>
      <c r="SRI9" s="433"/>
      <c r="SRJ9" s="68"/>
      <c r="SRK9" s="271"/>
      <c r="SRM9" s="272"/>
      <c r="SRN9" s="272"/>
      <c r="SRO9" s="272"/>
      <c r="SRP9" s="273"/>
      <c r="SRQ9" s="432"/>
      <c r="SRR9" s="268"/>
      <c r="SRS9" s="228"/>
      <c r="SRT9" s="433"/>
      <c r="SRU9" s="433"/>
      <c r="SRV9" s="68"/>
      <c r="SRW9" s="271"/>
      <c r="SRY9" s="272"/>
      <c r="SRZ9" s="272"/>
      <c r="SSA9" s="272"/>
      <c r="SSB9" s="273"/>
      <c r="SSC9" s="432"/>
      <c r="SSD9" s="268"/>
      <c r="SSE9" s="228"/>
      <c r="SSF9" s="433"/>
      <c r="SSG9" s="433"/>
      <c r="SSH9" s="68"/>
      <c r="SSI9" s="271"/>
      <c r="SSK9" s="272"/>
      <c r="SSL9" s="272"/>
      <c r="SSM9" s="272"/>
      <c r="SSN9" s="273"/>
      <c r="SSO9" s="432"/>
      <c r="SSP9" s="268"/>
      <c r="SSQ9" s="228"/>
      <c r="SSR9" s="433"/>
      <c r="SSS9" s="433"/>
      <c r="SST9" s="68"/>
      <c r="SSU9" s="271"/>
      <c r="SSW9" s="272"/>
      <c r="SSX9" s="272"/>
      <c r="SSY9" s="272"/>
      <c r="SSZ9" s="273"/>
      <c r="STA9" s="432"/>
      <c r="STB9" s="268"/>
      <c r="STC9" s="228"/>
      <c r="STD9" s="433"/>
      <c r="STE9" s="433"/>
      <c r="STF9" s="68"/>
      <c r="STG9" s="271"/>
      <c r="STI9" s="272"/>
      <c r="STJ9" s="272"/>
      <c r="STK9" s="272"/>
      <c r="STL9" s="273"/>
      <c r="STM9" s="432"/>
      <c r="STN9" s="268"/>
      <c r="STO9" s="228"/>
      <c r="STP9" s="433"/>
      <c r="STQ9" s="433"/>
      <c r="STR9" s="68"/>
      <c r="STS9" s="271"/>
      <c r="STU9" s="272"/>
      <c r="STV9" s="272"/>
      <c r="STW9" s="272"/>
      <c r="STX9" s="273"/>
      <c r="STY9" s="432"/>
      <c r="STZ9" s="268"/>
      <c r="SUA9" s="228"/>
      <c r="SUB9" s="433"/>
      <c r="SUC9" s="433"/>
      <c r="SUD9" s="68"/>
      <c r="SUE9" s="271"/>
      <c r="SUG9" s="272"/>
      <c r="SUH9" s="272"/>
      <c r="SUI9" s="272"/>
      <c r="SUJ9" s="273"/>
      <c r="SUK9" s="432"/>
      <c r="SUL9" s="268"/>
      <c r="SUM9" s="228"/>
      <c r="SUN9" s="433"/>
      <c r="SUO9" s="433"/>
      <c r="SUP9" s="68"/>
      <c r="SUQ9" s="271"/>
      <c r="SUS9" s="272"/>
      <c r="SUT9" s="272"/>
      <c r="SUU9" s="272"/>
      <c r="SUV9" s="273"/>
      <c r="SUW9" s="432"/>
      <c r="SUX9" s="268"/>
      <c r="SUY9" s="228"/>
      <c r="SUZ9" s="433"/>
      <c r="SVA9" s="433"/>
      <c r="SVB9" s="68"/>
      <c r="SVC9" s="271"/>
      <c r="SVE9" s="272"/>
      <c r="SVF9" s="272"/>
      <c r="SVG9" s="272"/>
      <c r="SVH9" s="273"/>
      <c r="SVI9" s="432"/>
      <c r="SVJ9" s="268"/>
      <c r="SVK9" s="228"/>
      <c r="SVL9" s="433"/>
      <c r="SVM9" s="433"/>
      <c r="SVN9" s="68"/>
      <c r="SVO9" s="271"/>
      <c r="SVQ9" s="272"/>
      <c r="SVR9" s="272"/>
      <c r="SVS9" s="272"/>
      <c r="SVT9" s="273"/>
      <c r="SVU9" s="432"/>
      <c r="SVV9" s="268"/>
      <c r="SVW9" s="228"/>
      <c r="SVX9" s="433"/>
      <c r="SVY9" s="433"/>
      <c r="SVZ9" s="68"/>
      <c r="SWA9" s="271"/>
      <c r="SWC9" s="272"/>
      <c r="SWD9" s="272"/>
      <c r="SWE9" s="272"/>
      <c r="SWF9" s="273"/>
      <c r="SWG9" s="432"/>
      <c r="SWH9" s="268"/>
      <c r="SWI9" s="228"/>
      <c r="SWJ9" s="433"/>
      <c r="SWK9" s="433"/>
      <c r="SWL9" s="68"/>
      <c r="SWM9" s="271"/>
      <c r="SWO9" s="272"/>
      <c r="SWP9" s="272"/>
      <c r="SWQ9" s="272"/>
      <c r="SWR9" s="273"/>
      <c r="SWS9" s="432"/>
      <c r="SWT9" s="268"/>
      <c r="SWU9" s="228"/>
      <c r="SWV9" s="433"/>
      <c r="SWW9" s="433"/>
      <c r="SWX9" s="68"/>
      <c r="SWY9" s="271"/>
      <c r="SXA9" s="272"/>
      <c r="SXB9" s="272"/>
      <c r="SXC9" s="272"/>
      <c r="SXD9" s="273"/>
      <c r="SXE9" s="432"/>
      <c r="SXF9" s="268"/>
      <c r="SXG9" s="228"/>
      <c r="SXH9" s="433"/>
      <c r="SXI9" s="433"/>
      <c r="SXJ9" s="68"/>
      <c r="SXK9" s="271"/>
      <c r="SXM9" s="272"/>
      <c r="SXN9" s="272"/>
      <c r="SXO9" s="272"/>
      <c r="SXP9" s="273"/>
      <c r="SXQ9" s="432"/>
      <c r="SXR9" s="268"/>
      <c r="SXS9" s="228"/>
      <c r="SXT9" s="433"/>
      <c r="SXU9" s="433"/>
      <c r="SXV9" s="68"/>
      <c r="SXW9" s="271"/>
      <c r="SXY9" s="272"/>
      <c r="SXZ9" s="272"/>
      <c r="SYA9" s="272"/>
      <c r="SYB9" s="273"/>
      <c r="SYC9" s="432"/>
      <c r="SYD9" s="268"/>
      <c r="SYE9" s="228"/>
      <c r="SYF9" s="433"/>
      <c r="SYG9" s="433"/>
      <c r="SYH9" s="68"/>
      <c r="SYI9" s="271"/>
      <c r="SYK9" s="272"/>
      <c r="SYL9" s="272"/>
      <c r="SYM9" s="272"/>
      <c r="SYN9" s="273"/>
      <c r="SYO9" s="432"/>
      <c r="SYP9" s="268"/>
      <c r="SYQ9" s="228"/>
      <c r="SYR9" s="433"/>
      <c r="SYS9" s="433"/>
      <c r="SYT9" s="68"/>
      <c r="SYU9" s="271"/>
      <c r="SYW9" s="272"/>
      <c r="SYX9" s="272"/>
      <c r="SYY9" s="272"/>
      <c r="SYZ9" s="273"/>
      <c r="SZA9" s="432"/>
      <c r="SZB9" s="268"/>
      <c r="SZC9" s="228"/>
      <c r="SZD9" s="433"/>
      <c r="SZE9" s="433"/>
      <c r="SZF9" s="68"/>
      <c r="SZG9" s="271"/>
      <c r="SZI9" s="272"/>
      <c r="SZJ9" s="272"/>
      <c r="SZK9" s="272"/>
      <c r="SZL9" s="273"/>
      <c r="SZM9" s="432"/>
      <c r="SZN9" s="268"/>
      <c r="SZO9" s="228"/>
      <c r="SZP9" s="433"/>
      <c r="SZQ9" s="433"/>
      <c r="SZR9" s="68"/>
      <c r="SZS9" s="271"/>
      <c r="SZU9" s="272"/>
      <c r="SZV9" s="272"/>
      <c r="SZW9" s="272"/>
      <c r="SZX9" s="273"/>
      <c r="SZY9" s="432"/>
      <c r="SZZ9" s="268"/>
      <c r="TAA9" s="228"/>
      <c r="TAB9" s="433"/>
      <c r="TAC9" s="433"/>
      <c r="TAD9" s="68"/>
      <c r="TAE9" s="271"/>
      <c r="TAG9" s="272"/>
      <c r="TAH9" s="272"/>
      <c r="TAI9" s="272"/>
      <c r="TAJ9" s="273"/>
      <c r="TAK9" s="432"/>
      <c r="TAL9" s="268"/>
      <c r="TAM9" s="228"/>
      <c r="TAN9" s="433"/>
      <c r="TAO9" s="433"/>
      <c r="TAP9" s="68"/>
      <c r="TAQ9" s="271"/>
      <c r="TAS9" s="272"/>
      <c r="TAT9" s="272"/>
      <c r="TAU9" s="272"/>
      <c r="TAV9" s="273"/>
      <c r="TAW9" s="432"/>
      <c r="TAX9" s="268"/>
      <c r="TAY9" s="228"/>
      <c r="TAZ9" s="433"/>
      <c r="TBA9" s="433"/>
      <c r="TBB9" s="68"/>
      <c r="TBC9" s="271"/>
      <c r="TBE9" s="272"/>
      <c r="TBF9" s="272"/>
      <c r="TBG9" s="272"/>
      <c r="TBH9" s="273"/>
      <c r="TBI9" s="432"/>
      <c r="TBJ9" s="268"/>
      <c r="TBK9" s="228"/>
      <c r="TBL9" s="433"/>
      <c r="TBM9" s="433"/>
      <c r="TBN9" s="68"/>
      <c r="TBO9" s="271"/>
      <c r="TBQ9" s="272"/>
      <c r="TBR9" s="272"/>
      <c r="TBS9" s="272"/>
      <c r="TBT9" s="273"/>
      <c r="TBU9" s="432"/>
      <c r="TBV9" s="268"/>
      <c r="TBW9" s="228"/>
      <c r="TBX9" s="433"/>
      <c r="TBY9" s="433"/>
      <c r="TBZ9" s="68"/>
      <c r="TCA9" s="271"/>
      <c r="TCC9" s="272"/>
      <c r="TCD9" s="272"/>
      <c r="TCE9" s="272"/>
      <c r="TCF9" s="273"/>
      <c r="TCG9" s="432"/>
      <c r="TCH9" s="268"/>
      <c r="TCI9" s="228"/>
      <c r="TCJ9" s="433"/>
      <c r="TCK9" s="433"/>
      <c r="TCL9" s="68"/>
      <c r="TCM9" s="271"/>
      <c r="TCO9" s="272"/>
      <c r="TCP9" s="272"/>
      <c r="TCQ9" s="272"/>
      <c r="TCR9" s="273"/>
      <c r="TCS9" s="432"/>
      <c r="TCT9" s="268"/>
      <c r="TCU9" s="228"/>
      <c r="TCV9" s="433"/>
      <c r="TCW9" s="433"/>
      <c r="TCX9" s="68"/>
      <c r="TCY9" s="271"/>
      <c r="TDA9" s="272"/>
      <c r="TDB9" s="272"/>
      <c r="TDC9" s="272"/>
      <c r="TDD9" s="273"/>
      <c r="TDE9" s="432"/>
      <c r="TDF9" s="268"/>
      <c r="TDG9" s="228"/>
      <c r="TDH9" s="433"/>
      <c r="TDI9" s="433"/>
      <c r="TDJ9" s="68"/>
      <c r="TDK9" s="271"/>
      <c r="TDM9" s="272"/>
      <c r="TDN9" s="272"/>
      <c r="TDO9" s="272"/>
      <c r="TDP9" s="273"/>
      <c r="TDQ9" s="432"/>
      <c r="TDR9" s="268"/>
      <c r="TDS9" s="228"/>
      <c r="TDT9" s="433"/>
      <c r="TDU9" s="433"/>
      <c r="TDV9" s="68"/>
      <c r="TDW9" s="271"/>
      <c r="TDY9" s="272"/>
      <c r="TDZ9" s="272"/>
      <c r="TEA9" s="272"/>
      <c r="TEB9" s="273"/>
      <c r="TEC9" s="432"/>
      <c r="TED9" s="268"/>
      <c r="TEE9" s="228"/>
      <c r="TEF9" s="433"/>
      <c r="TEG9" s="433"/>
      <c r="TEH9" s="68"/>
      <c r="TEI9" s="271"/>
      <c r="TEK9" s="272"/>
      <c r="TEL9" s="272"/>
      <c r="TEM9" s="272"/>
      <c r="TEN9" s="273"/>
      <c r="TEO9" s="432"/>
      <c r="TEP9" s="268"/>
      <c r="TEQ9" s="228"/>
      <c r="TER9" s="433"/>
      <c r="TES9" s="433"/>
      <c r="TET9" s="68"/>
      <c r="TEU9" s="271"/>
      <c r="TEW9" s="272"/>
      <c r="TEX9" s="272"/>
      <c r="TEY9" s="272"/>
      <c r="TEZ9" s="273"/>
      <c r="TFA9" s="432"/>
      <c r="TFB9" s="268"/>
      <c r="TFC9" s="228"/>
      <c r="TFD9" s="433"/>
      <c r="TFE9" s="433"/>
      <c r="TFF9" s="68"/>
      <c r="TFG9" s="271"/>
      <c r="TFI9" s="272"/>
      <c r="TFJ9" s="272"/>
      <c r="TFK9" s="272"/>
      <c r="TFL9" s="273"/>
      <c r="TFM9" s="432"/>
      <c r="TFN9" s="268"/>
      <c r="TFO9" s="228"/>
      <c r="TFP9" s="433"/>
      <c r="TFQ9" s="433"/>
      <c r="TFR9" s="68"/>
      <c r="TFS9" s="271"/>
      <c r="TFU9" s="272"/>
      <c r="TFV9" s="272"/>
      <c r="TFW9" s="272"/>
      <c r="TFX9" s="273"/>
      <c r="TFY9" s="432"/>
      <c r="TFZ9" s="268"/>
      <c r="TGA9" s="228"/>
      <c r="TGB9" s="433"/>
      <c r="TGC9" s="433"/>
      <c r="TGD9" s="68"/>
      <c r="TGE9" s="271"/>
      <c r="TGG9" s="272"/>
      <c r="TGH9" s="272"/>
      <c r="TGI9" s="272"/>
      <c r="TGJ9" s="273"/>
      <c r="TGK9" s="432"/>
      <c r="TGL9" s="268"/>
      <c r="TGM9" s="228"/>
      <c r="TGN9" s="433"/>
      <c r="TGO9" s="433"/>
      <c r="TGP9" s="68"/>
      <c r="TGQ9" s="271"/>
      <c r="TGS9" s="272"/>
      <c r="TGT9" s="272"/>
      <c r="TGU9" s="272"/>
      <c r="TGV9" s="273"/>
      <c r="TGW9" s="432"/>
      <c r="TGX9" s="268"/>
      <c r="TGY9" s="228"/>
      <c r="TGZ9" s="433"/>
      <c r="THA9" s="433"/>
      <c r="THB9" s="68"/>
      <c r="THC9" s="271"/>
      <c r="THE9" s="272"/>
      <c r="THF9" s="272"/>
      <c r="THG9" s="272"/>
      <c r="THH9" s="273"/>
      <c r="THI9" s="432"/>
      <c r="THJ9" s="268"/>
      <c r="THK9" s="228"/>
      <c r="THL9" s="433"/>
      <c r="THM9" s="433"/>
      <c r="THN9" s="68"/>
      <c r="THO9" s="271"/>
      <c r="THQ9" s="272"/>
      <c r="THR9" s="272"/>
      <c r="THS9" s="272"/>
      <c r="THT9" s="273"/>
      <c r="THU9" s="432"/>
      <c r="THV9" s="268"/>
      <c r="THW9" s="228"/>
      <c r="THX9" s="433"/>
      <c r="THY9" s="433"/>
      <c r="THZ9" s="68"/>
      <c r="TIA9" s="271"/>
      <c r="TIC9" s="272"/>
      <c r="TID9" s="272"/>
      <c r="TIE9" s="272"/>
      <c r="TIF9" s="273"/>
      <c r="TIG9" s="432"/>
      <c r="TIH9" s="268"/>
      <c r="TII9" s="228"/>
      <c r="TIJ9" s="433"/>
      <c r="TIK9" s="433"/>
      <c r="TIL9" s="68"/>
      <c r="TIM9" s="271"/>
      <c r="TIO9" s="272"/>
      <c r="TIP9" s="272"/>
      <c r="TIQ9" s="272"/>
      <c r="TIR9" s="273"/>
      <c r="TIS9" s="432"/>
      <c r="TIT9" s="268"/>
      <c r="TIU9" s="228"/>
      <c r="TIV9" s="433"/>
      <c r="TIW9" s="433"/>
      <c r="TIX9" s="68"/>
      <c r="TIY9" s="271"/>
      <c r="TJA9" s="272"/>
      <c r="TJB9" s="272"/>
      <c r="TJC9" s="272"/>
      <c r="TJD9" s="273"/>
      <c r="TJE9" s="432"/>
      <c r="TJF9" s="268"/>
      <c r="TJG9" s="228"/>
      <c r="TJH9" s="433"/>
      <c r="TJI9" s="433"/>
      <c r="TJJ9" s="68"/>
      <c r="TJK9" s="271"/>
      <c r="TJM9" s="272"/>
      <c r="TJN9" s="272"/>
      <c r="TJO9" s="272"/>
      <c r="TJP9" s="273"/>
      <c r="TJQ9" s="432"/>
      <c r="TJR9" s="268"/>
      <c r="TJS9" s="228"/>
      <c r="TJT9" s="433"/>
      <c r="TJU9" s="433"/>
      <c r="TJV9" s="68"/>
      <c r="TJW9" s="271"/>
      <c r="TJY9" s="272"/>
      <c r="TJZ9" s="272"/>
      <c r="TKA9" s="272"/>
      <c r="TKB9" s="273"/>
      <c r="TKC9" s="432"/>
      <c r="TKD9" s="268"/>
      <c r="TKE9" s="228"/>
      <c r="TKF9" s="433"/>
      <c r="TKG9" s="433"/>
      <c r="TKH9" s="68"/>
      <c r="TKI9" s="271"/>
      <c r="TKK9" s="272"/>
      <c r="TKL9" s="272"/>
      <c r="TKM9" s="272"/>
      <c r="TKN9" s="273"/>
      <c r="TKO9" s="432"/>
      <c r="TKP9" s="268"/>
      <c r="TKQ9" s="228"/>
      <c r="TKR9" s="433"/>
      <c r="TKS9" s="433"/>
      <c r="TKT9" s="68"/>
      <c r="TKU9" s="271"/>
      <c r="TKW9" s="272"/>
      <c r="TKX9" s="272"/>
      <c r="TKY9" s="272"/>
      <c r="TKZ9" s="273"/>
      <c r="TLA9" s="432"/>
      <c r="TLB9" s="268"/>
      <c r="TLC9" s="228"/>
      <c r="TLD9" s="433"/>
      <c r="TLE9" s="433"/>
      <c r="TLF9" s="68"/>
      <c r="TLG9" s="271"/>
      <c r="TLI9" s="272"/>
      <c r="TLJ9" s="272"/>
      <c r="TLK9" s="272"/>
      <c r="TLL9" s="273"/>
      <c r="TLM9" s="432"/>
      <c r="TLN9" s="268"/>
      <c r="TLO9" s="228"/>
      <c r="TLP9" s="433"/>
      <c r="TLQ9" s="433"/>
      <c r="TLR9" s="68"/>
      <c r="TLS9" s="271"/>
      <c r="TLU9" s="272"/>
      <c r="TLV9" s="272"/>
      <c r="TLW9" s="272"/>
      <c r="TLX9" s="273"/>
      <c r="TLY9" s="432"/>
      <c r="TLZ9" s="268"/>
      <c r="TMA9" s="228"/>
      <c r="TMB9" s="433"/>
      <c r="TMC9" s="433"/>
      <c r="TMD9" s="68"/>
      <c r="TME9" s="271"/>
      <c r="TMG9" s="272"/>
      <c r="TMH9" s="272"/>
      <c r="TMI9" s="272"/>
      <c r="TMJ9" s="273"/>
      <c r="TMK9" s="432"/>
      <c r="TML9" s="268"/>
      <c r="TMM9" s="228"/>
      <c r="TMN9" s="433"/>
      <c r="TMO9" s="433"/>
      <c r="TMP9" s="68"/>
      <c r="TMQ9" s="271"/>
      <c r="TMS9" s="272"/>
      <c r="TMT9" s="272"/>
      <c r="TMU9" s="272"/>
      <c r="TMV9" s="273"/>
      <c r="TMW9" s="432"/>
      <c r="TMX9" s="268"/>
      <c r="TMY9" s="228"/>
      <c r="TMZ9" s="433"/>
      <c r="TNA9" s="433"/>
      <c r="TNB9" s="68"/>
      <c r="TNC9" s="271"/>
      <c r="TNE9" s="272"/>
      <c r="TNF9" s="272"/>
      <c r="TNG9" s="272"/>
      <c r="TNH9" s="273"/>
      <c r="TNI9" s="432"/>
      <c r="TNJ9" s="268"/>
      <c r="TNK9" s="228"/>
      <c r="TNL9" s="433"/>
      <c r="TNM9" s="433"/>
      <c r="TNN9" s="68"/>
      <c r="TNO9" s="271"/>
      <c r="TNQ9" s="272"/>
      <c r="TNR9" s="272"/>
      <c r="TNS9" s="272"/>
      <c r="TNT9" s="273"/>
      <c r="TNU9" s="432"/>
      <c r="TNV9" s="268"/>
      <c r="TNW9" s="228"/>
      <c r="TNX9" s="433"/>
      <c r="TNY9" s="433"/>
      <c r="TNZ9" s="68"/>
      <c r="TOA9" s="271"/>
      <c r="TOC9" s="272"/>
      <c r="TOD9" s="272"/>
      <c r="TOE9" s="272"/>
      <c r="TOF9" s="273"/>
      <c r="TOG9" s="432"/>
      <c r="TOH9" s="268"/>
      <c r="TOI9" s="228"/>
      <c r="TOJ9" s="433"/>
      <c r="TOK9" s="433"/>
      <c r="TOL9" s="68"/>
      <c r="TOM9" s="271"/>
      <c r="TOO9" s="272"/>
      <c r="TOP9" s="272"/>
      <c r="TOQ9" s="272"/>
      <c r="TOR9" s="273"/>
      <c r="TOS9" s="432"/>
      <c r="TOT9" s="268"/>
      <c r="TOU9" s="228"/>
      <c r="TOV9" s="433"/>
      <c r="TOW9" s="433"/>
      <c r="TOX9" s="68"/>
      <c r="TOY9" s="271"/>
      <c r="TPA9" s="272"/>
      <c r="TPB9" s="272"/>
      <c r="TPC9" s="272"/>
      <c r="TPD9" s="273"/>
      <c r="TPE9" s="432"/>
      <c r="TPF9" s="268"/>
      <c r="TPG9" s="228"/>
      <c r="TPH9" s="433"/>
      <c r="TPI9" s="433"/>
      <c r="TPJ9" s="68"/>
      <c r="TPK9" s="271"/>
      <c r="TPM9" s="272"/>
      <c r="TPN9" s="272"/>
      <c r="TPO9" s="272"/>
      <c r="TPP9" s="273"/>
      <c r="TPQ9" s="432"/>
      <c r="TPR9" s="268"/>
      <c r="TPS9" s="228"/>
      <c r="TPT9" s="433"/>
      <c r="TPU9" s="433"/>
      <c r="TPV9" s="68"/>
      <c r="TPW9" s="271"/>
      <c r="TPY9" s="272"/>
      <c r="TPZ9" s="272"/>
      <c r="TQA9" s="272"/>
      <c r="TQB9" s="273"/>
      <c r="TQC9" s="432"/>
      <c r="TQD9" s="268"/>
      <c r="TQE9" s="228"/>
      <c r="TQF9" s="433"/>
      <c r="TQG9" s="433"/>
      <c r="TQH9" s="68"/>
      <c r="TQI9" s="271"/>
      <c r="TQK9" s="272"/>
      <c r="TQL9" s="272"/>
      <c r="TQM9" s="272"/>
      <c r="TQN9" s="273"/>
      <c r="TQO9" s="432"/>
      <c r="TQP9" s="268"/>
      <c r="TQQ9" s="228"/>
      <c r="TQR9" s="433"/>
      <c r="TQS9" s="433"/>
      <c r="TQT9" s="68"/>
      <c r="TQU9" s="271"/>
      <c r="TQW9" s="272"/>
      <c r="TQX9" s="272"/>
      <c r="TQY9" s="272"/>
      <c r="TQZ9" s="273"/>
      <c r="TRA9" s="432"/>
      <c r="TRB9" s="268"/>
      <c r="TRC9" s="228"/>
      <c r="TRD9" s="433"/>
      <c r="TRE9" s="433"/>
      <c r="TRF9" s="68"/>
      <c r="TRG9" s="271"/>
      <c r="TRI9" s="272"/>
      <c r="TRJ9" s="272"/>
      <c r="TRK9" s="272"/>
      <c r="TRL9" s="273"/>
      <c r="TRM9" s="432"/>
      <c r="TRN9" s="268"/>
      <c r="TRO9" s="228"/>
      <c r="TRP9" s="433"/>
      <c r="TRQ9" s="433"/>
      <c r="TRR9" s="68"/>
      <c r="TRS9" s="271"/>
      <c r="TRU9" s="272"/>
      <c r="TRV9" s="272"/>
      <c r="TRW9" s="272"/>
      <c r="TRX9" s="273"/>
      <c r="TRY9" s="432"/>
      <c r="TRZ9" s="268"/>
      <c r="TSA9" s="228"/>
      <c r="TSB9" s="433"/>
      <c r="TSC9" s="433"/>
      <c r="TSD9" s="68"/>
      <c r="TSE9" s="271"/>
      <c r="TSG9" s="272"/>
      <c r="TSH9" s="272"/>
      <c r="TSI9" s="272"/>
      <c r="TSJ9" s="273"/>
      <c r="TSK9" s="432"/>
      <c r="TSL9" s="268"/>
      <c r="TSM9" s="228"/>
      <c r="TSN9" s="433"/>
      <c r="TSO9" s="433"/>
      <c r="TSP9" s="68"/>
      <c r="TSQ9" s="271"/>
      <c r="TSS9" s="272"/>
      <c r="TST9" s="272"/>
      <c r="TSU9" s="272"/>
      <c r="TSV9" s="273"/>
      <c r="TSW9" s="432"/>
      <c r="TSX9" s="268"/>
      <c r="TSY9" s="228"/>
      <c r="TSZ9" s="433"/>
      <c r="TTA9" s="433"/>
      <c r="TTB9" s="68"/>
      <c r="TTC9" s="271"/>
      <c r="TTE9" s="272"/>
      <c r="TTF9" s="272"/>
      <c r="TTG9" s="272"/>
      <c r="TTH9" s="273"/>
      <c r="TTI9" s="432"/>
      <c r="TTJ9" s="268"/>
      <c r="TTK9" s="228"/>
      <c r="TTL9" s="433"/>
      <c r="TTM9" s="433"/>
      <c r="TTN9" s="68"/>
      <c r="TTO9" s="271"/>
      <c r="TTQ9" s="272"/>
      <c r="TTR9" s="272"/>
      <c r="TTS9" s="272"/>
      <c r="TTT9" s="273"/>
      <c r="TTU9" s="432"/>
      <c r="TTV9" s="268"/>
      <c r="TTW9" s="228"/>
      <c r="TTX9" s="433"/>
      <c r="TTY9" s="433"/>
      <c r="TTZ9" s="68"/>
      <c r="TUA9" s="271"/>
      <c r="TUC9" s="272"/>
      <c r="TUD9" s="272"/>
      <c r="TUE9" s="272"/>
      <c r="TUF9" s="273"/>
      <c r="TUG9" s="432"/>
      <c r="TUH9" s="268"/>
      <c r="TUI9" s="228"/>
      <c r="TUJ9" s="433"/>
      <c r="TUK9" s="433"/>
      <c r="TUL9" s="68"/>
      <c r="TUM9" s="271"/>
      <c r="TUO9" s="272"/>
      <c r="TUP9" s="272"/>
      <c r="TUQ9" s="272"/>
      <c r="TUR9" s="273"/>
      <c r="TUS9" s="432"/>
      <c r="TUT9" s="268"/>
      <c r="TUU9" s="228"/>
      <c r="TUV9" s="433"/>
      <c r="TUW9" s="433"/>
      <c r="TUX9" s="68"/>
      <c r="TUY9" s="271"/>
      <c r="TVA9" s="272"/>
      <c r="TVB9" s="272"/>
      <c r="TVC9" s="272"/>
      <c r="TVD9" s="273"/>
      <c r="TVE9" s="432"/>
      <c r="TVF9" s="268"/>
      <c r="TVG9" s="228"/>
      <c r="TVH9" s="433"/>
      <c r="TVI9" s="433"/>
      <c r="TVJ9" s="68"/>
      <c r="TVK9" s="271"/>
      <c r="TVM9" s="272"/>
      <c r="TVN9" s="272"/>
      <c r="TVO9" s="272"/>
      <c r="TVP9" s="273"/>
      <c r="TVQ9" s="432"/>
      <c r="TVR9" s="268"/>
      <c r="TVS9" s="228"/>
      <c r="TVT9" s="433"/>
      <c r="TVU9" s="433"/>
      <c r="TVV9" s="68"/>
      <c r="TVW9" s="271"/>
      <c r="TVY9" s="272"/>
      <c r="TVZ9" s="272"/>
      <c r="TWA9" s="272"/>
      <c r="TWB9" s="273"/>
      <c r="TWC9" s="432"/>
      <c r="TWD9" s="268"/>
      <c r="TWE9" s="228"/>
      <c r="TWF9" s="433"/>
      <c r="TWG9" s="433"/>
      <c r="TWH9" s="68"/>
      <c r="TWI9" s="271"/>
      <c r="TWK9" s="272"/>
      <c r="TWL9" s="272"/>
      <c r="TWM9" s="272"/>
      <c r="TWN9" s="273"/>
      <c r="TWO9" s="432"/>
      <c r="TWP9" s="268"/>
      <c r="TWQ9" s="228"/>
      <c r="TWR9" s="433"/>
      <c r="TWS9" s="433"/>
      <c r="TWT9" s="68"/>
      <c r="TWU9" s="271"/>
      <c r="TWW9" s="272"/>
      <c r="TWX9" s="272"/>
      <c r="TWY9" s="272"/>
      <c r="TWZ9" s="273"/>
      <c r="TXA9" s="432"/>
      <c r="TXB9" s="268"/>
      <c r="TXC9" s="228"/>
      <c r="TXD9" s="433"/>
      <c r="TXE9" s="433"/>
      <c r="TXF9" s="68"/>
      <c r="TXG9" s="271"/>
      <c r="TXI9" s="272"/>
      <c r="TXJ9" s="272"/>
      <c r="TXK9" s="272"/>
      <c r="TXL9" s="273"/>
      <c r="TXM9" s="432"/>
      <c r="TXN9" s="268"/>
      <c r="TXO9" s="228"/>
      <c r="TXP9" s="433"/>
      <c r="TXQ9" s="433"/>
      <c r="TXR9" s="68"/>
      <c r="TXS9" s="271"/>
      <c r="TXU9" s="272"/>
      <c r="TXV9" s="272"/>
      <c r="TXW9" s="272"/>
      <c r="TXX9" s="273"/>
      <c r="TXY9" s="432"/>
      <c r="TXZ9" s="268"/>
      <c r="TYA9" s="228"/>
      <c r="TYB9" s="433"/>
      <c r="TYC9" s="433"/>
      <c r="TYD9" s="68"/>
      <c r="TYE9" s="271"/>
      <c r="TYG9" s="272"/>
      <c r="TYH9" s="272"/>
      <c r="TYI9" s="272"/>
      <c r="TYJ9" s="273"/>
      <c r="TYK9" s="432"/>
      <c r="TYL9" s="268"/>
      <c r="TYM9" s="228"/>
      <c r="TYN9" s="433"/>
      <c r="TYO9" s="433"/>
      <c r="TYP9" s="68"/>
      <c r="TYQ9" s="271"/>
      <c r="TYS9" s="272"/>
      <c r="TYT9" s="272"/>
      <c r="TYU9" s="272"/>
      <c r="TYV9" s="273"/>
      <c r="TYW9" s="432"/>
      <c r="TYX9" s="268"/>
      <c r="TYY9" s="228"/>
      <c r="TYZ9" s="433"/>
      <c r="TZA9" s="433"/>
      <c r="TZB9" s="68"/>
      <c r="TZC9" s="271"/>
      <c r="TZE9" s="272"/>
      <c r="TZF9" s="272"/>
      <c r="TZG9" s="272"/>
      <c r="TZH9" s="273"/>
      <c r="TZI9" s="432"/>
      <c r="TZJ9" s="268"/>
      <c r="TZK9" s="228"/>
      <c r="TZL9" s="433"/>
      <c r="TZM9" s="433"/>
      <c r="TZN9" s="68"/>
      <c r="TZO9" s="271"/>
      <c r="TZQ9" s="272"/>
      <c r="TZR9" s="272"/>
      <c r="TZS9" s="272"/>
      <c r="TZT9" s="273"/>
      <c r="TZU9" s="432"/>
      <c r="TZV9" s="268"/>
      <c r="TZW9" s="228"/>
      <c r="TZX9" s="433"/>
      <c r="TZY9" s="433"/>
      <c r="TZZ9" s="68"/>
      <c r="UAA9" s="271"/>
      <c r="UAC9" s="272"/>
      <c r="UAD9" s="272"/>
      <c r="UAE9" s="272"/>
      <c r="UAF9" s="273"/>
      <c r="UAG9" s="432"/>
      <c r="UAH9" s="268"/>
      <c r="UAI9" s="228"/>
      <c r="UAJ9" s="433"/>
      <c r="UAK9" s="433"/>
      <c r="UAL9" s="68"/>
      <c r="UAM9" s="271"/>
      <c r="UAO9" s="272"/>
      <c r="UAP9" s="272"/>
      <c r="UAQ9" s="272"/>
      <c r="UAR9" s="273"/>
      <c r="UAS9" s="432"/>
      <c r="UAT9" s="268"/>
      <c r="UAU9" s="228"/>
      <c r="UAV9" s="433"/>
      <c r="UAW9" s="433"/>
      <c r="UAX9" s="68"/>
      <c r="UAY9" s="271"/>
      <c r="UBA9" s="272"/>
      <c r="UBB9" s="272"/>
      <c r="UBC9" s="272"/>
      <c r="UBD9" s="273"/>
      <c r="UBE9" s="432"/>
      <c r="UBF9" s="268"/>
      <c r="UBG9" s="228"/>
      <c r="UBH9" s="433"/>
      <c r="UBI9" s="433"/>
      <c r="UBJ9" s="68"/>
      <c r="UBK9" s="271"/>
      <c r="UBM9" s="272"/>
      <c r="UBN9" s="272"/>
      <c r="UBO9" s="272"/>
      <c r="UBP9" s="273"/>
      <c r="UBQ9" s="432"/>
      <c r="UBR9" s="268"/>
      <c r="UBS9" s="228"/>
      <c r="UBT9" s="433"/>
      <c r="UBU9" s="433"/>
      <c r="UBV9" s="68"/>
      <c r="UBW9" s="271"/>
      <c r="UBY9" s="272"/>
      <c r="UBZ9" s="272"/>
      <c r="UCA9" s="272"/>
      <c r="UCB9" s="273"/>
      <c r="UCC9" s="432"/>
      <c r="UCD9" s="268"/>
      <c r="UCE9" s="228"/>
      <c r="UCF9" s="433"/>
      <c r="UCG9" s="433"/>
      <c r="UCH9" s="68"/>
      <c r="UCI9" s="271"/>
      <c r="UCK9" s="272"/>
      <c r="UCL9" s="272"/>
      <c r="UCM9" s="272"/>
      <c r="UCN9" s="273"/>
      <c r="UCO9" s="432"/>
      <c r="UCP9" s="268"/>
      <c r="UCQ9" s="228"/>
      <c r="UCR9" s="433"/>
      <c r="UCS9" s="433"/>
      <c r="UCT9" s="68"/>
      <c r="UCU9" s="271"/>
      <c r="UCW9" s="272"/>
      <c r="UCX9" s="272"/>
      <c r="UCY9" s="272"/>
      <c r="UCZ9" s="273"/>
      <c r="UDA9" s="432"/>
      <c r="UDB9" s="268"/>
      <c r="UDC9" s="228"/>
      <c r="UDD9" s="433"/>
      <c r="UDE9" s="433"/>
      <c r="UDF9" s="68"/>
      <c r="UDG9" s="271"/>
      <c r="UDI9" s="272"/>
      <c r="UDJ9" s="272"/>
      <c r="UDK9" s="272"/>
      <c r="UDL9" s="273"/>
      <c r="UDM9" s="432"/>
      <c r="UDN9" s="268"/>
      <c r="UDO9" s="228"/>
      <c r="UDP9" s="433"/>
      <c r="UDQ9" s="433"/>
      <c r="UDR9" s="68"/>
      <c r="UDS9" s="271"/>
      <c r="UDU9" s="272"/>
      <c r="UDV9" s="272"/>
      <c r="UDW9" s="272"/>
      <c r="UDX9" s="273"/>
      <c r="UDY9" s="432"/>
      <c r="UDZ9" s="268"/>
      <c r="UEA9" s="228"/>
      <c r="UEB9" s="433"/>
      <c r="UEC9" s="433"/>
      <c r="UED9" s="68"/>
      <c r="UEE9" s="271"/>
      <c r="UEG9" s="272"/>
      <c r="UEH9" s="272"/>
      <c r="UEI9" s="272"/>
      <c r="UEJ9" s="273"/>
      <c r="UEK9" s="432"/>
      <c r="UEL9" s="268"/>
      <c r="UEM9" s="228"/>
      <c r="UEN9" s="433"/>
      <c r="UEO9" s="433"/>
      <c r="UEP9" s="68"/>
      <c r="UEQ9" s="271"/>
      <c r="UES9" s="272"/>
      <c r="UET9" s="272"/>
      <c r="UEU9" s="272"/>
      <c r="UEV9" s="273"/>
      <c r="UEW9" s="432"/>
      <c r="UEX9" s="268"/>
      <c r="UEY9" s="228"/>
      <c r="UEZ9" s="433"/>
      <c r="UFA9" s="433"/>
      <c r="UFB9" s="68"/>
      <c r="UFC9" s="271"/>
      <c r="UFE9" s="272"/>
      <c r="UFF9" s="272"/>
      <c r="UFG9" s="272"/>
      <c r="UFH9" s="273"/>
      <c r="UFI9" s="432"/>
      <c r="UFJ9" s="268"/>
      <c r="UFK9" s="228"/>
      <c r="UFL9" s="433"/>
      <c r="UFM9" s="433"/>
      <c r="UFN9" s="68"/>
      <c r="UFO9" s="271"/>
      <c r="UFQ9" s="272"/>
      <c r="UFR9" s="272"/>
      <c r="UFS9" s="272"/>
      <c r="UFT9" s="273"/>
      <c r="UFU9" s="432"/>
      <c r="UFV9" s="268"/>
      <c r="UFW9" s="228"/>
      <c r="UFX9" s="433"/>
      <c r="UFY9" s="433"/>
      <c r="UFZ9" s="68"/>
      <c r="UGA9" s="271"/>
      <c r="UGC9" s="272"/>
      <c r="UGD9" s="272"/>
      <c r="UGE9" s="272"/>
      <c r="UGF9" s="273"/>
      <c r="UGG9" s="432"/>
      <c r="UGH9" s="268"/>
      <c r="UGI9" s="228"/>
      <c r="UGJ9" s="433"/>
      <c r="UGK9" s="433"/>
      <c r="UGL9" s="68"/>
      <c r="UGM9" s="271"/>
      <c r="UGO9" s="272"/>
      <c r="UGP9" s="272"/>
      <c r="UGQ9" s="272"/>
      <c r="UGR9" s="273"/>
      <c r="UGS9" s="432"/>
      <c r="UGT9" s="268"/>
      <c r="UGU9" s="228"/>
      <c r="UGV9" s="433"/>
      <c r="UGW9" s="433"/>
      <c r="UGX9" s="68"/>
      <c r="UGY9" s="271"/>
      <c r="UHA9" s="272"/>
      <c r="UHB9" s="272"/>
      <c r="UHC9" s="272"/>
      <c r="UHD9" s="273"/>
      <c r="UHE9" s="432"/>
      <c r="UHF9" s="268"/>
      <c r="UHG9" s="228"/>
      <c r="UHH9" s="433"/>
      <c r="UHI9" s="433"/>
      <c r="UHJ9" s="68"/>
      <c r="UHK9" s="271"/>
      <c r="UHM9" s="272"/>
      <c r="UHN9" s="272"/>
      <c r="UHO9" s="272"/>
      <c r="UHP9" s="273"/>
      <c r="UHQ9" s="432"/>
      <c r="UHR9" s="268"/>
      <c r="UHS9" s="228"/>
      <c r="UHT9" s="433"/>
      <c r="UHU9" s="433"/>
      <c r="UHV9" s="68"/>
      <c r="UHW9" s="271"/>
      <c r="UHY9" s="272"/>
      <c r="UHZ9" s="272"/>
      <c r="UIA9" s="272"/>
      <c r="UIB9" s="273"/>
      <c r="UIC9" s="432"/>
      <c r="UID9" s="268"/>
      <c r="UIE9" s="228"/>
      <c r="UIF9" s="433"/>
      <c r="UIG9" s="433"/>
      <c r="UIH9" s="68"/>
      <c r="UII9" s="271"/>
      <c r="UIK9" s="272"/>
      <c r="UIL9" s="272"/>
      <c r="UIM9" s="272"/>
      <c r="UIN9" s="273"/>
      <c r="UIO9" s="432"/>
      <c r="UIP9" s="268"/>
      <c r="UIQ9" s="228"/>
      <c r="UIR9" s="433"/>
      <c r="UIS9" s="433"/>
      <c r="UIT9" s="68"/>
      <c r="UIU9" s="271"/>
      <c r="UIW9" s="272"/>
      <c r="UIX9" s="272"/>
      <c r="UIY9" s="272"/>
      <c r="UIZ9" s="273"/>
      <c r="UJA9" s="432"/>
      <c r="UJB9" s="268"/>
      <c r="UJC9" s="228"/>
      <c r="UJD9" s="433"/>
      <c r="UJE9" s="433"/>
      <c r="UJF9" s="68"/>
      <c r="UJG9" s="271"/>
      <c r="UJI9" s="272"/>
      <c r="UJJ9" s="272"/>
      <c r="UJK9" s="272"/>
      <c r="UJL9" s="273"/>
      <c r="UJM9" s="432"/>
      <c r="UJN9" s="268"/>
      <c r="UJO9" s="228"/>
      <c r="UJP9" s="433"/>
      <c r="UJQ9" s="433"/>
      <c r="UJR9" s="68"/>
      <c r="UJS9" s="271"/>
      <c r="UJU9" s="272"/>
      <c r="UJV9" s="272"/>
      <c r="UJW9" s="272"/>
      <c r="UJX9" s="273"/>
      <c r="UJY9" s="432"/>
      <c r="UJZ9" s="268"/>
      <c r="UKA9" s="228"/>
      <c r="UKB9" s="433"/>
      <c r="UKC9" s="433"/>
      <c r="UKD9" s="68"/>
      <c r="UKE9" s="271"/>
      <c r="UKG9" s="272"/>
      <c r="UKH9" s="272"/>
      <c r="UKI9" s="272"/>
      <c r="UKJ9" s="273"/>
      <c r="UKK9" s="432"/>
      <c r="UKL9" s="268"/>
      <c r="UKM9" s="228"/>
      <c r="UKN9" s="433"/>
      <c r="UKO9" s="433"/>
      <c r="UKP9" s="68"/>
      <c r="UKQ9" s="271"/>
      <c r="UKS9" s="272"/>
      <c r="UKT9" s="272"/>
      <c r="UKU9" s="272"/>
      <c r="UKV9" s="273"/>
      <c r="UKW9" s="432"/>
      <c r="UKX9" s="268"/>
      <c r="UKY9" s="228"/>
      <c r="UKZ9" s="433"/>
      <c r="ULA9" s="433"/>
      <c r="ULB9" s="68"/>
      <c r="ULC9" s="271"/>
      <c r="ULE9" s="272"/>
      <c r="ULF9" s="272"/>
      <c r="ULG9" s="272"/>
      <c r="ULH9" s="273"/>
      <c r="ULI9" s="432"/>
      <c r="ULJ9" s="268"/>
      <c r="ULK9" s="228"/>
      <c r="ULL9" s="433"/>
      <c r="ULM9" s="433"/>
      <c r="ULN9" s="68"/>
      <c r="ULO9" s="271"/>
      <c r="ULQ9" s="272"/>
      <c r="ULR9" s="272"/>
      <c r="ULS9" s="272"/>
      <c r="ULT9" s="273"/>
      <c r="ULU9" s="432"/>
      <c r="ULV9" s="268"/>
      <c r="ULW9" s="228"/>
      <c r="ULX9" s="433"/>
      <c r="ULY9" s="433"/>
      <c r="ULZ9" s="68"/>
      <c r="UMA9" s="271"/>
      <c r="UMC9" s="272"/>
      <c r="UMD9" s="272"/>
      <c r="UME9" s="272"/>
      <c r="UMF9" s="273"/>
      <c r="UMG9" s="432"/>
      <c r="UMH9" s="268"/>
      <c r="UMI9" s="228"/>
      <c r="UMJ9" s="433"/>
      <c r="UMK9" s="433"/>
      <c r="UML9" s="68"/>
      <c r="UMM9" s="271"/>
      <c r="UMO9" s="272"/>
      <c r="UMP9" s="272"/>
      <c r="UMQ9" s="272"/>
      <c r="UMR9" s="273"/>
      <c r="UMS9" s="432"/>
      <c r="UMT9" s="268"/>
      <c r="UMU9" s="228"/>
      <c r="UMV9" s="433"/>
      <c r="UMW9" s="433"/>
      <c r="UMX9" s="68"/>
      <c r="UMY9" s="271"/>
      <c r="UNA9" s="272"/>
      <c r="UNB9" s="272"/>
      <c r="UNC9" s="272"/>
      <c r="UND9" s="273"/>
      <c r="UNE9" s="432"/>
      <c r="UNF9" s="268"/>
      <c r="UNG9" s="228"/>
      <c r="UNH9" s="433"/>
      <c r="UNI9" s="433"/>
      <c r="UNJ9" s="68"/>
      <c r="UNK9" s="271"/>
      <c r="UNM9" s="272"/>
      <c r="UNN9" s="272"/>
      <c r="UNO9" s="272"/>
      <c r="UNP9" s="273"/>
      <c r="UNQ9" s="432"/>
      <c r="UNR9" s="268"/>
      <c r="UNS9" s="228"/>
      <c r="UNT9" s="433"/>
      <c r="UNU9" s="433"/>
      <c r="UNV9" s="68"/>
      <c r="UNW9" s="271"/>
      <c r="UNY9" s="272"/>
      <c r="UNZ9" s="272"/>
      <c r="UOA9" s="272"/>
      <c r="UOB9" s="273"/>
      <c r="UOC9" s="432"/>
      <c r="UOD9" s="268"/>
      <c r="UOE9" s="228"/>
      <c r="UOF9" s="433"/>
      <c r="UOG9" s="433"/>
      <c r="UOH9" s="68"/>
      <c r="UOI9" s="271"/>
      <c r="UOK9" s="272"/>
      <c r="UOL9" s="272"/>
      <c r="UOM9" s="272"/>
      <c r="UON9" s="273"/>
      <c r="UOO9" s="432"/>
      <c r="UOP9" s="268"/>
      <c r="UOQ9" s="228"/>
      <c r="UOR9" s="433"/>
      <c r="UOS9" s="433"/>
      <c r="UOT9" s="68"/>
      <c r="UOU9" s="271"/>
      <c r="UOW9" s="272"/>
      <c r="UOX9" s="272"/>
      <c r="UOY9" s="272"/>
      <c r="UOZ9" s="273"/>
      <c r="UPA9" s="432"/>
      <c r="UPB9" s="268"/>
      <c r="UPC9" s="228"/>
      <c r="UPD9" s="433"/>
      <c r="UPE9" s="433"/>
      <c r="UPF9" s="68"/>
      <c r="UPG9" s="271"/>
      <c r="UPI9" s="272"/>
      <c r="UPJ9" s="272"/>
      <c r="UPK9" s="272"/>
      <c r="UPL9" s="273"/>
      <c r="UPM9" s="432"/>
      <c r="UPN9" s="268"/>
      <c r="UPO9" s="228"/>
      <c r="UPP9" s="433"/>
      <c r="UPQ9" s="433"/>
      <c r="UPR9" s="68"/>
      <c r="UPS9" s="271"/>
      <c r="UPU9" s="272"/>
      <c r="UPV9" s="272"/>
      <c r="UPW9" s="272"/>
      <c r="UPX9" s="273"/>
      <c r="UPY9" s="432"/>
      <c r="UPZ9" s="268"/>
      <c r="UQA9" s="228"/>
      <c r="UQB9" s="433"/>
      <c r="UQC9" s="433"/>
      <c r="UQD9" s="68"/>
      <c r="UQE9" s="271"/>
      <c r="UQG9" s="272"/>
      <c r="UQH9" s="272"/>
      <c r="UQI9" s="272"/>
      <c r="UQJ9" s="273"/>
      <c r="UQK9" s="432"/>
      <c r="UQL9" s="268"/>
      <c r="UQM9" s="228"/>
      <c r="UQN9" s="433"/>
      <c r="UQO9" s="433"/>
      <c r="UQP9" s="68"/>
      <c r="UQQ9" s="271"/>
      <c r="UQS9" s="272"/>
      <c r="UQT9" s="272"/>
      <c r="UQU9" s="272"/>
      <c r="UQV9" s="273"/>
      <c r="UQW9" s="432"/>
      <c r="UQX9" s="268"/>
      <c r="UQY9" s="228"/>
      <c r="UQZ9" s="433"/>
      <c r="URA9" s="433"/>
      <c r="URB9" s="68"/>
      <c r="URC9" s="271"/>
      <c r="URE9" s="272"/>
      <c r="URF9" s="272"/>
      <c r="URG9" s="272"/>
      <c r="URH9" s="273"/>
      <c r="URI9" s="432"/>
      <c r="URJ9" s="268"/>
      <c r="URK9" s="228"/>
      <c r="URL9" s="433"/>
      <c r="URM9" s="433"/>
      <c r="URN9" s="68"/>
      <c r="URO9" s="271"/>
      <c r="URQ9" s="272"/>
      <c r="URR9" s="272"/>
      <c r="URS9" s="272"/>
      <c r="URT9" s="273"/>
      <c r="URU9" s="432"/>
      <c r="URV9" s="268"/>
      <c r="URW9" s="228"/>
      <c r="URX9" s="433"/>
      <c r="URY9" s="433"/>
      <c r="URZ9" s="68"/>
      <c r="USA9" s="271"/>
      <c r="USC9" s="272"/>
      <c r="USD9" s="272"/>
      <c r="USE9" s="272"/>
      <c r="USF9" s="273"/>
      <c r="USG9" s="432"/>
      <c r="USH9" s="268"/>
      <c r="USI9" s="228"/>
      <c r="USJ9" s="433"/>
      <c r="USK9" s="433"/>
      <c r="USL9" s="68"/>
      <c r="USM9" s="271"/>
      <c r="USO9" s="272"/>
      <c r="USP9" s="272"/>
      <c r="USQ9" s="272"/>
      <c r="USR9" s="273"/>
      <c r="USS9" s="432"/>
      <c r="UST9" s="268"/>
      <c r="USU9" s="228"/>
      <c r="USV9" s="433"/>
      <c r="USW9" s="433"/>
      <c r="USX9" s="68"/>
      <c r="USY9" s="271"/>
      <c r="UTA9" s="272"/>
      <c r="UTB9" s="272"/>
      <c r="UTC9" s="272"/>
      <c r="UTD9" s="273"/>
      <c r="UTE9" s="432"/>
      <c r="UTF9" s="268"/>
      <c r="UTG9" s="228"/>
      <c r="UTH9" s="433"/>
      <c r="UTI9" s="433"/>
      <c r="UTJ9" s="68"/>
      <c r="UTK9" s="271"/>
      <c r="UTM9" s="272"/>
      <c r="UTN9" s="272"/>
      <c r="UTO9" s="272"/>
      <c r="UTP9" s="273"/>
      <c r="UTQ9" s="432"/>
      <c r="UTR9" s="268"/>
      <c r="UTS9" s="228"/>
      <c r="UTT9" s="433"/>
      <c r="UTU9" s="433"/>
      <c r="UTV9" s="68"/>
      <c r="UTW9" s="271"/>
      <c r="UTY9" s="272"/>
      <c r="UTZ9" s="272"/>
      <c r="UUA9" s="272"/>
      <c r="UUB9" s="273"/>
      <c r="UUC9" s="432"/>
      <c r="UUD9" s="268"/>
      <c r="UUE9" s="228"/>
      <c r="UUF9" s="433"/>
      <c r="UUG9" s="433"/>
      <c r="UUH9" s="68"/>
      <c r="UUI9" s="271"/>
      <c r="UUK9" s="272"/>
      <c r="UUL9" s="272"/>
      <c r="UUM9" s="272"/>
      <c r="UUN9" s="273"/>
      <c r="UUO9" s="432"/>
      <c r="UUP9" s="268"/>
      <c r="UUQ9" s="228"/>
      <c r="UUR9" s="433"/>
      <c r="UUS9" s="433"/>
      <c r="UUT9" s="68"/>
      <c r="UUU9" s="271"/>
      <c r="UUW9" s="272"/>
      <c r="UUX9" s="272"/>
      <c r="UUY9" s="272"/>
      <c r="UUZ9" s="273"/>
      <c r="UVA9" s="432"/>
      <c r="UVB9" s="268"/>
      <c r="UVC9" s="228"/>
      <c r="UVD9" s="433"/>
      <c r="UVE9" s="433"/>
      <c r="UVF9" s="68"/>
      <c r="UVG9" s="271"/>
      <c r="UVI9" s="272"/>
      <c r="UVJ9" s="272"/>
      <c r="UVK9" s="272"/>
      <c r="UVL9" s="273"/>
      <c r="UVM9" s="432"/>
      <c r="UVN9" s="268"/>
      <c r="UVO9" s="228"/>
      <c r="UVP9" s="433"/>
      <c r="UVQ9" s="433"/>
      <c r="UVR9" s="68"/>
      <c r="UVS9" s="271"/>
      <c r="UVU9" s="272"/>
      <c r="UVV9" s="272"/>
      <c r="UVW9" s="272"/>
      <c r="UVX9" s="273"/>
      <c r="UVY9" s="432"/>
      <c r="UVZ9" s="268"/>
      <c r="UWA9" s="228"/>
      <c r="UWB9" s="433"/>
      <c r="UWC9" s="433"/>
      <c r="UWD9" s="68"/>
      <c r="UWE9" s="271"/>
      <c r="UWG9" s="272"/>
      <c r="UWH9" s="272"/>
      <c r="UWI9" s="272"/>
      <c r="UWJ9" s="273"/>
      <c r="UWK9" s="432"/>
      <c r="UWL9" s="268"/>
      <c r="UWM9" s="228"/>
      <c r="UWN9" s="433"/>
      <c r="UWO9" s="433"/>
      <c r="UWP9" s="68"/>
      <c r="UWQ9" s="271"/>
      <c r="UWS9" s="272"/>
      <c r="UWT9" s="272"/>
      <c r="UWU9" s="272"/>
      <c r="UWV9" s="273"/>
      <c r="UWW9" s="432"/>
      <c r="UWX9" s="268"/>
      <c r="UWY9" s="228"/>
      <c r="UWZ9" s="433"/>
      <c r="UXA9" s="433"/>
      <c r="UXB9" s="68"/>
      <c r="UXC9" s="271"/>
      <c r="UXE9" s="272"/>
      <c r="UXF9" s="272"/>
      <c r="UXG9" s="272"/>
      <c r="UXH9" s="273"/>
      <c r="UXI9" s="432"/>
      <c r="UXJ9" s="268"/>
      <c r="UXK9" s="228"/>
      <c r="UXL9" s="433"/>
      <c r="UXM9" s="433"/>
      <c r="UXN9" s="68"/>
      <c r="UXO9" s="271"/>
      <c r="UXQ9" s="272"/>
      <c r="UXR9" s="272"/>
      <c r="UXS9" s="272"/>
      <c r="UXT9" s="273"/>
      <c r="UXU9" s="432"/>
      <c r="UXV9" s="268"/>
      <c r="UXW9" s="228"/>
      <c r="UXX9" s="433"/>
      <c r="UXY9" s="433"/>
      <c r="UXZ9" s="68"/>
      <c r="UYA9" s="271"/>
      <c r="UYC9" s="272"/>
      <c r="UYD9" s="272"/>
      <c r="UYE9" s="272"/>
      <c r="UYF9" s="273"/>
      <c r="UYG9" s="432"/>
      <c r="UYH9" s="268"/>
      <c r="UYI9" s="228"/>
      <c r="UYJ9" s="433"/>
      <c r="UYK9" s="433"/>
      <c r="UYL9" s="68"/>
      <c r="UYM9" s="271"/>
      <c r="UYO9" s="272"/>
      <c r="UYP9" s="272"/>
      <c r="UYQ9" s="272"/>
      <c r="UYR9" s="273"/>
      <c r="UYS9" s="432"/>
      <c r="UYT9" s="268"/>
      <c r="UYU9" s="228"/>
      <c r="UYV9" s="433"/>
      <c r="UYW9" s="433"/>
      <c r="UYX9" s="68"/>
      <c r="UYY9" s="271"/>
      <c r="UZA9" s="272"/>
      <c r="UZB9" s="272"/>
      <c r="UZC9" s="272"/>
      <c r="UZD9" s="273"/>
      <c r="UZE9" s="432"/>
      <c r="UZF9" s="268"/>
      <c r="UZG9" s="228"/>
      <c r="UZH9" s="433"/>
      <c r="UZI9" s="433"/>
      <c r="UZJ9" s="68"/>
      <c r="UZK9" s="271"/>
      <c r="UZM9" s="272"/>
      <c r="UZN9" s="272"/>
      <c r="UZO9" s="272"/>
      <c r="UZP9" s="273"/>
      <c r="UZQ9" s="432"/>
      <c r="UZR9" s="268"/>
      <c r="UZS9" s="228"/>
      <c r="UZT9" s="433"/>
      <c r="UZU9" s="433"/>
      <c r="UZV9" s="68"/>
      <c r="UZW9" s="271"/>
      <c r="UZY9" s="272"/>
      <c r="UZZ9" s="272"/>
      <c r="VAA9" s="272"/>
      <c r="VAB9" s="273"/>
      <c r="VAC9" s="432"/>
      <c r="VAD9" s="268"/>
      <c r="VAE9" s="228"/>
      <c r="VAF9" s="433"/>
      <c r="VAG9" s="433"/>
      <c r="VAH9" s="68"/>
      <c r="VAI9" s="271"/>
      <c r="VAK9" s="272"/>
      <c r="VAL9" s="272"/>
      <c r="VAM9" s="272"/>
      <c r="VAN9" s="273"/>
      <c r="VAO9" s="432"/>
      <c r="VAP9" s="268"/>
      <c r="VAQ9" s="228"/>
      <c r="VAR9" s="433"/>
      <c r="VAS9" s="433"/>
      <c r="VAT9" s="68"/>
      <c r="VAU9" s="271"/>
      <c r="VAW9" s="272"/>
      <c r="VAX9" s="272"/>
      <c r="VAY9" s="272"/>
      <c r="VAZ9" s="273"/>
      <c r="VBA9" s="432"/>
      <c r="VBB9" s="268"/>
      <c r="VBC9" s="228"/>
      <c r="VBD9" s="433"/>
      <c r="VBE9" s="433"/>
      <c r="VBF9" s="68"/>
      <c r="VBG9" s="271"/>
      <c r="VBI9" s="272"/>
      <c r="VBJ9" s="272"/>
      <c r="VBK9" s="272"/>
      <c r="VBL9" s="273"/>
      <c r="VBM9" s="432"/>
      <c r="VBN9" s="268"/>
      <c r="VBO9" s="228"/>
      <c r="VBP9" s="433"/>
      <c r="VBQ9" s="433"/>
      <c r="VBR9" s="68"/>
      <c r="VBS9" s="271"/>
      <c r="VBU9" s="272"/>
      <c r="VBV9" s="272"/>
      <c r="VBW9" s="272"/>
      <c r="VBX9" s="273"/>
      <c r="VBY9" s="432"/>
      <c r="VBZ9" s="268"/>
      <c r="VCA9" s="228"/>
      <c r="VCB9" s="433"/>
      <c r="VCC9" s="433"/>
      <c r="VCD9" s="68"/>
      <c r="VCE9" s="271"/>
      <c r="VCG9" s="272"/>
      <c r="VCH9" s="272"/>
      <c r="VCI9" s="272"/>
      <c r="VCJ9" s="273"/>
      <c r="VCK9" s="432"/>
      <c r="VCL9" s="268"/>
      <c r="VCM9" s="228"/>
      <c r="VCN9" s="433"/>
      <c r="VCO9" s="433"/>
      <c r="VCP9" s="68"/>
      <c r="VCQ9" s="271"/>
      <c r="VCS9" s="272"/>
      <c r="VCT9" s="272"/>
      <c r="VCU9" s="272"/>
      <c r="VCV9" s="273"/>
      <c r="VCW9" s="432"/>
      <c r="VCX9" s="268"/>
      <c r="VCY9" s="228"/>
      <c r="VCZ9" s="433"/>
      <c r="VDA9" s="433"/>
      <c r="VDB9" s="68"/>
      <c r="VDC9" s="271"/>
      <c r="VDE9" s="272"/>
      <c r="VDF9" s="272"/>
      <c r="VDG9" s="272"/>
      <c r="VDH9" s="273"/>
      <c r="VDI9" s="432"/>
      <c r="VDJ9" s="268"/>
      <c r="VDK9" s="228"/>
      <c r="VDL9" s="433"/>
      <c r="VDM9" s="433"/>
      <c r="VDN9" s="68"/>
      <c r="VDO9" s="271"/>
      <c r="VDQ9" s="272"/>
      <c r="VDR9" s="272"/>
      <c r="VDS9" s="272"/>
      <c r="VDT9" s="273"/>
      <c r="VDU9" s="432"/>
      <c r="VDV9" s="268"/>
      <c r="VDW9" s="228"/>
      <c r="VDX9" s="433"/>
      <c r="VDY9" s="433"/>
      <c r="VDZ9" s="68"/>
      <c r="VEA9" s="271"/>
      <c r="VEC9" s="272"/>
      <c r="VED9" s="272"/>
      <c r="VEE9" s="272"/>
      <c r="VEF9" s="273"/>
      <c r="VEG9" s="432"/>
      <c r="VEH9" s="268"/>
      <c r="VEI9" s="228"/>
      <c r="VEJ9" s="433"/>
      <c r="VEK9" s="433"/>
      <c r="VEL9" s="68"/>
      <c r="VEM9" s="271"/>
      <c r="VEO9" s="272"/>
      <c r="VEP9" s="272"/>
      <c r="VEQ9" s="272"/>
      <c r="VER9" s="273"/>
      <c r="VES9" s="432"/>
      <c r="VET9" s="268"/>
      <c r="VEU9" s="228"/>
      <c r="VEV9" s="433"/>
      <c r="VEW9" s="433"/>
      <c r="VEX9" s="68"/>
      <c r="VEY9" s="271"/>
      <c r="VFA9" s="272"/>
      <c r="VFB9" s="272"/>
      <c r="VFC9" s="272"/>
      <c r="VFD9" s="273"/>
      <c r="VFE9" s="432"/>
      <c r="VFF9" s="268"/>
      <c r="VFG9" s="228"/>
      <c r="VFH9" s="433"/>
      <c r="VFI9" s="433"/>
      <c r="VFJ9" s="68"/>
      <c r="VFK9" s="271"/>
      <c r="VFM9" s="272"/>
      <c r="VFN9" s="272"/>
      <c r="VFO9" s="272"/>
      <c r="VFP9" s="273"/>
      <c r="VFQ9" s="432"/>
      <c r="VFR9" s="268"/>
      <c r="VFS9" s="228"/>
      <c r="VFT9" s="433"/>
      <c r="VFU9" s="433"/>
      <c r="VFV9" s="68"/>
      <c r="VFW9" s="271"/>
      <c r="VFY9" s="272"/>
      <c r="VFZ9" s="272"/>
      <c r="VGA9" s="272"/>
      <c r="VGB9" s="273"/>
      <c r="VGC9" s="432"/>
      <c r="VGD9" s="268"/>
      <c r="VGE9" s="228"/>
      <c r="VGF9" s="433"/>
      <c r="VGG9" s="433"/>
      <c r="VGH9" s="68"/>
      <c r="VGI9" s="271"/>
      <c r="VGK9" s="272"/>
      <c r="VGL9" s="272"/>
      <c r="VGM9" s="272"/>
      <c r="VGN9" s="273"/>
      <c r="VGO9" s="432"/>
      <c r="VGP9" s="268"/>
      <c r="VGQ9" s="228"/>
      <c r="VGR9" s="433"/>
      <c r="VGS9" s="433"/>
      <c r="VGT9" s="68"/>
      <c r="VGU9" s="271"/>
      <c r="VGW9" s="272"/>
      <c r="VGX9" s="272"/>
      <c r="VGY9" s="272"/>
      <c r="VGZ9" s="273"/>
      <c r="VHA9" s="432"/>
      <c r="VHB9" s="268"/>
      <c r="VHC9" s="228"/>
      <c r="VHD9" s="433"/>
      <c r="VHE9" s="433"/>
      <c r="VHF9" s="68"/>
      <c r="VHG9" s="271"/>
      <c r="VHI9" s="272"/>
      <c r="VHJ9" s="272"/>
      <c r="VHK9" s="272"/>
      <c r="VHL9" s="273"/>
      <c r="VHM9" s="432"/>
      <c r="VHN9" s="268"/>
      <c r="VHO9" s="228"/>
      <c r="VHP9" s="433"/>
      <c r="VHQ9" s="433"/>
      <c r="VHR9" s="68"/>
      <c r="VHS9" s="271"/>
      <c r="VHU9" s="272"/>
      <c r="VHV9" s="272"/>
      <c r="VHW9" s="272"/>
      <c r="VHX9" s="273"/>
      <c r="VHY9" s="432"/>
      <c r="VHZ9" s="268"/>
      <c r="VIA9" s="228"/>
      <c r="VIB9" s="433"/>
      <c r="VIC9" s="433"/>
      <c r="VID9" s="68"/>
      <c r="VIE9" s="271"/>
      <c r="VIG9" s="272"/>
      <c r="VIH9" s="272"/>
      <c r="VII9" s="272"/>
      <c r="VIJ9" s="273"/>
      <c r="VIK9" s="432"/>
      <c r="VIL9" s="268"/>
      <c r="VIM9" s="228"/>
      <c r="VIN9" s="433"/>
      <c r="VIO9" s="433"/>
      <c r="VIP9" s="68"/>
      <c r="VIQ9" s="271"/>
      <c r="VIS9" s="272"/>
      <c r="VIT9" s="272"/>
      <c r="VIU9" s="272"/>
      <c r="VIV9" s="273"/>
      <c r="VIW9" s="432"/>
      <c r="VIX9" s="268"/>
      <c r="VIY9" s="228"/>
      <c r="VIZ9" s="433"/>
      <c r="VJA9" s="433"/>
      <c r="VJB9" s="68"/>
      <c r="VJC9" s="271"/>
      <c r="VJE9" s="272"/>
      <c r="VJF9" s="272"/>
      <c r="VJG9" s="272"/>
      <c r="VJH9" s="273"/>
      <c r="VJI9" s="432"/>
      <c r="VJJ9" s="268"/>
      <c r="VJK9" s="228"/>
      <c r="VJL9" s="433"/>
      <c r="VJM9" s="433"/>
      <c r="VJN9" s="68"/>
      <c r="VJO9" s="271"/>
      <c r="VJQ9" s="272"/>
      <c r="VJR9" s="272"/>
      <c r="VJS9" s="272"/>
      <c r="VJT9" s="273"/>
      <c r="VJU9" s="432"/>
      <c r="VJV9" s="268"/>
      <c r="VJW9" s="228"/>
      <c r="VJX9" s="433"/>
      <c r="VJY9" s="433"/>
      <c r="VJZ9" s="68"/>
      <c r="VKA9" s="271"/>
      <c r="VKC9" s="272"/>
      <c r="VKD9" s="272"/>
      <c r="VKE9" s="272"/>
      <c r="VKF9" s="273"/>
      <c r="VKG9" s="432"/>
      <c r="VKH9" s="268"/>
      <c r="VKI9" s="228"/>
      <c r="VKJ9" s="433"/>
      <c r="VKK9" s="433"/>
      <c r="VKL9" s="68"/>
      <c r="VKM9" s="271"/>
      <c r="VKO9" s="272"/>
      <c r="VKP9" s="272"/>
      <c r="VKQ9" s="272"/>
      <c r="VKR9" s="273"/>
      <c r="VKS9" s="432"/>
      <c r="VKT9" s="268"/>
      <c r="VKU9" s="228"/>
      <c r="VKV9" s="433"/>
      <c r="VKW9" s="433"/>
      <c r="VKX9" s="68"/>
      <c r="VKY9" s="271"/>
      <c r="VLA9" s="272"/>
      <c r="VLB9" s="272"/>
      <c r="VLC9" s="272"/>
      <c r="VLD9" s="273"/>
      <c r="VLE9" s="432"/>
      <c r="VLF9" s="268"/>
      <c r="VLG9" s="228"/>
      <c r="VLH9" s="433"/>
      <c r="VLI9" s="433"/>
      <c r="VLJ9" s="68"/>
      <c r="VLK9" s="271"/>
      <c r="VLM9" s="272"/>
      <c r="VLN9" s="272"/>
      <c r="VLO9" s="272"/>
      <c r="VLP9" s="273"/>
      <c r="VLQ9" s="432"/>
      <c r="VLR9" s="268"/>
      <c r="VLS9" s="228"/>
      <c r="VLT9" s="433"/>
      <c r="VLU9" s="433"/>
      <c r="VLV9" s="68"/>
      <c r="VLW9" s="271"/>
      <c r="VLY9" s="272"/>
      <c r="VLZ9" s="272"/>
      <c r="VMA9" s="272"/>
      <c r="VMB9" s="273"/>
      <c r="VMC9" s="432"/>
      <c r="VMD9" s="268"/>
      <c r="VME9" s="228"/>
      <c r="VMF9" s="433"/>
      <c r="VMG9" s="433"/>
      <c r="VMH9" s="68"/>
      <c r="VMI9" s="271"/>
      <c r="VMK9" s="272"/>
      <c r="VML9" s="272"/>
      <c r="VMM9" s="272"/>
      <c r="VMN9" s="273"/>
      <c r="VMO9" s="432"/>
      <c r="VMP9" s="268"/>
      <c r="VMQ9" s="228"/>
      <c r="VMR9" s="433"/>
      <c r="VMS9" s="433"/>
      <c r="VMT9" s="68"/>
      <c r="VMU9" s="271"/>
      <c r="VMW9" s="272"/>
      <c r="VMX9" s="272"/>
      <c r="VMY9" s="272"/>
      <c r="VMZ9" s="273"/>
      <c r="VNA9" s="432"/>
      <c r="VNB9" s="268"/>
      <c r="VNC9" s="228"/>
      <c r="VND9" s="433"/>
      <c r="VNE9" s="433"/>
      <c r="VNF9" s="68"/>
      <c r="VNG9" s="271"/>
      <c r="VNI9" s="272"/>
      <c r="VNJ9" s="272"/>
      <c r="VNK9" s="272"/>
      <c r="VNL9" s="273"/>
      <c r="VNM9" s="432"/>
      <c r="VNN9" s="268"/>
      <c r="VNO9" s="228"/>
      <c r="VNP9" s="433"/>
      <c r="VNQ9" s="433"/>
      <c r="VNR9" s="68"/>
      <c r="VNS9" s="271"/>
      <c r="VNU9" s="272"/>
      <c r="VNV9" s="272"/>
      <c r="VNW9" s="272"/>
      <c r="VNX9" s="273"/>
      <c r="VNY9" s="432"/>
      <c r="VNZ9" s="268"/>
      <c r="VOA9" s="228"/>
      <c r="VOB9" s="433"/>
      <c r="VOC9" s="433"/>
      <c r="VOD9" s="68"/>
      <c r="VOE9" s="271"/>
      <c r="VOG9" s="272"/>
      <c r="VOH9" s="272"/>
      <c r="VOI9" s="272"/>
      <c r="VOJ9" s="273"/>
      <c r="VOK9" s="432"/>
      <c r="VOL9" s="268"/>
      <c r="VOM9" s="228"/>
      <c r="VON9" s="433"/>
      <c r="VOO9" s="433"/>
      <c r="VOP9" s="68"/>
      <c r="VOQ9" s="271"/>
      <c r="VOS9" s="272"/>
      <c r="VOT9" s="272"/>
      <c r="VOU9" s="272"/>
      <c r="VOV9" s="273"/>
      <c r="VOW9" s="432"/>
      <c r="VOX9" s="268"/>
      <c r="VOY9" s="228"/>
      <c r="VOZ9" s="433"/>
      <c r="VPA9" s="433"/>
      <c r="VPB9" s="68"/>
      <c r="VPC9" s="271"/>
      <c r="VPE9" s="272"/>
      <c r="VPF9" s="272"/>
      <c r="VPG9" s="272"/>
      <c r="VPH9" s="273"/>
      <c r="VPI9" s="432"/>
      <c r="VPJ9" s="268"/>
      <c r="VPK9" s="228"/>
      <c r="VPL9" s="433"/>
      <c r="VPM9" s="433"/>
      <c r="VPN9" s="68"/>
      <c r="VPO9" s="271"/>
      <c r="VPQ9" s="272"/>
      <c r="VPR9" s="272"/>
      <c r="VPS9" s="272"/>
      <c r="VPT9" s="273"/>
      <c r="VPU9" s="432"/>
      <c r="VPV9" s="268"/>
      <c r="VPW9" s="228"/>
      <c r="VPX9" s="433"/>
      <c r="VPY9" s="433"/>
      <c r="VPZ9" s="68"/>
      <c r="VQA9" s="271"/>
      <c r="VQC9" s="272"/>
      <c r="VQD9" s="272"/>
      <c r="VQE9" s="272"/>
      <c r="VQF9" s="273"/>
      <c r="VQG9" s="432"/>
      <c r="VQH9" s="268"/>
      <c r="VQI9" s="228"/>
      <c r="VQJ9" s="433"/>
      <c r="VQK9" s="433"/>
      <c r="VQL9" s="68"/>
      <c r="VQM9" s="271"/>
      <c r="VQO9" s="272"/>
      <c r="VQP9" s="272"/>
      <c r="VQQ9" s="272"/>
      <c r="VQR9" s="273"/>
      <c r="VQS9" s="432"/>
      <c r="VQT9" s="268"/>
      <c r="VQU9" s="228"/>
      <c r="VQV9" s="433"/>
      <c r="VQW9" s="433"/>
      <c r="VQX9" s="68"/>
      <c r="VQY9" s="271"/>
      <c r="VRA9" s="272"/>
      <c r="VRB9" s="272"/>
      <c r="VRC9" s="272"/>
      <c r="VRD9" s="273"/>
      <c r="VRE9" s="432"/>
      <c r="VRF9" s="268"/>
      <c r="VRG9" s="228"/>
      <c r="VRH9" s="433"/>
      <c r="VRI9" s="433"/>
      <c r="VRJ9" s="68"/>
      <c r="VRK9" s="271"/>
      <c r="VRM9" s="272"/>
      <c r="VRN9" s="272"/>
      <c r="VRO9" s="272"/>
      <c r="VRP9" s="273"/>
      <c r="VRQ9" s="432"/>
      <c r="VRR9" s="268"/>
      <c r="VRS9" s="228"/>
      <c r="VRT9" s="433"/>
      <c r="VRU9" s="433"/>
      <c r="VRV9" s="68"/>
      <c r="VRW9" s="271"/>
      <c r="VRY9" s="272"/>
      <c r="VRZ9" s="272"/>
      <c r="VSA9" s="272"/>
      <c r="VSB9" s="273"/>
      <c r="VSC9" s="432"/>
      <c r="VSD9" s="268"/>
      <c r="VSE9" s="228"/>
      <c r="VSF9" s="433"/>
      <c r="VSG9" s="433"/>
      <c r="VSH9" s="68"/>
      <c r="VSI9" s="271"/>
      <c r="VSK9" s="272"/>
      <c r="VSL9" s="272"/>
      <c r="VSM9" s="272"/>
      <c r="VSN9" s="273"/>
      <c r="VSO9" s="432"/>
      <c r="VSP9" s="268"/>
      <c r="VSQ9" s="228"/>
      <c r="VSR9" s="433"/>
      <c r="VSS9" s="433"/>
      <c r="VST9" s="68"/>
      <c r="VSU9" s="271"/>
      <c r="VSW9" s="272"/>
      <c r="VSX9" s="272"/>
      <c r="VSY9" s="272"/>
      <c r="VSZ9" s="273"/>
      <c r="VTA9" s="432"/>
      <c r="VTB9" s="268"/>
      <c r="VTC9" s="228"/>
      <c r="VTD9" s="433"/>
      <c r="VTE9" s="433"/>
      <c r="VTF9" s="68"/>
      <c r="VTG9" s="271"/>
      <c r="VTI9" s="272"/>
      <c r="VTJ9" s="272"/>
      <c r="VTK9" s="272"/>
      <c r="VTL9" s="273"/>
      <c r="VTM9" s="432"/>
      <c r="VTN9" s="268"/>
      <c r="VTO9" s="228"/>
      <c r="VTP9" s="433"/>
      <c r="VTQ9" s="433"/>
      <c r="VTR9" s="68"/>
      <c r="VTS9" s="271"/>
      <c r="VTU9" s="272"/>
      <c r="VTV9" s="272"/>
      <c r="VTW9" s="272"/>
      <c r="VTX9" s="273"/>
      <c r="VTY9" s="432"/>
      <c r="VTZ9" s="268"/>
      <c r="VUA9" s="228"/>
      <c r="VUB9" s="433"/>
      <c r="VUC9" s="433"/>
      <c r="VUD9" s="68"/>
      <c r="VUE9" s="271"/>
      <c r="VUG9" s="272"/>
      <c r="VUH9" s="272"/>
      <c r="VUI9" s="272"/>
      <c r="VUJ9" s="273"/>
      <c r="VUK9" s="432"/>
      <c r="VUL9" s="268"/>
      <c r="VUM9" s="228"/>
      <c r="VUN9" s="433"/>
      <c r="VUO9" s="433"/>
      <c r="VUP9" s="68"/>
      <c r="VUQ9" s="271"/>
      <c r="VUS9" s="272"/>
      <c r="VUT9" s="272"/>
      <c r="VUU9" s="272"/>
      <c r="VUV9" s="273"/>
      <c r="VUW9" s="432"/>
      <c r="VUX9" s="268"/>
      <c r="VUY9" s="228"/>
      <c r="VUZ9" s="433"/>
      <c r="VVA9" s="433"/>
      <c r="VVB9" s="68"/>
      <c r="VVC9" s="271"/>
      <c r="VVE9" s="272"/>
      <c r="VVF9" s="272"/>
      <c r="VVG9" s="272"/>
      <c r="VVH9" s="273"/>
      <c r="VVI9" s="432"/>
      <c r="VVJ9" s="268"/>
      <c r="VVK9" s="228"/>
      <c r="VVL9" s="433"/>
      <c r="VVM9" s="433"/>
      <c r="VVN9" s="68"/>
      <c r="VVO9" s="271"/>
      <c r="VVQ9" s="272"/>
      <c r="VVR9" s="272"/>
      <c r="VVS9" s="272"/>
      <c r="VVT9" s="273"/>
      <c r="VVU9" s="432"/>
      <c r="VVV9" s="268"/>
      <c r="VVW9" s="228"/>
      <c r="VVX9" s="433"/>
      <c r="VVY9" s="433"/>
      <c r="VVZ9" s="68"/>
      <c r="VWA9" s="271"/>
      <c r="VWC9" s="272"/>
      <c r="VWD9" s="272"/>
      <c r="VWE9" s="272"/>
      <c r="VWF9" s="273"/>
      <c r="VWG9" s="432"/>
      <c r="VWH9" s="268"/>
      <c r="VWI9" s="228"/>
      <c r="VWJ9" s="433"/>
      <c r="VWK9" s="433"/>
      <c r="VWL9" s="68"/>
      <c r="VWM9" s="271"/>
      <c r="VWO9" s="272"/>
      <c r="VWP9" s="272"/>
      <c r="VWQ9" s="272"/>
      <c r="VWR9" s="273"/>
      <c r="VWS9" s="432"/>
      <c r="VWT9" s="268"/>
      <c r="VWU9" s="228"/>
      <c r="VWV9" s="433"/>
      <c r="VWW9" s="433"/>
      <c r="VWX9" s="68"/>
      <c r="VWY9" s="271"/>
      <c r="VXA9" s="272"/>
      <c r="VXB9" s="272"/>
      <c r="VXC9" s="272"/>
      <c r="VXD9" s="273"/>
      <c r="VXE9" s="432"/>
      <c r="VXF9" s="268"/>
      <c r="VXG9" s="228"/>
      <c r="VXH9" s="433"/>
      <c r="VXI9" s="433"/>
      <c r="VXJ9" s="68"/>
      <c r="VXK9" s="271"/>
      <c r="VXM9" s="272"/>
      <c r="VXN9" s="272"/>
      <c r="VXO9" s="272"/>
      <c r="VXP9" s="273"/>
      <c r="VXQ9" s="432"/>
      <c r="VXR9" s="268"/>
      <c r="VXS9" s="228"/>
      <c r="VXT9" s="433"/>
      <c r="VXU9" s="433"/>
      <c r="VXV9" s="68"/>
      <c r="VXW9" s="271"/>
      <c r="VXY9" s="272"/>
      <c r="VXZ9" s="272"/>
      <c r="VYA9" s="272"/>
      <c r="VYB9" s="273"/>
      <c r="VYC9" s="432"/>
      <c r="VYD9" s="268"/>
      <c r="VYE9" s="228"/>
      <c r="VYF9" s="433"/>
      <c r="VYG9" s="433"/>
      <c r="VYH9" s="68"/>
      <c r="VYI9" s="271"/>
      <c r="VYK9" s="272"/>
      <c r="VYL9" s="272"/>
      <c r="VYM9" s="272"/>
      <c r="VYN9" s="273"/>
      <c r="VYO9" s="432"/>
      <c r="VYP9" s="268"/>
      <c r="VYQ9" s="228"/>
      <c r="VYR9" s="433"/>
      <c r="VYS9" s="433"/>
      <c r="VYT9" s="68"/>
      <c r="VYU9" s="271"/>
      <c r="VYW9" s="272"/>
      <c r="VYX9" s="272"/>
      <c r="VYY9" s="272"/>
      <c r="VYZ9" s="273"/>
      <c r="VZA9" s="432"/>
      <c r="VZB9" s="268"/>
      <c r="VZC9" s="228"/>
      <c r="VZD9" s="433"/>
      <c r="VZE9" s="433"/>
      <c r="VZF9" s="68"/>
      <c r="VZG9" s="271"/>
      <c r="VZI9" s="272"/>
      <c r="VZJ9" s="272"/>
      <c r="VZK9" s="272"/>
      <c r="VZL9" s="273"/>
      <c r="VZM9" s="432"/>
      <c r="VZN9" s="268"/>
      <c r="VZO9" s="228"/>
      <c r="VZP9" s="433"/>
      <c r="VZQ9" s="433"/>
      <c r="VZR9" s="68"/>
      <c r="VZS9" s="271"/>
      <c r="VZU9" s="272"/>
      <c r="VZV9" s="272"/>
      <c r="VZW9" s="272"/>
      <c r="VZX9" s="273"/>
      <c r="VZY9" s="432"/>
      <c r="VZZ9" s="268"/>
      <c r="WAA9" s="228"/>
      <c r="WAB9" s="433"/>
      <c r="WAC9" s="433"/>
      <c r="WAD9" s="68"/>
      <c r="WAE9" s="271"/>
      <c r="WAG9" s="272"/>
      <c r="WAH9" s="272"/>
      <c r="WAI9" s="272"/>
      <c r="WAJ9" s="273"/>
      <c r="WAK9" s="432"/>
      <c r="WAL9" s="268"/>
      <c r="WAM9" s="228"/>
      <c r="WAN9" s="433"/>
      <c r="WAO9" s="433"/>
      <c r="WAP9" s="68"/>
      <c r="WAQ9" s="271"/>
      <c r="WAS9" s="272"/>
      <c r="WAT9" s="272"/>
      <c r="WAU9" s="272"/>
      <c r="WAV9" s="273"/>
      <c r="WAW9" s="432"/>
      <c r="WAX9" s="268"/>
      <c r="WAY9" s="228"/>
      <c r="WAZ9" s="433"/>
      <c r="WBA9" s="433"/>
      <c r="WBB9" s="68"/>
      <c r="WBC9" s="271"/>
      <c r="WBE9" s="272"/>
      <c r="WBF9" s="272"/>
      <c r="WBG9" s="272"/>
      <c r="WBH9" s="273"/>
      <c r="WBI9" s="432"/>
      <c r="WBJ9" s="268"/>
      <c r="WBK9" s="228"/>
      <c r="WBL9" s="433"/>
      <c r="WBM9" s="433"/>
      <c r="WBN9" s="68"/>
      <c r="WBO9" s="271"/>
      <c r="WBQ9" s="272"/>
      <c r="WBR9" s="272"/>
      <c r="WBS9" s="272"/>
      <c r="WBT9" s="273"/>
      <c r="WBU9" s="432"/>
      <c r="WBV9" s="268"/>
      <c r="WBW9" s="228"/>
      <c r="WBX9" s="433"/>
      <c r="WBY9" s="433"/>
      <c r="WBZ9" s="68"/>
      <c r="WCA9" s="271"/>
      <c r="WCC9" s="272"/>
      <c r="WCD9" s="272"/>
      <c r="WCE9" s="272"/>
      <c r="WCF9" s="273"/>
      <c r="WCG9" s="432"/>
      <c r="WCH9" s="268"/>
      <c r="WCI9" s="228"/>
      <c r="WCJ9" s="433"/>
      <c r="WCK9" s="433"/>
      <c r="WCL9" s="68"/>
      <c r="WCM9" s="271"/>
      <c r="WCO9" s="272"/>
      <c r="WCP9" s="272"/>
      <c r="WCQ9" s="272"/>
      <c r="WCR9" s="273"/>
      <c r="WCS9" s="432"/>
      <c r="WCT9" s="268"/>
      <c r="WCU9" s="228"/>
      <c r="WCV9" s="433"/>
      <c r="WCW9" s="433"/>
      <c r="WCX9" s="68"/>
      <c r="WCY9" s="271"/>
      <c r="WDA9" s="272"/>
      <c r="WDB9" s="272"/>
      <c r="WDC9" s="272"/>
      <c r="WDD9" s="273"/>
      <c r="WDE9" s="432"/>
      <c r="WDF9" s="268"/>
      <c r="WDG9" s="228"/>
      <c r="WDH9" s="433"/>
      <c r="WDI9" s="433"/>
      <c r="WDJ9" s="68"/>
      <c r="WDK9" s="271"/>
      <c r="WDM9" s="272"/>
      <c r="WDN9" s="272"/>
      <c r="WDO9" s="272"/>
      <c r="WDP9" s="273"/>
      <c r="WDQ9" s="432"/>
      <c r="WDR9" s="268"/>
      <c r="WDS9" s="228"/>
      <c r="WDT9" s="433"/>
      <c r="WDU9" s="433"/>
      <c r="WDV9" s="68"/>
      <c r="WDW9" s="271"/>
      <c r="WDY9" s="272"/>
      <c r="WDZ9" s="272"/>
      <c r="WEA9" s="272"/>
      <c r="WEB9" s="273"/>
      <c r="WEC9" s="432"/>
      <c r="WED9" s="268"/>
      <c r="WEE9" s="228"/>
      <c r="WEF9" s="433"/>
      <c r="WEG9" s="433"/>
      <c r="WEH9" s="68"/>
      <c r="WEI9" s="271"/>
      <c r="WEK9" s="272"/>
      <c r="WEL9" s="272"/>
      <c r="WEM9" s="272"/>
      <c r="WEN9" s="273"/>
      <c r="WEO9" s="432"/>
      <c r="WEP9" s="268"/>
      <c r="WEQ9" s="228"/>
      <c r="WER9" s="433"/>
      <c r="WES9" s="433"/>
      <c r="WET9" s="68"/>
      <c r="WEU9" s="271"/>
      <c r="WEW9" s="272"/>
      <c r="WEX9" s="272"/>
      <c r="WEY9" s="272"/>
      <c r="WEZ9" s="273"/>
      <c r="WFA9" s="432"/>
      <c r="WFB9" s="268"/>
      <c r="WFC9" s="228"/>
      <c r="WFD9" s="433"/>
      <c r="WFE9" s="433"/>
      <c r="WFF9" s="68"/>
      <c r="WFG9" s="271"/>
      <c r="WFI9" s="272"/>
      <c r="WFJ9" s="272"/>
      <c r="WFK9" s="272"/>
      <c r="WFL9" s="273"/>
      <c r="WFM9" s="432"/>
      <c r="WFN9" s="268"/>
      <c r="WFO9" s="228"/>
      <c r="WFP9" s="433"/>
      <c r="WFQ9" s="433"/>
      <c r="WFR9" s="68"/>
      <c r="WFS9" s="271"/>
      <c r="WFU9" s="272"/>
      <c r="WFV9" s="272"/>
      <c r="WFW9" s="272"/>
      <c r="WFX9" s="273"/>
      <c r="WFY9" s="432"/>
      <c r="WFZ9" s="268"/>
      <c r="WGA9" s="228"/>
      <c r="WGB9" s="433"/>
      <c r="WGC9" s="433"/>
      <c r="WGD9" s="68"/>
      <c r="WGE9" s="271"/>
      <c r="WGG9" s="272"/>
      <c r="WGH9" s="272"/>
      <c r="WGI9" s="272"/>
      <c r="WGJ9" s="273"/>
      <c r="WGK9" s="432"/>
      <c r="WGL9" s="268"/>
      <c r="WGM9" s="228"/>
      <c r="WGN9" s="433"/>
      <c r="WGO9" s="433"/>
      <c r="WGP9" s="68"/>
      <c r="WGQ9" s="271"/>
      <c r="WGS9" s="272"/>
      <c r="WGT9" s="272"/>
      <c r="WGU9" s="272"/>
      <c r="WGV9" s="273"/>
      <c r="WGW9" s="432"/>
      <c r="WGX9" s="268"/>
      <c r="WGY9" s="228"/>
      <c r="WGZ9" s="433"/>
      <c r="WHA9" s="433"/>
      <c r="WHB9" s="68"/>
      <c r="WHC9" s="271"/>
      <c r="WHE9" s="272"/>
      <c r="WHF9" s="272"/>
      <c r="WHG9" s="272"/>
      <c r="WHH9" s="273"/>
      <c r="WHI9" s="432"/>
      <c r="WHJ9" s="268"/>
      <c r="WHK9" s="228"/>
      <c r="WHL9" s="433"/>
      <c r="WHM9" s="433"/>
      <c r="WHN9" s="68"/>
      <c r="WHO9" s="271"/>
      <c r="WHQ9" s="272"/>
      <c r="WHR9" s="272"/>
      <c r="WHS9" s="272"/>
      <c r="WHT9" s="273"/>
      <c r="WHU9" s="432"/>
      <c r="WHV9" s="268"/>
      <c r="WHW9" s="228"/>
      <c r="WHX9" s="433"/>
      <c r="WHY9" s="433"/>
      <c r="WHZ9" s="68"/>
      <c r="WIA9" s="271"/>
      <c r="WIC9" s="272"/>
      <c r="WID9" s="272"/>
      <c r="WIE9" s="272"/>
      <c r="WIF9" s="273"/>
      <c r="WIG9" s="432"/>
      <c r="WIH9" s="268"/>
      <c r="WII9" s="228"/>
      <c r="WIJ9" s="433"/>
      <c r="WIK9" s="433"/>
      <c r="WIL9" s="68"/>
      <c r="WIM9" s="271"/>
      <c r="WIO9" s="272"/>
      <c r="WIP9" s="272"/>
      <c r="WIQ9" s="272"/>
      <c r="WIR9" s="273"/>
      <c r="WIS9" s="432"/>
      <c r="WIT9" s="268"/>
      <c r="WIU9" s="228"/>
      <c r="WIV9" s="433"/>
      <c r="WIW9" s="433"/>
      <c r="WIX9" s="68"/>
      <c r="WIY9" s="271"/>
      <c r="WJA9" s="272"/>
      <c r="WJB9" s="272"/>
      <c r="WJC9" s="272"/>
      <c r="WJD9" s="273"/>
      <c r="WJE9" s="432"/>
      <c r="WJF9" s="268"/>
      <c r="WJG9" s="228"/>
      <c r="WJH9" s="433"/>
      <c r="WJI9" s="433"/>
      <c r="WJJ9" s="68"/>
      <c r="WJK9" s="271"/>
      <c r="WJM9" s="272"/>
      <c r="WJN9" s="272"/>
      <c r="WJO9" s="272"/>
      <c r="WJP9" s="273"/>
      <c r="WJQ9" s="432"/>
      <c r="WJR9" s="268"/>
      <c r="WJS9" s="228"/>
      <c r="WJT9" s="433"/>
      <c r="WJU9" s="433"/>
      <c r="WJV9" s="68"/>
      <c r="WJW9" s="271"/>
      <c r="WJY9" s="272"/>
      <c r="WJZ9" s="272"/>
      <c r="WKA9" s="272"/>
      <c r="WKB9" s="273"/>
      <c r="WKC9" s="432"/>
      <c r="WKD9" s="268"/>
      <c r="WKE9" s="228"/>
      <c r="WKF9" s="433"/>
      <c r="WKG9" s="433"/>
      <c r="WKH9" s="68"/>
      <c r="WKI9" s="271"/>
      <c r="WKK9" s="272"/>
      <c r="WKL9" s="272"/>
      <c r="WKM9" s="272"/>
      <c r="WKN9" s="273"/>
      <c r="WKO9" s="432"/>
      <c r="WKP9" s="268"/>
      <c r="WKQ9" s="228"/>
      <c r="WKR9" s="433"/>
      <c r="WKS9" s="433"/>
      <c r="WKT9" s="68"/>
      <c r="WKU9" s="271"/>
      <c r="WKW9" s="272"/>
      <c r="WKX9" s="272"/>
      <c r="WKY9" s="272"/>
      <c r="WKZ9" s="273"/>
      <c r="WLA9" s="432"/>
      <c r="WLB9" s="268"/>
      <c r="WLC9" s="228"/>
      <c r="WLD9" s="433"/>
      <c r="WLE9" s="433"/>
      <c r="WLF9" s="68"/>
      <c r="WLG9" s="271"/>
      <c r="WLI9" s="272"/>
      <c r="WLJ9" s="272"/>
      <c r="WLK9" s="272"/>
      <c r="WLL9" s="273"/>
      <c r="WLM9" s="432"/>
      <c r="WLN9" s="268"/>
      <c r="WLO9" s="228"/>
      <c r="WLP9" s="433"/>
      <c r="WLQ9" s="433"/>
      <c r="WLR9" s="68"/>
      <c r="WLS9" s="271"/>
      <c r="WLU9" s="272"/>
      <c r="WLV9" s="272"/>
      <c r="WLW9" s="272"/>
      <c r="WLX9" s="273"/>
      <c r="WLY9" s="432"/>
      <c r="WLZ9" s="268"/>
      <c r="WMA9" s="228"/>
      <c r="WMB9" s="433"/>
      <c r="WMC9" s="433"/>
      <c r="WMD9" s="68"/>
      <c r="WME9" s="271"/>
      <c r="WMG9" s="272"/>
      <c r="WMH9" s="272"/>
      <c r="WMI9" s="272"/>
      <c r="WMJ9" s="273"/>
      <c r="WMK9" s="432"/>
      <c r="WML9" s="268"/>
      <c r="WMM9" s="228"/>
      <c r="WMN9" s="433"/>
      <c r="WMO9" s="433"/>
      <c r="WMP9" s="68"/>
      <c r="WMQ9" s="271"/>
      <c r="WMS9" s="272"/>
      <c r="WMT9" s="272"/>
      <c r="WMU9" s="272"/>
      <c r="WMV9" s="273"/>
      <c r="WMW9" s="432"/>
      <c r="WMX9" s="268"/>
      <c r="WMY9" s="228"/>
      <c r="WMZ9" s="433"/>
      <c r="WNA9" s="433"/>
      <c r="WNB9" s="68"/>
      <c r="WNC9" s="271"/>
      <c r="WNE9" s="272"/>
      <c r="WNF9" s="272"/>
      <c r="WNG9" s="272"/>
      <c r="WNH9" s="273"/>
      <c r="WNI9" s="432"/>
      <c r="WNJ9" s="268"/>
      <c r="WNK9" s="228"/>
      <c r="WNL9" s="433"/>
      <c r="WNM9" s="433"/>
      <c r="WNN9" s="68"/>
      <c r="WNO9" s="271"/>
      <c r="WNQ9" s="272"/>
      <c r="WNR9" s="272"/>
      <c r="WNS9" s="272"/>
      <c r="WNT9" s="273"/>
      <c r="WNU9" s="432"/>
      <c r="WNV9" s="268"/>
      <c r="WNW9" s="228"/>
      <c r="WNX9" s="433"/>
      <c r="WNY9" s="433"/>
      <c r="WNZ9" s="68"/>
      <c r="WOA9" s="271"/>
      <c r="WOC9" s="272"/>
      <c r="WOD9" s="272"/>
      <c r="WOE9" s="272"/>
      <c r="WOF9" s="273"/>
      <c r="WOG9" s="432"/>
      <c r="WOH9" s="268"/>
      <c r="WOI9" s="228"/>
      <c r="WOJ9" s="433"/>
      <c r="WOK9" s="433"/>
      <c r="WOL9" s="68"/>
      <c r="WOM9" s="271"/>
      <c r="WOO9" s="272"/>
      <c r="WOP9" s="272"/>
      <c r="WOQ9" s="272"/>
      <c r="WOR9" s="273"/>
      <c r="WOS9" s="432"/>
      <c r="WOT9" s="268"/>
      <c r="WOU9" s="228"/>
      <c r="WOV9" s="433"/>
      <c r="WOW9" s="433"/>
      <c r="WOX9" s="68"/>
      <c r="WOY9" s="271"/>
      <c r="WPA9" s="272"/>
      <c r="WPB9" s="272"/>
      <c r="WPC9" s="272"/>
      <c r="WPD9" s="273"/>
      <c r="WPE9" s="432"/>
      <c r="WPF9" s="268"/>
      <c r="WPG9" s="228"/>
      <c r="WPH9" s="433"/>
      <c r="WPI9" s="433"/>
      <c r="WPJ9" s="68"/>
      <c r="WPK9" s="271"/>
      <c r="WPM9" s="272"/>
      <c r="WPN9" s="272"/>
      <c r="WPO9" s="272"/>
      <c r="WPP9" s="273"/>
      <c r="WPQ9" s="432"/>
      <c r="WPR9" s="268"/>
      <c r="WPS9" s="228"/>
      <c r="WPT9" s="433"/>
      <c r="WPU9" s="433"/>
      <c r="WPV9" s="68"/>
      <c r="WPW9" s="271"/>
      <c r="WPY9" s="272"/>
      <c r="WPZ9" s="272"/>
      <c r="WQA9" s="272"/>
      <c r="WQB9" s="273"/>
      <c r="WQC9" s="432"/>
      <c r="WQD9" s="268"/>
      <c r="WQE9" s="228"/>
      <c r="WQF9" s="433"/>
      <c r="WQG9" s="433"/>
      <c r="WQH9" s="68"/>
      <c r="WQI9" s="271"/>
      <c r="WQK9" s="272"/>
      <c r="WQL9" s="272"/>
      <c r="WQM9" s="272"/>
      <c r="WQN9" s="273"/>
      <c r="WQO9" s="432"/>
      <c r="WQP9" s="268"/>
      <c r="WQQ9" s="228"/>
      <c r="WQR9" s="433"/>
      <c r="WQS9" s="433"/>
      <c r="WQT9" s="68"/>
      <c r="WQU9" s="271"/>
      <c r="WQW9" s="272"/>
      <c r="WQX9" s="272"/>
      <c r="WQY9" s="272"/>
      <c r="WQZ9" s="273"/>
      <c r="WRA9" s="432"/>
      <c r="WRB9" s="268"/>
      <c r="WRC9" s="228"/>
      <c r="WRD9" s="433"/>
      <c r="WRE9" s="433"/>
      <c r="WRF9" s="68"/>
      <c r="WRG9" s="271"/>
      <c r="WRI9" s="272"/>
      <c r="WRJ9" s="272"/>
      <c r="WRK9" s="272"/>
      <c r="WRL9" s="273"/>
      <c r="WRM9" s="432"/>
      <c r="WRN9" s="268"/>
      <c r="WRO9" s="228"/>
      <c r="WRP9" s="433"/>
      <c r="WRQ9" s="433"/>
      <c r="WRR9" s="68"/>
      <c r="WRS9" s="271"/>
      <c r="WRU9" s="272"/>
      <c r="WRV9" s="272"/>
      <c r="WRW9" s="272"/>
      <c r="WRX9" s="273"/>
      <c r="WRY9" s="432"/>
      <c r="WRZ9" s="268"/>
      <c r="WSA9" s="228"/>
      <c r="WSB9" s="433"/>
      <c r="WSC9" s="433"/>
      <c r="WSD9" s="68"/>
      <c r="WSE9" s="271"/>
      <c r="WSG9" s="272"/>
      <c r="WSH9" s="272"/>
      <c r="WSI9" s="272"/>
      <c r="WSJ9" s="273"/>
      <c r="WSK9" s="432"/>
      <c r="WSL9" s="268"/>
      <c r="WSM9" s="228"/>
      <c r="WSN9" s="433"/>
      <c r="WSO9" s="433"/>
      <c r="WSP9" s="68"/>
      <c r="WSQ9" s="271"/>
      <c r="WSS9" s="272"/>
      <c r="WST9" s="272"/>
      <c r="WSU9" s="272"/>
      <c r="WSV9" s="273"/>
      <c r="WSW9" s="432"/>
      <c r="WSX9" s="268"/>
      <c r="WSY9" s="228"/>
      <c r="WSZ9" s="433"/>
      <c r="WTA9" s="433"/>
      <c r="WTB9" s="68"/>
      <c r="WTC9" s="271"/>
      <c r="WTE9" s="272"/>
      <c r="WTF9" s="272"/>
      <c r="WTG9" s="272"/>
      <c r="WTH9" s="273"/>
      <c r="WTI9" s="432"/>
      <c r="WTJ9" s="268"/>
      <c r="WTK9" s="228"/>
      <c r="WTL9" s="433"/>
      <c r="WTM9" s="433"/>
      <c r="WTN9" s="68"/>
      <c r="WTO9" s="271"/>
      <c r="WTQ9" s="272"/>
      <c r="WTR9" s="272"/>
      <c r="WTS9" s="272"/>
      <c r="WTT9" s="273"/>
      <c r="WTU9" s="432"/>
      <c r="WTV9" s="268"/>
      <c r="WTW9" s="228"/>
      <c r="WTX9" s="433"/>
      <c r="WTY9" s="433"/>
      <c r="WTZ9" s="68"/>
      <c r="WUA9" s="271"/>
      <c r="WUC9" s="272"/>
      <c r="WUD9" s="272"/>
      <c r="WUE9" s="272"/>
      <c r="WUF9" s="273"/>
      <c r="WUG9" s="432"/>
      <c r="WUH9" s="268"/>
      <c r="WUI9" s="228"/>
      <c r="WUJ9" s="433"/>
      <c r="WUK9" s="433"/>
      <c r="WUL9" s="68"/>
      <c r="WUM9" s="271"/>
      <c r="WUO9" s="272"/>
      <c r="WUP9" s="272"/>
      <c r="WUQ9" s="272"/>
      <c r="WUR9" s="273"/>
      <c r="WUS9" s="432"/>
      <c r="WUT9" s="268"/>
      <c r="WUU9" s="228"/>
      <c r="WUV9" s="433"/>
      <c r="WUW9" s="433"/>
      <c r="WUX9" s="68"/>
      <c r="WUY9" s="271"/>
      <c r="WVA9" s="272"/>
      <c r="WVB9" s="272"/>
      <c r="WVC9" s="272"/>
      <c r="WVD9" s="273"/>
      <c r="WVE9" s="432"/>
      <c r="WVF9" s="268"/>
      <c r="WVG9" s="228"/>
      <c r="WVH9" s="433"/>
      <c r="WVI9" s="433"/>
      <c r="WVJ9" s="68"/>
      <c r="WVK9" s="271"/>
      <c r="WVM9" s="272"/>
      <c r="WVN9" s="272"/>
      <c r="WVO9" s="272"/>
      <c r="WVP9" s="273"/>
      <c r="WVQ9" s="432"/>
      <c r="WVR9" s="268"/>
      <c r="WVS9" s="228"/>
      <c r="WVT9" s="433"/>
      <c r="WVU9" s="433"/>
      <c r="WVV9" s="68"/>
      <c r="WVW9" s="271"/>
      <c r="WVY9" s="272"/>
      <c r="WVZ9" s="272"/>
      <c r="WWA9" s="272"/>
      <c r="WWB9" s="273"/>
      <c r="WWC9" s="432"/>
      <c r="WWD9" s="268"/>
      <c r="WWE9" s="228"/>
      <c r="WWF9" s="433"/>
      <c r="WWG9" s="433"/>
      <c r="WWH9" s="68"/>
      <c r="WWI9" s="271"/>
      <c r="WWK9" s="272"/>
      <c r="WWL9" s="272"/>
      <c r="WWM9" s="272"/>
      <c r="WWN9" s="273"/>
      <c r="WWO9" s="432"/>
      <c r="WWP9" s="268"/>
      <c r="WWQ9" s="228"/>
      <c r="WWR9" s="433"/>
      <c r="WWS9" s="433"/>
      <c r="WWT9" s="68"/>
      <c r="WWU9" s="271"/>
      <c r="WWW9" s="272"/>
      <c r="WWX9" s="272"/>
      <c r="WWY9" s="272"/>
      <c r="WWZ9" s="273"/>
      <c r="WXA9" s="432"/>
      <c r="WXB9" s="268"/>
      <c r="WXC9" s="228"/>
      <c r="WXD9" s="433"/>
      <c r="WXE9" s="433"/>
      <c r="WXF9" s="68"/>
      <c r="WXG9" s="271"/>
      <c r="WXI9" s="272"/>
      <c r="WXJ9" s="272"/>
      <c r="WXK9" s="272"/>
      <c r="WXL9" s="273"/>
      <c r="WXM9" s="432"/>
      <c r="WXN9" s="268"/>
      <c r="WXO9" s="228"/>
      <c r="WXP9" s="433"/>
      <c r="WXQ9" s="433"/>
      <c r="WXR9" s="68"/>
      <c r="WXS9" s="271"/>
      <c r="WXU9" s="272"/>
      <c r="WXV9" s="272"/>
      <c r="WXW9" s="272"/>
      <c r="WXX9" s="273"/>
      <c r="WXY9" s="432"/>
      <c r="WXZ9" s="268"/>
      <c r="WYA9" s="228"/>
      <c r="WYB9" s="433"/>
      <c r="WYC9" s="433"/>
      <c r="WYD9" s="68"/>
      <c r="WYE9" s="271"/>
      <c r="WYG9" s="272"/>
      <c r="WYH9" s="272"/>
      <c r="WYI9" s="272"/>
      <c r="WYJ9" s="273"/>
      <c r="WYK9" s="432"/>
      <c r="WYL9" s="268"/>
      <c r="WYM9" s="228"/>
      <c r="WYN9" s="433"/>
      <c r="WYO9" s="433"/>
      <c r="WYP9" s="68"/>
      <c r="WYQ9" s="271"/>
      <c r="WYS9" s="272"/>
      <c r="WYT9" s="272"/>
      <c r="WYU9" s="272"/>
      <c r="WYV9" s="273"/>
      <c r="WYW9" s="432"/>
      <c r="WYX9" s="268"/>
      <c r="WYY9" s="228"/>
      <c r="WYZ9" s="433"/>
      <c r="WZA9" s="433"/>
      <c r="WZB9" s="68"/>
      <c r="WZC9" s="271"/>
      <c r="WZE9" s="272"/>
      <c r="WZF9" s="272"/>
      <c r="WZG9" s="272"/>
      <c r="WZH9" s="273"/>
      <c r="WZI9" s="432"/>
      <c r="WZJ9" s="268"/>
      <c r="WZK9" s="228"/>
      <c r="WZL9" s="433"/>
      <c r="WZM9" s="433"/>
      <c r="WZN9" s="68"/>
      <c r="WZO9" s="271"/>
      <c r="WZQ9" s="272"/>
      <c r="WZR9" s="272"/>
      <c r="WZS9" s="272"/>
      <c r="WZT9" s="273"/>
      <c r="WZU9" s="432"/>
      <c r="WZV9" s="268"/>
      <c r="WZW9" s="228"/>
      <c r="WZX9" s="433"/>
      <c r="WZY9" s="433"/>
      <c r="WZZ9" s="68"/>
      <c r="XAA9" s="271"/>
      <c r="XAC9" s="272"/>
      <c r="XAD9" s="272"/>
      <c r="XAE9" s="272"/>
      <c r="XAF9" s="273"/>
      <c r="XAG9" s="432"/>
      <c r="XAH9" s="268"/>
      <c r="XAI9" s="228"/>
      <c r="XAJ9" s="433"/>
      <c r="XAK9" s="433"/>
      <c r="XAL9" s="68"/>
      <c r="XAM9" s="271"/>
      <c r="XAO9" s="272"/>
      <c r="XAP9" s="272"/>
      <c r="XAQ9" s="272"/>
      <c r="XAR9" s="273"/>
      <c r="XAS9" s="432"/>
      <c r="XAT9" s="268"/>
      <c r="XAU9" s="228"/>
      <c r="XAV9" s="433"/>
      <c r="XAW9" s="433"/>
      <c r="XAX9" s="68"/>
      <c r="XAY9" s="271"/>
      <c r="XBA9" s="272"/>
      <c r="XBB9" s="272"/>
      <c r="XBC9" s="272"/>
      <c r="XBD9" s="273"/>
      <c r="XBE9" s="432"/>
      <c r="XBF9" s="268"/>
      <c r="XBG9" s="228"/>
      <c r="XBH9" s="433"/>
      <c r="XBI9" s="433"/>
      <c r="XBJ9" s="68"/>
      <c r="XBK9" s="271"/>
      <c r="XBM9" s="272"/>
      <c r="XBN9" s="272"/>
      <c r="XBO9" s="272"/>
      <c r="XBP9" s="273"/>
      <c r="XBQ9" s="432"/>
      <c r="XBR9" s="268"/>
      <c r="XBS9" s="228"/>
      <c r="XBT9" s="433"/>
      <c r="XBU9" s="433"/>
      <c r="XBV9" s="68"/>
      <c r="XBW9" s="271"/>
      <c r="XBY9" s="272"/>
      <c r="XBZ9" s="272"/>
      <c r="XCA9" s="272"/>
      <c r="XCB9" s="273"/>
      <c r="XCC9" s="432"/>
      <c r="XCD9" s="268"/>
      <c r="XCE9" s="228"/>
      <c r="XCF9" s="433"/>
      <c r="XCG9" s="433"/>
      <c r="XCH9" s="68"/>
      <c r="XCI9" s="271"/>
      <c r="XCK9" s="272"/>
      <c r="XCL9" s="272"/>
      <c r="XCM9" s="272"/>
      <c r="XCN9" s="273"/>
      <c r="XCO9" s="432"/>
      <c r="XCP9" s="268"/>
      <c r="XCQ9" s="228"/>
      <c r="XCR9" s="433"/>
      <c r="XCS9" s="433"/>
      <c r="XCT9" s="68"/>
      <c r="XCU9" s="271"/>
      <c r="XCW9" s="272"/>
      <c r="XCX9" s="272"/>
      <c r="XCY9" s="272"/>
      <c r="XCZ9" s="273"/>
      <c r="XDA9" s="432"/>
      <c r="XDB9" s="268"/>
      <c r="XDC9" s="228"/>
      <c r="XDD9" s="433"/>
      <c r="XDE9" s="433"/>
      <c r="XDF9" s="68"/>
      <c r="XDG9" s="271"/>
      <c r="XDI9" s="272"/>
      <c r="XDJ9" s="272"/>
      <c r="XDK9" s="272"/>
      <c r="XDL9" s="273"/>
      <c r="XDM9" s="432"/>
      <c r="XDN9" s="268"/>
      <c r="XDO9" s="228"/>
      <c r="XDP9" s="433"/>
      <c r="XDQ9" s="433"/>
      <c r="XDR9" s="68"/>
      <c r="XDS9" s="271"/>
      <c r="XDU9" s="272"/>
      <c r="XDV9" s="272"/>
      <c r="XDW9" s="272"/>
      <c r="XDX9" s="273"/>
      <c r="XDY9" s="432"/>
      <c r="XDZ9" s="268"/>
      <c r="XEA9" s="228"/>
      <c r="XEB9" s="433"/>
      <c r="XEC9" s="433"/>
      <c r="XED9" s="68"/>
      <c r="XEE9" s="271"/>
      <c r="XEG9" s="272"/>
      <c r="XEH9" s="272"/>
      <c r="XEI9" s="272"/>
      <c r="XEJ9" s="273"/>
      <c r="XEK9" s="432"/>
      <c r="XEL9" s="268"/>
      <c r="XEM9" s="228"/>
      <c r="XEN9" s="433"/>
      <c r="XEO9" s="433"/>
      <c r="XEP9" s="68"/>
      <c r="XEQ9" s="271"/>
      <c r="XES9" s="272"/>
      <c r="XET9" s="272"/>
      <c r="XEU9" s="272"/>
      <c r="XEV9" s="273"/>
      <c r="XEW9" s="432"/>
      <c r="XEX9" s="268"/>
      <c r="XEY9" s="228"/>
      <c r="XEZ9" s="433"/>
    </row>
    <row r="10" spans="1:1023 1025:4095 4097:7167 7169:10239 10241:13311 13313:16380" x14ac:dyDescent="0.2">
      <c r="A10" s="1107"/>
      <c r="B10" s="1105"/>
      <c r="E10" s="1107"/>
      <c r="F10" s="1109"/>
      <c r="G10" s="1107"/>
      <c r="H10" s="885"/>
      <c r="I10" s="1110"/>
      <c r="J10" s="717"/>
      <c r="K10" s="1111"/>
      <c r="L10" s="278"/>
      <c r="M10" s="1111"/>
      <c r="N10" s="1105"/>
    </row>
    <row r="11" spans="1:1023 1025:4095 4097:7167 7169:10239 10241:13311 13313:16380" x14ac:dyDescent="0.2">
      <c r="A11" s="1107"/>
      <c r="B11" s="1105"/>
      <c r="E11" s="1107"/>
      <c r="F11" s="1109"/>
      <c r="G11" s="1107"/>
      <c r="H11" s="885"/>
      <c r="I11" s="1110"/>
      <c r="J11" s="717"/>
      <c r="K11" s="885"/>
      <c r="L11" s="278"/>
      <c r="M11" s="885"/>
      <c r="N11" s="1105"/>
    </row>
    <row r="12" spans="1:1023 1025:4095 4097:7167 7169:10239 10241:13311 13313:16380" s="1105" customFormat="1" x14ac:dyDescent="0.2">
      <c r="A12" s="1107"/>
      <c r="E12" s="1107"/>
      <c r="F12" s="1109"/>
      <c r="G12" s="1107"/>
      <c r="H12" s="885"/>
      <c r="I12" s="1110"/>
      <c r="J12" s="717"/>
      <c r="K12" s="885"/>
      <c r="L12" s="278"/>
      <c r="M12" s="885"/>
      <c r="P12" s="160"/>
    </row>
    <row r="13" spans="1:1023 1025:4095 4097:7167 7169:10239 10241:13311 13313:16380" x14ac:dyDescent="0.2">
      <c r="A13" s="1107"/>
      <c r="B13" s="1105"/>
      <c r="E13" s="1107"/>
      <c r="F13" s="1109"/>
      <c r="G13" s="1107"/>
      <c r="H13" s="885"/>
      <c r="I13" s="1110"/>
      <c r="J13" s="717"/>
      <c r="K13" s="885"/>
      <c r="L13" s="278"/>
      <c r="M13" s="885"/>
      <c r="N13" s="1111"/>
      <c r="O13" s="718"/>
      <c r="P13" s="159"/>
    </row>
    <row r="14" spans="1:1023 1025:4095 4097:7167 7169:10239 10241:13311 13313:16380" s="1105" customFormat="1" x14ac:dyDescent="0.2">
      <c r="A14" s="1107"/>
      <c r="E14" s="1107"/>
      <c r="F14" s="1109"/>
      <c r="G14" s="1107"/>
      <c r="H14" s="885"/>
      <c r="I14" s="1110"/>
      <c r="J14" s="717"/>
      <c r="K14" s="885"/>
      <c r="L14" s="278"/>
      <c r="M14" s="885"/>
      <c r="N14" s="1111"/>
      <c r="O14" s="718"/>
    </row>
    <row r="15" spans="1:1023 1025:4095 4097:7167 7169:10239 10241:13311 13313:16380" s="1105" customFormat="1" x14ac:dyDescent="0.2">
      <c r="A15" s="1107"/>
      <c r="E15" s="1107"/>
      <c r="F15" s="1109"/>
      <c r="G15" s="1107"/>
      <c r="H15" s="885"/>
      <c r="I15" s="1110"/>
      <c r="J15" s="717"/>
      <c r="K15" s="885"/>
      <c r="L15" s="278"/>
      <c r="M15" s="885"/>
      <c r="N15" s="1111"/>
      <c r="O15" s="718"/>
    </row>
    <row r="16" spans="1:1023 1025:4095 4097:7167 7169:10239 10241:13311 13313:16380" s="1105" customFormat="1" x14ac:dyDescent="0.2">
      <c r="A16" s="1107"/>
      <c r="E16" s="1107"/>
      <c r="F16" s="1109"/>
      <c r="G16" s="1107"/>
      <c r="H16" s="885"/>
      <c r="I16" s="1110"/>
      <c r="J16" s="717"/>
      <c r="K16" s="885"/>
      <c r="L16" s="278"/>
      <c r="M16" s="885"/>
      <c r="N16" s="1111"/>
      <c r="O16" s="718"/>
    </row>
    <row r="17" spans="1:16" x14ac:dyDescent="0.2">
      <c r="A17" s="1107"/>
      <c r="B17" s="1105"/>
      <c r="E17" s="1107"/>
      <c r="F17" s="1109"/>
      <c r="G17" s="1107"/>
      <c r="H17" s="885"/>
      <c r="I17" s="1110"/>
      <c r="J17" s="717"/>
      <c r="K17" s="885"/>
      <c r="L17" s="278"/>
      <c r="M17" s="885"/>
      <c r="N17" s="1111"/>
    </row>
    <row r="18" spans="1:16" s="1105" customFormat="1" x14ac:dyDescent="0.2">
      <c r="A18" s="1107"/>
      <c r="E18" s="1107"/>
      <c r="F18" s="1109"/>
      <c r="G18" s="1107"/>
      <c r="H18" s="885"/>
      <c r="I18" s="1110"/>
      <c r="J18" s="717"/>
      <c r="K18" s="885"/>
      <c r="L18" s="278"/>
      <c r="M18" s="885"/>
      <c r="N18" s="1111"/>
      <c r="P18" s="160"/>
    </row>
    <row r="19" spans="1:16" x14ac:dyDescent="0.2">
      <c r="A19" s="1107"/>
      <c r="B19" s="1105"/>
      <c r="E19" s="1107"/>
      <c r="F19" s="1109"/>
      <c r="G19" s="1107"/>
      <c r="H19" s="885"/>
      <c r="I19" s="1110"/>
      <c r="J19" s="717"/>
      <c r="K19" s="885"/>
      <c r="L19" s="278"/>
      <c r="M19" s="885"/>
      <c r="N19" s="1111"/>
    </row>
    <row r="20" spans="1:16" s="1105" customFormat="1" x14ac:dyDescent="0.2">
      <c r="A20" s="1107"/>
      <c r="E20" s="1107"/>
      <c r="F20" s="1109"/>
      <c r="G20" s="1107"/>
      <c r="H20" s="278"/>
      <c r="I20" s="1110"/>
      <c r="J20" s="717"/>
      <c r="K20" s="885"/>
      <c r="L20" s="278"/>
      <c r="M20" s="885"/>
      <c r="N20" s="1111"/>
      <c r="P20" s="160"/>
    </row>
    <row r="21" spans="1:16" s="1105" customFormat="1" x14ac:dyDescent="0.2">
      <c r="A21" s="1107"/>
      <c r="E21" s="1107"/>
      <c r="F21" s="1109"/>
      <c r="G21" s="1107"/>
      <c r="H21" s="169"/>
      <c r="I21" s="1110"/>
      <c r="J21" s="268"/>
      <c r="K21" s="1219"/>
      <c r="L21" s="169"/>
      <c r="M21" s="1219"/>
      <c r="N21" s="160"/>
      <c r="P21" s="160"/>
    </row>
    <row r="22" spans="1:16" s="1105" customFormat="1" x14ac:dyDescent="0.2">
      <c r="A22" s="1107"/>
      <c r="E22" s="1107"/>
      <c r="F22" s="1109"/>
      <c r="G22" s="1107"/>
      <c r="H22" s="169"/>
      <c r="I22" s="1110"/>
      <c r="J22" s="268"/>
      <c r="K22" s="1219"/>
      <c r="L22" s="169"/>
      <c r="M22" s="1219"/>
      <c r="N22" s="160"/>
      <c r="P22" s="160"/>
    </row>
    <row r="23" spans="1:16" s="1105" customFormat="1" x14ac:dyDescent="0.2">
      <c r="A23" s="1107"/>
      <c r="E23" s="1107"/>
      <c r="F23" s="1109"/>
      <c r="G23" s="1107"/>
      <c r="H23" s="885"/>
      <c r="I23" s="1110"/>
      <c r="J23" s="717"/>
      <c r="K23" s="885"/>
      <c r="L23" s="278"/>
      <c r="M23" s="885"/>
      <c r="N23" s="1111"/>
      <c r="P23" s="160"/>
    </row>
    <row r="24" spans="1:16" x14ac:dyDescent="0.2">
      <c r="A24" s="271"/>
      <c r="B24" s="68"/>
      <c r="C24" s="68"/>
      <c r="D24" s="68"/>
      <c r="E24" s="272"/>
      <c r="F24" s="271"/>
      <c r="G24" s="271"/>
      <c r="H24" s="60"/>
      <c r="I24" s="710"/>
      <c r="J24" s="717"/>
      <c r="K24" s="228"/>
      <c r="L24" s="307"/>
      <c r="M24" s="228"/>
      <c r="N24" s="68"/>
    </row>
    <row r="25" spans="1:16" x14ac:dyDescent="0.2">
      <c r="A25" s="271"/>
      <c r="B25" s="68"/>
      <c r="C25" s="68"/>
      <c r="D25" s="68"/>
      <c r="E25" s="272"/>
      <c r="F25" s="271"/>
      <c r="G25" s="271"/>
      <c r="H25" s="60"/>
      <c r="I25" s="710"/>
      <c r="J25" s="717"/>
      <c r="K25" s="228"/>
      <c r="L25" s="307"/>
      <c r="M25" s="228"/>
      <c r="N25" s="68"/>
    </row>
  </sheetData>
  <mergeCells count="19">
    <mergeCell ref="I5:I6"/>
    <mergeCell ref="J5:J6"/>
    <mergeCell ref="K5:K6"/>
    <mergeCell ref="A1:H1"/>
    <mergeCell ref="A2:B2"/>
    <mergeCell ref="A5:A6"/>
    <mergeCell ref="B5:B6"/>
    <mergeCell ref="E5:E6"/>
    <mergeCell ref="F5:G5"/>
    <mergeCell ref="H5:H6"/>
    <mergeCell ref="C5:C6"/>
    <mergeCell ref="D5:D6"/>
    <mergeCell ref="L5:L6"/>
    <mergeCell ref="M5:M6"/>
    <mergeCell ref="N5:N6"/>
    <mergeCell ref="Q5:Q6"/>
    <mergeCell ref="R5:R6"/>
    <mergeCell ref="O5:O6"/>
    <mergeCell ref="P5:P6"/>
  </mergeCells>
  <dataValidations count="2">
    <dataValidation type="list" allowBlank="1" showInputMessage="1" showErrorMessage="1" sqref="N9:N12">
      <formula1>#REF!</formula1>
    </dataValidation>
    <dataValidation type="list" allowBlank="1" showInputMessage="1" showErrorMessage="1" sqref="N7:N8">
      <formula1>$U$1:$AF$1</formula1>
    </dataValidation>
  </dataValidation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3"/>
  <sheetViews>
    <sheetView topLeftCell="A9" zoomScale="130" zoomScaleNormal="130" workbookViewId="0">
      <selection activeCell="C12" sqref="C12:C31"/>
    </sheetView>
  </sheetViews>
  <sheetFormatPr defaultColWidth="9" defaultRowHeight="12" x14ac:dyDescent="0.2"/>
  <cols>
    <col min="1" max="1" width="9" style="597"/>
    <col min="2" max="2" width="6.625" style="597" customWidth="1"/>
    <col min="3" max="3" width="6.125" style="597" customWidth="1"/>
    <col min="4" max="4" width="5.875" style="597" customWidth="1"/>
    <col min="5" max="5" width="4.125" style="597" bestFit="1" customWidth="1"/>
    <col min="6" max="6" width="24.75" style="597" customWidth="1"/>
    <col min="7" max="7" width="0.875" style="597" customWidth="1"/>
    <col min="8" max="16384" width="9" style="597"/>
  </cols>
  <sheetData>
    <row r="1" spans="1:9" ht="60.75" x14ac:dyDescent="0.8">
      <c r="A1" s="596" t="str">
        <f>+[16]comparison!A1</f>
        <v>CGF VALUATION SHEET</v>
      </c>
    </row>
    <row r="4" spans="1:9" ht="23.25" thickBot="1" x14ac:dyDescent="0.35">
      <c r="B4" s="598" t="s">
        <v>8</v>
      </c>
      <c r="F4" s="599">
        <f>'NAV 22.07.2022'!$B$6</f>
        <v>44764</v>
      </c>
      <c r="G4" s="600"/>
    </row>
    <row r="5" spans="1:9" ht="12.75" thickTop="1" x14ac:dyDescent="0.2">
      <c r="F5" s="597" t="s">
        <v>1</v>
      </c>
    </row>
    <row r="6" spans="1:9" x14ac:dyDescent="0.2">
      <c r="F6" s="597" t="s">
        <v>1</v>
      </c>
    </row>
    <row r="7" spans="1:9" ht="12.75" thickBot="1" x14ac:dyDescent="0.25">
      <c r="B7" s="1384" t="s">
        <v>0</v>
      </c>
      <c r="C7" s="1384"/>
      <c r="D7" s="1384"/>
      <c r="E7" s="1385"/>
    </row>
    <row r="8" spans="1:9" ht="12.75" thickTop="1" x14ac:dyDescent="0.2">
      <c r="B8" s="601"/>
      <c r="C8" s="601"/>
      <c r="D8" s="601"/>
      <c r="E8" s="601"/>
    </row>
    <row r="9" spans="1:9" x14ac:dyDescent="0.2">
      <c r="B9" s="602"/>
      <c r="C9" s="602"/>
      <c r="D9" s="601"/>
      <c r="E9" s="601"/>
    </row>
    <row r="10" spans="1:9" x14ac:dyDescent="0.2">
      <c r="B10" s="601"/>
      <c r="C10" s="601"/>
      <c r="D10" s="603"/>
      <c r="E10" s="604">
        <f>+B11</f>
        <v>0</v>
      </c>
    </row>
    <row r="11" spans="1:9" x14ac:dyDescent="0.2">
      <c r="B11" s="604">
        <v>0</v>
      </c>
      <c r="C11" s="605">
        <v>0</v>
      </c>
      <c r="D11" s="604">
        <f t="shared" ref="D11:D31" si="0">+C12</f>
        <v>14.33</v>
      </c>
      <c r="E11" s="604">
        <f t="shared" ref="E11:E31" si="1">+B12</f>
        <v>1.9178082191780823E-2</v>
      </c>
    </row>
    <row r="12" spans="1:9" x14ac:dyDescent="0.2">
      <c r="B12" s="604">
        <v>1.9178082191780823E-2</v>
      </c>
      <c r="C12" s="992">
        <v>14.33</v>
      </c>
      <c r="D12" s="604">
        <f t="shared" si="0"/>
        <v>14.49</v>
      </c>
      <c r="E12" s="604">
        <f t="shared" si="1"/>
        <v>4.1095890410958902E-2</v>
      </c>
      <c r="I12" s="1113"/>
    </row>
    <row r="13" spans="1:9" x14ac:dyDescent="0.2">
      <c r="B13" s="604">
        <v>4.1095890410958902E-2</v>
      </c>
      <c r="C13" s="992">
        <v>14.49</v>
      </c>
      <c r="D13" s="604">
        <f t="shared" si="0"/>
        <v>14.63</v>
      </c>
      <c r="E13" s="604">
        <f t="shared" si="1"/>
        <v>8.2191780821917804E-2</v>
      </c>
      <c r="I13" s="1113"/>
    </row>
    <row r="14" spans="1:9" x14ac:dyDescent="0.2">
      <c r="B14" s="604">
        <v>8.2191780821917804E-2</v>
      </c>
      <c r="C14" s="992">
        <v>14.63</v>
      </c>
      <c r="D14" s="604">
        <f t="shared" si="0"/>
        <v>14.85</v>
      </c>
      <c r="E14" s="604">
        <f t="shared" si="1"/>
        <v>0.16438356164383561</v>
      </c>
      <c r="I14" s="1113"/>
    </row>
    <row r="15" spans="1:9" x14ac:dyDescent="0.2">
      <c r="B15" s="604">
        <v>0.16438356164383561</v>
      </c>
      <c r="C15" s="992">
        <v>14.85</v>
      </c>
      <c r="D15" s="604">
        <f t="shared" si="0"/>
        <v>15.13</v>
      </c>
      <c r="E15" s="604">
        <f t="shared" si="1"/>
        <v>0.24657534246575341</v>
      </c>
      <c r="I15" s="1113"/>
    </row>
    <row r="16" spans="1:9" x14ac:dyDescent="0.2">
      <c r="B16" s="604">
        <v>0.24657534246575341</v>
      </c>
      <c r="C16" s="992">
        <v>15.13</v>
      </c>
      <c r="D16" s="604">
        <f t="shared" si="0"/>
        <v>15.28</v>
      </c>
      <c r="E16" s="604">
        <f t="shared" si="1"/>
        <v>0.32876712328767121</v>
      </c>
      <c r="I16" s="1113"/>
    </row>
    <row r="17" spans="2:9" x14ac:dyDescent="0.2">
      <c r="B17" s="606">
        <v>0.32876712328767121</v>
      </c>
      <c r="C17" s="992">
        <v>15.28</v>
      </c>
      <c r="D17" s="604">
        <f t="shared" si="0"/>
        <v>15.5</v>
      </c>
      <c r="E17" s="604">
        <f t="shared" si="1"/>
        <v>0.49315068493150682</v>
      </c>
      <c r="I17" s="1113"/>
    </row>
    <row r="18" spans="2:9" x14ac:dyDescent="0.2">
      <c r="B18" s="606">
        <v>0.49315068493150682</v>
      </c>
      <c r="C18" s="992">
        <v>15.5</v>
      </c>
      <c r="D18" s="604">
        <f t="shared" si="0"/>
        <v>15.6</v>
      </c>
      <c r="E18" s="604">
        <f t="shared" si="1"/>
        <v>0.73972602739726023</v>
      </c>
      <c r="I18" s="1113"/>
    </row>
    <row r="19" spans="2:9" x14ac:dyDescent="0.2">
      <c r="B19" s="606">
        <v>0.73972602739726023</v>
      </c>
      <c r="C19" s="992">
        <v>15.6</v>
      </c>
      <c r="D19" s="604">
        <f t="shared" si="0"/>
        <v>15.7</v>
      </c>
      <c r="E19" s="604">
        <f t="shared" si="1"/>
        <v>1</v>
      </c>
      <c r="I19" s="1113"/>
    </row>
    <row r="20" spans="2:9" x14ac:dyDescent="0.2">
      <c r="B20" s="604">
        <v>1</v>
      </c>
      <c r="C20" s="992">
        <v>15.7</v>
      </c>
      <c r="D20" s="604">
        <f t="shared" si="0"/>
        <v>13.2</v>
      </c>
      <c r="E20" s="604">
        <f t="shared" si="1"/>
        <v>2</v>
      </c>
      <c r="I20" s="1113"/>
    </row>
    <row r="21" spans="2:9" x14ac:dyDescent="0.2">
      <c r="B21" s="604">
        <v>2</v>
      </c>
      <c r="C21" s="992">
        <v>13.2</v>
      </c>
      <c r="D21" s="604">
        <f t="shared" si="0"/>
        <v>13.18</v>
      </c>
      <c r="E21" s="604">
        <f t="shared" si="1"/>
        <v>3</v>
      </c>
      <c r="I21" s="1113"/>
    </row>
    <row r="22" spans="2:9" x14ac:dyDescent="0.2">
      <c r="B22" s="607">
        <v>3</v>
      </c>
      <c r="C22" s="992">
        <v>13.18</v>
      </c>
      <c r="D22" s="604">
        <f t="shared" si="0"/>
        <v>13.2</v>
      </c>
      <c r="E22" s="604">
        <f t="shared" si="1"/>
        <v>4</v>
      </c>
      <c r="I22" s="1113"/>
    </row>
    <row r="23" spans="2:9" x14ac:dyDescent="0.2">
      <c r="B23" s="607">
        <v>4</v>
      </c>
      <c r="C23" s="992">
        <v>13.2</v>
      </c>
      <c r="D23" s="604">
        <f t="shared" si="0"/>
        <v>13.23</v>
      </c>
      <c r="E23" s="604">
        <f t="shared" si="1"/>
        <v>5</v>
      </c>
      <c r="I23" s="1113"/>
    </row>
    <row r="24" spans="2:9" x14ac:dyDescent="0.2">
      <c r="B24" s="607">
        <v>5</v>
      </c>
      <c r="C24" s="992">
        <v>13.23</v>
      </c>
      <c r="D24" s="604">
        <f t="shared" si="0"/>
        <v>13.12</v>
      </c>
      <c r="E24" s="604">
        <f t="shared" si="1"/>
        <v>6</v>
      </c>
      <c r="I24" s="1113"/>
    </row>
    <row r="25" spans="2:9" x14ac:dyDescent="0.2">
      <c r="B25" s="607">
        <v>6</v>
      </c>
      <c r="C25" s="992">
        <v>13.12</v>
      </c>
      <c r="D25" s="604">
        <f t="shared" si="0"/>
        <v>13.08</v>
      </c>
      <c r="E25" s="604">
        <f t="shared" si="1"/>
        <v>7</v>
      </c>
      <c r="I25" s="1113"/>
    </row>
    <row r="26" spans="2:9" x14ac:dyDescent="0.2">
      <c r="B26" s="607">
        <v>7</v>
      </c>
      <c r="C26" s="992">
        <v>13.08</v>
      </c>
      <c r="D26" s="604">
        <f t="shared" si="0"/>
        <v>13.01</v>
      </c>
      <c r="E26" s="604">
        <f t="shared" si="1"/>
        <v>8</v>
      </c>
      <c r="I26" s="1113"/>
    </row>
    <row r="27" spans="2:9" x14ac:dyDescent="0.2">
      <c r="B27" s="607">
        <v>8</v>
      </c>
      <c r="C27" s="992">
        <v>13.01</v>
      </c>
      <c r="D27" s="604">
        <f t="shared" si="0"/>
        <v>12.94</v>
      </c>
      <c r="E27" s="604">
        <f t="shared" si="1"/>
        <v>9</v>
      </c>
      <c r="I27" s="1113"/>
    </row>
    <row r="28" spans="2:9" x14ac:dyDescent="0.2">
      <c r="B28" s="607">
        <v>9</v>
      </c>
      <c r="C28" s="992">
        <v>12.94</v>
      </c>
      <c r="D28" s="604">
        <f t="shared" si="0"/>
        <v>12.96</v>
      </c>
      <c r="E28" s="604">
        <f t="shared" si="1"/>
        <v>10</v>
      </c>
      <c r="I28" s="1113"/>
    </row>
    <row r="29" spans="2:9" x14ac:dyDescent="0.2">
      <c r="B29" s="607">
        <v>10</v>
      </c>
      <c r="C29" s="992">
        <v>12.96</v>
      </c>
      <c r="D29" s="604">
        <f t="shared" si="0"/>
        <v>13.25</v>
      </c>
      <c r="E29" s="604">
        <f t="shared" si="1"/>
        <v>15</v>
      </c>
      <c r="I29" s="1113"/>
    </row>
    <row r="30" spans="2:9" x14ac:dyDescent="0.2">
      <c r="B30" s="607">
        <v>15</v>
      </c>
      <c r="C30" s="992">
        <v>13.25</v>
      </c>
      <c r="D30" s="604">
        <f t="shared" si="0"/>
        <v>13.46</v>
      </c>
      <c r="E30" s="604">
        <f t="shared" si="1"/>
        <v>20</v>
      </c>
      <c r="I30" s="1113"/>
    </row>
    <row r="31" spans="2:9" x14ac:dyDescent="0.2">
      <c r="B31" s="607">
        <v>20</v>
      </c>
      <c r="C31" s="992">
        <v>13.46</v>
      </c>
      <c r="D31" s="604">
        <f t="shared" si="0"/>
        <v>12.5</v>
      </c>
      <c r="E31" s="604">
        <f t="shared" si="1"/>
        <v>30</v>
      </c>
      <c r="I31" s="1113"/>
    </row>
    <row r="32" spans="2:9" x14ac:dyDescent="0.2">
      <c r="B32" s="607">
        <v>30</v>
      </c>
      <c r="C32" s="605">
        <v>12.5</v>
      </c>
      <c r="D32" s="604"/>
      <c r="E32" s="604"/>
    </row>
    <row r="33" spans="3:3" x14ac:dyDescent="0.2">
      <c r="C33" s="607"/>
    </row>
  </sheetData>
  <mergeCells count="1">
    <mergeCell ref="B7:E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929"/>
  <sheetViews>
    <sheetView workbookViewId="0">
      <selection sqref="A1:M608"/>
    </sheetView>
  </sheetViews>
  <sheetFormatPr defaultRowHeight="11.25" x14ac:dyDescent="0.15"/>
  <cols>
    <col min="1" max="1" width="9.75" bestFit="1" customWidth="1"/>
    <col min="2" max="2" width="13.625" bestFit="1" customWidth="1"/>
    <col min="3" max="3" width="3.875" bestFit="1" customWidth="1"/>
    <col min="4" max="4" width="18.125" bestFit="1" customWidth="1"/>
    <col min="5" max="5" width="7.875" bestFit="1" customWidth="1"/>
    <col min="6" max="6" width="8.875" bestFit="1" customWidth="1"/>
    <col min="7" max="7" width="7.875" bestFit="1" customWidth="1"/>
    <col min="8" max="10" width="8.875" bestFit="1" customWidth="1"/>
    <col min="19" max="20" width="10.75" bestFit="1" customWidth="1"/>
    <col min="257" max="257" width="12.5" customWidth="1"/>
    <col min="258" max="258" width="18.625" bestFit="1" customWidth="1"/>
    <col min="259" max="259" width="6.125" bestFit="1" customWidth="1"/>
    <col min="260" max="260" width="22.875" bestFit="1" customWidth="1"/>
    <col min="261" max="261" width="11.125" bestFit="1" customWidth="1"/>
    <col min="262" max="263" width="9.875" bestFit="1" customWidth="1"/>
    <col min="264" max="265" width="11.125" bestFit="1" customWidth="1"/>
    <col min="275" max="276" width="10.75" bestFit="1" customWidth="1"/>
    <col min="513" max="513" width="12.5" customWidth="1"/>
    <col min="514" max="514" width="18.625" bestFit="1" customWidth="1"/>
    <col min="515" max="515" width="6.125" bestFit="1" customWidth="1"/>
    <col min="516" max="516" width="22.875" bestFit="1" customWidth="1"/>
    <col min="517" max="517" width="11.125" bestFit="1" customWidth="1"/>
    <col min="518" max="519" width="9.875" bestFit="1" customWidth="1"/>
    <col min="520" max="521" width="11.125" bestFit="1" customWidth="1"/>
    <col min="531" max="532" width="10.75" bestFit="1" customWidth="1"/>
    <col min="769" max="769" width="12.5" customWidth="1"/>
    <col min="770" max="770" width="18.625" bestFit="1" customWidth="1"/>
    <col min="771" max="771" width="6.125" bestFit="1" customWidth="1"/>
    <col min="772" max="772" width="22.875" bestFit="1" customWidth="1"/>
    <col min="773" max="773" width="11.125" bestFit="1" customWidth="1"/>
    <col min="774" max="775" width="9.875" bestFit="1" customWidth="1"/>
    <col min="776" max="777" width="11.125" bestFit="1" customWidth="1"/>
    <col min="787" max="788" width="10.75" bestFit="1" customWidth="1"/>
    <col min="1025" max="1025" width="12.5" customWidth="1"/>
    <col min="1026" max="1026" width="18.625" bestFit="1" customWidth="1"/>
    <col min="1027" max="1027" width="6.125" bestFit="1" customWidth="1"/>
    <col min="1028" max="1028" width="22.875" bestFit="1" customWidth="1"/>
    <col min="1029" max="1029" width="11.125" bestFit="1" customWidth="1"/>
    <col min="1030" max="1031" width="9.875" bestFit="1" customWidth="1"/>
    <col min="1032" max="1033" width="11.125" bestFit="1" customWidth="1"/>
    <col min="1043" max="1044" width="10.75" bestFit="1" customWidth="1"/>
    <col min="1281" max="1281" width="12.5" customWidth="1"/>
    <col min="1282" max="1282" width="18.625" bestFit="1" customWidth="1"/>
    <col min="1283" max="1283" width="6.125" bestFit="1" customWidth="1"/>
    <col min="1284" max="1284" width="22.875" bestFit="1" customWidth="1"/>
    <col min="1285" max="1285" width="11.125" bestFit="1" customWidth="1"/>
    <col min="1286" max="1287" width="9.875" bestFit="1" customWidth="1"/>
    <col min="1288" max="1289" width="11.125" bestFit="1" customWidth="1"/>
    <col min="1299" max="1300" width="10.75" bestFit="1" customWidth="1"/>
    <col min="1537" max="1537" width="12.5" customWidth="1"/>
    <col min="1538" max="1538" width="18.625" bestFit="1" customWidth="1"/>
    <col min="1539" max="1539" width="6.125" bestFit="1" customWidth="1"/>
    <col min="1540" max="1540" width="22.875" bestFit="1" customWidth="1"/>
    <col min="1541" max="1541" width="11.125" bestFit="1" customWidth="1"/>
    <col min="1542" max="1543" width="9.875" bestFit="1" customWidth="1"/>
    <col min="1544" max="1545" width="11.125" bestFit="1" customWidth="1"/>
    <col min="1555" max="1556" width="10.75" bestFit="1" customWidth="1"/>
    <col min="1793" max="1793" width="12.5" customWidth="1"/>
    <col min="1794" max="1794" width="18.625" bestFit="1" customWidth="1"/>
    <col min="1795" max="1795" width="6.125" bestFit="1" customWidth="1"/>
    <col min="1796" max="1796" width="22.875" bestFit="1" customWidth="1"/>
    <col min="1797" max="1797" width="11.125" bestFit="1" customWidth="1"/>
    <col min="1798" max="1799" width="9.875" bestFit="1" customWidth="1"/>
    <col min="1800" max="1801" width="11.125" bestFit="1" customWidth="1"/>
    <col min="1811" max="1812" width="10.75" bestFit="1" customWidth="1"/>
    <col min="2049" max="2049" width="12.5" customWidth="1"/>
    <col min="2050" max="2050" width="18.625" bestFit="1" customWidth="1"/>
    <col min="2051" max="2051" width="6.125" bestFit="1" customWidth="1"/>
    <col min="2052" max="2052" width="22.875" bestFit="1" customWidth="1"/>
    <col min="2053" max="2053" width="11.125" bestFit="1" customWidth="1"/>
    <col min="2054" max="2055" width="9.875" bestFit="1" customWidth="1"/>
    <col min="2056" max="2057" width="11.125" bestFit="1" customWidth="1"/>
    <col min="2067" max="2068" width="10.75" bestFit="1" customWidth="1"/>
    <col min="2305" max="2305" width="12.5" customWidth="1"/>
    <col min="2306" max="2306" width="18.625" bestFit="1" customWidth="1"/>
    <col min="2307" max="2307" width="6.125" bestFit="1" customWidth="1"/>
    <col min="2308" max="2308" width="22.875" bestFit="1" customWidth="1"/>
    <col min="2309" max="2309" width="11.125" bestFit="1" customWidth="1"/>
    <col min="2310" max="2311" width="9.875" bestFit="1" customWidth="1"/>
    <col min="2312" max="2313" width="11.125" bestFit="1" customWidth="1"/>
    <col min="2323" max="2324" width="10.75" bestFit="1" customWidth="1"/>
    <col min="2561" max="2561" width="12.5" customWidth="1"/>
    <col min="2562" max="2562" width="18.625" bestFit="1" customWidth="1"/>
    <col min="2563" max="2563" width="6.125" bestFit="1" customWidth="1"/>
    <col min="2564" max="2564" width="22.875" bestFit="1" customWidth="1"/>
    <col min="2565" max="2565" width="11.125" bestFit="1" customWidth="1"/>
    <col min="2566" max="2567" width="9.875" bestFit="1" customWidth="1"/>
    <col min="2568" max="2569" width="11.125" bestFit="1" customWidth="1"/>
    <col min="2579" max="2580" width="10.75" bestFit="1" customWidth="1"/>
    <col min="2817" max="2817" width="12.5" customWidth="1"/>
    <col min="2818" max="2818" width="18.625" bestFit="1" customWidth="1"/>
    <col min="2819" max="2819" width="6.125" bestFit="1" customWidth="1"/>
    <col min="2820" max="2820" width="22.875" bestFit="1" customWidth="1"/>
    <col min="2821" max="2821" width="11.125" bestFit="1" customWidth="1"/>
    <col min="2822" max="2823" width="9.875" bestFit="1" customWidth="1"/>
    <col min="2824" max="2825" width="11.125" bestFit="1" customWidth="1"/>
    <col min="2835" max="2836" width="10.75" bestFit="1" customWidth="1"/>
    <col min="3073" max="3073" width="12.5" customWidth="1"/>
    <col min="3074" max="3074" width="18.625" bestFit="1" customWidth="1"/>
    <col min="3075" max="3075" width="6.125" bestFit="1" customWidth="1"/>
    <col min="3076" max="3076" width="22.875" bestFit="1" customWidth="1"/>
    <col min="3077" max="3077" width="11.125" bestFit="1" customWidth="1"/>
    <col min="3078" max="3079" width="9.875" bestFit="1" customWidth="1"/>
    <col min="3080" max="3081" width="11.125" bestFit="1" customWidth="1"/>
    <col min="3091" max="3092" width="10.75" bestFit="1" customWidth="1"/>
    <col min="3329" max="3329" width="12.5" customWidth="1"/>
    <col min="3330" max="3330" width="18.625" bestFit="1" customWidth="1"/>
    <col min="3331" max="3331" width="6.125" bestFit="1" customWidth="1"/>
    <col min="3332" max="3332" width="22.875" bestFit="1" customWidth="1"/>
    <col min="3333" max="3333" width="11.125" bestFit="1" customWidth="1"/>
    <col min="3334" max="3335" width="9.875" bestFit="1" customWidth="1"/>
    <col min="3336" max="3337" width="11.125" bestFit="1" customWidth="1"/>
    <col min="3347" max="3348" width="10.75" bestFit="1" customWidth="1"/>
    <col min="3585" max="3585" width="12.5" customWidth="1"/>
    <col min="3586" max="3586" width="18.625" bestFit="1" customWidth="1"/>
    <col min="3587" max="3587" width="6.125" bestFit="1" customWidth="1"/>
    <col min="3588" max="3588" width="22.875" bestFit="1" customWidth="1"/>
    <col min="3589" max="3589" width="11.125" bestFit="1" customWidth="1"/>
    <col min="3590" max="3591" width="9.875" bestFit="1" customWidth="1"/>
    <col min="3592" max="3593" width="11.125" bestFit="1" customWidth="1"/>
    <col min="3603" max="3604" width="10.75" bestFit="1" customWidth="1"/>
    <col min="3841" max="3841" width="12.5" customWidth="1"/>
    <col min="3842" max="3842" width="18.625" bestFit="1" customWidth="1"/>
    <col min="3843" max="3843" width="6.125" bestFit="1" customWidth="1"/>
    <col min="3844" max="3844" width="22.875" bestFit="1" customWidth="1"/>
    <col min="3845" max="3845" width="11.125" bestFit="1" customWidth="1"/>
    <col min="3846" max="3847" width="9.875" bestFit="1" customWidth="1"/>
    <col min="3848" max="3849" width="11.125" bestFit="1" customWidth="1"/>
    <col min="3859" max="3860" width="10.75" bestFit="1" customWidth="1"/>
    <col min="4097" max="4097" width="12.5" customWidth="1"/>
    <col min="4098" max="4098" width="18.625" bestFit="1" customWidth="1"/>
    <col min="4099" max="4099" width="6.125" bestFit="1" customWidth="1"/>
    <col min="4100" max="4100" width="22.875" bestFit="1" customWidth="1"/>
    <col min="4101" max="4101" width="11.125" bestFit="1" customWidth="1"/>
    <col min="4102" max="4103" width="9.875" bestFit="1" customWidth="1"/>
    <col min="4104" max="4105" width="11.125" bestFit="1" customWidth="1"/>
    <col min="4115" max="4116" width="10.75" bestFit="1" customWidth="1"/>
    <col min="4353" max="4353" width="12.5" customWidth="1"/>
    <col min="4354" max="4354" width="18.625" bestFit="1" customWidth="1"/>
    <col min="4355" max="4355" width="6.125" bestFit="1" customWidth="1"/>
    <col min="4356" max="4356" width="22.875" bestFit="1" customWidth="1"/>
    <col min="4357" max="4357" width="11.125" bestFit="1" customWidth="1"/>
    <col min="4358" max="4359" width="9.875" bestFit="1" customWidth="1"/>
    <col min="4360" max="4361" width="11.125" bestFit="1" customWidth="1"/>
    <col min="4371" max="4372" width="10.75" bestFit="1" customWidth="1"/>
    <col min="4609" max="4609" width="12.5" customWidth="1"/>
    <col min="4610" max="4610" width="18.625" bestFit="1" customWidth="1"/>
    <col min="4611" max="4611" width="6.125" bestFit="1" customWidth="1"/>
    <col min="4612" max="4612" width="22.875" bestFit="1" customWidth="1"/>
    <col min="4613" max="4613" width="11.125" bestFit="1" customWidth="1"/>
    <col min="4614" max="4615" width="9.875" bestFit="1" customWidth="1"/>
    <col min="4616" max="4617" width="11.125" bestFit="1" customWidth="1"/>
    <col min="4627" max="4628" width="10.75" bestFit="1" customWidth="1"/>
    <col min="4865" max="4865" width="12.5" customWidth="1"/>
    <col min="4866" max="4866" width="18.625" bestFit="1" customWidth="1"/>
    <col min="4867" max="4867" width="6.125" bestFit="1" customWidth="1"/>
    <col min="4868" max="4868" width="22.875" bestFit="1" customWidth="1"/>
    <col min="4869" max="4869" width="11.125" bestFit="1" customWidth="1"/>
    <col min="4870" max="4871" width="9.875" bestFit="1" customWidth="1"/>
    <col min="4872" max="4873" width="11.125" bestFit="1" customWidth="1"/>
    <col min="4883" max="4884" width="10.75" bestFit="1" customWidth="1"/>
    <col min="5121" max="5121" width="12.5" customWidth="1"/>
    <col min="5122" max="5122" width="18.625" bestFit="1" customWidth="1"/>
    <col min="5123" max="5123" width="6.125" bestFit="1" customWidth="1"/>
    <col min="5124" max="5124" width="22.875" bestFit="1" customWidth="1"/>
    <col min="5125" max="5125" width="11.125" bestFit="1" customWidth="1"/>
    <col min="5126" max="5127" width="9.875" bestFit="1" customWidth="1"/>
    <col min="5128" max="5129" width="11.125" bestFit="1" customWidth="1"/>
    <col min="5139" max="5140" width="10.75" bestFit="1" customWidth="1"/>
    <col min="5377" max="5377" width="12.5" customWidth="1"/>
    <col min="5378" max="5378" width="18.625" bestFit="1" customWidth="1"/>
    <col min="5379" max="5379" width="6.125" bestFit="1" customWidth="1"/>
    <col min="5380" max="5380" width="22.875" bestFit="1" customWidth="1"/>
    <col min="5381" max="5381" width="11.125" bestFit="1" customWidth="1"/>
    <col min="5382" max="5383" width="9.875" bestFit="1" customWidth="1"/>
    <col min="5384" max="5385" width="11.125" bestFit="1" customWidth="1"/>
    <col min="5395" max="5396" width="10.75" bestFit="1" customWidth="1"/>
    <col min="5633" max="5633" width="12.5" customWidth="1"/>
    <col min="5634" max="5634" width="18.625" bestFit="1" customWidth="1"/>
    <col min="5635" max="5635" width="6.125" bestFit="1" customWidth="1"/>
    <col min="5636" max="5636" width="22.875" bestFit="1" customWidth="1"/>
    <col min="5637" max="5637" width="11.125" bestFit="1" customWidth="1"/>
    <col min="5638" max="5639" width="9.875" bestFit="1" customWidth="1"/>
    <col min="5640" max="5641" width="11.125" bestFit="1" customWidth="1"/>
    <col min="5651" max="5652" width="10.75" bestFit="1" customWidth="1"/>
    <col min="5889" max="5889" width="12.5" customWidth="1"/>
    <col min="5890" max="5890" width="18.625" bestFit="1" customWidth="1"/>
    <col min="5891" max="5891" width="6.125" bestFit="1" customWidth="1"/>
    <col min="5892" max="5892" width="22.875" bestFit="1" customWidth="1"/>
    <col min="5893" max="5893" width="11.125" bestFit="1" customWidth="1"/>
    <col min="5894" max="5895" width="9.875" bestFit="1" customWidth="1"/>
    <col min="5896" max="5897" width="11.125" bestFit="1" customWidth="1"/>
    <col min="5907" max="5908" width="10.75" bestFit="1" customWidth="1"/>
    <col min="6145" max="6145" width="12.5" customWidth="1"/>
    <col min="6146" max="6146" width="18.625" bestFit="1" customWidth="1"/>
    <col min="6147" max="6147" width="6.125" bestFit="1" customWidth="1"/>
    <col min="6148" max="6148" width="22.875" bestFit="1" customWidth="1"/>
    <col min="6149" max="6149" width="11.125" bestFit="1" customWidth="1"/>
    <col min="6150" max="6151" width="9.875" bestFit="1" customWidth="1"/>
    <col min="6152" max="6153" width="11.125" bestFit="1" customWidth="1"/>
    <col min="6163" max="6164" width="10.75" bestFit="1" customWidth="1"/>
    <col min="6401" max="6401" width="12.5" customWidth="1"/>
    <col min="6402" max="6402" width="18.625" bestFit="1" customWidth="1"/>
    <col min="6403" max="6403" width="6.125" bestFit="1" customWidth="1"/>
    <col min="6404" max="6404" width="22.875" bestFit="1" customWidth="1"/>
    <col min="6405" max="6405" width="11.125" bestFit="1" customWidth="1"/>
    <col min="6406" max="6407" width="9.875" bestFit="1" customWidth="1"/>
    <col min="6408" max="6409" width="11.125" bestFit="1" customWidth="1"/>
    <col min="6419" max="6420" width="10.75" bestFit="1" customWidth="1"/>
    <col min="6657" max="6657" width="12.5" customWidth="1"/>
    <col min="6658" max="6658" width="18.625" bestFit="1" customWidth="1"/>
    <col min="6659" max="6659" width="6.125" bestFit="1" customWidth="1"/>
    <col min="6660" max="6660" width="22.875" bestFit="1" customWidth="1"/>
    <col min="6661" max="6661" width="11.125" bestFit="1" customWidth="1"/>
    <col min="6662" max="6663" width="9.875" bestFit="1" customWidth="1"/>
    <col min="6664" max="6665" width="11.125" bestFit="1" customWidth="1"/>
    <col min="6675" max="6676" width="10.75" bestFit="1" customWidth="1"/>
    <col min="6913" max="6913" width="12.5" customWidth="1"/>
    <col min="6914" max="6914" width="18.625" bestFit="1" customWidth="1"/>
    <col min="6915" max="6915" width="6.125" bestFit="1" customWidth="1"/>
    <col min="6916" max="6916" width="22.875" bestFit="1" customWidth="1"/>
    <col min="6917" max="6917" width="11.125" bestFit="1" customWidth="1"/>
    <col min="6918" max="6919" width="9.875" bestFit="1" customWidth="1"/>
    <col min="6920" max="6921" width="11.125" bestFit="1" customWidth="1"/>
    <col min="6931" max="6932" width="10.75" bestFit="1" customWidth="1"/>
    <col min="7169" max="7169" width="12.5" customWidth="1"/>
    <col min="7170" max="7170" width="18.625" bestFit="1" customWidth="1"/>
    <col min="7171" max="7171" width="6.125" bestFit="1" customWidth="1"/>
    <col min="7172" max="7172" width="22.875" bestFit="1" customWidth="1"/>
    <col min="7173" max="7173" width="11.125" bestFit="1" customWidth="1"/>
    <col min="7174" max="7175" width="9.875" bestFit="1" customWidth="1"/>
    <col min="7176" max="7177" width="11.125" bestFit="1" customWidth="1"/>
    <col min="7187" max="7188" width="10.75" bestFit="1" customWidth="1"/>
    <col min="7425" max="7425" width="12.5" customWidth="1"/>
    <col min="7426" max="7426" width="18.625" bestFit="1" customWidth="1"/>
    <col min="7427" max="7427" width="6.125" bestFit="1" customWidth="1"/>
    <col min="7428" max="7428" width="22.875" bestFit="1" customWidth="1"/>
    <col min="7429" max="7429" width="11.125" bestFit="1" customWidth="1"/>
    <col min="7430" max="7431" width="9.875" bestFit="1" customWidth="1"/>
    <col min="7432" max="7433" width="11.125" bestFit="1" customWidth="1"/>
    <col min="7443" max="7444" width="10.75" bestFit="1" customWidth="1"/>
    <col min="7681" max="7681" width="12.5" customWidth="1"/>
    <col min="7682" max="7682" width="18.625" bestFit="1" customWidth="1"/>
    <col min="7683" max="7683" width="6.125" bestFit="1" customWidth="1"/>
    <col min="7684" max="7684" width="22.875" bestFit="1" customWidth="1"/>
    <col min="7685" max="7685" width="11.125" bestFit="1" customWidth="1"/>
    <col min="7686" max="7687" width="9.875" bestFit="1" customWidth="1"/>
    <col min="7688" max="7689" width="11.125" bestFit="1" customWidth="1"/>
    <col min="7699" max="7700" width="10.75" bestFit="1" customWidth="1"/>
    <col min="7937" max="7937" width="12.5" customWidth="1"/>
    <col min="7938" max="7938" width="18.625" bestFit="1" customWidth="1"/>
    <col min="7939" max="7939" width="6.125" bestFit="1" customWidth="1"/>
    <col min="7940" max="7940" width="22.875" bestFit="1" customWidth="1"/>
    <col min="7941" max="7941" width="11.125" bestFit="1" customWidth="1"/>
    <col min="7942" max="7943" width="9.875" bestFit="1" customWidth="1"/>
    <col min="7944" max="7945" width="11.125" bestFit="1" customWidth="1"/>
    <col min="7955" max="7956" width="10.75" bestFit="1" customWidth="1"/>
    <col min="8193" max="8193" width="12.5" customWidth="1"/>
    <col min="8194" max="8194" width="18.625" bestFit="1" customWidth="1"/>
    <col min="8195" max="8195" width="6.125" bestFit="1" customWidth="1"/>
    <col min="8196" max="8196" width="22.875" bestFit="1" customWidth="1"/>
    <col min="8197" max="8197" width="11.125" bestFit="1" customWidth="1"/>
    <col min="8198" max="8199" width="9.875" bestFit="1" customWidth="1"/>
    <col min="8200" max="8201" width="11.125" bestFit="1" customWidth="1"/>
    <col min="8211" max="8212" width="10.75" bestFit="1" customWidth="1"/>
    <col min="8449" max="8449" width="12.5" customWidth="1"/>
    <col min="8450" max="8450" width="18.625" bestFit="1" customWidth="1"/>
    <col min="8451" max="8451" width="6.125" bestFit="1" customWidth="1"/>
    <col min="8452" max="8452" width="22.875" bestFit="1" customWidth="1"/>
    <col min="8453" max="8453" width="11.125" bestFit="1" customWidth="1"/>
    <col min="8454" max="8455" width="9.875" bestFit="1" customWidth="1"/>
    <col min="8456" max="8457" width="11.125" bestFit="1" customWidth="1"/>
    <col min="8467" max="8468" width="10.75" bestFit="1" customWidth="1"/>
    <col min="8705" max="8705" width="12.5" customWidth="1"/>
    <col min="8706" max="8706" width="18.625" bestFit="1" customWidth="1"/>
    <col min="8707" max="8707" width="6.125" bestFit="1" customWidth="1"/>
    <col min="8708" max="8708" width="22.875" bestFit="1" customWidth="1"/>
    <col min="8709" max="8709" width="11.125" bestFit="1" customWidth="1"/>
    <col min="8710" max="8711" width="9.875" bestFit="1" customWidth="1"/>
    <col min="8712" max="8713" width="11.125" bestFit="1" customWidth="1"/>
    <col min="8723" max="8724" width="10.75" bestFit="1" customWidth="1"/>
    <col min="8961" max="8961" width="12.5" customWidth="1"/>
    <col min="8962" max="8962" width="18.625" bestFit="1" customWidth="1"/>
    <col min="8963" max="8963" width="6.125" bestFit="1" customWidth="1"/>
    <col min="8964" max="8964" width="22.875" bestFit="1" customWidth="1"/>
    <col min="8965" max="8965" width="11.125" bestFit="1" customWidth="1"/>
    <col min="8966" max="8967" width="9.875" bestFit="1" customWidth="1"/>
    <col min="8968" max="8969" width="11.125" bestFit="1" customWidth="1"/>
    <col min="8979" max="8980" width="10.75" bestFit="1" customWidth="1"/>
    <col min="9217" max="9217" width="12.5" customWidth="1"/>
    <col min="9218" max="9218" width="18.625" bestFit="1" customWidth="1"/>
    <col min="9219" max="9219" width="6.125" bestFit="1" customWidth="1"/>
    <col min="9220" max="9220" width="22.875" bestFit="1" customWidth="1"/>
    <col min="9221" max="9221" width="11.125" bestFit="1" customWidth="1"/>
    <col min="9222" max="9223" width="9.875" bestFit="1" customWidth="1"/>
    <col min="9224" max="9225" width="11.125" bestFit="1" customWidth="1"/>
    <col min="9235" max="9236" width="10.75" bestFit="1" customWidth="1"/>
    <col min="9473" max="9473" width="12.5" customWidth="1"/>
    <col min="9474" max="9474" width="18.625" bestFit="1" customWidth="1"/>
    <col min="9475" max="9475" width="6.125" bestFit="1" customWidth="1"/>
    <col min="9476" max="9476" width="22.875" bestFit="1" customWidth="1"/>
    <col min="9477" max="9477" width="11.125" bestFit="1" customWidth="1"/>
    <col min="9478" max="9479" width="9.875" bestFit="1" customWidth="1"/>
    <col min="9480" max="9481" width="11.125" bestFit="1" customWidth="1"/>
    <col min="9491" max="9492" width="10.75" bestFit="1" customWidth="1"/>
    <col min="9729" max="9729" width="12.5" customWidth="1"/>
    <col min="9730" max="9730" width="18.625" bestFit="1" customWidth="1"/>
    <col min="9731" max="9731" width="6.125" bestFit="1" customWidth="1"/>
    <col min="9732" max="9732" width="22.875" bestFit="1" customWidth="1"/>
    <col min="9733" max="9733" width="11.125" bestFit="1" customWidth="1"/>
    <col min="9734" max="9735" width="9.875" bestFit="1" customWidth="1"/>
    <col min="9736" max="9737" width="11.125" bestFit="1" customWidth="1"/>
    <col min="9747" max="9748" width="10.75" bestFit="1" customWidth="1"/>
    <col min="9985" max="9985" width="12.5" customWidth="1"/>
    <col min="9986" max="9986" width="18.625" bestFit="1" customWidth="1"/>
    <col min="9987" max="9987" width="6.125" bestFit="1" customWidth="1"/>
    <col min="9988" max="9988" width="22.875" bestFit="1" customWidth="1"/>
    <col min="9989" max="9989" width="11.125" bestFit="1" customWidth="1"/>
    <col min="9990" max="9991" width="9.875" bestFit="1" customWidth="1"/>
    <col min="9992" max="9993" width="11.125" bestFit="1" customWidth="1"/>
    <col min="10003" max="10004" width="10.75" bestFit="1" customWidth="1"/>
    <col min="10241" max="10241" width="12.5" customWidth="1"/>
    <col min="10242" max="10242" width="18.625" bestFit="1" customWidth="1"/>
    <col min="10243" max="10243" width="6.125" bestFit="1" customWidth="1"/>
    <col min="10244" max="10244" width="22.875" bestFit="1" customWidth="1"/>
    <col min="10245" max="10245" width="11.125" bestFit="1" customWidth="1"/>
    <col min="10246" max="10247" width="9.875" bestFit="1" customWidth="1"/>
    <col min="10248" max="10249" width="11.125" bestFit="1" customWidth="1"/>
    <col min="10259" max="10260" width="10.75" bestFit="1" customWidth="1"/>
    <col min="10497" max="10497" width="12.5" customWidth="1"/>
    <col min="10498" max="10498" width="18.625" bestFit="1" customWidth="1"/>
    <col min="10499" max="10499" width="6.125" bestFit="1" customWidth="1"/>
    <col min="10500" max="10500" width="22.875" bestFit="1" customWidth="1"/>
    <col min="10501" max="10501" width="11.125" bestFit="1" customWidth="1"/>
    <col min="10502" max="10503" width="9.875" bestFit="1" customWidth="1"/>
    <col min="10504" max="10505" width="11.125" bestFit="1" customWidth="1"/>
    <col min="10515" max="10516" width="10.75" bestFit="1" customWidth="1"/>
    <col min="10753" max="10753" width="12.5" customWidth="1"/>
    <col min="10754" max="10754" width="18.625" bestFit="1" customWidth="1"/>
    <col min="10755" max="10755" width="6.125" bestFit="1" customWidth="1"/>
    <col min="10756" max="10756" width="22.875" bestFit="1" customWidth="1"/>
    <col min="10757" max="10757" width="11.125" bestFit="1" customWidth="1"/>
    <col min="10758" max="10759" width="9.875" bestFit="1" customWidth="1"/>
    <col min="10760" max="10761" width="11.125" bestFit="1" customWidth="1"/>
    <col min="10771" max="10772" width="10.75" bestFit="1" customWidth="1"/>
    <col min="11009" max="11009" width="12.5" customWidth="1"/>
    <col min="11010" max="11010" width="18.625" bestFit="1" customWidth="1"/>
    <col min="11011" max="11011" width="6.125" bestFit="1" customWidth="1"/>
    <col min="11012" max="11012" width="22.875" bestFit="1" customWidth="1"/>
    <col min="11013" max="11013" width="11.125" bestFit="1" customWidth="1"/>
    <col min="11014" max="11015" width="9.875" bestFit="1" customWidth="1"/>
    <col min="11016" max="11017" width="11.125" bestFit="1" customWidth="1"/>
    <col min="11027" max="11028" width="10.75" bestFit="1" customWidth="1"/>
    <col min="11265" max="11265" width="12.5" customWidth="1"/>
    <col min="11266" max="11266" width="18.625" bestFit="1" customWidth="1"/>
    <col min="11267" max="11267" width="6.125" bestFit="1" customWidth="1"/>
    <col min="11268" max="11268" width="22.875" bestFit="1" customWidth="1"/>
    <col min="11269" max="11269" width="11.125" bestFit="1" customWidth="1"/>
    <col min="11270" max="11271" width="9.875" bestFit="1" customWidth="1"/>
    <col min="11272" max="11273" width="11.125" bestFit="1" customWidth="1"/>
    <col min="11283" max="11284" width="10.75" bestFit="1" customWidth="1"/>
    <col min="11521" max="11521" width="12.5" customWidth="1"/>
    <col min="11522" max="11522" width="18.625" bestFit="1" customWidth="1"/>
    <col min="11523" max="11523" width="6.125" bestFit="1" customWidth="1"/>
    <col min="11524" max="11524" width="22.875" bestFit="1" customWidth="1"/>
    <col min="11525" max="11525" width="11.125" bestFit="1" customWidth="1"/>
    <col min="11526" max="11527" width="9.875" bestFit="1" customWidth="1"/>
    <col min="11528" max="11529" width="11.125" bestFit="1" customWidth="1"/>
    <col min="11539" max="11540" width="10.75" bestFit="1" customWidth="1"/>
    <col min="11777" max="11777" width="12.5" customWidth="1"/>
    <col min="11778" max="11778" width="18.625" bestFit="1" customWidth="1"/>
    <col min="11779" max="11779" width="6.125" bestFit="1" customWidth="1"/>
    <col min="11780" max="11780" width="22.875" bestFit="1" customWidth="1"/>
    <col min="11781" max="11781" width="11.125" bestFit="1" customWidth="1"/>
    <col min="11782" max="11783" width="9.875" bestFit="1" customWidth="1"/>
    <col min="11784" max="11785" width="11.125" bestFit="1" customWidth="1"/>
    <col min="11795" max="11796" width="10.75" bestFit="1" customWidth="1"/>
    <col min="12033" max="12033" width="12.5" customWidth="1"/>
    <col min="12034" max="12034" width="18.625" bestFit="1" customWidth="1"/>
    <col min="12035" max="12035" width="6.125" bestFit="1" customWidth="1"/>
    <col min="12036" max="12036" width="22.875" bestFit="1" customWidth="1"/>
    <col min="12037" max="12037" width="11.125" bestFit="1" customWidth="1"/>
    <col min="12038" max="12039" width="9.875" bestFit="1" customWidth="1"/>
    <col min="12040" max="12041" width="11.125" bestFit="1" customWidth="1"/>
    <col min="12051" max="12052" width="10.75" bestFit="1" customWidth="1"/>
    <col min="12289" max="12289" width="12.5" customWidth="1"/>
    <col min="12290" max="12290" width="18.625" bestFit="1" customWidth="1"/>
    <col min="12291" max="12291" width="6.125" bestFit="1" customWidth="1"/>
    <col min="12292" max="12292" width="22.875" bestFit="1" customWidth="1"/>
    <col min="12293" max="12293" width="11.125" bestFit="1" customWidth="1"/>
    <col min="12294" max="12295" width="9.875" bestFit="1" customWidth="1"/>
    <col min="12296" max="12297" width="11.125" bestFit="1" customWidth="1"/>
    <col min="12307" max="12308" width="10.75" bestFit="1" customWidth="1"/>
    <col min="12545" max="12545" width="12.5" customWidth="1"/>
    <col min="12546" max="12546" width="18.625" bestFit="1" customWidth="1"/>
    <col min="12547" max="12547" width="6.125" bestFit="1" customWidth="1"/>
    <col min="12548" max="12548" width="22.875" bestFit="1" customWidth="1"/>
    <col min="12549" max="12549" width="11.125" bestFit="1" customWidth="1"/>
    <col min="12550" max="12551" width="9.875" bestFit="1" customWidth="1"/>
    <col min="12552" max="12553" width="11.125" bestFit="1" customWidth="1"/>
    <col min="12563" max="12564" width="10.75" bestFit="1" customWidth="1"/>
    <col min="12801" max="12801" width="12.5" customWidth="1"/>
    <col min="12802" max="12802" width="18.625" bestFit="1" customWidth="1"/>
    <col min="12803" max="12803" width="6.125" bestFit="1" customWidth="1"/>
    <col min="12804" max="12804" width="22.875" bestFit="1" customWidth="1"/>
    <col min="12805" max="12805" width="11.125" bestFit="1" customWidth="1"/>
    <col min="12806" max="12807" width="9.875" bestFit="1" customWidth="1"/>
    <col min="12808" max="12809" width="11.125" bestFit="1" customWidth="1"/>
    <col min="12819" max="12820" width="10.75" bestFit="1" customWidth="1"/>
    <col min="13057" max="13057" width="12.5" customWidth="1"/>
    <col min="13058" max="13058" width="18.625" bestFit="1" customWidth="1"/>
    <col min="13059" max="13059" width="6.125" bestFit="1" customWidth="1"/>
    <col min="13060" max="13060" width="22.875" bestFit="1" customWidth="1"/>
    <col min="13061" max="13061" width="11.125" bestFit="1" customWidth="1"/>
    <col min="13062" max="13063" width="9.875" bestFit="1" customWidth="1"/>
    <col min="13064" max="13065" width="11.125" bestFit="1" customWidth="1"/>
    <col min="13075" max="13076" width="10.75" bestFit="1" customWidth="1"/>
    <col min="13313" max="13313" width="12.5" customWidth="1"/>
    <col min="13314" max="13314" width="18.625" bestFit="1" customWidth="1"/>
    <col min="13315" max="13315" width="6.125" bestFit="1" customWidth="1"/>
    <col min="13316" max="13316" width="22.875" bestFit="1" customWidth="1"/>
    <col min="13317" max="13317" width="11.125" bestFit="1" customWidth="1"/>
    <col min="13318" max="13319" width="9.875" bestFit="1" customWidth="1"/>
    <col min="13320" max="13321" width="11.125" bestFit="1" customWidth="1"/>
    <col min="13331" max="13332" width="10.75" bestFit="1" customWidth="1"/>
    <col min="13569" max="13569" width="12.5" customWidth="1"/>
    <col min="13570" max="13570" width="18.625" bestFit="1" customWidth="1"/>
    <col min="13571" max="13571" width="6.125" bestFit="1" customWidth="1"/>
    <col min="13572" max="13572" width="22.875" bestFit="1" customWidth="1"/>
    <col min="13573" max="13573" width="11.125" bestFit="1" customWidth="1"/>
    <col min="13574" max="13575" width="9.875" bestFit="1" customWidth="1"/>
    <col min="13576" max="13577" width="11.125" bestFit="1" customWidth="1"/>
    <col min="13587" max="13588" width="10.75" bestFit="1" customWidth="1"/>
    <col min="13825" max="13825" width="12.5" customWidth="1"/>
    <col min="13826" max="13826" width="18.625" bestFit="1" customWidth="1"/>
    <col min="13827" max="13827" width="6.125" bestFit="1" customWidth="1"/>
    <col min="13828" max="13828" width="22.875" bestFit="1" customWidth="1"/>
    <col min="13829" max="13829" width="11.125" bestFit="1" customWidth="1"/>
    <col min="13830" max="13831" width="9.875" bestFit="1" customWidth="1"/>
    <col min="13832" max="13833" width="11.125" bestFit="1" customWidth="1"/>
    <col min="13843" max="13844" width="10.75" bestFit="1" customWidth="1"/>
    <col min="14081" max="14081" width="12.5" customWidth="1"/>
    <col min="14082" max="14082" width="18.625" bestFit="1" customWidth="1"/>
    <col min="14083" max="14083" width="6.125" bestFit="1" customWidth="1"/>
    <col min="14084" max="14084" width="22.875" bestFit="1" customWidth="1"/>
    <col min="14085" max="14085" width="11.125" bestFit="1" customWidth="1"/>
    <col min="14086" max="14087" width="9.875" bestFit="1" customWidth="1"/>
    <col min="14088" max="14089" width="11.125" bestFit="1" customWidth="1"/>
    <col min="14099" max="14100" width="10.75" bestFit="1" customWidth="1"/>
    <col min="14337" max="14337" width="12.5" customWidth="1"/>
    <col min="14338" max="14338" width="18.625" bestFit="1" customWidth="1"/>
    <col min="14339" max="14339" width="6.125" bestFit="1" customWidth="1"/>
    <col min="14340" max="14340" width="22.875" bestFit="1" customWidth="1"/>
    <col min="14341" max="14341" width="11.125" bestFit="1" customWidth="1"/>
    <col min="14342" max="14343" width="9.875" bestFit="1" customWidth="1"/>
    <col min="14344" max="14345" width="11.125" bestFit="1" customWidth="1"/>
    <col min="14355" max="14356" width="10.75" bestFit="1" customWidth="1"/>
    <col min="14593" max="14593" width="12.5" customWidth="1"/>
    <col min="14594" max="14594" width="18.625" bestFit="1" customWidth="1"/>
    <col min="14595" max="14595" width="6.125" bestFit="1" customWidth="1"/>
    <col min="14596" max="14596" width="22.875" bestFit="1" customWidth="1"/>
    <col min="14597" max="14597" width="11.125" bestFit="1" customWidth="1"/>
    <col min="14598" max="14599" width="9.875" bestFit="1" customWidth="1"/>
    <col min="14600" max="14601" width="11.125" bestFit="1" customWidth="1"/>
    <col min="14611" max="14612" width="10.75" bestFit="1" customWidth="1"/>
    <col min="14849" max="14849" width="12.5" customWidth="1"/>
    <col min="14850" max="14850" width="18.625" bestFit="1" customWidth="1"/>
    <col min="14851" max="14851" width="6.125" bestFit="1" customWidth="1"/>
    <col min="14852" max="14852" width="22.875" bestFit="1" customWidth="1"/>
    <col min="14853" max="14853" width="11.125" bestFit="1" customWidth="1"/>
    <col min="14854" max="14855" width="9.875" bestFit="1" customWidth="1"/>
    <col min="14856" max="14857" width="11.125" bestFit="1" customWidth="1"/>
    <col min="14867" max="14868" width="10.75" bestFit="1" customWidth="1"/>
    <col min="15105" max="15105" width="12.5" customWidth="1"/>
    <col min="15106" max="15106" width="18.625" bestFit="1" customWidth="1"/>
    <col min="15107" max="15107" width="6.125" bestFit="1" customWidth="1"/>
    <col min="15108" max="15108" width="22.875" bestFit="1" customWidth="1"/>
    <col min="15109" max="15109" width="11.125" bestFit="1" customWidth="1"/>
    <col min="15110" max="15111" width="9.875" bestFit="1" customWidth="1"/>
    <col min="15112" max="15113" width="11.125" bestFit="1" customWidth="1"/>
    <col min="15123" max="15124" width="10.75" bestFit="1" customWidth="1"/>
    <col min="15361" max="15361" width="12.5" customWidth="1"/>
    <col min="15362" max="15362" width="18.625" bestFit="1" customWidth="1"/>
    <col min="15363" max="15363" width="6.125" bestFit="1" customWidth="1"/>
    <col min="15364" max="15364" width="22.875" bestFit="1" customWidth="1"/>
    <col min="15365" max="15365" width="11.125" bestFit="1" customWidth="1"/>
    <col min="15366" max="15367" width="9.875" bestFit="1" customWidth="1"/>
    <col min="15368" max="15369" width="11.125" bestFit="1" customWidth="1"/>
    <col min="15379" max="15380" width="10.75" bestFit="1" customWidth="1"/>
    <col min="15617" max="15617" width="12.5" customWidth="1"/>
    <col min="15618" max="15618" width="18.625" bestFit="1" customWidth="1"/>
    <col min="15619" max="15619" width="6.125" bestFit="1" customWidth="1"/>
    <col min="15620" max="15620" width="22.875" bestFit="1" customWidth="1"/>
    <col min="15621" max="15621" width="11.125" bestFit="1" customWidth="1"/>
    <col min="15622" max="15623" width="9.875" bestFit="1" customWidth="1"/>
    <col min="15624" max="15625" width="11.125" bestFit="1" customWidth="1"/>
    <col min="15635" max="15636" width="10.75" bestFit="1" customWidth="1"/>
    <col min="15873" max="15873" width="12.5" customWidth="1"/>
    <col min="15874" max="15874" width="18.625" bestFit="1" customWidth="1"/>
    <col min="15875" max="15875" width="6.125" bestFit="1" customWidth="1"/>
    <col min="15876" max="15876" width="22.875" bestFit="1" customWidth="1"/>
    <col min="15877" max="15877" width="11.125" bestFit="1" customWidth="1"/>
    <col min="15878" max="15879" width="9.875" bestFit="1" customWidth="1"/>
    <col min="15880" max="15881" width="11.125" bestFit="1" customWidth="1"/>
    <col min="15891" max="15892" width="10.75" bestFit="1" customWidth="1"/>
    <col min="16129" max="16129" width="12.5" customWidth="1"/>
    <col min="16130" max="16130" width="18.625" bestFit="1" customWidth="1"/>
    <col min="16131" max="16131" width="6.125" bestFit="1" customWidth="1"/>
    <col min="16132" max="16132" width="22.875" bestFit="1" customWidth="1"/>
    <col min="16133" max="16133" width="11.125" bestFit="1" customWidth="1"/>
    <col min="16134" max="16135" width="9.875" bestFit="1" customWidth="1"/>
    <col min="16136" max="16137" width="11.125" bestFit="1" customWidth="1"/>
    <col min="16147" max="16148" width="10.75" bestFit="1" customWidth="1"/>
  </cols>
  <sheetData>
    <row r="1" spans="1:10" x14ac:dyDescent="0.15">
      <c r="A1" s="661">
        <v>44764</v>
      </c>
      <c r="B1" t="s">
        <v>1487</v>
      </c>
      <c r="C1">
        <v>806</v>
      </c>
      <c r="D1" t="s">
        <v>1488</v>
      </c>
      <c r="E1">
        <v>6</v>
      </c>
      <c r="F1">
        <v>6</v>
      </c>
      <c r="G1">
        <v>5.75</v>
      </c>
      <c r="H1">
        <v>5.99</v>
      </c>
      <c r="I1">
        <v>129000</v>
      </c>
      <c r="J1">
        <v>5.64</v>
      </c>
    </row>
    <row r="2" spans="1:10" x14ac:dyDescent="0.15">
      <c r="A2" s="661">
        <v>44764</v>
      </c>
      <c r="B2" t="s">
        <v>1524</v>
      </c>
      <c r="C2">
        <v>806</v>
      </c>
      <c r="D2" t="s">
        <v>1525</v>
      </c>
      <c r="E2">
        <v>2.25</v>
      </c>
      <c r="F2">
        <v>2.25</v>
      </c>
      <c r="G2">
        <v>2.0499999999999998</v>
      </c>
      <c r="H2">
        <v>2.11</v>
      </c>
      <c r="I2">
        <v>132500</v>
      </c>
      <c r="J2">
        <v>2</v>
      </c>
    </row>
    <row r="3" spans="1:10" x14ac:dyDescent="0.15">
      <c r="A3" s="661">
        <v>44764</v>
      </c>
      <c r="B3" t="s">
        <v>1489</v>
      </c>
      <c r="C3">
        <v>819</v>
      </c>
      <c r="D3" t="s">
        <v>1490</v>
      </c>
      <c r="E3">
        <v>7.2</v>
      </c>
      <c r="F3">
        <v>7.2</v>
      </c>
      <c r="G3">
        <v>7.2</v>
      </c>
      <c r="H3">
        <v>7.2</v>
      </c>
      <c r="I3">
        <v>2000</v>
      </c>
      <c r="J3">
        <v>7.2</v>
      </c>
    </row>
    <row r="4" spans="1:10" x14ac:dyDescent="0.15">
      <c r="A4" s="661">
        <v>44764</v>
      </c>
      <c r="B4" t="s">
        <v>1399</v>
      </c>
      <c r="C4">
        <v>819</v>
      </c>
      <c r="D4" t="s">
        <v>1400</v>
      </c>
      <c r="E4">
        <v>10</v>
      </c>
      <c r="F4">
        <v>10</v>
      </c>
      <c r="G4">
        <v>10</v>
      </c>
      <c r="H4">
        <v>10</v>
      </c>
      <c r="I4">
        <v>500</v>
      </c>
      <c r="J4">
        <v>9.86</v>
      </c>
    </row>
    <row r="5" spans="1:10" x14ac:dyDescent="0.15">
      <c r="A5" s="661">
        <v>44764</v>
      </c>
      <c r="B5" t="s">
        <v>1526</v>
      </c>
      <c r="C5">
        <v>819</v>
      </c>
      <c r="D5" t="s">
        <v>1527</v>
      </c>
      <c r="E5">
        <v>3.21</v>
      </c>
      <c r="F5">
        <v>3.21</v>
      </c>
      <c r="G5">
        <v>3.21</v>
      </c>
      <c r="H5">
        <v>3.21</v>
      </c>
      <c r="I5">
        <v>500</v>
      </c>
      <c r="J5">
        <v>3.04</v>
      </c>
    </row>
    <row r="6" spans="1:10" x14ac:dyDescent="0.15">
      <c r="A6" s="661">
        <v>44764</v>
      </c>
      <c r="B6" t="s">
        <v>1491</v>
      </c>
      <c r="C6">
        <v>819</v>
      </c>
      <c r="D6" t="s">
        <v>1492</v>
      </c>
      <c r="E6">
        <v>3.33</v>
      </c>
      <c r="F6">
        <v>3.33</v>
      </c>
      <c r="G6">
        <v>3.33</v>
      </c>
      <c r="H6">
        <v>3.33</v>
      </c>
      <c r="I6">
        <v>500</v>
      </c>
      <c r="J6">
        <v>3.37</v>
      </c>
    </row>
    <row r="7" spans="1:10" x14ac:dyDescent="0.15">
      <c r="A7" s="661">
        <v>44764</v>
      </c>
      <c r="B7" t="s">
        <v>1528</v>
      </c>
      <c r="C7">
        <v>819</v>
      </c>
      <c r="D7" t="s">
        <v>1529</v>
      </c>
      <c r="E7">
        <v>9.35</v>
      </c>
      <c r="F7">
        <v>9.35</v>
      </c>
      <c r="G7">
        <v>9.35</v>
      </c>
      <c r="H7">
        <v>9.35</v>
      </c>
      <c r="I7">
        <v>19500</v>
      </c>
      <c r="J7">
        <v>9.67</v>
      </c>
    </row>
    <row r="8" spans="1:10" x14ac:dyDescent="0.15">
      <c r="A8" s="661">
        <v>44764</v>
      </c>
      <c r="B8" t="s">
        <v>1493</v>
      </c>
      <c r="C8">
        <v>819</v>
      </c>
      <c r="D8" t="s">
        <v>1494</v>
      </c>
      <c r="E8">
        <v>9</v>
      </c>
      <c r="F8">
        <v>9</v>
      </c>
      <c r="G8">
        <v>8.8000000000000007</v>
      </c>
      <c r="H8">
        <v>8.89</v>
      </c>
      <c r="I8">
        <v>4000</v>
      </c>
      <c r="J8">
        <v>9.01</v>
      </c>
    </row>
    <row r="9" spans="1:10" x14ac:dyDescent="0.15">
      <c r="A9" s="661">
        <v>44764</v>
      </c>
      <c r="B9" t="s">
        <v>1530</v>
      </c>
      <c r="C9">
        <v>819</v>
      </c>
      <c r="D9" t="s">
        <v>1531</v>
      </c>
      <c r="E9">
        <v>4.84</v>
      </c>
      <c r="F9">
        <v>4.84</v>
      </c>
      <c r="G9">
        <v>3.16</v>
      </c>
      <c r="H9">
        <v>3.72</v>
      </c>
      <c r="I9">
        <v>312000</v>
      </c>
      <c r="J9">
        <v>4.0999999999999996</v>
      </c>
    </row>
    <row r="10" spans="1:10" x14ac:dyDescent="0.15">
      <c r="A10" s="661">
        <v>44764</v>
      </c>
      <c r="B10" t="s">
        <v>1459</v>
      </c>
      <c r="C10">
        <v>819</v>
      </c>
      <c r="D10" t="s">
        <v>1460</v>
      </c>
      <c r="E10">
        <v>1.61</v>
      </c>
      <c r="F10">
        <v>1.72</v>
      </c>
      <c r="G10">
        <v>1.37</v>
      </c>
      <c r="H10">
        <v>1.68</v>
      </c>
      <c r="I10">
        <v>71500</v>
      </c>
      <c r="J10">
        <v>1.8</v>
      </c>
    </row>
    <row r="11" spans="1:10" x14ac:dyDescent="0.15">
      <c r="A11" s="661">
        <v>44764</v>
      </c>
      <c r="B11" t="s">
        <v>894</v>
      </c>
      <c r="C11">
        <v>819</v>
      </c>
      <c r="D11" t="s">
        <v>895</v>
      </c>
      <c r="E11">
        <v>6.15</v>
      </c>
      <c r="F11">
        <v>6.3</v>
      </c>
      <c r="G11">
        <v>6.1</v>
      </c>
      <c r="H11">
        <v>6.3</v>
      </c>
      <c r="I11">
        <v>29000</v>
      </c>
      <c r="J11">
        <v>6.44</v>
      </c>
    </row>
    <row r="12" spans="1:10" x14ac:dyDescent="0.15">
      <c r="A12" s="661">
        <v>44764</v>
      </c>
      <c r="B12" t="s">
        <v>1461</v>
      </c>
      <c r="C12">
        <v>819</v>
      </c>
      <c r="D12" t="s">
        <v>1462</v>
      </c>
      <c r="E12">
        <v>2.4500000000000002</v>
      </c>
      <c r="F12">
        <v>2.7</v>
      </c>
      <c r="G12">
        <v>2</v>
      </c>
      <c r="H12">
        <v>2.52</v>
      </c>
      <c r="I12">
        <v>133000</v>
      </c>
      <c r="J12">
        <v>2.66</v>
      </c>
    </row>
    <row r="13" spans="1:10" x14ac:dyDescent="0.15">
      <c r="A13" s="661">
        <v>44764</v>
      </c>
      <c r="B13" t="s">
        <v>1305</v>
      </c>
      <c r="C13">
        <v>819</v>
      </c>
      <c r="D13" t="s">
        <v>1306</v>
      </c>
      <c r="E13">
        <v>1.6</v>
      </c>
      <c r="F13">
        <v>2</v>
      </c>
      <c r="G13">
        <v>1.5</v>
      </c>
      <c r="H13">
        <v>1.77</v>
      </c>
      <c r="I13">
        <v>602500</v>
      </c>
      <c r="J13">
        <v>1.5</v>
      </c>
    </row>
    <row r="14" spans="1:10" x14ac:dyDescent="0.15">
      <c r="A14" s="661">
        <v>44764</v>
      </c>
      <c r="B14" t="s">
        <v>1196</v>
      </c>
      <c r="C14">
        <v>819</v>
      </c>
      <c r="D14" t="s">
        <v>1197</v>
      </c>
      <c r="E14">
        <v>0</v>
      </c>
      <c r="F14">
        <v>6.9</v>
      </c>
      <c r="G14">
        <v>6.9</v>
      </c>
      <c r="H14">
        <v>6.9</v>
      </c>
      <c r="I14">
        <v>10000</v>
      </c>
      <c r="J14">
        <v>6.9</v>
      </c>
    </row>
    <row r="15" spans="1:10" x14ac:dyDescent="0.15">
      <c r="A15" s="661">
        <v>44764</v>
      </c>
      <c r="B15" t="s">
        <v>1379</v>
      </c>
      <c r="C15">
        <v>819</v>
      </c>
      <c r="D15" t="s">
        <v>1380</v>
      </c>
      <c r="E15">
        <v>1.45</v>
      </c>
      <c r="F15">
        <v>1.45</v>
      </c>
      <c r="G15">
        <v>1.1000000000000001</v>
      </c>
      <c r="H15">
        <v>1.17</v>
      </c>
      <c r="I15">
        <v>72500</v>
      </c>
      <c r="J15">
        <v>1.1599999999999999</v>
      </c>
    </row>
    <row r="16" spans="1:10" x14ac:dyDescent="0.15">
      <c r="A16" s="661">
        <v>44764</v>
      </c>
      <c r="B16" t="s">
        <v>1172</v>
      </c>
      <c r="C16">
        <v>813</v>
      </c>
      <c r="D16" t="s">
        <v>1173</v>
      </c>
      <c r="E16">
        <v>19.559999999999999</v>
      </c>
      <c r="F16">
        <v>19.899999999999999</v>
      </c>
      <c r="G16">
        <v>19.559999999999999</v>
      </c>
      <c r="H16">
        <v>19.7</v>
      </c>
      <c r="I16">
        <v>52000</v>
      </c>
      <c r="J16">
        <v>19.8</v>
      </c>
    </row>
    <row r="17" spans="1:10" x14ac:dyDescent="0.15">
      <c r="A17" s="661">
        <v>44764</v>
      </c>
      <c r="B17" t="s">
        <v>1463</v>
      </c>
      <c r="C17">
        <v>815</v>
      </c>
      <c r="D17" t="s">
        <v>1464</v>
      </c>
      <c r="E17">
        <v>2.4900000000000002</v>
      </c>
      <c r="F17">
        <v>2.4900000000000002</v>
      </c>
      <c r="G17">
        <v>2.4900000000000002</v>
      </c>
      <c r="H17">
        <v>2.4900000000000002</v>
      </c>
      <c r="I17">
        <v>1000</v>
      </c>
      <c r="J17">
        <v>2</v>
      </c>
    </row>
    <row r="18" spans="1:10" x14ac:dyDescent="0.15">
      <c r="A18" s="661">
        <v>44764</v>
      </c>
      <c r="B18" t="s">
        <v>155</v>
      </c>
      <c r="C18">
        <v>813</v>
      </c>
      <c r="D18" t="s">
        <v>796</v>
      </c>
      <c r="E18">
        <v>38.51</v>
      </c>
      <c r="F18">
        <v>39.93</v>
      </c>
      <c r="G18">
        <v>38.25</v>
      </c>
      <c r="H18">
        <v>39.56</v>
      </c>
      <c r="I18">
        <v>12500</v>
      </c>
      <c r="J18">
        <v>39.32</v>
      </c>
    </row>
    <row r="19" spans="1:10" x14ac:dyDescent="0.15">
      <c r="A19" s="661">
        <v>44764</v>
      </c>
      <c r="B19" t="s">
        <v>1432</v>
      </c>
      <c r="C19">
        <v>809</v>
      </c>
      <c r="D19" t="s">
        <v>1433</v>
      </c>
      <c r="E19">
        <v>35</v>
      </c>
      <c r="F19">
        <v>37</v>
      </c>
      <c r="G19">
        <v>35</v>
      </c>
      <c r="H19">
        <v>36.229999999999997</v>
      </c>
      <c r="I19">
        <v>10500</v>
      </c>
      <c r="J19">
        <v>35</v>
      </c>
    </row>
    <row r="20" spans="1:10" x14ac:dyDescent="0.15">
      <c r="A20" s="661">
        <v>44764</v>
      </c>
      <c r="B20" t="s">
        <v>661</v>
      </c>
      <c r="C20">
        <v>813</v>
      </c>
      <c r="D20" t="s">
        <v>662</v>
      </c>
      <c r="E20">
        <v>1.42</v>
      </c>
      <c r="F20">
        <v>1.47</v>
      </c>
      <c r="G20">
        <v>1.42</v>
      </c>
      <c r="H20">
        <v>1.45</v>
      </c>
      <c r="I20">
        <v>42500</v>
      </c>
      <c r="J20">
        <v>1.43</v>
      </c>
    </row>
    <row r="21" spans="1:10" x14ac:dyDescent="0.15">
      <c r="A21" s="661">
        <v>44764</v>
      </c>
      <c r="B21" t="s">
        <v>529</v>
      </c>
      <c r="C21">
        <v>813</v>
      </c>
      <c r="D21" t="s">
        <v>530</v>
      </c>
      <c r="E21">
        <v>1.92</v>
      </c>
      <c r="F21">
        <v>2.04</v>
      </c>
      <c r="G21">
        <v>1.92</v>
      </c>
      <c r="H21">
        <v>2</v>
      </c>
      <c r="I21">
        <v>17500</v>
      </c>
      <c r="J21">
        <v>1.94</v>
      </c>
    </row>
    <row r="22" spans="1:10" x14ac:dyDescent="0.15">
      <c r="A22" s="661">
        <v>44764</v>
      </c>
      <c r="B22" t="s">
        <v>531</v>
      </c>
      <c r="C22">
        <v>813</v>
      </c>
      <c r="D22" t="s">
        <v>772</v>
      </c>
      <c r="E22">
        <v>12.6</v>
      </c>
      <c r="F22">
        <v>12.9</v>
      </c>
      <c r="G22">
        <v>12.5</v>
      </c>
      <c r="H22">
        <v>12.79</v>
      </c>
      <c r="I22">
        <v>44000</v>
      </c>
      <c r="J22">
        <v>12.71</v>
      </c>
    </row>
    <row r="23" spans="1:10" x14ac:dyDescent="0.15">
      <c r="A23" s="661">
        <v>44764</v>
      </c>
      <c r="B23" t="s">
        <v>526</v>
      </c>
      <c r="C23">
        <v>813</v>
      </c>
      <c r="D23" t="s">
        <v>732</v>
      </c>
      <c r="E23">
        <v>0</v>
      </c>
      <c r="F23">
        <v>7.87</v>
      </c>
      <c r="G23">
        <v>7.87</v>
      </c>
      <c r="H23">
        <v>7.87</v>
      </c>
      <c r="I23">
        <v>200000</v>
      </c>
      <c r="J23">
        <v>7.87</v>
      </c>
    </row>
    <row r="24" spans="1:10" x14ac:dyDescent="0.15">
      <c r="A24" s="661">
        <v>44764</v>
      </c>
      <c r="B24" t="s">
        <v>1312</v>
      </c>
      <c r="C24">
        <v>813</v>
      </c>
      <c r="D24" t="s">
        <v>1313</v>
      </c>
      <c r="E24">
        <v>5.7</v>
      </c>
      <c r="F24">
        <v>5.7</v>
      </c>
      <c r="G24">
        <v>5.7</v>
      </c>
      <c r="H24">
        <v>5.7</v>
      </c>
      <c r="I24">
        <v>1000</v>
      </c>
      <c r="J24">
        <v>5.69</v>
      </c>
    </row>
    <row r="25" spans="1:10" x14ac:dyDescent="0.15">
      <c r="A25" s="661">
        <v>44764</v>
      </c>
      <c r="B25" t="s">
        <v>532</v>
      </c>
      <c r="C25">
        <v>813</v>
      </c>
      <c r="D25" t="s">
        <v>810</v>
      </c>
      <c r="E25">
        <v>10</v>
      </c>
      <c r="F25">
        <v>10</v>
      </c>
      <c r="G25">
        <v>9.8000000000000007</v>
      </c>
      <c r="H25">
        <v>9.9499999999999993</v>
      </c>
      <c r="I25">
        <v>42500</v>
      </c>
      <c r="J25">
        <v>9.8000000000000007</v>
      </c>
    </row>
    <row r="26" spans="1:10" x14ac:dyDescent="0.15">
      <c r="A26" s="661">
        <v>44764</v>
      </c>
      <c r="B26" t="s">
        <v>533</v>
      </c>
      <c r="C26">
        <v>813</v>
      </c>
      <c r="D26" t="s">
        <v>534</v>
      </c>
      <c r="E26">
        <v>1.57</v>
      </c>
      <c r="F26">
        <v>1.57</v>
      </c>
      <c r="G26">
        <v>1.44</v>
      </c>
      <c r="H26">
        <v>1.45</v>
      </c>
      <c r="I26">
        <v>45500</v>
      </c>
      <c r="J26">
        <v>1.4</v>
      </c>
    </row>
    <row r="27" spans="1:10" x14ac:dyDescent="0.15">
      <c r="A27" s="661">
        <v>44764</v>
      </c>
      <c r="B27" t="s">
        <v>535</v>
      </c>
      <c r="C27">
        <v>813</v>
      </c>
      <c r="D27" t="s">
        <v>536</v>
      </c>
      <c r="E27">
        <v>5.29</v>
      </c>
      <c r="F27">
        <v>5.37</v>
      </c>
      <c r="G27">
        <v>5.05</v>
      </c>
      <c r="H27">
        <v>5.3</v>
      </c>
      <c r="I27">
        <v>211500</v>
      </c>
      <c r="J27">
        <v>5.19</v>
      </c>
    </row>
    <row r="28" spans="1:10" x14ac:dyDescent="0.15">
      <c r="A28" s="661">
        <v>44764</v>
      </c>
      <c r="B28" t="s">
        <v>1532</v>
      </c>
      <c r="C28">
        <v>813</v>
      </c>
      <c r="D28" t="s">
        <v>1533</v>
      </c>
      <c r="E28">
        <v>89.95</v>
      </c>
      <c r="F28">
        <v>89.95</v>
      </c>
      <c r="G28">
        <v>89.95</v>
      </c>
      <c r="H28">
        <v>89.95</v>
      </c>
      <c r="I28">
        <v>500</v>
      </c>
      <c r="J28">
        <v>83.75</v>
      </c>
    </row>
    <row r="29" spans="1:10" x14ac:dyDescent="0.15">
      <c r="A29" s="661">
        <v>44764</v>
      </c>
      <c r="B29">
        <v>786</v>
      </c>
      <c r="C29">
        <v>813</v>
      </c>
      <c r="D29" t="s">
        <v>1534</v>
      </c>
      <c r="E29">
        <v>4.26</v>
      </c>
      <c r="F29">
        <v>4.26</v>
      </c>
      <c r="G29">
        <v>4.26</v>
      </c>
      <c r="H29">
        <v>4.26</v>
      </c>
      <c r="I29">
        <v>2500</v>
      </c>
      <c r="J29">
        <v>4.59</v>
      </c>
    </row>
    <row r="30" spans="1:10" x14ac:dyDescent="0.15">
      <c r="A30" s="661">
        <v>44764</v>
      </c>
      <c r="B30" t="s">
        <v>922</v>
      </c>
      <c r="C30">
        <v>813</v>
      </c>
      <c r="D30" t="s">
        <v>923</v>
      </c>
      <c r="E30">
        <v>6.25</v>
      </c>
      <c r="F30">
        <v>6.5</v>
      </c>
      <c r="G30">
        <v>6.15</v>
      </c>
      <c r="H30">
        <v>6.31</v>
      </c>
      <c r="I30">
        <v>194500</v>
      </c>
      <c r="J30">
        <v>6.42</v>
      </c>
    </row>
    <row r="31" spans="1:10" x14ac:dyDescent="0.15">
      <c r="A31" s="661">
        <v>44764</v>
      </c>
      <c r="B31" t="s">
        <v>537</v>
      </c>
      <c r="C31">
        <v>813</v>
      </c>
      <c r="D31" t="s">
        <v>538</v>
      </c>
      <c r="E31">
        <v>0.8</v>
      </c>
      <c r="F31">
        <v>0.83</v>
      </c>
      <c r="G31">
        <v>0.74</v>
      </c>
      <c r="H31">
        <v>0.8</v>
      </c>
      <c r="I31">
        <v>132500</v>
      </c>
      <c r="J31">
        <v>0.8</v>
      </c>
    </row>
    <row r="32" spans="1:10" x14ac:dyDescent="0.15">
      <c r="A32" s="661">
        <v>44764</v>
      </c>
      <c r="B32" t="s">
        <v>1495</v>
      </c>
      <c r="C32">
        <v>813</v>
      </c>
      <c r="D32" t="s">
        <v>1496</v>
      </c>
      <c r="E32">
        <v>16.07</v>
      </c>
      <c r="F32">
        <v>16.07</v>
      </c>
      <c r="G32">
        <v>16.07</v>
      </c>
      <c r="H32">
        <v>16.07</v>
      </c>
      <c r="I32">
        <v>9000</v>
      </c>
      <c r="J32">
        <v>14.95</v>
      </c>
    </row>
    <row r="33" spans="1:10" x14ac:dyDescent="0.15">
      <c r="A33" s="661">
        <v>44764</v>
      </c>
      <c r="B33" t="s">
        <v>1434</v>
      </c>
      <c r="C33">
        <v>813</v>
      </c>
      <c r="D33" t="s">
        <v>1435</v>
      </c>
      <c r="E33">
        <v>7.55</v>
      </c>
      <c r="F33">
        <v>7.55</v>
      </c>
      <c r="G33">
        <v>7.55</v>
      </c>
      <c r="H33">
        <v>7.55</v>
      </c>
      <c r="I33">
        <v>500</v>
      </c>
      <c r="J33">
        <v>7.6</v>
      </c>
    </row>
    <row r="34" spans="1:10" x14ac:dyDescent="0.15">
      <c r="A34" s="661">
        <v>44764</v>
      </c>
      <c r="B34" t="s">
        <v>104</v>
      </c>
      <c r="C34">
        <v>807</v>
      </c>
      <c r="D34" t="s">
        <v>1198</v>
      </c>
      <c r="E34">
        <v>65.900000000000006</v>
      </c>
      <c r="F34">
        <v>65.900000000000006</v>
      </c>
      <c r="G34">
        <v>64.75</v>
      </c>
      <c r="H34">
        <v>64.8</v>
      </c>
      <c r="I34">
        <v>3000</v>
      </c>
      <c r="J34">
        <v>65</v>
      </c>
    </row>
    <row r="35" spans="1:10" x14ac:dyDescent="0.15">
      <c r="A35" s="661">
        <v>44764</v>
      </c>
      <c r="B35" t="s">
        <v>798</v>
      </c>
      <c r="C35">
        <v>807</v>
      </c>
      <c r="D35" t="s">
        <v>799</v>
      </c>
      <c r="E35">
        <v>2.14</v>
      </c>
      <c r="F35">
        <v>2.39</v>
      </c>
      <c r="G35">
        <v>2.0699999999999998</v>
      </c>
      <c r="H35">
        <v>2.15</v>
      </c>
      <c r="I35">
        <v>40500</v>
      </c>
      <c r="J35">
        <v>2.14</v>
      </c>
    </row>
    <row r="36" spans="1:10" x14ac:dyDescent="0.15">
      <c r="A36" s="661">
        <v>44764</v>
      </c>
      <c r="B36" t="s">
        <v>539</v>
      </c>
      <c r="C36">
        <v>807</v>
      </c>
      <c r="D36" t="s">
        <v>736</v>
      </c>
      <c r="E36">
        <v>16.8</v>
      </c>
      <c r="F36">
        <v>17.239999999999998</v>
      </c>
      <c r="G36">
        <v>16.75</v>
      </c>
      <c r="H36">
        <v>17</v>
      </c>
      <c r="I36">
        <v>12000</v>
      </c>
      <c r="J36">
        <v>17.079999999999998</v>
      </c>
    </row>
    <row r="37" spans="1:10" x14ac:dyDescent="0.15">
      <c r="A37" s="661">
        <v>44764</v>
      </c>
      <c r="B37" t="s">
        <v>107</v>
      </c>
      <c r="C37">
        <v>807</v>
      </c>
      <c r="D37" t="s">
        <v>915</v>
      </c>
      <c r="E37">
        <v>31.8</v>
      </c>
      <c r="F37">
        <v>31.8</v>
      </c>
      <c r="G37">
        <v>30.31</v>
      </c>
      <c r="H37">
        <v>30.63</v>
      </c>
      <c r="I37">
        <v>817089</v>
      </c>
      <c r="J37">
        <v>31.07</v>
      </c>
    </row>
    <row r="38" spans="1:10" x14ac:dyDescent="0.15">
      <c r="A38" s="661">
        <v>44764</v>
      </c>
      <c r="B38" t="s">
        <v>904</v>
      </c>
      <c r="C38">
        <v>807</v>
      </c>
      <c r="D38" t="s">
        <v>905</v>
      </c>
      <c r="E38">
        <v>10.33</v>
      </c>
      <c r="F38">
        <v>10.6</v>
      </c>
      <c r="G38">
        <v>10.31</v>
      </c>
      <c r="H38">
        <v>10.52</v>
      </c>
      <c r="I38">
        <v>21000</v>
      </c>
      <c r="J38">
        <v>10.47</v>
      </c>
    </row>
    <row r="39" spans="1:10" x14ac:dyDescent="0.15">
      <c r="A39" s="661">
        <v>44764</v>
      </c>
      <c r="B39" t="s">
        <v>102</v>
      </c>
      <c r="C39">
        <v>807</v>
      </c>
      <c r="D39" t="s">
        <v>913</v>
      </c>
      <c r="E39">
        <v>57.6</v>
      </c>
      <c r="F39">
        <v>59.8</v>
      </c>
      <c r="G39">
        <v>57.5</v>
      </c>
      <c r="H39">
        <v>57.85</v>
      </c>
      <c r="I39">
        <v>239844</v>
      </c>
      <c r="J39">
        <v>58.23</v>
      </c>
    </row>
    <row r="40" spans="1:10" x14ac:dyDescent="0.15">
      <c r="A40" s="661">
        <v>44764</v>
      </c>
      <c r="B40" t="s">
        <v>156</v>
      </c>
      <c r="C40">
        <v>807</v>
      </c>
      <c r="D40" t="s">
        <v>927</v>
      </c>
      <c r="E40">
        <v>5.29</v>
      </c>
      <c r="F40">
        <v>5.4</v>
      </c>
      <c r="G40">
        <v>5.18</v>
      </c>
      <c r="H40">
        <v>5.32</v>
      </c>
      <c r="I40">
        <v>2250500</v>
      </c>
      <c r="J40">
        <v>5.25</v>
      </c>
    </row>
    <row r="41" spans="1:10" x14ac:dyDescent="0.15">
      <c r="A41" s="661">
        <v>44764</v>
      </c>
      <c r="B41" t="s">
        <v>157</v>
      </c>
      <c r="C41">
        <v>807</v>
      </c>
      <c r="D41" t="s">
        <v>918</v>
      </c>
      <c r="E41">
        <v>23.75</v>
      </c>
      <c r="F41">
        <v>25</v>
      </c>
      <c r="G41">
        <v>23.55</v>
      </c>
      <c r="H41">
        <v>24.06</v>
      </c>
      <c r="I41">
        <v>1060500</v>
      </c>
      <c r="J41">
        <v>23.82</v>
      </c>
    </row>
    <row r="42" spans="1:10" x14ac:dyDescent="0.15">
      <c r="A42" s="661">
        <v>44764</v>
      </c>
      <c r="B42" t="s">
        <v>83</v>
      </c>
      <c r="C42">
        <v>807</v>
      </c>
      <c r="D42" t="s">
        <v>1036</v>
      </c>
      <c r="E42">
        <v>88.95</v>
      </c>
      <c r="F42">
        <v>88.95</v>
      </c>
      <c r="G42">
        <v>83.9</v>
      </c>
      <c r="H42">
        <v>84.64</v>
      </c>
      <c r="I42">
        <v>353168</v>
      </c>
      <c r="J42">
        <v>86.53</v>
      </c>
    </row>
    <row r="43" spans="1:10" x14ac:dyDescent="0.15">
      <c r="A43" s="661">
        <v>44764</v>
      </c>
      <c r="B43" t="s">
        <v>540</v>
      </c>
      <c r="C43">
        <v>807</v>
      </c>
      <c r="D43" t="s">
        <v>1044</v>
      </c>
      <c r="E43">
        <v>116.75</v>
      </c>
      <c r="F43">
        <v>119</v>
      </c>
      <c r="G43">
        <v>115.5</v>
      </c>
      <c r="H43">
        <v>116.57</v>
      </c>
      <c r="I43">
        <v>801472</v>
      </c>
      <c r="J43">
        <v>116.62</v>
      </c>
    </row>
    <row r="44" spans="1:10" x14ac:dyDescent="0.15">
      <c r="A44" s="661">
        <v>44764</v>
      </c>
      <c r="B44" t="s">
        <v>541</v>
      </c>
      <c r="C44">
        <v>807</v>
      </c>
      <c r="D44" t="s">
        <v>899</v>
      </c>
      <c r="E44">
        <v>26.7</v>
      </c>
      <c r="F44">
        <v>27.4</v>
      </c>
      <c r="G44">
        <v>26.5</v>
      </c>
      <c r="H44">
        <v>26.72</v>
      </c>
      <c r="I44">
        <v>127500</v>
      </c>
      <c r="J44">
        <v>26.92</v>
      </c>
    </row>
    <row r="45" spans="1:10" x14ac:dyDescent="0.15">
      <c r="A45" s="661">
        <v>44764</v>
      </c>
      <c r="B45" t="s">
        <v>769</v>
      </c>
      <c r="C45">
        <v>807</v>
      </c>
      <c r="D45" t="s">
        <v>916</v>
      </c>
      <c r="E45">
        <v>37.049999999999997</v>
      </c>
      <c r="F45">
        <v>37.049999999999997</v>
      </c>
      <c r="G45">
        <v>36</v>
      </c>
      <c r="H45">
        <v>36.04</v>
      </c>
      <c r="I45">
        <v>91500</v>
      </c>
      <c r="J45">
        <v>37.020000000000003</v>
      </c>
    </row>
    <row r="46" spans="1:10" x14ac:dyDescent="0.15">
      <c r="A46" s="661">
        <v>44764</v>
      </c>
      <c r="B46" t="s">
        <v>158</v>
      </c>
      <c r="C46">
        <v>807</v>
      </c>
      <c r="D46" t="s">
        <v>1045</v>
      </c>
      <c r="E46">
        <v>121.85</v>
      </c>
      <c r="F46">
        <v>121.85</v>
      </c>
      <c r="G46">
        <v>117.72</v>
      </c>
      <c r="H46">
        <v>119.46</v>
      </c>
      <c r="I46">
        <v>118156</v>
      </c>
      <c r="J46">
        <v>119.23</v>
      </c>
    </row>
    <row r="47" spans="1:10" x14ac:dyDescent="0.15">
      <c r="A47" s="661">
        <v>44764</v>
      </c>
      <c r="B47" t="s">
        <v>1417</v>
      </c>
      <c r="C47">
        <v>807</v>
      </c>
      <c r="D47" t="s">
        <v>1418</v>
      </c>
      <c r="E47">
        <v>3.6</v>
      </c>
      <c r="F47">
        <v>3.74</v>
      </c>
      <c r="G47">
        <v>3.6</v>
      </c>
      <c r="H47">
        <v>3.74</v>
      </c>
      <c r="I47">
        <v>1000</v>
      </c>
      <c r="J47">
        <v>3.5</v>
      </c>
    </row>
    <row r="48" spans="1:10" x14ac:dyDescent="0.15">
      <c r="A48" s="661">
        <v>44764</v>
      </c>
      <c r="B48" t="s">
        <v>1497</v>
      </c>
      <c r="C48">
        <v>807</v>
      </c>
      <c r="D48" t="s">
        <v>1498</v>
      </c>
      <c r="E48">
        <v>9.9</v>
      </c>
      <c r="F48">
        <v>9.9</v>
      </c>
      <c r="G48">
        <v>9.9</v>
      </c>
      <c r="H48">
        <v>9.9</v>
      </c>
      <c r="I48">
        <v>82500</v>
      </c>
      <c r="J48">
        <v>9</v>
      </c>
    </row>
    <row r="49" spans="1:10" x14ac:dyDescent="0.15">
      <c r="A49" s="661">
        <v>44764</v>
      </c>
      <c r="B49" t="s">
        <v>542</v>
      </c>
      <c r="C49">
        <v>807</v>
      </c>
      <c r="D49" t="s">
        <v>543</v>
      </c>
      <c r="E49">
        <v>1.0900000000000001</v>
      </c>
      <c r="F49">
        <v>1.1599999999999999</v>
      </c>
      <c r="G49">
        <v>1.0900000000000001</v>
      </c>
      <c r="H49">
        <v>1.1499999999999999</v>
      </c>
      <c r="I49">
        <v>1271000</v>
      </c>
      <c r="J49">
        <v>1.1000000000000001</v>
      </c>
    </row>
    <row r="50" spans="1:10" x14ac:dyDescent="0.15">
      <c r="A50" s="661">
        <v>44764</v>
      </c>
      <c r="B50" t="s">
        <v>857</v>
      </c>
      <c r="C50">
        <v>807</v>
      </c>
      <c r="D50" t="s">
        <v>1401</v>
      </c>
      <c r="E50">
        <v>9</v>
      </c>
      <c r="F50">
        <v>9.35</v>
      </c>
      <c r="G50">
        <v>9</v>
      </c>
      <c r="H50">
        <v>9.35</v>
      </c>
      <c r="I50">
        <v>205000</v>
      </c>
      <c r="J50">
        <v>9.01</v>
      </c>
    </row>
    <row r="51" spans="1:10" x14ac:dyDescent="0.15">
      <c r="A51" s="661">
        <v>44764</v>
      </c>
      <c r="B51" t="s">
        <v>1182</v>
      </c>
      <c r="C51">
        <v>807</v>
      </c>
      <c r="D51" t="s">
        <v>1183</v>
      </c>
      <c r="E51">
        <v>20.010000000000002</v>
      </c>
      <c r="F51">
        <v>20.99</v>
      </c>
      <c r="G51">
        <v>20.010000000000002</v>
      </c>
      <c r="H51">
        <v>20.78</v>
      </c>
      <c r="I51">
        <v>11000</v>
      </c>
      <c r="J51">
        <v>20.34</v>
      </c>
    </row>
    <row r="52" spans="1:10" x14ac:dyDescent="0.15">
      <c r="A52" s="661">
        <v>44764</v>
      </c>
      <c r="B52" t="s">
        <v>105</v>
      </c>
      <c r="C52">
        <v>807</v>
      </c>
      <c r="D52" t="s">
        <v>1037</v>
      </c>
      <c r="E52">
        <v>112.1</v>
      </c>
      <c r="F52">
        <v>112.1</v>
      </c>
      <c r="G52">
        <v>109.55</v>
      </c>
      <c r="H52">
        <v>110</v>
      </c>
      <c r="I52">
        <v>607672</v>
      </c>
      <c r="J52">
        <v>111.45</v>
      </c>
    </row>
    <row r="53" spans="1:10" x14ac:dyDescent="0.15">
      <c r="A53" s="661">
        <v>44764</v>
      </c>
      <c r="B53" t="s">
        <v>1419</v>
      </c>
      <c r="C53">
        <v>812</v>
      </c>
      <c r="D53" t="s">
        <v>1420</v>
      </c>
      <c r="E53">
        <v>30.36</v>
      </c>
      <c r="F53">
        <v>32</v>
      </c>
      <c r="G53">
        <v>30.36</v>
      </c>
      <c r="H53">
        <v>31.65</v>
      </c>
      <c r="I53">
        <v>94500</v>
      </c>
      <c r="J53">
        <v>31.21</v>
      </c>
    </row>
    <row r="54" spans="1:10" x14ac:dyDescent="0.15">
      <c r="A54" s="661">
        <v>44764</v>
      </c>
      <c r="B54" t="s">
        <v>1402</v>
      </c>
      <c r="C54">
        <v>812</v>
      </c>
      <c r="D54" t="s">
        <v>1403</v>
      </c>
      <c r="E54">
        <v>22.48</v>
      </c>
      <c r="F54">
        <v>22.48</v>
      </c>
      <c r="G54">
        <v>22.48</v>
      </c>
      <c r="H54">
        <v>22.48</v>
      </c>
      <c r="I54">
        <v>500</v>
      </c>
      <c r="J54">
        <v>21</v>
      </c>
    </row>
    <row r="55" spans="1:10" x14ac:dyDescent="0.15">
      <c r="A55" s="661">
        <v>44764</v>
      </c>
      <c r="B55" t="s">
        <v>1404</v>
      </c>
      <c r="C55">
        <v>812</v>
      </c>
      <c r="D55" t="s">
        <v>1405</v>
      </c>
      <c r="E55">
        <v>18.95</v>
      </c>
      <c r="F55">
        <v>18.95</v>
      </c>
      <c r="G55">
        <v>18.95</v>
      </c>
      <c r="H55">
        <v>18.95</v>
      </c>
      <c r="I55">
        <v>500</v>
      </c>
      <c r="J55">
        <v>18.399999999999999</v>
      </c>
    </row>
    <row r="56" spans="1:10" x14ac:dyDescent="0.15">
      <c r="A56" s="661">
        <v>44764</v>
      </c>
      <c r="B56" t="s">
        <v>1334</v>
      </c>
      <c r="C56">
        <v>812</v>
      </c>
      <c r="D56" t="s">
        <v>1335</v>
      </c>
      <c r="E56">
        <v>26</v>
      </c>
      <c r="F56">
        <v>26.99</v>
      </c>
      <c r="G56">
        <v>26</v>
      </c>
      <c r="H56">
        <v>26.63</v>
      </c>
      <c r="I56">
        <v>8500</v>
      </c>
      <c r="J56">
        <v>27.5</v>
      </c>
    </row>
    <row r="57" spans="1:10" x14ac:dyDescent="0.15">
      <c r="A57" s="661">
        <v>44764</v>
      </c>
      <c r="B57" t="s">
        <v>1465</v>
      </c>
      <c r="C57">
        <v>812</v>
      </c>
      <c r="D57" t="s">
        <v>1466</v>
      </c>
      <c r="E57">
        <v>147</v>
      </c>
      <c r="F57">
        <v>149</v>
      </c>
      <c r="G57">
        <v>145</v>
      </c>
      <c r="H57">
        <v>147.66999999999999</v>
      </c>
      <c r="I57">
        <v>700</v>
      </c>
      <c r="J57">
        <v>149.25</v>
      </c>
    </row>
    <row r="58" spans="1:10" x14ac:dyDescent="0.15">
      <c r="A58" s="661">
        <v>44764</v>
      </c>
      <c r="B58" t="s">
        <v>544</v>
      </c>
      <c r="C58">
        <v>812</v>
      </c>
      <c r="D58" t="s">
        <v>545</v>
      </c>
      <c r="E58">
        <v>1.94</v>
      </c>
      <c r="F58">
        <v>1.94</v>
      </c>
      <c r="G58">
        <v>1.75</v>
      </c>
      <c r="H58">
        <v>1.78</v>
      </c>
      <c r="I58">
        <v>52500</v>
      </c>
      <c r="J58">
        <v>1.7</v>
      </c>
    </row>
    <row r="59" spans="1:10" x14ac:dyDescent="0.15">
      <c r="A59" s="661">
        <v>44764</v>
      </c>
      <c r="B59" t="s">
        <v>1499</v>
      </c>
      <c r="C59">
        <v>812</v>
      </c>
      <c r="D59" t="s">
        <v>1500</v>
      </c>
      <c r="E59">
        <v>100</v>
      </c>
      <c r="F59">
        <v>100</v>
      </c>
      <c r="G59">
        <v>100</v>
      </c>
      <c r="H59">
        <v>100</v>
      </c>
      <c r="I59">
        <v>300</v>
      </c>
      <c r="J59">
        <v>100</v>
      </c>
    </row>
    <row r="60" spans="1:10" x14ac:dyDescent="0.15">
      <c r="A60" s="661">
        <v>44764</v>
      </c>
      <c r="B60" t="s">
        <v>1336</v>
      </c>
      <c r="C60">
        <v>812</v>
      </c>
      <c r="D60" t="s">
        <v>1337</v>
      </c>
      <c r="E60">
        <v>102.05</v>
      </c>
      <c r="F60">
        <v>105</v>
      </c>
      <c r="G60">
        <v>101.1</v>
      </c>
      <c r="H60">
        <v>104.25</v>
      </c>
      <c r="I60">
        <v>41000</v>
      </c>
      <c r="J60">
        <v>107.19</v>
      </c>
    </row>
    <row r="61" spans="1:10" x14ac:dyDescent="0.15">
      <c r="A61" s="661">
        <v>44764</v>
      </c>
      <c r="B61" t="s">
        <v>1535</v>
      </c>
      <c r="C61">
        <v>812</v>
      </c>
      <c r="D61" t="s">
        <v>1536</v>
      </c>
      <c r="E61">
        <v>30.17</v>
      </c>
      <c r="F61">
        <v>31.05</v>
      </c>
      <c r="G61">
        <v>30.12</v>
      </c>
      <c r="H61">
        <v>31.05</v>
      </c>
      <c r="I61">
        <v>5000</v>
      </c>
      <c r="J61">
        <v>32.479999999999997</v>
      </c>
    </row>
    <row r="62" spans="1:10" x14ac:dyDescent="0.15">
      <c r="A62" s="661">
        <v>44764</v>
      </c>
      <c r="B62" t="s">
        <v>1338</v>
      </c>
      <c r="C62">
        <v>812</v>
      </c>
      <c r="D62" t="s">
        <v>1339</v>
      </c>
      <c r="E62">
        <v>0.95</v>
      </c>
      <c r="F62">
        <v>0.95</v>
      </c>
      <c r="G62">
        <v>0.81</v>
      </c>
      <c r="H62">
        <v>0.85</v>
      </c>
      <c r="I62">
        <v>3000</v>
      </c>
      <c r="J62">
        <v>0.85</v>
      </c>
    </row>
    <row r="63" spans="1:10" x14ac:dyDescent="0.15">
      <c r="A63" s="661">
        <v>44764</v>
      </c>
      <c r="B63" t="s">
        <v>900</v>
      </c>
      <c r="C63">
        <v>812</v>
      </c>
      <c r="D63" t="s">
        <v>1049</v>
      </c>
      <c r="E63">
        <v>8.0500000000000007</v>
      </c>
      <c r="F63">
        <v>8.5</v>
      </c>
      <c r="G63">
        <v>7.96</v>
      </c>
      <c r="H63">
        <v>8.27</v>
      </c>
      <c r="I63">
        <v>577000</v>
      </c>
      <c r="J63">
        <v>8.02</v>
      </c>
    </row>
    <row r="64" spans="1:10" x14ac:dyDescent="0.15">
      <c r="A64" s="661">
        <v>44764</v>
      </c>
      <c r="B64" t="s">
        <v>1501</v>
      </c>
      <c r="C64">
        <v>812</v>
      </c>
      <c r="D64" t="s">
        <v>1502</v>
      </c>
      <c r="E64">
        <v>4.5999999999999996</v>
      </c>
      <c r="F64">
        <v>5</v>
      </c>
      <c r="G64">
        <v>4.5999999999999996</v>
      </c>
      <c r="H64">
        <v>5</v>
      </c>
      <c r="I64">
        <v>130000</v>
      </c>
      <c r="J64">
        <v>4</v>
      </c>
    </row>
    <row r="65" spans="1:10" x14ac:dyDescent="0.15">
      <c r="A65" s="661">
        <v>44764</v>
      </c>
      <c r="B65" t="s">
        <v>1503</v>
      </c>
      <c r="C65">
        <v>812</v>
      </c>
      <c r="D65" t="s">
        <v>1504</v>
      </c>
      <c r="E65">
        <v>6.77</v>
      </c>
      <c r="F65">
        <v>7.09</v>
      </c>
      <c r="G65">
        <v>6.77</v>
      </c>
      <c r="H65">
        <v>7.09</v>
      </c>
      <c r="I65">
        <v>2000</v>
      </c>
      <c r="J65">
        <v>6.5</v>
      </c>
    </row>
    <row r="66" spans="1:10" x14ac:dyDescent="0.15">
      <c r="A66" s="661">
        <v>44764</v>
      </c>
      <c r="B66" t="s">
        <v>1537</v>
      </c>
      <c r="C66">
        <v>812</v>
      </c>
      <c r="D66" t="s">
        <v>1538</v>
      </c>
      <c r="E66">
        <v>3.4</v>
      </c>
      <c r="F66">
        <v>3.4</v>
      </c>
      <c r="G66">
        <v>3.4</v>
      </c>
      <c r="H66">
        <v>3.4</v>
      </c>
      <c r="I66">
        <v>500</v>
      </c>
      <c r="J66">
        <v>3.4</v>
      </c>
    </row>
    <row r="67" spans="1:10" x14ac:dyDescent="0.15">
      <c r="A67" s="661">
        <v>44764</v>
      </c>
      <c r="B67" t="s">
        <v>1061</v>
      </c>
      <c r="C67">
        <v>812</v>
      </c>
      <c r="D67" t="s">
        <v>1062</v>
      </c>
      <c r="E67">
        <v>29.89</v>
      </c>
      <c r="F67">
        <v>30.5</v>
      </c>
      <c r="G67">
        <v>28.29</v>
      </c>
      <c r="H67">
        <v>29.52</v>
      </c>
      <c r="I67">
        <v>222500</v>
      </c>
      <c r="J67">
        <v>30.58</v>
      </c>
    </row>
    <row r="68" spans="1:10" x14ac:dyDescent="0.15">
      <c r="A68" s="661">
        <v>44764</v>
      </c>
      <c r="B68" t="s">
        <v>1467</v>
      </c>
      <c r="C68">
        <v>812</v>
      </c>
      <c r="D68" t="s">
        <v>1468</v>
      </c>
      <c r="E68">
        <v>7.52</v>
      </c>
      <c r="F68">
        <v>7.54</v>
      </c>
      <c r="G68">
        <v>7.52</v>
      </c>
      <c r="H68">
        <v>7.54</v>
      </c>
      <c r="I68">
        <v>1500</v>
      </c>
      <c r="J68">
        <v>8.17</v>
      </c>
    </row>
    <row r="69" spans="1:10" x14ac:dyDescent="0.15">
      <c r="A69" s="661">
        <v>44764</v>
      </c>
      <c r="B69" t="s">
        <v>1539</v>
      </c>
      <c r="C69">
        <v>812</v>
      </c>
      <c r="D69" t="s">
        <v>1540</v>
      </c>
      <c r="E69">
        <v>4</v>
      </c>
      <c r="F69">
        <v>4.5</v>
      </c>
      <c r="G69">
        <v>4</v>
      </c>
      <c r="H69">
        <v>4.5</v>
      </c>
      <c r="I69">
        <v>6000</v>
      </c>
      <c r="J69">
        <v>4.4000000000000004</v>
      </c>
    </row>
    <row r="70" spans="1:10" x14ac:dyDescent="0.15">
      <c r="A70" s="661">
        <v>44764</v>
      </c>
      <c r="B70" t="s">
        <v>1326</v>
      </c>
      <c r="C70">
        <v>830</v>
      </c>
      <c r="D70" t="s">
        <v>1327</v>
      </c>
      <c r="E70">
        <v>3138</v>
      </c>
      <c r="F70">
        <v>3138.32</v>
      </c>
      <c r="G70">
        <v>3137.86</v>
      </c>
      <c r="H70">
        <v>3138.32</v>
      </c>
      <c r="I70">
        <v>120</v>
      </c>
      <c r="J70">
        <v>2919.37</v>
      </c>
    </row>
    <row r="71" spans="1:10" x14ac:dyDescent="0.15">
      <c r="A71" s="661">
        <v>44764</v>
      </c>
      <c r="B71" t="s">
        <v>1436</v>
      </c>
      <c r="C71">
        <v>830</v>
      </c>
      <c r="D71" t="s">
        <v>1437</v>
      </c>
      <c r="E71">
        <v>6.05</v>
      </c>
      <c r="F71">
        <v>6.05</v>
      </c>
      <c r="G71">
        <v>6.05</v>
      </c>
      <c r="H71">
        <v>6.05</v>
      </c>
      <c r="I71">
        <v>1000</v>
      </c>
      <c r="J71">
        <v>6.02</v>
      </c>
    </row>
    <row r="72" spans="1:10" x14ac:dyDescent="0.15">
      <c r="A72" s="661">
        <v>44764</v>
      </c>
      <c r="B72" t="s">
        <v>1202</v>
      </c>
      <c r="C72">
        <v>830</v>
      </c>
      <c r="D72" t="s">
        <v>1203</v>
      </c>
      <c r="E72">
        <v>2.1</v>
      </c>
      <c r="F72">
        <v>2.4900000000000002</v>
      </c>
      <c r="G72">
        <v>2.1</v>
      </c>
      <c r="H72">
        <v>2.35</v>
      </c>
      <c r="I72">
        <v>22000</v>
      </c>
      <c r="J72">
        <v>2.1</v>
      </c>
    </row>
    <row r="73" spans="1:10" x14ac:dyDescent="0.15">
      <c r="A73" s="661">
        <v>44764</v>
      </c>
      <c r="B73" t="s">
        <v>1199</v>
      </c>
      <c r="C73">
        <v>830</v>
      </c>
      <c r="D73" t="s">
        <v>1200</v>
      </c>
      <c r="E73">
        <v>1.51</v>
      </c>
      <c r="F73">
        <v>1.71</v>
      </c>
      <c r="G73">
        <v>1.51</v>
      </c>
      <c r="H73">
        <v>1.71</v>
      </c>
      <c r="I73">
        <v>1000</v>
      </c>
      <c r="J73">
        <v>1.72</v>
      </c>
    </row>
    <row r="74" spans="1:10" x14ac:dyDescent="0.15">
      <c r="A74" s="661">
        <v>44764</v>
      </c>
      <c r="B74" t="s">
        <v>1164</v>
      </c>
      <c r="C74">
        <v>830</v>
      </c>
      <c r="D74" t="s">
        <v>1165</v>
      </c>
      <c r="E74">
        <v>2.35</v>
      </c>
      <c r="F74">
        <v>2.69</v>
      </c>
      <c r="G74">
        <v>2.35</v>
      </c>
      <c r="H74">
        <v>2.67</v>
      </c>
      <c r="I74">
        <v>30000</v>
      </c>
      <c r="J74">
        <v>2.4500000000000002</v>
      </c>
    </row>
    <row r="75" spans="1:10" x14ac:dyDescent="0.15">
      <c r="A75" s="661">
        <v>44764</v>
      </c>
      <c r="B75" t="s">
        <v>1364</v>
      </c>
      <c r="C75">
        <v>830</v>
      </c>
      <c r="D75" t="s">
        <v>1365</v>
      </c>
      <c r="E75">
        <v>2.21</v>
      </c>
      <c r="F75">
        <v>2.21</v>
      </c>
      <c r="G75">
        <v>2.21</v>
      </c>
      <c r="H75">
        <v>2.21</v>
      </c>
      <c r="I75">
        <v>2000</v>
      </c>
      <c r="J75">
        <v>2.17</v>
      </c>
    </row>
    <row r="76" spans="1:10" x14ac:dyDescent="0.15">
      <c r="A76" s="661">
        <v>44764</v>
      </c>
      <c r="B76" t="s">
        <v>546</v>
      </c>
      <c r="C76">
        <v>830</v>
      </c>
      <c r="D76" t="s">
        <v>547</v>
      </c>
      <c r="E76">
        <v>3.2</v>
      </c>
      <c r="F76">
        <v>3.38</v>
      </c>
      <c r="G76">
        <v>3.2</v>
      </c>
      <c r="H76">
        <v>3.2</v>
      </c>
      <c r="I76">
        <v>33000</v>
      </c>
      <c r="J76">
        <v>3.08</v>
      </c>
    </row>
    <row r="77" spans="1:10" x14ac:dyDescent="0.15">
      <c r="A77" s="661">
        <v>44764</v>
      </c>
      <c r="B77" t="s">
        <v>1541</v>
      </c>
      <c r="C77">
        <v>829</v>
      </c>
      <c r="D77" t="s">
        <v>1542</v>
      </c>
      <c r="E77">
        <v>220.01</v>
      </c>
      <c r="F77">
        <v>225</v>
      </c>
      <c r="G77">
        <v>220</v>
      </c>
      <c r="H77">
        <v>225</v>
      </c>
      <c r="I77">
        <v>1300</v>
      </c>
      <c r="J77">
        <v>231</v>
      </c>
    </row>
    <row r="78" spans="1:10" x14ac:dyDescent="0.15">
      <c r="A78" s="661">
        <v>44764</v>
      </c>
      <c r="B78" t="s">
        <v>1469</v>
      </c>
      <c r="C78">
        <v>830</v>
      </c>
      <c r="D78" t="s">
        <v>1470</v>
      </c>
      <c r="E78">
        <v>248</v>
      </c>
      <c r="F78">
        <v>248</v>
      </c>
      <c r="G78">
        <v>248</v>
      </c>
      <c r="H78">
        <v>236</v>
      </c>
      <c r="I78">
        <v>100</v>
      </c>
      <c r="J78">
        <v>236</v>
      </c>
    </row>
    <row r="79" spans="1:10" x14ac:dyDescent="0.15">
      <c r="A79" s="661">
        <v>44764</v>
      </c>
      <c r="B79" t="s">
        <v>1308</v>
      </c>
      <c r="C79">
        <v>830</v>
      </c>
      <c r="D79" t="s">
        <v>1309</v>
      </c>
      <c r="E79">
        <v>208.6</v>
      </c>
      <c r="F79">
        <v>220</v>
      </c>
      <c r="G79">
        <v>207</v>
      </c>
      <c r="H79">
        <v>217.18</v>
      </c>
      <c r="I79">
        <v>2100</v>
      </c>
      <c r="J79">
        <v>210.34</v>
      </c>
    </row>
    <row r="80" spans="1:10" x14ac:dyDescent="0.15">
      <c r="A80" s="661">
        <v>44764</v>
      </c>
      <c r="B80" t="s">
        <v>1543</v>
      </c>
      <c r="C80">
        <v>830</v>
      </c>
      <c r="D80" t="s">
        <v>1544</v>
      </c>
      <c r="E80">
        <v>7.89</v>
      </c>
      <c r="F80">
        <v>7.89</v>
      </c>
      <c r="G80">
        <v>7.89</v>
      </c>
      <c r="H80">
        <v>7.89</v>
      </c>
      <c r="I80">
        <v>500</v>
      </c>
      <c r="J80">
        <v>7.23</v>
      </c>
    </row>
    <row r="81" spans="1:10" x14ac:dyDescent="0.15">
      <c r="A81" s="661">
        <v>44764</v>
      </c>
      <c r="B81" t="s">
        <v>1438</v>
      </c>
      <c r="C81">
        <v>830</v>
      </c>
      <c r="D81" t="s">
        <v>1439</v>
      </c>
      <c r="E81">
        <v>47</v>
      </c>
      <c r="F81">
        <v>47</v>
      </c>
      <c r="G81">
        <v>47</v>
      </c>
      <c r="H81">
        <v>47</v>
      </c>
      <c r="I81">
        <v>1500</v>
      </c>
      <c r="J81">
        <v>47.5</v>
      </c>
    </row>
    <row r="82" spans="1:10" x14ac:dyDescent="0.15">
      <c r="A82" s="661">
        <v>44764</v>
      </c>
      <c r="B82" t="s">
        <v>548</v>
      </c>
      <c r="C82">
        <v>830</v>
      </c>
      <c r="D82" t="s">
        <v>549</v>
      </c>
      <c r="E82">
        <v>2.89</v>
      </c>
      <c r="F82">
        <v>3.04</v>
      </c>
      <c r="G82">
        <v>2.88</v>
      </c>
      <c r="H82">
        <v>2.95</v>
      </c>
      <c r="I82">
        <v>181000</v>
      </c>
      <c r="J82">
        <v>2.88</v>
      </c>
    </row>
    <row r="83" spans="1:10" x14ac:dyDescent="0.15">
      <c r="A83" s="661">
        <v>44764</v>
      </c>
      <c r="B83" t="s">
        <v>1545</v>
      </c>
      <c r="C83">
        <v>830</v>
      </c>
      <c r="D83" t="s">
        <v>1546</v>
      </c>
      <c r="E83">
        <v>0</v>
      </c>
      <c r="F83">
        <v>0</v>
      </c>
      <c r="G83">
        <v>0</v>
      </c>
      <c r="H83">
        <v>61.7</v>
      </c>
      <c r="I83">
        <v>0</v>
      </c>
      <c r="J83">
        <v>57.4</v>
      </c>
    </row>
    <row r="84" spans="1:10" x14ac:dyDescent="0.15">
      <c r="A84" s="661">
        <v>44764</v>
      </c>
      <c r="B84" t="s">
        <v>1440</v>
      </c>
      <c r="C84">
        <v>830</v>
      </c>
      <c r="D84" t="s">
        <v>1441</v>
      </c>
      <c r="E84">
        <v>94</v>
      </c>
      <c r="F84">
        <v>94</v>
      </c>
      <c r="G84">
        <v>94</v>
      </c>
      <c r="H84">
        <v>94</v>
      </c>
      <c r="I84">
        <v>500</v>
      </c>
      <c r="J84">
        <v>87.99</v>
      </c>
    </row>
    <row r="85" spans="1:10" x14ac:dyDescent="0.15">
      <c r="A85" s="661">
        <v>44764</v>
      </c>
      <c r="B85" t="s">
        <v>1381</v>
      </c>
      <c r="C85">
        <v>830</v>
      </c>
      <c r="D85" t="s">
        <v>1382</v>
      </c>
      <c r="E85">
        <v>5.4</v>
      </c>
      <c r="F85">
        <v>5.4</v>
      </c>
      <c r="G85">
        <v>5.4</v>
      </c>
      <c r="H85">
        <v>5.4</v>
      </c>
      <c r="I85">
        <v>500</v>
      </c>
      <c r="J85">
        <v>4.8</v>
      </c>
    </row>
    <row r="86" spans="1:10" x14ac:dyDescent="0.15">
      <c r="A86" s="661">
        <v>44764</v>
      </c>
      <c r="B86" t="s">
        <v>1383</v>
      </c>
      <c r="C86">
        <v>830</v>
      </c>
      <c r="D86" t="s">
        <v>1384</v>
      </c>
      <c r="E86">
        <v>630.1</v>
      </c>
      <c r="F86">
        <v>730</v>
      </c>
      <c r="G86">
        <v>630.1</v>
      </c>
      <c r="H86">
        <v>730</v>
      </c>
      <c r="I86">
        <v>100</v>
      </c>
      <c r="J86">
        <v>680.01</v>
      </c>
    </row>
    <row r="87" spans="1:10" x14ac:dyDescent="0.15">
      <c r="A87" s="661">
        <v>44764</v>
      </c>
      <c r="B87" t="s">
        <v>1340</v>
      </c>
      <c r="C87">
        <v>808</v>
      </c>
      <c r="D87" t="s">
        <v>1341</v>
      </c>
      <c r="E87">
        <v>13.87</v>
      </c>
      <c r="F87">
        <v>13.99</v>
      </c>
      <c r="G87">
        <v>13</v>
      </c>
      <c r="H87">
        <v>13.12</v>
      </c>
      <c r="I87">
        <v>281500</v>
      </c>
      <c r="J87">
        <v>13.48</v>
      </c>
    </row>
    <row r="88" spans="1:10" x14ac:dyDescent="0.15">
      <c r="A88" s="661">
        <v>44764</v>
      </c>
      <c r="B88" t="s">
        <v>1442</v>
      </c>
      <c r="C88">
        <v>830</v>
      </c>
      <c r="D88" t="s">
        <v>1443</v>
      </c>
      <c r="E88">
        <v>3.61</v>
      </c>
      <c r="F88">
        <v>3.85</v>
      </c>
      <c r="G88">
        <v>3.61</v>
      </c>
      <c r="H88">
        <v>3.85</v>
      </c>
      <c r="I88">
        <v>2000</v>
      </c>
      <c r="J88">
        <v>3.7</v>
      </c>
    </row>
    <row r="89" spans="1:10" x14ac:dyDescent="0.15">
      <c r="A89" s="661">
        <v>44764</v>
      </c>
      <c r="B89" t="s">
        <v>1547</v>
      </c>
      <c r="C89">
        <v>830</v>
      </c>
      <c r="D89" t="s">
        <v>1548</v>
      </c>
      <c r="E89">
        <v>7.35</v>
      </c>
      <c r="F89">
        <v>8</v>
      </c>
      <c r="G89">
        <v>6.88</v>
      </c>
      <c r="H89">
        <v>7.55</v>
      </c>
      <c r="I89">
        <v>3500</v>
      </c>
      <c r="J89">
        <v>7.39</v>
      </c>
    </row>
    <row r="90" spans="1:10" x14ac:dyDescent="0.15">
      <c r="A90" s="661">
        <v>44764</v>
      </c>
      <c r="B90" t="s">
        <v>1349</v>
      </c>
      <c r="C90">
        <v>830</v>
      </c>
      <c r="D90" t="s">
        <v>1350</v>
      </c>
      <c r="E90">
        <v>205</v>
      </c>
      <c r="F90">
        <v>205</v>
      </c>
      <c r="G90">
        <v>200.63</v>
      </c>
      <c r="H90">
        <v>200.63</v>
      </c>
      <c r="I90">
        <v>500</v>
      </c>
      <c r="J90">
        <v>216.89</v>
      </c>
    </row>
    <row r="91" spans="1:10" x14ac:dyDescent="0.15">
      <c r="A91" s="661">
        <v>44764</v>
      </c>
      <c r="B91" t="s">
        <v>550</v>
      </c>
      <c r="C91">
        <v>810</v>
      </c>
      <c r="D91" t="s">
        <v>842</v>
      </c>
      <c r="E91">
        <v>16.68</v>
      </c>
      <c r="F91">
        <v>17.97</v>
      </c>
      <c r="G91">
        <v>15.7</v>
      </c>
      <c r="H91">
        <v>17.77</v>
      </c>
      <c r="I91">
        <v>18963448</v>
      </c>
      <c r="J91">
        <v>16.72</v>
      </c>
    </row>
    <row r="92" spans="1:10" x14ac:dyDescent="0.15">
      <c r="A92" s="661">
        <v>44764</v>
      </c>
      <c r="B92" t="s">
        <v>1505</v>
      </c>
      <c r="C92">
        <v>830</v>
      </c>
      <c r="D92" t="s">
        <v>1506</v>
      </c>
      <c r="E92">
        <v>68.25</v>
      </c>
      <c r="F92">
        <v>68.25</v>
      </c>
      <c r="G92">
        <v>68.25</v>
      </c>
      <c r="H92">
        <v>68.25</v>
      </c>
      <c r="I92">
        <v>1000</v>
      </c>
      <c r="J92">
        <v>63.5</v>
      </c>
    </row>
    <row r="93" spans="1:10" x14ac:dyDescent="0.15">
      <c r="A93" s="661">
        <v>44764</v>
      </c>
      <c r="B93" t="s">
        <v>1507</v>
      </c>
      <c r="C93">
        <v>831</v>
      </c>
      <c r="D93" t="s">
        <v>1508</v>
      </c>
      <c r="E93">
        <v>43.01</v>
      </c>
      <c r="F93">
        <v>43.01</v>
      </c>
      <c r="G93">
        <v>43</v>
      </c>
      <c r="H93">
        <v>43</v>
      </c>
      <c r="I93">
        <v>5000</v>
      </c>
      <c r="J93">
        <v>45.12</v>
      </c>
    </row>
    <row r="94" spans="1:10" x14ac:dyDescent="0.15">
      <c r="A94" s="661">
        <v>44764</v>
      </c>
      <c r="B94" t="s">
        <v>1406</v>
      </c>
      <c r="C94">
        <v>831</v>
      </c>
      <c r="D94" t="s">
        <v>1407</v>
      </c>
      <c r="E94">
        <v>11.25</v>
      </c>
      <c r="F94">
        <v>11.25</v>
      </c>
      <c r="G94">
        <v>11.01</v>
      </c>
      <c r="H94">
        <v>11.17</v>
      </c>
      <c r="I94">
        <v>4500</v>
      </c>
      <c r="J94">
        <v>11.26</v>
      </c>
    </row>
    <row r="95" spans="1:10" x14ac:dyDescent="0.15">
      <c r="A95" s="661">
        <v>44764</v>
      </c>
      <c r="B95" t="s">
        <v>817</v>
      </c>
      <c r="C95">
        <v>805</v>
      </c>
      <c r="D95" t="s">
        <v>818</v>
      </c>
      <c r="E95">
        <v>7.4</v>
      </c>
      <c r="F95">
        <v>7.75</v>
      </c>
      <c r="G95">
        <v>7.31</v>
      </c>
      <c r="H95">
        <v>7.56</v>
      </c>
      <c r="I95">
        <v>1246000</v>
      </c>
      <c r="J95">
        <v>7.39</v>
      </c>
    </row>
    <row r="96" spans="1:10" x14ac:dyDescent="0.15">
      <c r="A96" s="661">
        <v>44764</v>
      </c>
      <c r="B96" t="s">
        <v>1509</v>
      </c>
      <c r="C96">
        <v>831</v>
      </c>
      <c r="D96" t="s">
        <v>1510</v>
      </c>
      <c r="E96">
        <v>83.35</v>
      </c>
      <c r="F96">
        <v>92</v>
      </c>
      <c r="G96">
        <v>83.35</v>
      </c>
      <c r="H96">
        <v>85.51</v>
      </c>
      <c r="I96">
        <v>400</v>
      </c>
      <c r="J96">
        <v>90</v>
      </c>
    </row>
    <row r="97" spans="1:10" x14ac:dyDescent="0.15">
      <c r="A97" s="661">
        <v>44764</v>
      </c>
      <c r="B97" t="s">
        <v>551</v>
      </c>
      <c r="C97">
        <v>831</v>
      </c>
      <c r="D97" t="s">
        <v>552</v>
      </c>
      <c r="E97">
        <v>4.7</v>
      </c>
      <c r="F97">
        <v>4.7</v>
      </c>
      <c r="G97">
        <v>4.4000000000000004</v>
      </c>
      <c r="H97">
        <v>4.59</v>
      </c>
      <c r="I97">
        <v>359000</v>
      </c>
      <c r="J97">
        <v>4.5199999999999996</v>
      </c>
    </row>
    <row r="98" spans="1:10" x14ac:dyDescent="0.15">
      <c r="A98" s="661">
        <v>44764</v>
      </c>
      <c r="B98" t="s">
        <v>1471</v>
      </c>
      <c r="C98">
        <v>831</v>
      </c>
      <c r="D98" t="s">
        <v>1472</v>
      </c>
      <c r="E98">
        <v>9.0299999999999994</v>
      </c>
      <c r="F98">
        <v>9.0299999999999994</v>
      </c>
      <c r="G98">
        <v>9.0299999999999994</v>
      </c>
      <c r="H98">
        <v>9.0299999999999994</v>
      </c>
      <c r="I98">
        <v>500</v>
      </c>
      <c r="J98">
        <v>8.0299999999999994</v>
      </c>
    </row>
    <row r="99" spans="1:10" x14ac:dyDescent="0.15">
      <c r="A99" s="661">
        <v>44764</v>
      </c>
      <c r="B99" t="s">
        <v>1444</v>
      </c>
      <c r="C99">
        <v>829</v>
      </c>
      <c r="D99" t="s">
        <v>1445</v>
      </c>
      <c r="E99">
        <v>53</v>
      </c>
      <c r="F99">
        <v>55</v>
      </c>
      <c r="G99">
        <v>53</v>
      </c>
      <c r="H99">
        <v>53.5</v>
      </c>
      <c r="I99">
        <v>1500</v>
      </c>
      <c r="J99">
        <v>53.63</v>
      </c>
    </row>
    <row r="100" spans="1:10" x14ac:dyDescent="0.15">
      <c r="A100" s="661">
        <v>44764</v>
      </c>
      <c r="B100" t="s">
        <v>553</v>
      </c>
      <c r="C100">
        <v>829</v>
      </c>
      <c r="D100" t="s">
        <v>773</v>
      </c>
      <c r="E100">
        <v>17.190000000000001</v>
      </c>
      <c r="F100">
        <v>17.489999999999998</v>
      </c>
      <c r="G100">
        <v>17.05</v>
      </c>
      <c r="H100">
        <v>17.489999999999998</v>
      </c>
      <c r="I100">
        <v>2500</v>
      </c>
      <c r="J100">
        <v>17.11</v>
      </c>
    </row>
    <row r="101" spans="1:10" x14ac:dyDescent="0.15">
      <c r="A101" s="661">
        <v>44764</v>
      </c>
      <c r="B101" t="s">
        <v>159</v>
      </c>
      <c r="C101">
        <v>829</v>
      </c>
      <c r="D101" t="s">
        <v>898</v>
      </c>
      <c r="E101">
        <v>46</v>
      </c>
      <c r="F101">
        <v>46</v>
      </c>
      <c r="G101">
        <v>43.51</v>
      </c>
      <c r="H101">
        <v>44.36</v>
      </c>
      <c r="I101">
        <v>574381</v>
      </c>
      <c r="J101">
        <v>44.16</v>
      </c>
    </row>
    <row r="102" spans="1:10" x14ac:dyDescent="0.15">
      <c r="A102" s="661">
        <v>44764</v>
      </c>
      <c r="B102" t="s">
        <v>1549</v>
      </c>
      <c r="C102">
        <v>829</v>
      </c>
      <c r="D102" t="s">
        <v>1550</v>
      </c>
      <c r="E102">
        <v>62.45</v>
      </c>
      <c r="F102">
        <v>62.45</v>
      </c>
      <c r="G102">
        <v>62.36</v>
      </c>
      <c r="H102">
        <v>62.39</v>
      </c>
      <c r="I102">
        <v>1500</v>
      </c>
      <c r="J102">
        <v>61.09</v>
      </c>
    </row>
    <row r="103" spans="1:10" x14ac:dyDescent="0.15">
      <c r="A103" s="661">
        <v>44764</v>
      </c>
      <c r="B103" t="s">
        <v>554</v>
      </c>
      <c r="C103">
        <v>829</v>
      </c>
      <c r="D103" t="s">
        <v>782</v>
      </c>
      <c r="E103">
        <v>29.8</v>
      </c>
      <c r="F103">
        <v>30.3</v>
      </c>
      <c r="G103">
        <v>29.26</v>
      </c>
      <c r="H103">
        <v>30</v>
      </c>
      <c r="I103">
        <v>567141</v>
      </c>
      <c r="J103">
        <v>29.99</v>
      </c>
    </row>
    <row r="104" spans="1:10" x14ac:dyDescent="0.15">
      <c r="A104" s="661">
        <v>44764</v>
      </c>
      <c r="B104" t="s">
        <v>437</v>
      </c>
      <c r="C104">
        <v>829</v>
      </c>
      <c r="D104" t="s">
        <v>876</v>
      </c>
      <c r="E104">
        <v>59.5</v>
      </c>
      <c r="F104">
        <v>60</v>
      </c>
      <c r="G104">
        <v>58</v>
      </c>
      <c r="H104">
        <v>59.67</v>
      </c>
      <c r="I104">
        <v>824584</v>
      </c>
      <c r="J104">
        <v>60.86</v>
      </c>
    </row>
    <row r="105" spans="1:10" x14ac:dyDescent="0.15">
      <c r="A105" s="661">
        <v>44764</v>
      </c>
      <c r="B105" t="s">
        <v>1408</v>
      </c>
      <c r="C105">
        <v>829</v>
      </c>
      <c r="D105" t="s">
        <v>1409</v>
      </c>
      <c r="E105">
        <v>3.1</v>
      </c>
      <c r="F105">
        <v>3.1</v>
      </c>
      <c r="G105">
        <v>2.9</v>
      </c>
      <c r="H105">
        <v>3</v>
      </c>
      <c r="I105">
        <v>4500</v>
      </c>
      <c r="J105">
        <v>2.5499999999999998</v>
      </c>
    </row>
    <row r="106" spans="1:10" x14ac:dyDescent="0.15">
      <c r="A106" s="661">
        <v>44764</v>
      </c>
      <c r="B106" t="s">
        <v>1385</v>
      </c>
      <c r="C106">
        <v>829</v>
      </c>
      <c r="D106" t="s">
        <v>1386</v>
      </c>
      <c r="E106">
        <v>32.049999999999997</v>
      </c>
      <c r="F106">
        <v>35.44</v>
      </c>
      <c r="G106">
        <v>31.55</v>
      </c>
      <c r="H106">
        <v>33.17</v>
      </c>
      <c r="I106">
        <v>8500</v>
      </c>
      <c r="J106">
        <v>34</v>
      </c>
    </row>
    <row r="107" spans="1:10" x14ac:dyDescent="0.15">
      <c r="A107" s="661">
        <v>44764</v>
      </c>
      <c r="B107" t="s">
        <v>1178</v>
      </c>
      <c r="C107">
        <v>829</v>
      </c>
      <c r="D107" t="s">
        <v>1179</v>
      </c>
      <c r="E107">
        <v>4.9000000000000004</v>
      </c>
      <c r="F107">
        <v>4.9000000000000004</v>
      </c>
      <c r="G107">
        <v>4.45</v>
      </c>
      <c r="H107">
        <v>4.9000000000000004</v>
      </c>
      <c r="I107">
        <v>1000</v>
      </c>
      <c r="J107">
        <v>4.45</v>
      </c>
    </row>
    <row r="108" spans="1:10" x14ac:dyDescent="0.15">
      <c r="A108" s="661">
        <v>44764</v>
      </c>
      <c r="B108" t="s">
        <v>1328</v>
      </c>
      <c r="C108">
        <v>829</v>
      </c>
      <c r="D108" t="s">
        <v>1329</v>
      </c>
      <c r="E108">
        <v>48.01</v>
      </c>
      <c r="F108">
        <v>48.16</v>
      </c>
      <c r="G108">
        <v>47</v>
      </c>
      <c r="H108">
        <v>47.55</v>
      </c>
      <c r="I108">
        <v>21500</v>
      </c>
      <c r="J108">
        <v>48.16</v>
      </c>
    </row>
    <row r="109" spans="1:10" x14ac:dyDescent="0.15">
      <c r="A109" s="661">
        <v>44764</v>
      </c>
      <c r="B109" t="s">
        <v>555</v>
      </c>
      <c r="C109">
        <v>829</v>
      </c>
      <c r="D109" t="s">
        <v>556</v>
      </c>
      <c r="E109">
        <v>10.02</v>
      </c>
      <c r="F109">
        <v>10.35</v>
      </c>
      <c r="G109">
        <v>9.85</v>
      </c>
      <c r="H109">
        <v>10.15</v>
      </c>
      <c r="I109">
        <v>2598747</v>
      </c>
      <c r="J109">
        <v>10.1</v>
      </c>
    </row>
    <row r="110" spans="1:10" x14ac:dyDescent="0.15">
      <c r="A110" s="661">
        <v>44764</v>
      </c>
      <c r="B110" t="s">
        <v>1366</v>
      </c>
      <c r="C110">
        <v>829</v>
      </c>
      <c r="D110" t="s">
        <v>1367</v>
      </c>
      <c r="E110">
        <v>570.01</v>
      </c>
      <c r="F110">
        <v>570.01</v>
      </c>
      <c r="G110">
        <v>570.01</v>
      </c>
      <c r="H110">
        <v>570.01</v>
      </c>
      <c r="I110">
        <v>50</v>
      </c>
      <c r="J110">
        <v>605.1</v>
      </c>
    </row>
    <row r="111" spans="1:10" x14ac:dyDescent="0.15">
      <c r="A111" s="661">
        <v>44764</v>
      </c>
      <c r="B111" t="s">
        <v>1059</v>
      </c>
      <c r="C111">
        <v>833</v>
      </c>
      <c r="D111" t="s">
        <v>1410</v>
      </c>
      <c r="E111">
        <v>9.6</v>
      </c>
      <c r="F111">
        <v>10.5</v>
      </c>
      <c r="G111">
        <v>9.1999999999999993</v>
      </c>
      <c r="H111">
        <v>9.7899999999999991</v>
      </c>
      <c r="I111">
        <v>254000</v>
      </c>
      <c r="J111">
        <v>9.65</v>
      </c>
    </row>
    <row r="112" spans="1:10" x14ac:dyDescent="0.15">
      <c r="A112" s="661">
        <v>44764</v>
      </c>
      <c r="B112" t="s">
        <v>1421</v>
      </c>
      <c r="C112">
        <v>833</v>
      </c>
      <c r="D112" t="s">
        <v>1422</v>
      </c>
      <c r="E112">
        <v>2.0499999999999998</v>
      </c>
      <c r="F112">
        <v>2.6</v>
      </c>
      <c r="G112">
        <v>1.6</v>
      </c>
      <c r="H112">
        <v>2.13</v>
      </c>
      <c r="I112">
        <v>4204000</v>
      </c>
      <c r="J112">
        <v>2.13</v>
      </c>
    </row>
    <row r="113" spans="1:10" x14ac:dyDescent="0.15">
      <c r="A113" s="661">
        <v>44764</v>
      </c>
      <c r="B113" t="s">
        <v>160</v>
      </c>
      <c r="C113">
        <v>829</v>
      </c>
      <c r="D113" t="s">
        <v>811</v>
      </c>
      <c r="E113">
        <v>66.400000000000006</v>
      </c>
      <c r="F113">
        <v>67.34</v>
      </c>
      <c r="G113">
        <v>65.61</v>
      </c>
      <c r="H113">
        <v>67.12</v>
      </c>
      <c r="I113">
        <v>156728</v>
      </c>
      <c r="J113">
        <v>66.3</v>
      </c>
    </row>
    <row r="114" spans="1:10" x14ac:dyDescent="0.15">
      <c r="A114" s="661">
        <v>44764</v>
      </c>
      <c r="B114" t="s">
        <v>1473</v>
      </c>
      <c r="C114">
        <v>829</v>
      </c>
      <c r="D114" t="s">
        <v>1474</v>
      </c>
      <c r="E114">
        <v>7.65</v>
      </c>
      <c r="F114">
        <v>8.6999999999999993</v>
      </c>
      <c r="G114">
        <v>7.65</v>
      </c>
      <c r="H114">
        <v>8.61</v>
      </c>
      <c r="I114">
        <v>13500</v>
      </c>
      <c r="J114">
        <v>7.7</v>
      </c>
    </row>
    <row r="115" spans="1:10" x14ac:dyDescent="0.15">
      <c r="A115" s="661">
        <v>44764</v>
      </c>
      <c r="B115" t="s">
        <v>1475</v>
      </c>
      <c r="C115">
        <v>829</v>
      </c>
      <c r="D115" t="s">
        <v>1476</v>
      </c>
      <c r="E115">
        <v>41.7</v>
      </c>
      <c r="F115">
        <v>41.7</v>
      </c>
      <c r="G115">
        <v>41.7</v>
      </c>
      <c r="H115">
        <v>41.7</v>
      </c>
      <c r="I115">
        <v>500</v>
      </c>
      <c r="J115">
        <v>38.9</v>
      </c>
    </row>
    <row r="116" spans="1:10" x14ac:dyDescent="0.15">
      <c r="A116" s="661">
        <v>44764</v>
      </c>
      <c r="B116" t="s">
        <v>1551</v>
      </c>
      <c r="C116">
        <v>829</v>
      </c>
      <c r="D116" t="s">
        <v>1552</v>
      </c>
      <c r="E116">
        <v>207</v>
      </c>
      <c r="F116">
        <v>207</v>
      </c>
      <c r="G116">
        <v>207</v>
      </c>
      <c r="H116">
        <v>215</v>
      </c>
      <c r="I116">
        <v>100</v>
      </c>
      <c r="J116">
        <v>215</v>
      </c>
    </row>
    <row r="117" spans="1:10" x14ac:dyDescent="0.15">
      <c r="A117" s="661">
        <v>44764</v>
      </c>
      <c r="B117" t="s">
        <v>1511</v>
      </c>
      <c r="C117">
        <v>829</v>
      </c>
      <c r="D117" t="s">
        <v>1512</v>
      </c>
      <c r="E117">
        <v>86.55</v>
      </c>
      <c r="F117">
        <v>86.55</v>
      </c>
      <c r="G117">
        <v>86.55</v>
      </c>
      <c r="H117">
        <v>86.55</v>
      </c>
      <c r="I117">
        <v>4500</v>
      </c>
      <c r="J117">
        <v>80.52</v>
      </c>
    </row>
    <row r="118" spans="1:10" x14ac:dyDescent="0.15">
      <c r="A118" s="661">
        <v>44764</v>
      </c>
      <c r="B118" t="s">
        <v>1553</v>
      </c>
      <c r="C118">
        <v>810</v>
      </c>
      <c r="D118" t="s">
        <v>1554</v>
      </c>
      <c r="E118">
        <v>20.51</v>
      </c>
      <c r="F118">
        <v>22.8</v>
      </c>
      <c r="G118">
        <v>20.5</v>
      </c>
      <c r="H118">
        <v>22.26</v>
      </c>
      <c r="I118">
        <v>4500</v>
      </c>
      <c r="J118">
        <v>21.63</v>
      </c>
    </row>
    <row r="119" spans="1:10" x14ac:dyDescent="0.15">
      <c r="A119" s="661">
        <v>44764</v>
      </c>
      <c r="B119" t="s">
        <v>557</v>
      </c>
      <c r="C119">
        <v>805</v>
      </c>
      <c r="D119" t="s">
        <v>558</v>
      </c>
      <c r="E119">
        <v>6.2</v>
      </c>
      <c r="F119">
        <v>6.69</v>
      </c>
      <c r="G119">
        <v>6.2</v>
      </c>
      <c r="H119">
        <v>6.39</v>
      </c>
      <c r="I119">
        <v>689500</v>
      </c>
      <c r="J119">
        <v>6.38</v>
      </c>
    </row>
    <row r="120" spans="1:10" x14ac:dyDescent="0.15">
      <c r="A120" s="661">
        <v>44764</v>
      </c>
      <c r="B120" t="s">
        <v>730</v>
      </c>
      <c r="C120">
        <v>827</v>
      </c>
      <c r="D120" t="s">
        <v>826</v>
      </c>
      <c r="E120">
        <v>12.01</v>
      </c>
      <c r="F120">
        <v>12.15</v>
      </c>
      <c r="G120">
        <v>11.7</v>
      </c>
      <c r="H120">
        <v>11.99</v>
      </c>
      <c r="I120">
        <v>726000</v>
      </c>
      <c r="J120">
        <v>12</v>
      </c>
    </row>
    <row r="121" spans="1:10" x14ac:dyDescent="0.15">
      <c r="A121" s="661">
        <v>44764</v>
      </c>
      <c r="B121" t="s">
        <v>148</v>
      </c>
      <c r="C121">
        <v>802</v>
      </c>
      <c r="D121" t="s">
        <v>858</v>
      </c>
      <c r="E121">
        <v>249.89</v>
      </c>
      <c r="F121">
        <v>258.89999999999998</v>
      </c>
      <c r="G121">
        <v>247.12</v>
      </c>
      <c r="H121">
        <v>255.29</v>
      </c>
      <c r="I121">
        <v>13500</v>
      </c>
      <c r="J121">
        <v>249.47</v>
      </c>
    </row>
    <row r="122" spans="1:10" x14ac:dyDescent="0.15">
      <c r="A122" s="661">
        <v>44764</v>
      </c>
      <c r="B122" t="s">
        <v>1187</v>
      </c>
      <c r="C122">
        <v>826</v>
      </c>
      <c r="D122" t="s">
        <v>1188</v>
      </c>
      <c r="E122">
        <v>8.6999999999999993</v>
      </c>
      <c r="F122">
        <v>8.6999999999999993</v>
      </c>
      <c r="G122">
        <v>8.6999999999999993</v>
      </c>
      <c r="H122">
        <v>8.6999999999999993</v>
      </c>
      <c r="I122">
        <v>1000</v>
      </c>
      <c r="J122">
        <v>8.31</v>
      </c>
    </row>
    <row r="123" spans="1:10" x14ac:dyDescent="0.15">
      <c r="A123" s="661">
        <v>44764</v>
      </c>
      <c r="B123" t="s">
        <v>1446</v>
      </c>
      <c r="C123">
        <v>826</v>
      </c>
      <c r="D123" t="s">
        <v>1447</v>
      </c>
      <c r="E123">
        <v>77</v>
      </c>
      <c r="F123">
        <v>77</v>
      </c>
      <c r="G123">
        <v>77</v>
      </c>
      <c r="H123">
        <v>77</v>
      </c>
      <c r="I123">
        <v>500</v>
      </c>
      <c r="J123">
        <v>71.94</v>
      </c>
    </row>
    <row r="124" spans="1:10" x14ac:dyDescent="0.15">
      <c r="A124" s="661">
        <v>44764</v>
      </c>
      <c r="B124" t="s">
        <v>1555</v>
      </c>
      <c r="C124">
        <v>826</v>
      </c>
      <c r="D124" t="s">
        <v>1556</v>
      </c>
      <c r="E124">
        <v>2.02</v>
      </c>
      <c r="F124">
        <v>2.14</v>
      </c>
      <c r="G124">
        <v>2.02</v>
      </c>
      <c r="H124">
        <v>2.13</v>
      </c>
      <c r="I124">
        <v>4500</v>
      </c>
      <c r="J124">
        <v>2.06</v>
      </c>
    </row>
    <row r="125" spans="1:10" x14ac:dyDescent="0.15">
      <c r="A125" s="661">
        <v>44764</v>
      </c>
      <c r="B125" t="s">
        <v>559</v>
      </c>
      <c r="C125">
        <v>810</v>
      </c>
      <c r="D125" t="s">
        <v>560</v>
      </c>
      <c r="E125">
        <v>64.099999999999994</v>
      </c>
      <c r="F125">
        <v>66</v>
      </c>
      <c r="G125">
        <v>63.5</v>
      </c>
      <c r="H125">
        <v>65</v>
      </c>
      <c r="I125">
        <v>22902</v>
      </c>
      <c r="J125">
        <v>64.44</v>
      </c>
    </row>
    <row r="126" spans="1:10" x14ac:dyDescent="0.15">
      <c r="A126" s="661">
        <v>44764</v>
      </c>
      <c r="B126" t="s">
        <v>1557</v>
      </c>
      <c r="C126">
        <v>826</v>
      </c>
      <c r="D126" t="s">
        <v>1558</v>
      </c>
      <c r="E126">
        <v>31</v>
      </c>
      <c r="F126">
        <v>31</v>
      </c>
      <c r="G126">
        <v>31</v>
      </c>
      <c r="H126">
        <v>31</v>
      </c>
      <c r="I126">
        <v>10000</v>
      </c>
      <c r="J126">
        <v>31</v>
      </c>
    </row>
    <row r="127" spans="1:10" x14ac:dyDescent="0.15">
      <c r="A127" s="661">
        <v>44764</v>
      </c>
      <c r="B127" t="s">
        <v>1559</v>
      </c>
      <c r="C127">
        <v>826</v>
      </c>
      <c r="D127" t="s">
        <v>1560</v>
      </c>
      <c r="E127">
        <v>54.8</v>
      </c>
      <c r="F127">
        <v>54.8</v>
      </c>
      <c r="G127">
        <v>54.8</v>
      </c>
      <c r="H127">
        <v>54.8</v>
      </c>
      <c r="I127">
        <v>500</v>
      </c>
      <c r="J127">
        <v>51</v>
      </c>
    </row>
    <row r="128" spans="1:10" x14ac:dyDescent="0.15">
      <c r="A128" s="661">
        <v>44764</v>
      </c>
      <c r="B128" t="s">
        <v>1477</v>
      </c>
      <c r="C128">
        <v>826</v>
      </c>
      <c r="D128" t="s">
        <v>1478</v>
      </c>
      <c r="E128">
        <v>17.3</v>
      </c>
      <c r="F128">
        <v>17.899999999999999</v>
      </c>
      <c r="G128">
        <v>17.3</v>
      </c>
      <c r="H128">
        <v>17.899999999999999</v>
      </c>
      <c r="I128">
        <v>2500</v>
      </c>
      <c r="J128">
        <v>16.86</v>
      </c>
    </row>
    <row r="129" spans="1:10" x14ac:dyDescent="0.15">
      <c r="A129" s="661">
        <v>44764</v>
      </c>
      <c r="B129" t="s">
        <v>1184</v>
      </c>
      <c r="C129">
        <v>826</v>
      </c>
      <c r="D129" t="s">
        <v>1185</v>
      </c>
      <c r="E129">
        <v>0</v>
      </c>
      <c r="F129">
        <v>8.83</v>
      </c>
      <c r="G129">
        <v>8.83</v>
      </c>
      <c r="H129">
        <v>8.83</v>
      </c>
      <c r="I129">
        <v>500</v>
      </c>
      <c r="J129">
        <v>8.83</v>
      </c>
    </row>
    <row r="130" spans="1:10" x14ac:dyDescent="0.15">
      <c r="A130" s="661">
        <v>44764</v>
      </c>
      <c r="B130" t="s">
        <v>1561</v>
      </c>
      <c r="C130">
        <v>826</v>
      </c>
      <c r="D130" t="s">
        <v>1562</v>
      </c>
      <c r="E130">
        <v>53</v>
      </c>
      <c r="F130">
        <v>53</v>
      </c>
      <c r="G130">
        <v>53</v>
      </c>
      <c r="H130">
        <v>53</v>
      </c>
      <c r="I130">
        <v>500</v>
      </c>
      <c r="J130">
        <v>50.95</v>
      </c>
    </row>
    <row r="131" spans="1:10" x14ac:dyDescent="0.15">
      <c r="A131" s="661">
        <v>44764</v>
      </c>
      <c r="B131" t="s">
        <v>1411</v>
      </c>
      <c r="C131">
        <v>826</v>
      </c>
      <c r="D131" t="s">
        <v>1412</v>
      </c>
      <c r="E131">
        <v>95.1</v>
      </c>
      <c r="F131">
        <v>95.1</v>
      </c>
      <c r="G131">
        <v>95.1</v>
      </c>
      <c r="H131">
        <v>95.1</v>
      </c>
      <c r="I131">
        <v>300</v>
      </c>
      <c r="J131">
        <v>101.14</v>
      </c>
    </row>
    <row r="132" spans="1:10" x14ac:dyDescent="0.15">
      <c r="A132" s="661">
        <v>44764</v>
      </c>
      <c r="B132" t="s">
        <v>863</v>
      </c>
      <c r="C132">
        <v>804</v>
      </c>
      <c r="D132" t="s">
        <v>1159</v>
      </c>
      <c r="E132">
        <v>67</v>
      </c>
      <c r="F132">
        <v>69.900000000000006</v>
      </c>
      <c r="G132">
        <v>65.239999999999995</v>
      </c>
      <c r="H132">
        <v>69.05</v>
      </c>
      <c r="I132">
        <v>10000</v>
      </c>
      <c r="J132">
        <v>66.959999999999994</v>
      </c>
    </row>
    <row r="133" spans="1:10" x14ac:dyDescent="0.15">
      <c r="A133" s="661">
        <v>44764</v>
      </c>
      <c r="B133" t="s">
        <v>917</v>
      </c>
      <c r="C133">
        <v>804</v>
      </c>
      <c r="D133" t="s">
        <v>1046</v>
      </c>
      <c r="E133">
        <v>120.1</v>
      </c>
      <c r="F133">
        <v>122.01</v>
      </c>
      <c r="G133">
        <v>120</v>
      </c>
      <c r="H133">
        <v>121.64</v>
      </c>
      <c r="I133">
        <v>6200</v>
      </c>
      <c r="J133">
        <v>121.16</v>
      </c>
    </row>
    <row r="134" spans="1:10" x14ac:dyDescent="0.15">
      <c r="A134" s="661">
        <v>44764</v>
      </c>
      <c r="B134" t="s">
        <v>561</v>
      </c>
      <c r="C134">
        <v>804</v>
      </c>
      <c r="D134" t="s">
        <v>797</v>
      </c>
      <c r="E134">
        <v>77</v>
      </c>
      <c r="F134">
        <v>81</v>
      </c>
      <c r="G134">
        <v>74.55</v>
      </c>
      <c r="H134">
        <v>79.760000000000005</v>
      </c>
      <c r="I134">
        <v>276188</v>
      </c>
      <c r="J134">
        <v>76.319999999999993</v>
      </c>
    </row>
    <row r="135" spans="1:10" x14ac:dyDescent="0.15">
      <c r="A135" s="661">
        <v>44764</v>
      </c>
      <c r="B135" t="s">
        <v>143</v>
      </c>
      <c r="C135">
        <v>804</v>
      </c>
      <c r="D135" t="s">
        <v>808</v>
      </c>
      <c r="E135">
        <v>53.2</v>
      </c>
      <c r="F135">
        <v>55.75</v>
      </c>
      <c r="G135">
        <v>53.2</v>
      </c>
      <c r="H135">
        <v>55.36</v>
      </c>
      <c r="I135">
        <v>888748</v>
      </c>
      <c r="J135">
        <v>54</v>
      </c>
    </row>
    <row r="136" spans="1:10" x14ac:dyDescent="0.15">
      <c r="A136" s="661">
        <v>44764</v>
      </c>
      <c r="B136" t="s">
        <v>562</v>
      </c>
      <c r="C136">
        <v>804</v>
      </c>
      <c r="D136" t="s">
        <v>563</v>
      </c>
      <c r="E136">
        <v>4.8499999999999996</v>
      </c>
      <c r="F136">
        <v>4.92</v>
      </c>
      <c r="G136">
        <v>4.83</v>
      </c>
      <c r="H136">
        <v>4.9000000000000004</v>
      </c>
      <c r="I136">
        <v>604500</v>
      </c>
      <c r="J136">
        <v>4.92</v>
      </c>
    </row>
    <row r="137" spans="1:10" x14ac:dyDescent="0.15">
      <c r="A137" s="661">
        <v>44764</v>
      </c>
      <c r="B137" t="s">
        <v>147</v>
      </c>
      <c r="C137">
        <v>804</v>
      </c>
      <c r="D137" t="s">
        <v>564</v>
      </c>
      <c r="E137">
        <v>12.6</v>
      </c>
      <c r="F137">
        <v>13.09</v>
      </c>
      <c r="G137">
        <v>12.52</v>
      </c>
      <c r="H137">
        <v>12.93</v>
      </c>
      <c r="I137">
        <v>1841000</v>
      </c>
      <c r="J137">
        <v>12.73</v>
      </c>
    </row>
    <row r="138" spans="1:10" x14ac:dyDescent="0.15">
      <c r="A138" s="661">
        <v>44764</v>
      </c>
      <c r="B138" t="s">
        <v>1387</v>
      </c>
      <c r="C138">
        <v>804</v>
      </c>
      <c r="D138" t="s">
        <v>1388</v>
      </c>
      <c r="E138">
        <v>21</v>
      </c>
      <c r="F138">
        <v>22.57</v>
      </c>
      <c r="G138">
        <v>21</v>
      </c>
      <c r="H138">
        <v>22.57</v>
      </c>
      <c r="I138">
        <v>24500</v>
      </c>
      <c r="J138">
        <v>21</v>
      </c>
    </row>
    <row r="139" spans="1:10" x14ac:dyDescent="0.15">
      <c r="A139" s="661">
        <v>44764</v>
      </c>
      <c r="B139" t="s">
        <v>565</v>
      </c>
      <c r="C139">
        <v>804</v>
      </c>
      <c r="D139" t="s">
        <v>878</v>
      </c>
      <c r="E139">
        <v>6.41</v>
      </c>
      <c r="F139">
        <v>6.68</v>
      </c>
      <c r="G139">
        <v>6.25</v>
      </c>
      <c r="H139">
        <v>6.62</v>
      </c>
      <c r="I139">
        <v>1275000</v>
      </c>
      <c r="J139">
        <v>6.4</v>
      </c>
    </row>
    <row r="140" spans="1:10" x14ac:dyDescent="0.15">
      <c r="A140" s="661">
        <v>44764</v>
      </c>
      <c r="B140" t="s">
        <v>1351</v>
      </c>
      <c r="C140">
        <v>804</v>
      </c>
      <c r="D140" t="s">
        <v>1352</v>
      </c>
      <c r="E140">
        <v>18.88</v>
      </c>
      <c r="F140">
        <v>18.88</v>
      </c>
      <c r="G140">
        <v>18.82</v>
      </c>
      <c r="H140">
        <v>18.87</v>
      </c>
      <c r="I140">
        <v>3000</v>
      </c>
      <c r="J140">
        <v>18.47</v>
      </c>
    </row>
    <row r="141" spans="1:10" x14ac:dyDescent="0.15">
      <c r="A141" s="661">
        <v>44764</v>
      </c>
      <c r="B141" t="s">
        <v>566</v>
      </c>
      <c r="C141">
        <v>804</v>
      </c>
      <c r="D141" t="s">
        <v>567</v>
      </c>
      <c r="E141">
        <v>121</v>
      </c>
      <c r="F141">
        <v>125.97</v>
      </c>
      <c r="G141">
        <v>120</v>
      </c>
      <c r="H141">
        <v>120.07</v>
      </c>
      <c r="I141">
        <v>22700</v>
      </c>
      <c r="J141">
        <v>118.99</v>
      </c>
    </row>
    <row r="142" spans="1:10" x14ac:dyDescent="0.15">
      <c r="A142" s="661">
        <v>44764</v>
      </c>
      <c r="B142" t="s">
        <v>145</v>
      </c>
      <c r="C142">
        <v>804</v>
      </c>
      <c r="D142" t="s">
        <v>568</v>
      </c>
      <c r="E142">
        <v>425.99</v>
      </c>
      <c r="F142">
        <v>427</v>
      </c>
      <c r="G142">
        <v>407.31</v>
      </c>
      <c r="H142">
        <v>418.96</v>
      </c>
      <c r="I142">
        <v>560455</v>
      </c>
      <c r="J142">
        <v>423.2</v>
      </c>
    </row>
    <row r="143" spans="1:10" x14ac:dyDescent="0.15">
      <c r="A143" s="661">
        <v>44764</v>
      </c>
      <c r="B143" t="s">
        <v>161</v>
      </c>
      <c r="C143">
        <v>804</v>
      </c>
      <c r="D143" t="s">
        <v>569</v>
      </c>
      <c r="E143">
        <v>23.2</v>
      </c>
      <c r="F143">
        <v>24.55</v>
      </c>
      <c r="G143">
        <v>22.71</v>
      </c>
      <c r="H143">
        <v>24.08</v>
      </c>
      <c r="I143">
        <v>2870481</v>
      </c>
      <c r="J143">
        <v>23.22</v>
      </c>
    </row>
    <row r="144" spans="1:10" x14ac:dyDescent="0.15">
      <c r="A144" s="661">
        <v>44764</v>
      </c>
      <c r="B144" t="s">
        <v>570</v>
      </c>
      <c r="C144">
        <v>804</v>
      </c>
      <c r="D144" t="s">
        <v>571</v>
      </c>
      <c r="E144">
        <v>4.84</v>
      </c>
      <c r="F144">
        <v>5.0599999999999996</v>
      </c>
      <c r="G144">
        <v>4.84</v>
      </c>
      <c r="H144">
        <v>5.04</v>
      </c>
      <c r="I144">
        <v>356500</v>
      </c>
      <c r="J144">
        <v>4.9000000000000004</v>
      </c>
    </row>
    <row r="145" spans="1:10" x14ac:dyDescent="0.15">
      <c r="A145" s="661">
        <v>44764</v>
      </c>
      <c r="B145" t="s">
        <v>572</v>
      </c>
      <c r="C145">
        <v>804</v>
      </c>
      <c r="D145" t="s">
        <v>573</v>
      </c>
      <c r="E145">
        <v>54.79</v>
      </c>
      <c r="F145">
        <v>57.87</v>
      </c>
      <c r="G145">
        <v>53.8</v>
      </c>
      <c r="H145">
        <v>56.57</v>
      </c>
      <c r="I145">
        <v>399024</v>
      </c>
      <c r="J145">
        <v>54.78</v>
      </c>
    </row>
    <row r="146" spans="1:10" x14ac:dyDescent="0.15">
      <c r="A146" s="661">
        <v>44764</v>
      </c>
      <c r="B146" t="s">
        <v>1423</v>
      </c>
      <c r="C146">
        <v>804</v>
      </c>
      <c r="D146" t="s">
        <v>1424</v>
      </c>
      <c r="E146">
        <v>7.25</v>
      </c>
      <c r="F146">
        <v>8</v>
      </c>
      <c r="G146">
        <v>7.25</v>
      </c>
      <c r="H146">
        <v>8</v>
      </c>
      <c r="I146">
        <v>376000</v>
      </c>
      <c r="J146">
        <v>7</v>
      </c>
    </row>
    <row r="147" spans="1:10" x14ac:dyDescent="0.15">
      <c r="A147" s="661">
        <v>44764</v>
      </c>
      <c r="B147" t="s">
        <v>574</v>
      </c>
      <c r="C147">
        <v>804</v>
      </c>
      <c r="D147" t="s">
        <v>800</v>
      </c>
      <c r="E147">
        <v>12.7</v>
      </c>
      <c r="F147">
        <v>13.25</v>
      </c>
      <c r="G147">
        <v>12.5</v>
      </c>
      <c r="H147">
        <v>13.01</v>
      </c>
      <c r="I147">
        <v>22500</v>
      </c>
      <c r="J147">
        <v>12.44</v>
      </c>
    </row>
    <row r="148" spans="1:10" x14ac:dyDescent="0.15">
      <c r="A148" s="661">
        <v>44764</v>
      </c>
      <c r="B148" t="s">
        <v>1189</v>
      </c>
      <c r="C148">
        <v>832</v>
      </c>
      <c r="D148" t="s">
        <v>1190</v>
      </c>
      <c r="E148">
        <v>206.11</v>
      </c>
      <c r="F148">
        <v>222.98</v>
      </c>
      <c r="G148">
        <v>205.7</v>
      </c>
      <c r="H148">
        <v>222.98</v>
      </c>
      <c r="I148">
        <v>1700</v>
      </c>
      <c r="J148">
        <v>222.34</v>
      </c>
    </row>
    <row r="149" spans="1:10" x14ac:dyDescent="0.15">
      <c r="A149" s="661">
        <v>44764</v>
      </c>
      <c r="B149" t="s">
        <v>1513</v>
      </c>
      <c r="C149">
        <v>832</v>
      </c>
      <c r="D149" t="s">
        <v>1514</v>
      </c>
      <c r="E149">
        <v>901.01</v>
      </c>
      <c r="F149">
        <v>949.99</v>
      </c>
      <c r="G149">
        <v>901</v>
      </c>
      <c r="H149">
        <v>949.99</v>
      </c>
      <c r="I149">
        <v>1050</v>
      </c>
      <c r="J149">
        <v>950</v>
      </c>
    </row>
    <row r="150" spans="1:10" x14ac:dyDescent="0.15">
      <c r="A150" s="661">
        <v>44764</v>
      </c>
      <c r="B150" t="s">
        <v>575</v>
      </c>
      <c r="C150">
        <v>825</v>
      </c>
      <c r="D150" t="s">
        <v>576</v>
      </c>
      <c r="E150">
        <v>136.15</v>
      </c>
      <c r="F150">
        <v>141</v>
      </c>
      <c r="G150">
        <v>133.01</v>
      </c>
      <c r="H150">
        <v>139.91999999999999</v>
      </c>
      <c r="I150">
        <v>1445948</v>
      </c>
      <c r="J150">
        <v>135.24</v>
      </c>
    </row>
    <row r="151" spans="1:10" x14ac:dyDescent="0.15">
      <c r="A151" s="661">
        <v>44764</v>
      </c>
      <c r="B151" t="s">
        <v>840</v>
      </c>
      <c r="C151">
        <v>825</v>
      </c>
      <c r="D151" t="s">
        <v>841</v>
      </c>
      <c r="E151">
        <v>4.8899999999999997</v>
      </c>
      <c r="F151">
        <v>5</v>
      </c>
      <c r="G151">
        <v>4.7300000000000004</v>
      </c>
      <c r="H151">
        <v>4.95</v>
      </c>
      <c r="I151">
        <v>7136266</v>
      </c>
      <c r="J151">
        <v>4.87</v>
      </c>
    </row>
    <row r="152" spans="1:10" x14ac:dyDescent="0.15">
      <c r="A152" s="661">
        <v>44764</v>
      </c>
      <c r="B152" t="s">
        <v>577</v>
      </c>
      <c r="C152">
        <v>825</v>
      </c>
      <c r="D152" t="s">
        <v>803</v>
      </c>
      <c r="E152">
        <v>217</v>
      </c>
      <c r="F152">
        <v>221</v>
      </c>
      <c r="G152">
        <v>212.3</v>
      </c>
      <c r="H152">
        <v>219.79</v>
      </c>
      <c r="I152">
        <v>726095</v>
      </c>
      <c r="J152">
        <v>215.36</v>
      </c>
    </row>
    <row r="153" spans="1:10" x14ac:dyDescent="0.15">
      <c r="A153" s="661">
        <v>44764</v>
      </c>
      <c r="B153" t="s">
        <v>578</v>
      </c>
      <c r="C153">
        <v>825</v>
      </c>
      <c r="D153" t="s">
        <v>579</v>
      </c>
      <c r="E153">
        <v>14.9</v>
      </c>
      <c r="F153">
        <v>15.64</v>
      </c>
      <c r="G153">
        <v>14.75</v>
      </c>
      <c r="H153">
        <v>15.51</v>
      </c>
      <c r="I153">
        <v>6650440</v>
      </c>
      <c r="J153">
        <v>15.09</v>
      </c>
    </row>
    <row r="154" spans="1:10" x14ac:dyDescent="0.15">
      <c r="A154" s="661">
        <v>44764</v>
      </c>
      <c r="B154" t="s">
        <v>1342</v>
      </c>
      <c r="C154">
        <v>824</v>
      </c>
      <c r="D154" t="s">
        <v>1343</v>
      </c>
      <c r="E154">
        <v>16.23</v>
      </c>
      <c r="F154">
        <v>16.23</v>
      </c>
      <c r="G154">
        <v>16.100000000000001</v>
      </c>
      <c r="H154">
        <v>16.2</v>
      </c>
      <c r="I154">
        <v>4500</v>
      </c>
      <c r="J154">
        <v>16.5</v>
      </c>
    </row>
    <row r="155" spans="1:10" x14ac:dyDescent="0.15">
      <c r="A155" s="661">
        <v>44764</v>
      </c>
      <c r="B155" t="s">
        <v>580</v>
      </c>
      <c r="C155">
        <v>824</v>
      </c>
      <c r="D155" t="s">
        <v>914</v>
      </c>
      <c r="E155">
        <v>20.3</v>
      </c>
      <c r="F155">
        <v>20.6</v>
      </c>
      <c r="G155">
        <v>19.8</v>
      </c>
      <c r="H155">
        <v>20.48</v>
      </c>
      <c r="I155">
        <v>384000</v>
      </c>
      <c r="J155">
        <v>20.54</v>
      </c>
    </row>
    <row r="156" spans="1:10" x14ac:dyDescent="0.15">
      <c r="A156" s="661">
        <v>44764</v>
      </c>
      <c r="B156" t="s">
        <v>113</v>
      </c>
      <c r="C156">
        <v>824</v>
      </c>
      <c r="D156" t="s">
        <v>875</v>
      </c>
      <c r="E156">
        <v>65.680000000000007</v>
      </c>
      <c r="F156">
        <v>66.180000000000007</v>
      </c>
      <c r="G156">
        <v>64.75</v>
      </c>
      <c r="H156">
        <v>65.37</v>
      </c>
      <c r="I156">
        <v>437624</v>
      </c>
      <c r="J156">
        <v>65.180000000000007</v>
      </c>
    </row>
    <row r="157" spans="1:10" x14ac:dyDescent="0.15">
      <c r="A157" s="661">
        <v>44764</v>
      </c>
      <c r="B157" t="s">
        <v>115</v>
      </c>
      <c r="C157">
        <v>824</v>
      </c>
      <c r="D157" t="s">
        <v>581</v>
      </c>
      <c r="E157">
        <v>2.9</v>
      </c>
      <c r="F157">
        <v>2.95</v>
      </c>
      <c r="G157">
        <v>2.89</v>
      </c>
      <c r="H157">
        <v>2.92</v>
      </c>
      <c r="I157">
        <v>1692000</v>
      </c>
      <c r="J157">
        <v>2.93</v>
      </c>
    </row>
    <row r="158" spans="1:10" x14ac:dyDescent="0.15">
      <c r="A158" s="661">
        <v>44764</v>
      </c>
      <c r="B158" t="s">
        <v>738</v>
      </c>
      <c r="C158">
        <v>824</v>
      </c>
      <c r="D158" t="s">
        <v>885</v>
      </c>
      <c r="E158">
        <v>36.590000000000003</v>
      </c>
      <c r="F158">
        <v>37</v>
      </c>
      <c r="G158">
        <v>36.03</v>
      </c>
      <c r="H158">
        <v>36.9</v>
      </c>
      <c r="I158">
        <v>29000</v>
      </c>
      <c r="J158">
        <v>36.590000000000003</v>
      </c>
    </row>
    <row r="159" spans="1:10" x14ac:dyDescent="0.15">
      <c r="A159" s="661">
        <v>44764</v>
      </c>
      <c r="B159" t="s">
        <v>1314</v>
      </c>
      <c r="C159">
        <v>824</v>
      </c>
      <c r="D159" t="s">
        <v>1315</v>
      </c>
      <c r="E159">
        <v>4.1399999999999997</v>
      </c>
      <c r="F159">
        <v>4.1500000000000004</v>
      </c>
      <c r="G159">
        <v>4.1399999999999997</v>
      </c>
      <c r="H159">
        <v>4.1500000000000004</v>
      </c>
      <c r="I159">
        <v>1500</v>
      </c>
      <c r="J159">
        <v>3.91</v>
      </c>
    </row>
    <row r="160" spans="1:10" x14ac:dyDescent="0.15">
      <c r="A160" s="661">
        <v>44764</v>
      </c>
      <c r="B160" t="s">
        <v>901</v>
      </c>
      <c r="C160">
        <v>824</v>
      </c>
      <c r="D160" t="s">
        <v>902</v>
      </c>
      <c r="E160">
        <v>11.72</v>
      </c>
      <c r="F160">
        <v>12.59</v>
      </c>
      <c r="G160">
        <v>11.72</v>
      </c>
      <c r="H160">
        <v>12.55</v>
      </c>
      <c r="I160">
        <v>25500</v>
      </c>
      <c r="J160">
        <v>12.37</v>
      </c>
    </row>
    <row r="161" spans="1:10" x14ac:dyDescent="0.15">
      <c r="A161" s="661">
        <v>44764</v>
      </c>
      <c r="B161" t="s">
        <v>582</v>
      </c>
      <c r="C161">
        <v>824</v>
      </c>
      <c r="D161" t="s">
        <v>879</v>
      </c>
      <c r="E161">
        <v>26.9</v>
      </c>
      <c r="F161">
        <v>27.39</v>
      </c>
      <c r="G161">
        <v>26.61</v>
      </c>
      <c r="H161">
        <v>27.1</v>
      </c>
      <c r="I161">
        <v>615424</v>
      </c>
      <c r="J161">
        <v>26.89</v>
      </c>
    </row>
    <row r="162" spans="1:10" x14ac:dyDescent="0.15">
      <c r="A162" s="661">
        <v>44764</v>
      </c>
      <c r="B162" t="s">
        <v>1167</v>
      </c>
      <c r="C162">
        <v>824</v>
      </c>
      <c r="D162" t="s">
        <v>1168</v>
      </c>
      <c r="E162">
        <v>16.3</v>
      </c>
      <c r="F162">
        <v>17</v>
      </c>
      <c r="G162">
        <v>16.3</v>
      </c>
      <c r="H162">
        <v>16.95</v>
      </c>
      <c r="I162">
        <v>102500</v>
      </c>
      <c r="J162">
        <v>16.399999999999999</v>
      </c>
    </row>
    <row r="163" spans="1:10" x14ac:dyDescent="0.15">
      <c r="A163" s="661">
        <v>44764</v>
      </c>
      <c r="B163" t="s">
        <v>583</v>
      </c>
      <c r="C163">
        <v>824</v>
      </c>
      <c r="D163" t="s">
        <v>886</v>
      </c>
      <c r="E163">
        <v>19.899999999999999</v>
      </c>
      <c r="F163">
        <v>19.989999999999998</v>
      </c>
      <c r="G163">
        <v>19.75</v>
      </c>
      <c r="H163">
        <v>19.95</v>
      </c>
      <c r="I163">
        <v>9000</v>
      </c>
      <c r="J163">
        <v>19.7</v>
      </c>
    </row>
    <row r="164" spans="1:10" x14ac:dyDescent="0.15">
      <c r="A164" s="661">
        <v>44764</v>
      </c>
      <c r="B164" t="s">
        <v>1330</v>
      </c>
      <c r="C164">
        <v>824</v>
      </c>
      <c r="D164" t="s">
        <v>1331</v>
      </c>
      <c r="E164">
        <v>18.739999999999998</v>
      </c>
      <c r="F164">
        <v>18.739999999999998</v>
      </c>
      <c r="G164">
        <v>16.600000000000001</v>
      </c>
      <c r="H164">
        <v>17.82</v>
      </c>
      <c r="I164">
        <v>22000</v>
      </c>
      <c r="J164">
        <v>17.48</v>
      </c>
    </row>
    <row r="165" spans="1:10" x14ac:dyDescent="0.15">
      <c r="A165" s="661">
        <v>44764</v>
      </c>
      <c r="B165" t="s">
        <v>584</v>
      </c>
      <c r="C165">
        <v>824</v>
      </c>
      <c r="D165" t="s">
        <v>1515</v>
      </c>
      <c r="E165">
        <v>16.75</v>
      </c>
      <c r="F165">
        <v>17.149999999999999</v>
      </c>
      <c r="G165">
        <v>16.350000000000001</v>
      </c>
      <c r="H165">
        <v>16.97</v>
      </c>
      <c r="I165">
        <v>335000</v>
      </c>
      <c r="J165">
        <v>16.84</v>
      </c>
    </row>
    <row r="166" spans="1:10" x14ac:dyDescent="0.15">
      <c r="A166" s="661">
        <v>44764</v>
      </c>
      <c r="B166" t="s">
        <v>1332</v>
      </c>
      <c r="C166">
        <v>824</v>
      </c>
      <c r="D166" t="s">
        <v>1333</v>
      </c>
      <c r="E166">
        <v>5.01</v>
      </c>
      <c r="F166">
        <v>5.39</v>
      </c>
      <c r="G166">
        <v>4.75</v>
      </c>
      <c r="H166">
        <v>4.97</v>
      </c>
      <c r="I166">
        <v>35500</v>
      </c>
      <c r="J166">
        <v>5.1100000000000003</v>
      </c>
    </row>
    <row r="167" spans="1:10" x14ac:dyDescent="0.15">
      <c r="A167" s="661">
        <v>44764</v>
      </c>
      <c r="B167" t="s">
        <v>1563</v>
      </c>
      <c r="C167">
        <v>824</v>
      </c>
      <c r="D167" t="s">
        <v>1564</v>
      </c>
      <c r="E167">
        <v>8.0500000000000007</v>
      </c>
      <c r="F167">
        <v>8.6999999999999993</v>
      </c>
      <c r="G167">
        <v>8.0500000000000007</v>
      </c>
      <c r="H167">
        <v>8.6999999999999993</v>
      </c>
      <c r="I167">
        <v>2000</v>
      </c>
      <c r="J167">
        <v>8.65</v>
      </c>
    </row>
    <row r="168" spans="1:10" x14ac:dyDescent="0.15">
      <c r="A168" s="661">
        <v>44764</v>
      </c>
      <c r="B168" t="s">
        <v>1191</v>
      </c>
      <c r="C168">
        <v>824</v>
      </c>
      <c r="D168" t="s">
        <v>1192</v>
      </c>
      <c r="E168">
        <v>6.73</v>
      </c>
      <c r="F168">
        <v>6.8</v>
      </c>
      <c r="G168">
        <v>6.2</v>
      </c>
      <c r="H168">
        <v>6.45</v>
      </c>
      <c r="I168">
        <v>649500</v>
      </c>
      <c r="J168">
        <v>6.43</v>
      </c>
    </row>
    <row r="169" spans="1:10" x14ac:dyDescent="0.15">
      <c r="A169" s="661">
        <v>44764</v>
      </c>
      <c r="B169" t="s">
        <v>121</v>
      </c>
      <c r="C169">
        <v>821</v>
      </c>
      <c r="D169" t="s">
        <v>880</v>
      </c>
      <c r="E169">
        <v>325.10000000000002</v>
      </c>
      <c r="F169">
        <v>337.09</v>
      </c>
      <c r="G169">
        <v>321.99</v>
      </c>
      <c r="H169">
        <v>336.26</v>
      </c>
      <c r="I169">
        <v>178300</v>
      </c>
      <c r="J169">
        <v>328.76</v>
      </c>
    </row>
    <row r="170" spans="1:10" x14ac:dyDescent="0.15">
      <c r="A170" s="661">
        <v>44764</v>
      </c>
      <c r="B170" t="s">
        <v>162</v>
      </c>
      <c r="C170">
        <v>821</v>
      </c>
      <c r="D170" t="s">
        <v>809</v>
      </c>
      <c r="E170">
        <v>171.95</v>
      </c>
      <c r="F170">
        <v>171.99</v>
      </c>
      <c r="G170">
        <v>167.1</v>
      </c>
      <c r="H170">
        <v>169.93</v>
      </c>
      <c r="I170">
        <v>965805</v>
      </c>
      <c r="J170">
        <v>169.79</v>
      </c>
    </row>
    <row r="171" spans="1:10" x14ac:dyDescent="0.15">
      <c r="A171" s="661">
        <v>44764</v>
      </c>
      <c r="B171" t="s">
        <v>1479</v>
      </c>
      <c r="C171">
        <v>821</v>
      </c>
      <c r="D171" t="s">
        <v>1480</v>
      </c>
      <c r="E171">
        <v>19.010000000000002</v>
      </c>
      <c r="F171">
        <v>19.010000000000002</v>
      </c>
      <c r="G171">
        <v>19.010000000000002</v>
      </c>
      <c r="H171">
        <v>19.010000000000002</v>
      </c>
      <c r="I171">
        <v>1000</v>
      </c>
      <c r="J171">
        <v>19.010000000000002</v>
      </c>
    </row>
    <row r="172" spans="1:10" x14ac:dyDescent="0.15">
      <c r="A172" s="661">
        <v>44764</v>
      </c>
      <c r="B172" t="s">
        <v>585</v>
      </c>
      <c r="C172">
        <v>821</v>
      </c>
      <c r="D172" t="s">
        <v>716</v>
      </c>
      <c r="E172">
        <v>119.01</v>
      </c>
      <c r="F172">
        <v>122</v>
      </c>
      <c r="G172">
        <v>119.01</v>
      </c>
      <c r="H172">
        <v>120.87</v>
      </c>
      <c r="I172">
        <v>143200</v>
      </c>
      <c r="J172">
        <v>119.73</v>
      </c>
    </row>
    <row r="173" spans="1:10" x14ac:dyDescent="0.15">
      <c r="A173" s="661">
        <v>44764</v>
      </c>
      <c r="B173" t="s">
        <v>586</v>
      </c>
      <c r="C173">
        <v>821</v>
      </c>
      <c r="D173" t="s">
        <v>587</v>
      </c>
      <c r="E173">
        <v>9.99</v>
      </c>
      <c r="F173">
        <v>10.3</v>
      </c>
      <c r="G173">
        <v>9.75</v>
      </c>
      <c r="H173">
        <v>10.210000000000001</v>
      </c>
      <c r="I173">
        <v>973000</v>
      </c>
      <c r="J173">
        <v>10.02</v>
      </c>
    </row>
    <row r="174" spans="1:10" x14ac:dyDescent="0.15">
      <c r="A174" s="661">
        <v>44764</v>
      </c>
      <c r="B174" t="s">
        <v>127</v>
      </c>
      <c r="C174">
        <v>821</v>
      </c>
      <c r="D174" t="s">
        <v>1565</v>
      </c>
      <c r="E174">
        <v>31.5</v>
      </c>
      <c r="F174">
        <v>32.200000000000003</v>
      </c>
      <c r="G174">
        <v>30.25</v>
      </c>
      <c r="H174">
        <v>31.43</v>
      </c>
      <c r="I174">
        <v>3758853</v>
      </c>
      <c r="J174">
        <v>31.39</v>
      </c>
    </row>
    <row r="175" spans="1:10" x14ac:dyDescent="0.15">
      <c r="A175" s="661">
        <v>44764</v>
      </c>
      <c r="B175" t="s">
        <v>125</v>
      </c>
      <c r="C175">
        <v>821</v>
      </c>
      <c r="D175" t="s">
        <v>588</v>
      </c>
      <c r="E175">
        <v>3.89</v>
      </c>
      <c r="F175">
        <v>3.98</v>
      </c>
      <c r="G175">
        <v>3.68</v>
      </c>
      <c r="H175">
        <v>3.9</v>
      </c>
      <c r="I175">
        <v>614500</v>
      </c>
      <c r="J175">
        <v>3.67</v>
      </c>
    </row>
    <row r="176" spans="1:10" x14ac:dyDescent="0.15">
      <c r="A176" s="661">
        <v>44764</v>
      </c>
      <c r="B176" t="s">
        <v>589</v>
      </c>
      <c r="C176">
        <v>821</v>
      </c>
      <c r="D176" t="s">
        <v>896</v>
      </c>
      <c r="E176">
        <v>35.799999999999997</v>
      </c>
      <c r="F176">
        <v>36.950000000000003</v>
      </c>
      <c r="G176">
        <v>35</v>
      </c>
      <c r="H176">
        <v>36.42</v>
      </c>
      <c r="I176">
        <v>187500</v>
      </c>
      <c r="J176">
        <v>35.71</v>
      </c>
    </row>
    <row r="177" spans="1:10" x14ac:dyDescent="0.15">
      <c r="A177" s="661">
        <v>44764</v>
      </c>
      <c r="B177" t="s">
        <v>123</v>
      </c>
      <c r="C177">
        <v>820</v>
      </c>
      <c r="D177" t="s">
        <v>874</v>
      </c>
      <c r="E177">
        <v>1700</v>
      </c>
      <c r="F177">
        <v>1709.99</v>
      </c>
      <c r="G177">
        <v>1685</v>
      </c>
      <c r="H177">
        <v>1689.97</v>
      </c>
      <c r="I177">
        <v>41843</v>
      </c>
      <c r="J177">
        <v>1700.46</v>
      </c>
    </row>
    <row r="178" spans="1:10" x14ac:dyDescent="0.15">
      <c r="A178" s="661">
        <v>44764</v>
      </c>
      <c r="B178" t="s">
        <v>116</v>
      </c>
      <c r="C178">
        <v>820</v>
      </c>
      <c r="D178" t="s">
        <v>1055</v>
      </c>
      <c r="E178">
        <v>79.95</v>
      </c>
      <c r="F178">
        <v>80.459999999999994</v>
      </c>
      <c r="G178">
        <v>78.349999999999994</v>
      </c>
      <c r="H178">
        <v>80.099999999999994</v>
      </c>
      <c r="I178">
        <v>2619804</v>
      </c>
      <c r="J178">
        <v>78.77</v>
      </c>
    </row>
    <row r="179" spans="1:10" x14ac:dyDescent="0.15">
      <c r="A179" s="661">
        <v>44764</v>
      </c>
      <c r="B179" t="s">
        <v>117</v>
      </c>
      <c r="C179">
        <v>820</v>
      </c>
      <c r="D179" t="s">
        <v>893</v>
      </c>
      <c r="E179">
        <v>377</v>
      </c>
      <c r="F179">
        <v>377.9</v>
      </c>
      <c r="G179">
        <v>371.5</v>
      </c>
      <c r="H179">
        <v>376.19</v>
      </c>
      <c r="I179">
        <v>116183</v>
      </c>
      <c r="J179">
        <v>373.78</v>
      </c>
    </row>
    <row r="180" spans="1:10" x14ac:dyDescent="0.15">
      <c r="A180" s="661">
        <v>44764</v>
      </c>
      <c r="B180" t="s">
        <v>119</v>
      </c>
      <c r="C180">
        <v>820</v>
      </c>
      <c r="D180" t="s">
        <v>903</v>
      </c>
      <c r="E180">
        <v>68.06</v>
      </c>
      <c r="F180">
        <v>69.7</v>
      </c>
      <c r="G180">
        <v>67.209999999999994</v>
      </c>
      <c r="H180">
        <v>68.33</v>
      </c>
      <c r="I180">
        <v>1455537</v>
      </c>
      <c r="J180">
        <v>68.03</v>
      </c>
    </row>
    <row r="181" spans="1:10" x14ac:dyDescent="0.15">
      <c r="A181" s="661">
        <v>44764</v>
      </c>
      <c r="B181" t="s">
        <v>1481</v>
      </c>
      <c r="C181">
        <v>808</v>
      </c>
      <c r="D181" t="s">
        <v>1482</v>
      </c>
      <c r="E181">
        <v>26.5</v>
      </c>
      <c r="F181">
        <v>26.5</v>
      </c>
      <c r="G181">
        <v>26.5</v>
      </c>
      <c r="H181">
        <v>26.5</v>
      </c>
      <c r="I181">
        <v>500</v>
      </c>
      <c r="J181">
        <v>26.25</v>
      </c>
    </row>
    <row r="182" spans="1:10" x14ac:dyDescent="0.15">
      <c r="A182" s="661">
        <v>44764</v>
      </c>
      <c r="B182" t="s">
        <v>656</v>
      </c>
      <c r="C182">
        <v>808</v>
      </c>
      <c r="D182" t="s">
        <v>816</v>
      </c>
      <c r="E182">
        <v>13.5</v>
      </c>
      <c r="F182">
        <v>14</v>
      </c>
      <c r="G182">
        <v>13.5</v>
      </c>
      <c r="H182">
        <v>13.9</v>
      </c>
      <c r="I182">
        <v>92000</v>
      </c>
      <c r="J182">
        <v>13.48</v>
      </c>
    </row>
    <row r="183" spans="1:10" x14ac:dyDescent="0.15">
      <c r="A183" s="661">
        <v>44764</v>
      </c>
      <c r="B183" t="s">
        <v>309</v>
      </c>
      <c r="C183">
        <v>808</v>
      </c>
      <c r="D183" t="s">
        <v>804</v>
      </c>
      <c r="E183">
        <v>10.199999999999999</v>
      </c>
      <c r="F183">
        <v>10.55</v>
      </c>
      <c r="G183">
        <v>10.01</v>
      </c>
      <c r="H183">
        <v>10.38</v>
      </c>
      <c r="I183">
        <v>329575</v>
      </c>
      <c r="J183">
        <v>10.199999999999999</v>
      </c>
    </row>
    <row r="184" spans="1:10" x14ac:dyDescent="0.15">
      <c r="A184" s="661">
        <v>44764</v>
      </c>
      <c r="B184" t="s">
        <v>183</v>
      </c>
      <c r="C184">
        <v>808</v>
      </c>
      <c r="D184" t="s">
        <v>590</v>
      </c>
      <c r="E184">
        <v>22.24</v>
      </c>
      <c r="F184">
        <v>23.35</v>
      </c>
      <c r="G184">
        <v>21.8</v>
      </c>
      <c r="H184">
        <v>23.25</v>
      </c>
      <c r="I184">
        <v>686731</v>
      </c>
      <c r="J184">
        <v>21.93</v>
      </c>
    </row>
    <row r="185" spans="1:10" x14ac:dyDescent="0.15">
      <c r="A185" s="661">
        <v>44764</v>
      </c>
      <c r="B185" t="s">
        <v>1174</v>
      </c>
      <c r="C185">
        <v>808</v>
      </c>
      <c r="D185" t="s">
        <v>1175</v>
      </c>
      <c r="E185">
        <v>55</v>
      </c>
      <c r="F185">
        <v>56.5</v>
      </c>
      <c r="G185">
        <v>54.95</v>
      </c>
      <c r="H185">
        <v>55.01</v>
      </c>
      <c r="I185">
        <v>5500</v>
      </c>
      <c r="J185">
        <v>54.75</v>
      </c>
    </row>
    <row r="186" spans="1:10" x14ac:dyDescent="0.15">
      <c r="A186" s="661">
        <v>44764</v>
      </c>
      <c r="B186" t="s">
        <v>591</v>
      </c>
      <c r="C186">
        <v>808</v>
      </c>
      <c r="D186" t="s">
        <v>592</v>
      </c>
      <c r="E186">
        <v>5.05</v>
      </c>
      <c r="F186">
        <v>5.25</v>
      </c>
      <c r="G186">
        <v>4.95</v>
      </c>
      <c r="H186">
        <v>5.13</v>
      </c>
      <c r="I186">
        <v>167000</v>
      </c>
      <c r="J186">
        <v>5.0999999999999996</v>
      </c>
    </row>
    <row r="187" spans="1:10" x14ac:dyDescent="0.15">
      <c r="A187" s="661">
        <v>44764</v>
      </c>
      <c r="B187" t="s">
        <v>163</v>
      </c>
      <c r="C187">
        <v>808</v>
      </c>
      <c r="D187" t="s">
        <v>1181</v>
      </c>
      <c r="E187">
        <v>38.049999999999997</v>
      </c>
      <c r="F187">
        <v>41.58</v>
      </c>
      <c r="G187">
        <v>37.99</v>
      </c>
      <c r="H187">
        <v>39.74</v>
      </c>
      <c r="I187">
        <v>442500</v>
      </c>
      <c r="J187">
        <v>38.68</v>
      </c>
    </row>
    <row r="188" spans="1:10" x14ac:dyDescent="0.15">
      <c r="A188" s="661">
        <v>44764</v>
      </c>
      <c r="B188" t="s">
        <v>852</v>
      </c>
      <c r="C188">
        <v>821</v>
      </c>
      <c r="D188" t="s">
        <v>1311</v>
      </c>
      <c r="E188">
        <v>9.1</v>
      </c>
      <c r="F188">
        <v>9.5</v>
      </c>
      <c r="G188">
        <v>8.5</v>
      </c>
      <c r="H188">
        <v>9.4</v>
      </c>
      <c r="I188">
        <v>283500</v>
      </c>
      <c r="J188">
        <v>8.77</v>
      </c>
    </row>
    <row r="189" spans="1:10" x14ac:dyDescent="0.15">
      <c r="A189" s="661">
        <v>44764</v>
      </c>
      <c r="B189" t="s">
        <v>593</v>
      </c>
      <c r="C189">
        <v>808</v>
      </c>
      <c r="D189" t="s">
        <v>882</v>
      </c>
      <c r="E189">
        <v>96.01</v>
      </c>
      <c r="F189">
        <v>100.84</v>
      </c>
      <c r="G189">
        <v>95.6</v>
      </c>
      <c r="H189">
        <v>99.52</v>
      </c>
      <c r="I189">
        <v>78016</v>
      </c>
      <c r="J189">
        <v>97.84</v>
      </c>
    </row>
    <row r="190" spans="1:10" x14ac:dyDescent="0.15">
      <c r="A190" s="661">
        <v>44764</v>
      </c>
      <c r="B190" t="s">
        <v>594</v>
      </c>
      <c r="C190">
        <v>808</v>
      </c>
      <c r="D190" t="s">
        <v>881</v>
      </c>
      <c r="E190">
        <v>53.25</v>
      </c>
      <c r="F190">
        <v>54.98</v>
      </c>
      <c r="G190">
        <v>52.51</v>
      </c>
      <c r="H190">
        <v>54.21</v>
      </c>
      <c r="I190">
        <v>116582</v>
      </c>
      <c r="J190">
        <v>52.94</v>
      </c>
    </row>
    <row r="191" spans="1:10" x14ac:dyDescent="0.15">
      <c r="A191" s="661">
        <v>44764</v>
      </c>
      <c r="B191" t="s">
        <v>595</v>
      </c>
      <c r="C191">
        <v>808</v>
      </c>
      <c r="D191" t="s">
        <v>596</v>
      </c>
      <c r="E191">
        <v>6.53</v>
      </c>
      <c r="F191">
        <v>6.8</v>
      </c>
      <c r="G191">
        <v>6.5</v>
      </c>
      <c r="H191">
        <v>6.75</v>
      </c>
      <c r="I191">
        <v>227000</v>
      </c>
      <c r="J191">
        <v>6.53</v>
      </c>
    </row>
    <row r="192" spans="1:10" x14ac:dyDescent="0.15">
      <c r="A192" s="661">
        <v>44764</v>
      </c>
      <c r="B192" t="s">
        <v>1050</v>
      </c>
      <c r="C192">
        <v>808</v>
      </c>
      <c r="D192" t="s">
        <v>1160</v>
      </c>
      <c r="E192">
        <v>124.5</v>
      </c>
      <c r="F192">
        <v>125.5</v>
      </c>
      <c r="G192">
        <v>121.1</v>
      </c>
      <c r="H192">
        <v>123.83</v>
      </c>
      <c r="I192">
        <v>8000</v>
      </c>
      <c r="J192">
        <v>119.5</v>
      </c>
    </row>
    <row r="193" spans="1:10" x14ac:dyDescent="0.15">
      <c r="A193" s="661">
        <v>44764</v>
      </c>
      <c r="B193" t="s">
        <v>164</v>
      </c>
      <c r="C193">
        <v>808</v>
      </c>
      <c r="D193" t="s">
        <v>897</v>
      </c>
      <c r="E193">
        <v>54.45</v>
      </c>
      <c r="F193">
        <v>54.5</v>
      </c>
      <c r="G193">
        <v>52</v>
      </c>
      <c r="H193">
        <v>53.56</v>
      </c>
      <c r="I193">
        <v>333032</v>
      </c>
      <c r="J193">
        <v>52.97</v>
      </c>
    </row>
    <row r="194" spans="1:10" x14ac:dyDescent="0.15">
      <c r="A194" s="661">
        <v>44764</v>
      </c>
      <c r="B194" t="s">
        <v>1448</v>
      </c>
      <c r="C194">
        <v>808</v>
      </c>
      <c r="D194" t="s">
        <v>1449</v>
      </c>
      <c r="E194">
        <v>278</v>
      </c>
      <c r="F194">
        <v>278</v>
      </c>
      <c r="G194">
        <v>278</v>
      </c>
      <c r="H194">
        <v>278</v>
      </c>
      <c r="I194">
        <v>100</v>
      </c>
      <c r="J194">
        <v>259.93</v>
      </c>
    </row>
    <row r="195" spans="1:10" x14ac:dyDescent="0.15">
      <c r="A195" s="661">
        <v>44764</v>
      </c>
      <c r="B195" t="s">
        <v>1389</v>
      </c>
      <c r="C195">
        <v>801</v>
      </c>
      <c r="D195" t="s">
        <v>1390</v>
      </c>
      <c r="E195">
        <v>380.4</v>
      </c>
      <c r="F195">
        <v>385</v>
      </c>
      <c r="G195">
        <v>377</v>
      </c>
      <c r="H195">
        <v>384</v>
      </c>
      <c r="I195">
        <v>600</v>
      </c>
      <c r="J195">
        <v>380.48</v>
      </c>
    </row>
    <row r="196" spans="1:10" x14ac:dyDescent="0.15">
      <c r="A196" s="661">
        <v>44764</v>
      </c>
      <c r="B196" t="s">
        <v>1344</v>
      </c>
      <c r="C196">
        <v>801</v>
      </c>
      <c r="D196" t="s">
        <v>1345</v>
      </c>
      <c r="E196">
        <v>357</v>
      </c>
      <c r="F196">
        <v>357</v>
      </c>
      <c r="G196">
        <v>357</v>
      </c>
      <c r="H196">
        <v>357</v>
      </c>
      <c r="I196">
        <v>100</v>
      </c>
      <c r="J196">
        <v>353.04</v>
      </c>
    </row>
    <row r="197" spans="1:10" x14ac:dyDescent="0.15">
      <c r="A197" s="661">
        <v>44764</v>
      </c>
      <c r="B197" t="s">
        <v>597</v>
      </c>
      <c r="C197">
        <v>801</v>
      </c>
      <c r="D197" t="s">
        <v>598</v>
      </c>
      <c r="E197">
        <v>3.98</v>
      </c>
      <c r="F197">
        <v>3.98</v>
      </c>
      <c r="G197">
        <v>3.76</v>
      </c>
      <c r="H197">
        <v>3.89</v>
      </c>
      <c r="I197">
        <v>53500</v>
      </c>
      <c r="J197">
        <v>3.77</v>
      </c>
    </row>
    <row r="198" spans="1:10" x14ac:dyDescent="0.15">
      <c r="A198" s="661">
        <v>44764</v>
      </c>
      <c r="B198" t="s">
        <v>165</v>
      </c>
      <c r="C198">
        <v>801</v>
      </c>
      <c r="D198" t="s">
        <v>599</v>
      </c>
      <c r="E198">
        <v>141.02000000000001</v>
      </c>
      <c r="F198">
        <v>144.99</v>
      </c>
      <c r="G198">
        <v>140.05000000000001</v>
      </c>
      <c r="H198">
        <v>144.38</v>
      </c>
      <c r="I198">
        <v>104800</v>
      </c>
      <c r="J198">
        <v>141.5</v>
      </c>
    </row>
    <row r="199" spans="1:10" x14ac:dyDescent="0.15">
      <c r="A199" s="661">
        <v>44764</v>
      </c>
      <c r="B199" t="s">
        <v>600</v>
      </c>
      <c r="C199">
        <v>801</v>
      </c>
      <c r="D199" t="s">
        <v>601</v>
      </c>
      <c r="E199">
        <v>52.48</v>
      </c>
      <c r="F199">
        <v>55.22</v>
      </c>
      <c r="G199">
        <v>52.26</v>
      </c>
      <c r="H199">
        <v>54.75</v>
      </c>
      <c r="I199">
        <v>188000</v>
      </c>
      <c r="J199">
        <v>54.19</v>
      </c>
    </row>
    <row r="200" spans="1:10" x14ac:dyDescent="0.15">
      <c r="A200" s="661">
        <v>44764</v>
      </c>
      <c r="B200" t="s">
        <v>602</v>
      </c>
      <c r="C200">
        <v>801</v>
      </c>
      <c r="D200" t="s">
        <v>1346</v>
      </c>
      <c r="E200">
        <v>163.85</v>
      </c>
      <c r="F200">
        <v>163.85</v>
      </c>
      <c r="G200">
        <v>158.02000000000001</v>
      </c>
      <c r="H200">
        <v>159.53</v>
      </c>
      <c r="I200">
        <v>98161</v>
      </c>
      <c r="J200">
        <v>159.88</v>
      </c>
    </row>
    <row r="201" spans="1:10" x14ac:dyDescent="0.15">
      <c r="A201" s="661">
        <v>44764</v>
      </c>
      <c r="B201" t="s">
        <v>843</v>
      </c>
      <c r="C201">
        <v>801</v>
      </c>
      <c r="D201" t="s">
        <v>1042</v>
      </c>
      <c r="E201">
        <v>1136</v>
      </c>
      <c r="F201">
        <v>1137</v>
      </c>
      <c r="G201">
        <v>1101</v>
      </c>
      <c r="H201">
        <v>1125.22</v>
      </c>
      <c r="I201">
        <v>281</v>
      </c>
      <c r="J201">
        <v>1114.73</v>
      </c>
    </row>
    <row r="202" spans="1:10" x14ac:dyDescent="0.15">
      <c r="A202" s="661">
        <v>44764</v>
      </c>
      <c r="B202" t="s">
        <v>130</v>
      </c>
      <c r="C202">
        <v>801</v>
      </c>
      <c r="D202" t="s">
        <v>1060</v>
      </c>
      <c r="E202">
        <v>830</v>
      </c>
      <c r="F202">
        <v>832</v>
      </c>
      <c r="G202">
        <v>815</v>
      </c>
      <c r="H202">
        <v>827.49</v>
      </c>
      <c r="I202">
        <v>28655</v>
      </c>
      <c r="J202">
        <v>832.44</v>
      </c>
    </row>
    <row r="203" spans="1:10" x14ac:dyDescent="0.15">
      <c r="A203" s="661">
        <v>44764</v>
      </c>
      <c r="B203" t="s">
        <v>603</v>
      </c>
      <c r="C203">
        <v>801</v>
      </c>
      <c r="D203" t="s">
        <v>1038</v>
      </c>
      <c r="E203">
        <v>176.5</v>
      </c>
      <c r="F203">
        <v>178.88</v>
      </c>
      <c r="G203">
        <v>173.14</v>
      </c>
      <c r="H203">
        <v>177.48</v>
      </c>
      <c r="I203">
        <v>20359</v>
      </c>
      <c r="J203">
        <v>175.06</v>
      </c>
    </row>
    <row r="204" spans="1:10" x14ac:dyDescent="0.15">
      <c r="A204" s="661">
        <v>44764</v>
      </c>
      <c r="B204" t="s">
        <v>604</v>
      </c>
      <c r="C204">
        <v>801</v>
      </c>
      <c r="D204" t="s">
        <v>802</v>
      </c>
      <c r="E204">
        <v>58</v>
      </c>
      <c r="F204">
        <v>61</v>
      </c>
      <c r="G204">
        <v>58</v>
      </c>
      <c r="H204">
        <v>59.94</v>
      </c>
      <c r="I204">
        <v>90500</v>
      </c>
      <c r="J204">
        <v>58.53</v>
      </c>
    </row>
    <row r="205" spans="1:10" x14ac:dyDescent="0.15">
      <c r="A205" s="661">
        <v>44764</v>
      </c>
      <c r="B205" t="s">
        <v>605</v>
      </c>
      <c r="C205">
        <v>802</v>
      </c>
      <c r="D205" t="s">
        <v>794</v>
      </c>
      <c r="E205">
        <v>155</v>
      </c>
      <c r="F205">
        <v>163.9</v>
      </c>
      <c r="G205">
        <v>155</v>
      </c>
      <c r="H205">
        <v>163.35</v>
      </c>
      <c r="I205">
        <v>1300</v>
      </c>
      <c r="J205">
        <v>160.82</v>
      </c>
    </row>
    <row r="206" spans="1:10" x14ac:dyDescent="0.15">
      <c r="A206" s="661">
        <v>44764</v>
      </c>
      <c r="B206" t="s">
        <v>1353</v>
      </c>
      <c r="C206">
        <v>802</v>
      </c>
      <c r="D206" t="s">
        <v>1354</v>
      </c>
      <c r="E206">
        <v>67.650000000000006</v>
      </c>
      <c r="F206">
        <v>67.7</v>
      </c>
      <c r="G206">
        <v>67.650000000000006</v>
      </c>
      <c r="H206">
        <v>67.7</v>
      </c>
      <c r="I206">
        <v>1000</v>
      </c>
      <c r="J206">
        <v>63</v>
      </c>
    </row>
    <row r="207" spans="1:10" x14ac:dyDescent="0.15">
      <c r="A207" s="661">
        <v>44764</v>
      </c>
      <c r="B207" t="s">
        <v>906</v>
      </c>
      <c r="C207">
        <v>802</v>
      </c>
      <c r="D207" t="s">
        <v>907</v>
      </c>
      <c r="E207">
        <v>249</v>
      </c>
      <c r="F207">
        <v>259.72000000000003</v>
      </c>
      <c r="G207">
        <v>249</v>
      </c>
      <c r="H207">
        <v>255.14</v>
      </c>
      <c r="I207">
        <v>1100</v>
      </c>
      <c r="J207">
        <v>249</v>
      </c>
    </row>
    <row r="208" spans="1:10" x14ac:dyDescent="0.15">
      <c r="A208" s="661">
        <v>44764</v>
      </c>
      <c r="B208" t="s">
        <v>606</v>
      </c>
      <c r="C208">
        <v>802</v>
      </c>
      <c r="D208" t="s">
        <v>853</v>
      </c>
      <c r="E208">
        <v>32.79</v>
      </c>
      <c r="F208">
        <v>32.799999999999997</v>
      </c>
      <c r="G208">
        <v>32</v>
      </c>
      <c r="H208">
        <v>32.5</v>
      </c>
      <c r="I208">
        <v>32000</v>
      </c>
      <c r="J208">
        <v>32.56</v>
      </c>
    </row>
    <row r="209" spans="1:10" x14ac:dyDescent="0.15">
      <c r="A209" s="661">
        <v>44764</v>
      </c>
      <c r="B209" t="s">
        <v>607</v>
      </c>
      <c r="C209">
        <v>802</v>
      </c>
      <c r="D209" t="s">
        <v>718</v>
      </c>
      <c r="E209">
        <v>8.98</v>
      </c>
      <c r="F209">
        <v>9</v>
      </c>
      <c r="G209">
        <v>8.65</v>
      </c>
      <c r="H209">
        <v>8.7899999999999991</v>
      </c>
      <c r="I209">
        <v>243500</v>
      </c>
      <c r="J209">
        <v>8.9499999999999993</v>
      </c>
    </row>
    <row r="210" spans="1:10" x14ac:dyDescent="0.15">
      <c r="A210" s="661">
        <v>44764</v>
      </c>
      <c r="B210" t="s">
        <v>723</v>
      </c>
      <c r="C210">
        <v>802</v>
      </c>
      <c r="D210" t="s">
        <v>790</v>
      </c>
      <c r="E210">
        <v>30.55</v>
      </c>
      <c r="F210">
        <v>31.69</v>
      </c>
      <c r="G210">
        <v>30.15</v>
      </c>
      <c r="H210">
        <v>31.19</v>
      </c>
      <c r="I210">
        <v>31000</v>
      </c>
      <c r="J210">
        <v>31.09</v>
      </c>
    </row>
    <row r="211" spans="1:10" x14ac:dyDescent="0.15">
      <c r="A211" s="661">
        <v>44764</v>
      </c>
      <c r="B211" t="s">
        <v>1566</v>
      </c>
      <c r="C211">
        <v>803</v>
      </c>
      <c r="D211" t="s">
        <v>1567</v>
      </c>
      <c r="E211">
        <v>149</v>
      </c>
      <c r="F211">
        <v>149</v>
      </c>
      <c r="G211">
        <v>149</v>
      </c>
      <c r="H211">
        <v>146.9</v>
      </c>
      <c r="I211">
        <v>100</v>
      </c>
      <c r="J211">
        <v>146.9</v>
      </c>
    </row>
    <row r="212" spans="1:10" x14ac:dyDescent="0.15">
      <c r="A212" s="661">
        <v>44764</v>
      </c>
      <c r="B212" t="s">
        <v>166</v>
      </c>
      <c r="C212">
        <v>803</v>
      </c>
      <c r="D212" t="s">
        <v>892</v>
      </c>
      <c r="E212">
        <v>14.55</v>
      </c>
      <c r="F212">
        <v>15.13</v>
      </c>
      <c r="G212">
        <v>14.26</v>
      </c>
      <c r="H212">
        <v>15.06</v>
      </c>
      <c r="I212">
        <v>2726500</v>
      </c>
      <c r="J212">
        <v>14.5</v>
      </c>
    </row>
    <row r="213" spans="1:10" x14ac:dyDescent="0.15">
      <c r="A213" s="661">
        <v>44764</v>
      </c>
      <c r="B213" t="s">
        <v>608</v>
      </c>
      <c r="C213">
        <v>828</v>
      </c>
      <c r="D213" t="s">
        <v>609</v>
      </c>
      <c r="E213">
        <v>8.0299999999999994</v>
      </c>
      <c r="F213">
        <v>8.6</v>
      </c>
      <c r="G213">
        <v>7.84</v>
      </c>
      <c r="H213">
        <v>8.2899999999999991</v>
      </c>
      <c r="I213">
        <v>1329000</v>
      </c>
      <c r="J213">
        <v>8.0399999999999991</v>
      </c>
    </row>
    <row r="214" spans="1:10" x14ac:dyDescent="0.15">
      <c r="A214" s="661">
        <v>44764</v>
      </c>
      <c r="B214" t="s">
        <v>1157</v>
      </c>
      <c r="C214">
        <v>828</v>
      </c>
      <c r="D214" t="s">
        <v>1158</v>
      </c>
      <c r="E214">
        <v>8.3000000000000007</v>
      </c>
      <c r="F214">
        <v>8.8699999999999992</v>
      </c>
      <c r="G214">
        <v>8.01</v>
      </c>
      <c r="H214">
        <v>8.56</v>
      </c>
      <c r="I214">
        <v>33000</v>
      </c>
      <c r="J214">
        <v>8.0500000000000007</v>
      </c>
    </row>
    <row r="215" spans="1:10" x14ac:dyDescent="0.15">
      <c r="A215" s="661">
        <v>44764</v>
      </c>
      <c r="B215" t="s">
        <v>789</v>
      </c>
      <c r="C215">
        <v>828</v>
      </c>
      <c r="D215" t="s">
        <v>823</v>
      </c>
      <c r="E215">
        <v>35.22</v>
      </c>
      <c r="F215">
        <v>37.479999999999997</v>
      </c>
      <c r="G215">
        <v>35.020000000000003</v>
      </c>
      <c r="H215">
        <v>36.979999999999997</v>
      </c>
      <c r="I215">
        <v>110000</v>
      </c>
      <c r="J215">
        <v>35.159999999999997</v>
      </c>
    </row>
    <row r="216" spans="1:10" x14ac:dyDescent="0.15">
      <c r="A216" s="661">
        <v>44764</v>
      </c>
      <c r="B216" t="s">
        <v>610</v>
      </c>
      <c r="C216">
        <v>828</v>
      </c>
      <c r="D216" t="s">
        <v>1043</v>
      </c>
      <c r="E216">
        <v>68.38</v>
      </c>
      <c r="F216">
        <v>73.5</v>
      </c>
      <c r="G216">
        <v>67.2</v>
      </c>
      <c r="H216">
        <v>73</v>
      </c>
      <c r="I216">
        <v>2220299</v>
      </c>
      <c r="J216">
        <v>68.38</v>
      </c>
    </row>
    <row r="217" spans="1:10" x14ac:dyDescent="0.15">
      <c r="A217" s="661">
        <v>44764</v>
      </c>
      <c r="B217" t="s">
        <v>611</v>
      </c>
      <c r="C217">
        <v>803</v>
      </c>
      <c r="D217" t="s">
        <v>770</v>
      </c>
      <c r="E217">
        <v>11.54</v>
      </c>
      <c r="F217">
        <v>11.94</v>
      </c>
      <c r="G217">
        <v>11.31</v>
      </c>
      <c r="H217">
        <v>11.75</v>
      </c>
      <c r="I217">
        <v>534500</v>
      </c>
      <c r="J217">
        <v>11.53</v>
      </c>
    </row>
    <row r="218" spans="1:10" x14ac:dyDescent="0.15">
      <c r="A218" s="661">
        <v>44764</v>
      </c>
      <c r="B218" t="s">
        <v>819</v>
      </c>
      <c r="C218">
        <v>818</v>
      </c>
      <c r="D218" t="s">
        <v>1040</v>
      </c>
      <c r="E218">
        <v>14.08</v>
      </c>
      <c r="F218">
        <v>14.89</v>
      </c>
      <c r="G218">
        <v>13.8</v>
      </c>
      <c r="H218">
        <v>14.69</v>
      </c>
      <c r="I218">
        <v>5000</v>
      </c>
      <c r="J218">
        <v>14.08</v>
      </c>
    </row>
    <row r="219" spans="1:10" x14ac:dyDescent="0.15">
      <c r="A219" s="661">
        <v>44764</v>
      </c>
      <c r="B219" t="s">
        <v>827</v>
      </c>
      <c r="C219">
        <v>833</v>
      </c>
      <c r="D219" t="s">
        <v>828</v>
      </c>
      <c r="E219">
        <v>48.7</v>
      </c>
      <c r="F219">
        <v>51</v>
      </c>
      <c r="G219">
        <v>48.7</v>
      </c>
      <c r="H219">
        <v>50.83</v>
      </c>
      <c r="I219">
        <v>10500</v>
      </c>
      <c r="J219">
        <v>48.73</v>
      </c>
    </row>
    <row r="220" spans="1:10" x14ac:dyDescent="0.15">
      <c r="A220" s="661">
        <v>44764</v>
      </c>
      <c r="B220" t="s">
        <v>1169</v>
      </c>
      <c r="C220">
        <v>833</v>
      </c>
      <c r="D220" t="s">
        <v>1170</v>
      </c>
      <c r="E220">
        <v>49.94</v>
      </c>
      <c r="F220">
        <v>49.94</v>
      </c>
      <c r="G220">
        <v>49.94</v>
      </c>
      <c r="H220">
        <v>49.94</v>
      </c>
      <c r="I220">
        <v>500</v>
      </c>
      <c r="J220">
        <v>46.5</v>
      </c>
    </row>
    <row r="221" spans="1:10" x14ac:dyDescent="0.15">
      <c r="A221" s="661">
        <v>44764</v>
      </c>
      <c r="B221" t="s">
        <v>612</v>
      </c>
      <c r="C221">
        <v>833</v>
      </c>
      <c r="D221" t="s">
        <v>613</v>
      </c>
      <c r="E221">
        <v>5.54</v>
      </c>
      <c r="F221">
        <v>5.69</v>
      </c>
      <c r="G221">
        <v>5.45</v>
      </c>
      <c r="H221">
        <v>5.62</v>
      </c>
      <c r="I221">
        <v>784000</v>
      </c>
      <c r="J221">
        <v>5.54</v>
      </c>
    </row>
    <row r="222" spans="1:10" x14ac:dyDescent="0.15">
      <c r="A222" s="661">
        <v>44764</v>
      </c>
      <c r="B222" t="s">
        <v>614</v>
      </c>
      <c r="C222">
        <v>833</v>
      </c>
      <c r="D222" t="s">
        <v>1031</v>
      </c>
      <c r="E222">
        <v>161.80000000000001</v>
      </c>
      <c r="F222">
        <v>163</v>
      </c>
      <c r="G222">
        <v>160</v>
      </c>
      <c r="H222">
        <v>162.88999999999999</v>
      </c>
      <c r="I222">
        <v>5300</v>
      </c>
      <c r="J222">
        <v>160.11000000000001</v>
      </c>
    </row>
    <row r="223" spans="1:10" x14ac:dyDescent="0.15">
      <c r="A223" s="661">
        <v>44764</v>
      </c>
      <c r="B223" t="s">
        <v>615</v>
      </c>
      <c r="C223">
        <v>833</v>
      </c>
      <c r="D223" t="s">
        <v>616</v>
      </c>
      <c r="E223">
        <v>3.34</v>
      </c>
      <c r="F223">
        <v>3.48</v>
      </c>
      <c r="G223">
        <v>3.22</v>
      </c>
      <c r="H223">
        <v>3.27</v>
      </c>
      <c r="I223">
        <v>112500</v>
      </c>
      <c r="J223">
        <v>3.2</v>
      </c>
    </row>
    <row r="224" spans="1:10" x14ac:dyDescent="0.15">
      <c r="A224" s="661">
        <v>44764</v>
      </c>
      <c r="B224" t="s">
        <v>617</v>
      </c>
      <c r="C224">
        <v>828</v>
      </c>
      <c r="D224" t="s">
        <v>1039</v>
      </c>
      <c r="E224">
        <v>6.5</v>
      </c>
      <c r="F224">
        <v>6.73</v>
      </c>
      <c r="G224">
        <v>6.35</v>
      </c>
      <c r="H224">
        <v>6.69</v>
      </c>
      <c r="I224">
        <v>1014500</v>
      </c>
      <c r="J224">
        <v>6.51</v>
      </c>
    </row>
    <row r="225" spans="1:10" x14ac:dyDescent="0.15">
      <c r="A225" s="661">
        <v>44764</v>
      </c>
      <c r="B225" t="s">
        <v>618</v>
      </c>
      <c r="C225">
        <v>828</v>
      </c>
      <c r="D225" t="s">
        <v>619</v>
      </c>
      <c r="E225">
        <v>87.3</v>
      </c>
      <c r="F225">
        <v>93</v>
      </c>
      <c r="G225">
        <v>86</v>
      </c>
      <c r="H225">
        <v>91.71</v>
      </c>
      <c r="I225">
        <v>1411942</v>
      </c>
      <c r="J225">
        <v>87.28</v>
      </c>
    </row>
    <row r="226" spans="1:10" x14ac:dyDescent="0.15">
      <c r="A226" s="661">
        <v>44764</v>
      </c>
      <c r="B226" t="s">
        <v>1450</v>
      </c>
      <c r="C226">
        <v>828</v>
      </c>
      <c r="D226" t="s">
        <v>1451</v>
      </c>
      <c r="E226">
        <v>45.5</v>
      </c>
      <c r="F226">
        <v>45.5</v>
      </c>
      <c r="G226">
        <v>45.5</v>
      </c>
      <c r="H226">
        <v>45.5</v>
      </c>
      <c r="I226">
        <v>500</v>
      </c>
      <c r="J226">
        <v>44.8</v>
      </c>
    </row>
    <row r="227" spans="1:10" x14ac:dyDescent="0.15">
      <c r="A227" s="661">
        <v>44764</v>
      </c>
      <c r="B227" t="s">
        <v>793</v>
      </c>
      <c r="C227">
        <v>828</v>
      </c>
      <c r="D227" t="s">
        <v>795</v>
      </c>
      <c r="E227">
        <v>63.7</v>
      </c>
      <c r="F227">
        <v>67.5</v>
      </c>
      <c r="G227">
        <v>62.78</v>
      </c>
      <c r="H227">
        <v>66.88</v>
      </c>
      <c r="I227">
        <v>800000</v>
      </c>
      <c r="J227">
        <v>63.7</v>
      </c>
    </row>
    <row r="228" spans="1:10" x14ac:dyDescent="0.15">
      <c r="A228" s="661">
        <v>44764</v>
      </c>
      <c r="B228" t="s">
        <v>620</v>
      </c>
      <c r="C228">
        <v>828</v>
      </c>
      <c r="D228" t="s">
        <v>621</v>
      </c>
      <c r="E228">
        <v>1.8</v>
      </c>
      <c r="F228">
        <v>2.0299999999999998</v>
      </c>
      <c r="G228">
        <v>1.8</v>
      </c>
      <c r="H228">
        <v>1.9</v>
      </c>
      <c r="I228">
        <v>54000</v>
      </c>
      <c r="J228">
        <v>1.82</v>
      </c>
    </row>
    <row r="229" spans="1:10" x14ac:dyDescent="0.15">
      <c r="A229" s="661">
        <v>44764</v>
      </c>
      <c r="B229" t="s">
        <v>622</v>
      </c>
      <c r="C229">
        <v>828</v>
      </c>
      <c r="D229" t="s">
        <v>931</v>
      </c>
      <c r="E229">
        <v>339.99</v>
      </c>
      <c r="F229">
        <v>344</v>
      </c>
      <c r="G229">
        <v>330.54</v>
      </c>
      <c r="H229">
        <v>340.99</v>
      </c>
      <c r="I229">
        <v>357237</v>
      </c>
      <c r="J229">
        <v>331.87</v>
      </c>
    </row>
    <row r="230" spans="1:10" x14ac:dyDescent="0.15">
      <c r="A230" s="661">
        <v>44764</v>
      </c>
      <c r="B230" t="s">
        <v>623</v>
      </c>
      <c r="C230">
        <v>828</v>
      </c>
      <c r="D230" t="s">
        <v>624</v>
      </c>
      <c r="E230">
        <v>6.62</v>
      </c>
      <c r="F230">
        <v>6.9</v>
      </c>
      <c r="G230">
        <v>6.6</v>
      </c>
      <c r="H230">
        <v>6.83</v>
      </c>
      <c r="I230">
        <v>1260000</v>
      </c>
      <c r="J230">
        <v>6.86</v>
      </c>
    </row>
    <row r="231" spans="1:10" x14ac:dyDescent="0.15">
      <c r="A231" s="661">
        <v>44764</v>
      </c>
      <c r="B231" t="s">
        <v>625</v>
      </c>
      <c r="C231">
        <v>828</v>
      </c>
      <c r="D231" t="s">
        <v>778</v>
      </c>
      <c r="E231">
        <v>78.400000000000006</v>
      </c>
      <c r="F231">
        <v>80.16</v>
      </c>
      <c r="G231">
        <v>77.56</v>
      </c>
      <c r="H231">
        <v>79.69</v>
      </c>
      <c r="I231">
        <v>2343895</v>
      </c>
      <c r="J231">
        <v>77.78</v>
      </c>
    </row>
    <row r="232" spans="1:10" x14ac:dyDescent="0.15">
      <c r="A232" s="661">
        <v>44764</v>
      </c>
      <c r="B232" t="s">
        <v>626</v>
      </c>
      <c r="C232">
        <v>828</v>
      </c>
      <c r="D232" t="s">
        <v>829</v>
      </c>
      <c r="E232">
        <v>10.15</v>
      </c>
      <c r="F232">
        <v>10.69</v>
      </c>
      <c r="G232">
        <v>9.9</v>
      </c>
      <c r="H232">
        <v>10.48</v>
      </c>
      <c r="I232">
        <v>2796500</v>
      </c>
      <c r="J232">
        <v>10.130000000000001</v>
      </c>
    </row>
    <row r="233" spans="1:10" x14ac:dyDescent="0.15">
      <c r="A233" s="661">
        <v>44764</v>
      </c>
      <c r="B233" t="s">
        <v>627</v>
      </c>
      <c r="C233">
        <v>828</v>
      </c>
      <c r="D233" t="s">
        <v>628</v>
      </c>
      <c r="E233">
        <v>1.2</v>
      </c>
      <c r="F233">
        <v>1.26</v>
      </c>
      <c r="G233">
        <v>1.19</v>
      </c>
      <c r="H233">
        <v>1.2</v>
      </c>
      <c r="I233">
        <v>19981000</v>
      </c>
      <c r="J233">
        <v>1.21</v>
      </c>
    </row>
    <row r="234" spans="1:10" x14ac:dyDescent="0.15">
      <c r="A234" s="661">
        <v>44764</v>
      </c>
      <c r="B234" t="s">
        <v>1516</v>
      </c>
      <c r="C234">
        <v>828</v>
      </c>
      <c r="D234" t="s">
        <v>1517</v>
      </c>
      <c r="E234">
        <v>14.2</v>
      </c>
      <c r="F234">
        <v>16.3</v>
      </c>
      <c r="G234">
        <v>14.06</v>
      </c>
      <c r="H234">
        <v>14.55</v>
      </c>
      <c r="I234">
        <v>18500</v>
      </c>
      <c r="J234">
        <v>15.2</v>
      </c>
    </row>
    <row r="235" spans="1:10" x14ac:dyDescent="0.15">
      <c r="A235" s="661">
        <v>44764</v>
      </c>
      <c r="B235" t="s">
        <v>1355</v>
      </c>
      <c r="C235">
        <v>813</v>
      </c>
      <c r="D235" t="s">
        <v>1356</v>
      </c>
      <c r="E235">
        <v>93.6</v>
      </c>
      <c r="F235">
        <v>94.75</v>
      </c>
      <c r="G235">
        <v>93.5</v>
      </c>
      <c r="H235">
        <v>94.08</v>
      </c>
      <c r="I235">
        <v>114500</v>
      </c>
      <c r="J235">
        <v>94</v>
      </c>
    </row>
    <row r="236" spans="1:10" x14ac:dyDescent="0.15">
      <c r="A236" s="661">
        <v>44764</v>
      </c>
      <c r="B236" t="s">
        <v>136</v>
      </c>
      <c r="C236">
        <v>809</v>
      </c>
      <c r="D236" t="s">
        <v>1032</v>
      </c>
      <c r="E236">
        <v>245.99</v>
      </c>
      <c r="F236">
        <v>246</v>
      </c>
      <c r="G236">
        <v>241.05</v>
      </c>
      <c r="H236">
        <v>245.17</v>
      </c>
      <c r="I236">
        <v>127238</v>
      </c>
      <c r="J236">
        <v>241.57</v>
      </c>
    </row>
    <row r="237" spans="1:10" x14ac:dyDescent="0.15">
      <c r="A237" s="661">
        <v>44764</v>
      </c>
      <c r="B237" t="s">
        <v>140</v>
      </c>
      <c r="C237">
        <v>809</v>
      </c>
      <c r="D237" t="s">
        <v>1033</v>
      </c>
      <c r="E237">
        <v>83.5</v>
      </c>
      <c r="F237">
        <v>85</v>
      </c>
      <c r="G237">
        <v>82.2</v>
      </c>
      <c r="H237">
        <v>84.82</v>
      </c>
      <c r="I237">
        <v>1669421</v>
      </c>
      <c r="J237">
        <v>82.93</v>
      </c>
    </row>
    <row r="238" spans="1:10" x14ac:dyDescent="0.15">
      <c r="A238" s="661">
        <v>44764</v>
      </c>
      <c r="B238" t="s">
        <v>138</v>
      </c>
      <c r="C238">
        <v>809</v>
      </c>
      <c r="D238" t="s">
        <v>664</v>
      </c>
      <c r="E238">
        <v>19.75</v>
      </c>
      <c r="F238">
        <v>21.24</v>
      </c>
      <c r="G238">
        <v>19.75</v>
      </c>
      <c r="H238">
        <v>21.06</v>
      </c>
      <c r="I238">
        <v>9290000</v>
      </c>
      <c r="J238">
        <v>19.87</v>
      </c>
    </row>
    <row r="239" spans="1:10" x14ac:dyDescent="0.15">
      <c r="A239" s="661">
        <v>44764</v>
      </c>
      <c r="B239" t="s">
        <v>133</v>
      </c>
      <c r="C239">
        <v>809</v>
      </c>
      <c r="D239" t="s">
        <v>1047</v>
      </c>
      <c r="E239">
        <v>106.1</v>
      </c>
      <c r="F239">
        <v>107</v>
      </c>
      <c r="G239">
        <v>105.5</v>
      </c>
      <c r="H239">
        <v>105.99</v>
      </c>
      <c r="I239">
        <v>358569</v>
      </c>
      <c r="J239">
        <v>105.53</v>
      </c>
    </row>
    <row r="240" spans="1:10" x14ac:dyDescent="0.15">
      <c r="A240" s="661">
        <v>44764</v>
      </c>
      <c r="B240" t="s">
        <v>343</v>
      </c>
      <c r="C240">
        <v>823</v>
      </c>
      <c r="D240" t="s">
        <v>1357</v>
      </c>
      <c r="E240">
        <v>630</v>
      </c>
      <c r="F240">
        <v>630</v>
      </c>
      <c r="G240">
        <v>623</v>
      </c>
      <c r="H240">
        <v>626.66</v>
      </c>
      <c r="I240">
        <v>9000</v>
      </c>
      <c r="J240">
        <v>632.87</v>
      </c>
    </row>
    <row r="241" spans="1:10" x14ac:dyDescent="0.15">
      <c r="A241" s="661">
        <v>44764</v>
      </c>
      <c r="B241" t="s">
        <v>438</v>
      </c>
      <c r="C241">
        <v>823</v>
      </c>
      <c r="D241" t="s">
        <v>932</v>
      </c>
      <c r="E241">
        <v>76</v>
      </c>
      <c r="F241">
        <v>78.5</v>
      </c>
      <c r="G241">
        <v>75.010000000000005</v>
      </c>
      <c r="H241">
        <v>77.180000000000007</v>
      </c>
      <c r="I241">
        <v>7440</v>
      </c>
      <c r="J241">
        <v>75.92</v>
      </c>
    </row>
    <row r="242" spans="1:10" x14ac:dyDescent="0.15">
      <c r="A242" s="661">
        <v>44764</v>
      </c>
      <c r="B242" t="s">
        <v>780</v>
      </c>
      <c r="C242">
        <v>823</v>
      </c>
      <c r="D242" t="s">
        <v>821</v>
      </c>
      <c r="E242">
        <v>30.25</v>
      </c>
      <c r="F242">
        <v>31.5</v>
      </c>
      <c r="G242">
        <v>29.9</v>
      </c>
      <c r="H242">
        <v>31.17</v>
      </c>
      <c r="I242">
        <v>257212</v>
      </c>
      <c r="J242">
        <v>30.16</v>
      </c>
    </row>
    <row r="243" spans="1:10" x14ac:dyDescent="0.15">
      <c r="A243" s="661">
        <v>44764</v>
      </c>
      <c r="B243" t="s">
        <v>167</v>
      </c>
      <c r="C243">
        <v>823</v>
      </c>
      <c r="D243" t="s">
        <v>928</v>
      </c>
      <c r="E243">
        <v>260.01</v>
      </c>
      <c r="F243">
        <v>264.49</v>
      </c>
      <c r="G243">
        <v>260.01</v>
      </c>
      <c r="H243">
        <v>264.18</v>
      </c>
      <c r="I243">
        <v>400</v>
      </c>
      <c r="J243">
        <v>260.95999999999998</v>
      </c>
    </row>
    <row r="244" spans="1:10" x14ac:dyDescent="0.15">
      <c r="A244" s="661">
        <v>44764</v>
      </c>
      <c r="B244" t="s">
        <v>629</v>
      </c>
      <c r="C244">
        <v>823</v>
      </c>
      <c r="D244" t="s">
        <v>1161</v>
      </c>
      <c r="E244">
        <v>116.6</v>
      </c>
      <c r="F244">
        <v>120</v>
      </c>
      <c r="G244">
        <v>116</v>
      </c>
      <c r="H244">
        <v>119.32</v>
      </c>
      <c r="I244">
        <v>16500</v>
      </c>
      <c r="J244">
        <v>118.12</v>
      </c>
    </row>
    <row r="245" spans="1:10" x14ac:dyDescent="0.15">
      <c r="A245" s="661">
        <v>44764</v>
      </c>
      <c r="B245" t="s">
        <v>1413</v>
      </c>
      <c r="C245">
        <v>823</v>
      </c>
      <c r="D245" t="s">
        <v>1414</v>
      </c>
      <c r="E245">
        <v>219.99</v>
      </c>
      <c r="F245">
        <v>220</v>
      </c>
      <c r="G245">
        <v>219.99</v>
      </c>
      <c r="H245">
        <v>220</v>
      </c>
      <c r="I245">
        <v>3500</v>
      </c>
      <c r="J245">
        <v>220.17</v>
      </c>
    </row>
    <row r="246" spans="1:10" x14ac:dyDescent="0.15">
      <c r="A246" s="661">
        <v>44764</v>
      </c>
      <c r="B246" t="s">
        <v>153</v>
      </c>
      <c r="C246">
        <v>823</v>
      </c>
      <c r="D246" t="s">
        <v>1048</v>
      </c>
      <c r="E246">
        <v>541.1</v>
      </c>
      <c r="F246">
        <v>549.5</v>
      </c>
      <c r="G246">
        <v>541</v>
      </c>
      <c r="H246">
        <v>547.30999999999995</v>
      </c>
      <c r="I246">
        <v>2300</v>
      </c>
      <c r="J246">
        <v>543.6</v>
      </c>
    </row>
    <row r="247" spans="1:10" x14ac:dyDescent="0.15">
      <c r="A247" s="661">
        <v>44764</v>
      </c>
      <c r="B247" t="s">
        <v>1193</v>
      </c>
      <c r="C247">
        <v>823</v>
      </c>
      <c r="D247" t="s">
        <v>1194</v>
      </c>
      <c r="E247">
        <v>1379.99</v>
      </c>
      <c r="F247">
        <v>1380</v>
      </c>
      <c r="G247">
        <v>1375.01</v>
      </c>
      <c r="H247">
        <v>1380</v>
      </c>
      <c r="I247">
        <v>300</v>
      </c>
      <c r="J247">
        <v>1369.4</v>
      </c>
    </row>
    <row r="248" spans="1:10" x14ac:dyDescent="0.15">
      <c r="A248" s="661">
        <v>44764</v>
      </c>
      <c r="B248" t="s">
        <v>1358</v>
      </c>
      <c r="C248">
        <v>823</v>
      </c>
      <c r="D248" t="s">
        <v>1359</v>
      </c>
      <c r="E248">
        <v>214</v>
      </c>
      <c r="F248">
        <v>214</v>
      </c>
      <c r="G248">
        <v>200</v>
      </c>
      <c r="H248">
        <v>200</v>
      </c>
      <c r="I248">
        <v>500</v>
      </c>
      <c r="J248">
        <v>199.75</v>
      </c>
    </row>
    <row r="249" spans="1:10" x14ac:dyDescent="0.15">
      <c r="A249" s="661">
        <v>44764</v>
      </c>
      <c r="B249" t="s">
        <v>151</v>
      </c>
      <c r="C249">
        <v>823</v>
      </c>
      <c r="D249" t="s">
        <v>822</v>
      </c>
      <c r="E249">
        <v>97.12</v>
      </c>
      <c r="F249">
        <v>99.03</v>
      </c>
      <c r="G249">
        <v>96.01</v>
      </c>
      <c r="H249">
        <v>98.48</v>
      </c>
      <c r="I249">
        <v>162638</v>
      </c>
      <c r="J249">
        <v>97.63</v>
      </c>
    </row>
    <row r="250" spans="1:10" x14ac:dyDescent="0.15">
      <c r="A250" s="661">
        <v>44764</v>
      </c>
      <c r="B250" t="s">
        <v>134</v>
      </c>
      <c r="C250">
        <v>805</v>
      </c>
      <c r="D250" t="s">
        <v>1201</v>
      </c>
      <c r="E250">
        <v>63.25</v>
      </c>
      <c r="F250">
        <v>67.400000000000006</v>
      </c>
      <c r="G250">
        <v>63.25</v>
      </c>
      <c r="H250">
        <v>67.400000000000006</v>
      </c>
      <c r="I250">
        <v>1000</v>
      </c>
      <c r="J250">
        <v>64.760000000000005</v>
      </c>
    </row>
    <row r="251" spans="1:10" x14ac:dyDescent="0.15">
      <c r="A251" s="661">
        <v>44764</v>
      </c>
      <c r="B251" t="s">
        <v>630</v>
      </c>
      <c r="C251">
        <v>805</v>
      </c>
      <c r="D251" t="s">
        <v>805</v>
      </c>
      <c r="E251">
        <v>72</v>
      </c>
      <c r="F251">
        <v>77</v>
      </c>
      <c r="G251">
        <v>71.010000000000005</v>
      </c>
      <c r="H251">
        <v>76.349999999999994</v>
      </c>
      <c r="I251">
        <v>71500</v>
      </c>
      <c r="J251">
        <v>72.17</v>
      </c>
    </row>
    <row r="252" spans="1:10" x14ac:dyDescent="0.15">
      <c r="A252" s="661">
        <v>44764</v>
      </c>
      <c r="B252" t="s">
        <v>1051</v>
      </c>
      <c r="C252">
        <v>805</v>
      </c>
      <c r="D252" t="s">
        <v>1052</v>
      </c>
      <c r="E252">
        <v>114</v>
      </c>
      <c r="F252">
        <v>116</v>
      </c>
      <c r="G252">
        <v>106.58</v>
      </c>
      <c r="H252">
        <v>108.05</v>
      </c>
      <c r="I252">
        <v>173100</v>
      </c>
      <c r="J252">
        <v>115.19</v>
      </c>
    </row>
    <row r="253" spans="1:10" x14ac:dyDescent="0.15">
      <c r="A253" s="661">
        <v>44764</v>
      </c>
      <c r="B253" t="s">
        <v>1347</v>
      </c>
      <c r="C253">
        <v>805</v>
      </c>
      <c r="D253" t="s">
        <v>1348</v>
      </c>
      <c r="E253">
        <v>545</v>
      </c>
      <c r="F253">
        <v>555</v>
      </c>
      <c r="G253">
        <v>545</v>
      </c>
      <c r="H253">
        <v>555</v>
      </c>
      <c r="I253">
        <v>750</v>
      </c>
      <c r="J253">
        <v>545</v>
      </c>
    </row>
    <row r="254" spans="1:10" x14ac:dyDescent="0.15">
      <c r="A254" s="661">
        <v>44764</v>
      </c>
      <c r="B254" t="s">
        <v>1391</v>
      </c>
      <c r="C254">
        <v>805</v>
      </c>
      <c r="D254" t="s">
        <v>1392</v>
      </c>
      <c r="E254">
        <v>2070</v>
      </c>
      <c r="F254">
        <v>2100</v>
      </c>
      <c r="G254">
        <v>2040</v>
      </c>
      <c r="H254">
        <v>2046.67</v>
      </c>
      <c r="I254">
        <v>320</v>
      </c>
      <c r="J254">
        <v>2011</v>
      </c>
    </row>
    <row r="255" spans="1:10" x14ac:dyDescent="0.15">
      <c r="A255" s="661">
        <v>44764</v>
      </c>
      <c r="B255" t="s">
        <v>1393</v>
      </c>
      <c r="C255">
        <v>830</v>
      </c>
      <c r="D255" t="s">
        <v>1394</v>
      </c>
      <c r="E255">
        <v>3.32</v>
      </c>
      <c r="F255">
        <v>3.76</v>
      </c>
      <c r="G255">
        <v>3.32</v>
      </c>
      <c r="H255">
        <v>3.69</v>
      </c>
      <c r="I255">
        <v>14500</v>
      </c>
      <c r="J255">
        <v>3.57</v>
      </c>
    </row>
    <row r="256" spans="1:10" x14ac:dyDescent="0.15">
      <c r="A256" s="661">
        <v>44764</v>
      </c>
      <c r="B256" t="s">
        <v>631</v>
      </c>
      <c r="C256">
        <v>805</v>
      </c>
      <c r="D256" t="s">
        <v>806</v>
      </c>
      <c r="E256">
        <v>14.84</v>
      </c>
      <c r="F256">
        <v>15.48</v>
      </c>
      <c r="G256">
        <v>14.7</v>
      </c>
      <c r="H256">
        <v>14.89</v>
      </c>
      <c r="I256">
        <v>115500</v>
      </c>
      <c r="J256">
        <v>15.19</v>
      </c>
    </row>
    <row r="257" spans="1:10" x14ac:dyDescent="0.15">
      <c r="A257" s="661">
        <v>44764</v>
      </c>
      <c r="B257" t="s">
        <v>1204</v>
      </c>
      <c r="C257">
        <v>805</v>
      </c>
      <c r="D257" t="s">
        <v>1205</v>
      </c>
      <c r="E257">
        <v>198.85</v>
      </c>
      <c r="F257">
        <v>199.91</v>
      </c>
      <c r="G257">
        <v>198.85</v>
      </c>
      <c r="H257">
        <v>199.13</v>
      </c>
      <c r="I257">
        <v>500</v>
      </c>
      <c r="J257">
        <v>188.5</v>
      </c>
    </row>
    <row r="258" spans="1:10" x14ac:dyDescent="0.15">
      <c r="A258" s="661">
        <v>44764</v>
      </c>
      <c r="B258" t="s">
        <v>168</v>
      </c>
      <c r="C258">
        <v>805</v>
      </c>
      <c r="D258" t="s">
        <v>1030</v>
      </c>
      <c r="E258">
        <v>65</v>
      </c>
      <c r="F258">
        <v>66.5</v>
      </c>
      <c r="G258">
        <v>62.5</v>
      </c>
      <c r="H258">
        <v>65.989999999999995</v>
      </c>
      <c r="I258">
        <v>3028093</v>
      </c>
      <c r="J258">
        <v>65.02</v>
      </c>
    </row>
    <row r="259" spans="1:10" x14ac:dyDescent="0.15">
      <c r="A259" s="661">
        <v>44764</v>
      </c>
      <c r="B259" t="s">
        <v>665</v>
      </c>
      <c r="C259">
        <v>809</v>
      </c>
      <c r="D259" t="s">
        <v>1034</v>
      </c>
      <c r="E259">
        <v>36.22</v>
      </c>
      <c r="F259">
        <v>36.4</v>
      </c>
      <c r="G259">
        <v>36.200000000000003</v>
      </c>
      <c r="H259">
        <v>36.29</v>
      </c>
      <c r="I259">
        <v>1422</v>
      </c>
      <c r="J259">
        <v>35.79</v>
      </c>
    </row>
    <row r="260" spans="1:10" x14ac:dyDescent="0.15">
      <c r="A260" s="661">
        <v>44764</v>
      </c>
      <c r="B260" t="s">
        <v>632</v>
      </c>
      <c r="C260">
        <v>805</v>
      </c>
      <c r="D260" t="s">
        <v>801</v>
      </c>
      <c r="E260">
        <v>14.69</v>
      </c>
      <c r="F260">
        <v>15.3</v>
      </c>
      <c r="G260">
        <v>14.31</v>
      </c>
      <c r="H260">
        <v>15.07</v>
      </c>
      <c r="I260">
        <v>3286286</v>
      </c>
      <c r="J260">
        <v>14.55</v>
      </c>
    </row>
    <row r="261" spans="1:10" x14ac:dyDescent="0.15">
      <c r="A261" s="661">
        <v>44764</v>
      </c>
      <c r="B261" t="s">
        <v>440</v>
      </c>
      <c r="C261">
        <v>805</v>
      </c>
      <c r="D261" t="s">
        <v>1568</v>
      </c>
      <c r="E261">
        <v>705.1</v>
      </c>
      <c r="F261">
        <v>788.37</v>
      </c>
      <c r="G261">
        <v>705.1</v>
      </c>
      <c r="H261">
        <v>769.05</v>
      </c>
      <c r="I261">
        <v>5700</v>
      </c>
      <c r="J261">
        <v>741.71</v>
      </c>
    </row>
    <row r="262" spans="1:10" x14ac:dyDescent="0.15">
      <c r="A262" s="661">
        <v>44764</v>
      </c>
      <c r="B262" t="s">
        <v>179</v>
      </c>
      <c r="C262">
        <v>805</v>
      </c>
      <c r="D262" t="s">
        <v>1395</v>
      </c>
      <c r="E262">
        <v>28</v>
      </c>
      <c r="F262">
        <v>28.2</v>
      </c>
      <c r="G262">
        <v>27.05</v>
      </c>
      <c r="H262">
        <v>28.2</v>
      </c>
      <c r="I262">
        <v>5000</v>
      </c>
      <c r="J262">
        <v>28.4</v>
      </c>
    </row>
    <row r="263" spans="1:10" x14ac:dyDescent="0.15">
      <c r="A263" s="661">
        <v>44764</v>
      </c>
      <c r="B263" t="s">
        <v>633</v>
      </c>
      <c r="C263">
        <v>805</v>
      </c>
      <c r="D263" t="s">
        <v>814</v>
      </c>
      <c r="E263">
        <v>23.5</v>
      </c>
      <c r="F263">
        <v>24.4</v>
      </c>
      <c r="G263">
        <v>23.4</v>
      </c>
      <c r="H263">
        <v>24.12</v>
      </c>
      <c r="I263">
        <v>1917652</v>
      </c>
      <c r="J263">
        <v>23.67</v>
      </c>
    </row>
    <row r="264" spans="1:10" x14ac:dyDescent="0.15">
      <c r="A264" s="661">
        <v>44764</v>
      </c>
      <c r="B264" t="s">
        <v>1425</v>
      </c>
      <c r="C264">
        <v>805</v>
      </c>
      <c r="D264" t="s">
        <v>1426</v>
      </c>
      <c r="E264">
        <v>124.88</v>
      </c>
      <c r="F264">
        <v>126.99</v>
      </c>
      <c r="G264">
        <v>122.1</v>
      </c>
      <c r="H264">
        <v>124.52</v>
      </c>
      <c r="I264">
        <v>6500</v>
      </c>
      <c r="J264">
        <v>121.67</v>
      </c>
    </row>
    <row r="265" spans="1:10" x14ac:dyDescent="0.15">
      <c r="A265" s="661">
        <v>44764</v>
      </c>
      <c r="B265" t="s">
        <v>919</v>
      </c>
      <c r="C265">
        <v>805</v>
      </c>
      <c r="D265" t="s">
        <v>920</v>
      </c>
      <c r="E265">
        <v>12.99</v>
      </c>
      <c r="F265">
        <v>13.25</v>
      </c>
      <c r="G265">
        <v>12.6</v>
      </c>
      <c r="H265">
        <v>13.15</v>
      </c>
      <c r="I265">
        <v>82500</v>
      </c>
      <c r="J265">
        <v>12.77</v>
      </c>
    </row>
    <row r="266" spans="1:10" x14ac:dyDescent="0.15">
      <c r="A266" s="661">
        <v>44764</v>
      </c>
      <c r="B266" t="s">
        <v>1518</v>
      </c>
      <c r="C266">
        <v>805</v>
      </c>
      <c r="D266" t="s">
        <v>1519</v>
      </c>
      <c r="E266">
        <v>319</v>
      </c>
      <c r="F266">
        <v>322.99</v>
      </c>
      <c r="G266">
        <v>319</v>
      </c>
      <c r="H266">
        <v>322.99</v>
      </c>
      <c r="I266">
        <v>3800</v>
      </c>
      <c r="J266">
        <v>318.99</v>
      </c>
    </row>
    <row r="267" spans="1:10" x14ac:dyDescent="0.15">
      <c r="A267" s="661">
        <v>44764</v>
      </c>
      <c r="B267" t="s">
        <v>1176</v>
      </c>
      <c r="C267">
        <v>805</v>
      </c>
      <c r="D267" t="s">
        <v>1177</v>
      </c>
      <c r="E267">
        <v>13.75</v>
      </c>
      <c r="F267">
        <v>13.99</v>
      </c>
      <c r="G267">
        <v>13.7</v>
      </c>
      <c r="H267">
        <v>13.99</v>
      </c>
      <c r="I267">
        <v>9000</v>
      </c>
      <c r="J267">
        <v>14.04</v>
      </c>
    </row>
    <row r="268" spans="1:10" x14ac:dyDescent="0.15">
      <c r="A268" s="661">
        <v>44764</v>
      </c>
      <c r="B268" t="s">
        <v>1569</v>
      </c>
      <c r="C268">
        <v>805</v>
      </c>
      <c r="D268" t="s">
        <v>1570</v>
      </c>
      <c r="E268">
        <v>193.98</v>
      </c>
      <c r="F268">
        <v>193.98</v>
      </c>
      <c r="G268">
        <v>193.98</v>
      </c>
      <c r="H268">
        <v>193.98</v>
      </c>
      <c r="I268">
        <v>200</v>
      </c>
      <c r="J268">
        <v>185</v>
      </c>
    </row>
    <row r="269" spans="1:10" x14ac:dyDescent="0.15">
      <c r="A269" s="661">
        <v>44764</v>
      </c>
      <c r="B269" t="s">
        <v>634</v>
      </c>
      <c r="C269">
        <v>822</v>
      </c>
      <c r="D269" t="s">
        <v>1368</v>
      </c>
      <c r="E269">
        <v>58.46</v>
      </c>
      <c r="F269">
        <v>60.8</v>
      </c>
      <c r="G269">
        <v>58.2</v>
      </c>
      <c r="H269">
        <v>60</v>
      </c>
      <c r="I269">
        <v>16000</v>
      </c>
      <c r="J269">
        <v>59.02</v>
      </c>
    </row>
    <row r="270" spans="1:10" x14ac:dyDescent="0.15">
      <c r="A270" s="661">
        <v>44764</v>
      </c>
      <c r="B270" t="s">
        <v>169</v>
      </c>
      <c r="C270">
        <v>822</v>
      </c>
      <c r="D270" t="s">
        <v>925</v>
      </c>
      <c r="E270">
        <v>105.01</v>
      </c>
      <c r="F270">
        <v>113.5</v>
      </c>
      <c r="G270">
        <v>105.01</v>
      </c>
      <c r="H270">
        <v>112.2</v>
      </c>
      <c r="I270">
        <v>8800</v>
      </c>
      <c r="J270">
        <v>111.16</v>
      </c>
    </row>
    <row r="271" spans="1:10" x14ac:dyDescent="0.15">
      <c r="A271" s="661">
        <v>44764</v>
      </c>
      <c r="B271" t="s">
        <v>1369</v>
      </c>
      <c r="C271">
        <v>822</v>
      </c>
      <c r="D271" t="s">
        <v>1370</v>
      </c>
      <c r="E271">
        <v>8.5</v>
      </c>
      <c r="F271">
        <v>8.75</v>
      </c>
      <c r="G271">
        <v>8.5</v>
      </c>
      <c r="H271">
        <v>8.75</v>
      </c>
      <c r="I271">
        <v>38500</v>
      </c>
      <c r="J271">
        <v>8.51</v>
      </c>
    </row>
    <row r="272" spans="1:10" x14ac:dyDescent="0.15">
      <c r="A272" s="661">
        <v>44764</v>
      </c>
      <c r="B272" t="s">
        <v>1427</v>
      </c>
      <c r="C272">
        <v>822</v>
      </c>
      <c r="D272" t="s">
        <v>1428</v>
      </c>
      <c r="E272">
        <v>382</v>
      </c>
      <c r="F272">
        <v>385</v>
      </c>
      <c r="G272">
        <v>379</v>
      </c>
      <c r="H272">
        <v>379.92</v>
      </c>
      <c r="I272">
        <v>4300</v>
      </c>
      <c r="J272">
        <v>380</v>
      </c>
    </row>
    <row r="273" spans="1:10" x14ac:dyDescent="0.15">
      <c r="A273" s="661">
        <v>44764</v>
      </c>
      <c r="B273" t="s">
        <v>635</v>
      </c>
      <c r="C273">
        <v>822</v>
      </c>
      <c r="D273" t="s">
        <v>663</v>
      </c>
      <c r="E273">
        <v>14.1</v>
      </c>
      <c r="F273">
        <v>14.51</v>
      </c>
      <c r="G273">
        <v>14.1</v>
      </c>
      <c r="H273">
        <v>14.5</v>
      </c>
      <c r="I273">
        <v>27500</v>
      </c>
      <c r="J273">
        <v>14.16</v>
      </c>
    </row>
    <row r="274" spans="1:10" x14ac:dyDescent="0.15">
      <c r="A274" s="661">
        <v>44764</v>
      </c>
      <c r="B274" t="s">
        <v>1429</v>
      </c>
      <c r="C274">
        <v>822</v>
      </c>
      <c r="D274" t="s">
        <v>1430</v>
      </c>
      <c r="E274">
        <v>110.5</v>
      </c>
      <c r="F274">
        <v>110.5</v>
      </c>
      <c r="G274">
        <v>110</v>
      </c>
      <c r="H274">
        <v>110</v>
      </c>
      <c r="I274">
        <v>500</v>
      </c>
      <c r="J274">
        <v>110.75</v>
      </c>
    </row>
    <row r="275" spans="1:10" x14ac:dyDescent="0.15">
      <c r="A275" s="661">
        <v>44764</v>
      </c>
      <c r="B275" t="s">
        <v>1452</v>
      </c>
      <c r="C275">
        <v>834</v>
      </c>
      <c r="D275" t="s">
        <v>1453</v>
      </c>
      <c r="E275">
        <v>166.4</v>
      </c>
      <c r="F275">
        <v>166.4</v>
      </c>
      <c r="G275">
        <v>150</v>
      </c>
      <c r="H275">
        <v>150.05000000000001</v>
      </c>
      <c r="I275">
        <v>700</v>
      </c>
      <c r="J275">
        <v>155.11000000000001</v>
      </c>
    </row>
    <row r="276" spans="1:10" x14ac:dyDescent="0.15">
      <c r="A276" s="661">
        <v>44764</v>
      </c>
      <c r="B276" t="s">
        <v>1454</v>
      </c>
      <c r="C276">
        <v>816</v>
      </c>
      <c r="D276" t="s">
        <v>1455</v>
      </c>
      <c r="E276">
        <v>13.66</v>
      </c>
      <c r="F276">
        <v>13.66</v>
      </c>
      <c r="G276">
        <v>13.66</v>
      </c>
      <c r="H276">
        <v>13.66</v>
      </c>
      <c r="I276">
        <v>500</v>
      </c>
      <c r="J276">
        <v>13.42</v>
      </c>
    </row>
    <row r="277" spans="1:10" x14ac:dyDescent="0.15">
      <c r="A277" s="661">
        <v>44764</v>
      </c>
      <c r="B277" t="s">
        <v>768</v>
      </c>
      <c r="C277">
        <v>816</v>
      </c>
      <c r="D277" t="s">
        <v>1035</v>
      </c>
      <c r="E277">
        <v>38</v>
      </c>
      <c r="F277">
        <v>38.799999999999997</v>
      </c>
      <c r="G277">
        <v>38</v>
      </c>
      <c r="H277">
        <v>38.61</v>
      </c>
      <c r="I277">
        <v>32000</v>
      </c>
      <c r="J277">
        <v>37.979999999999997</v>
      </c>
    </row>
    <row r="278" spans="1:10" x14ac:dyDescent="0.15">
      <c r="A278" s="661">
        <v>44764</v>
      </c>
      <c r="B278" t="s">
        <v>1322</v>
      </c>
      <c r="C278">
        <v>816</v>
      </c>
      <c r="D278" t="s">
        <v>1323</v>
      </c>
      <c r="E278">
        <v>315</v>
      </c>
      <c r="F278">
        <v>315</v>
      </c>
      <c r="G278">
        <v>290</v>
      </c>
      <c r="H278">
        <v>308</v>
      </c>
      <c r="I278">
        <v>3300</v>
      </c>
      <c r="J278">
        <v>305.35000000000002</v>
      </c>
    </row>
    <row r="279" spans="1:10" x14ac:dyDescent="0.15">
      <c r="A279" s="661">
        <v>44764</v>
      </c>
      <c r="B279" t="s">
        <v>636</v>
      </c>
      <c r="C279">
        <v>810</v>
      </c>
      <c r="D279" t="s">
        <v>686</v>
      </c>
      <c r="E279">
        <v>8.1</v>
      </c>
      <c r="F279">
        <v>8.4</v>
      </c>
      <c r="G279">
        <v>7.97</v>
      </c>
      <c r="H279">
        <v>8.33</v>
      </c>
      <c r="I279">
        <v>421000</v>
      </c>
      <c r="J279">
        <v>8.0299999999999994</v>
      </c>
    </row>
    <row r="280" spans="1:10" x14ac:dyDescent="0.15">
      <c r="A280" s="661">
        <v>44764</v>
      </c>
      <c r="B280" t="s">
        <v>637</v>
      </c>
      <c r="C280">
        <v>810</v>
      </c>
      <c r="D280" t="s">
        <v>815</v>
      </c>
      <c r="E280">
        <v>18.02</v>
      </c>
      <c r="F280">
        <v>18.45</v>
      </c>
      <c r="G280">
        <v>18</v>
      </c>
      <c r="H280">
        <v>18.13</v>
      </c>
      <c r="I280">
        <v>120500</v>
      </c>
      <c r="J280">
        <v>18.25</v>
      </c>
    </row>
    <row r="281" spans="1:10" x14ac:dyDescent="0.15">
      <c r="A281" s="661">
        <v>44764</v>
      </c>
      <c r="B281" t="s">
        <v>638</v>
      </c>
      <c r="C281">
        <v>810</v>
      </c>
      <c r="D281" t="s">
        <v>639</v>
      </c>
      <c r="E281">
        <v>18.52</v>
      </c>
      <c r="F281">
        <v>19.13</v>
      </c>
      <c r="G281">
        <v>18.52</v>
      </c>
      <c r="H281">
        <v>18.72</v>
      </c>
      <c r="I281">
        <v>7000</v>
      </c>
      <c r="J281">
        <v>18.739999999999998</v>
      </c>
    </row>
    <row r="282" spans="1:10" x14ac:dyDescent="0.15">
      <c r="A282" s="661">
        <v>44764</v>
      </c>
      <c r="B282" t="s">
        <v>1371</v>
      </c>
      <c r="C282">
        <v>810</v>
      </c>
      <c r="D282" t="s">
        <v>1372</v>
      </c>
      <c r="E282">
        <v>118</v>
      </c>
      <c r="F282">
        <v>118</v>
      </c>
      <c r="G282">
        <v>118</v>
      </c>
      <c r="H282">
        <v>120.17</v>
      </c>
      <c r="I282">
        <v>100</v>
      </c>
      <c r="J282">
        <v>120.17</v>
      </c>
    </row>
    <row r="283" spans="1:10" x14ac:dyDescent="0.15">
      <c r="A283" s="661">
        <v>44764</v>
      </c>
      <c r="B283" t="s">
        <v>1053</v>
      </c>
      <c r="C283">
        <v>823</v>
      </c>
      <c r="D283" t="s">
        <v>1054</v>
      </c>
      <c r="E283">
        <v>42.22</v>
      </c>
      <c r="F283">
        <v>44.88</v>
      </c>
      <c r="G283">
        <v>42.01</v>
      </c>
      <c r="H283">
        <v>44.48</v>
      </c>
      <c r="I283">
        <v>9500</v>
      </c>
      <c r="J283">
        <v>43</v>
      </c>
    </row>
    <row r="284" spans="1:10" x14ac:dyDescent="0.15">
      <c r="A284" s="661">
        <v>44764</v>
      </c>
      <c r="B284" t="s">
        <v>1056</v>
      </c>
      <c r="C284">
        <v>810</v>
      </c>
      <c r="D284" t="s">
        <v>1057</v>
      </c>
      <c r="E284">
        <v>24.01</v>
      </c>
      <c r="F284">
        <v>24.98</v>
      </c>
      <c r="G284">
        <v>24</v>
      </c>
      <c r="H284">
        <v>24.98</v>
      </c>
      <c r="I284">
        <v>8500</v>
      </c>
      <c r="J284">
        <v>24.41</v>
      </c>
    </row>
    <row r="285" spans="1:10" x14ac:dyDescent="0.15">
      <c r="A285" s="661">
        <v>44764</v>
      </c>
      <c r="B285" t="s">
        <v>883</v>
      </c>
      <c r="C285">
        <v>810</v>
      </c>
      <c r="D285" t="s">
        <v>884</v>
      </c>
      <c r="E285">
        <v>100.25</v>
      </c>
      <c r="F285">
        <v>103.7</v>
      </c>
      <c r="G285">
        <v>99.1</v>
      </c>
      <c r="H285">
        <v>101.34</v>
      </c>
      <c r="I285">
        <v>139000</v>
      </c>
      <c r="J285">
        <v>99.4</v>
      </c>
    </row>
    <row r="286" spans="1:10" x14ac:dyDescent="0.15">
      <c r="A286" s="661">
        <v>44764</v>
      </c>
      <c r="B286" t="s">
        <v>1571</v>
      </c>
      <c r="C286">
        <v>810</v>
      </c>
      <c r="D286" t="s">
        <v>1572</v>
      </c>
      <c r="E286">
        <v>410</v>
      </c>
      <c r="F286">
        <v>410</v>
      </c>
      <c r="G286">
        <v>410</v>
      </c>
      <c r="H286">
        <v>410</v>
      </c>
      <c r="I286">
        <v>100</v>
      </c>
      <c r="J286">
        <v>410</v>
      </c>
    </row>
    <row r="287" spans="1:10" x14ac:dyDescent="0.15">
      <c r="A287" s="661">
        <v>44764</v>
      </c>
      <c r="B287" t="s">
        <v>640</v>
      </c>
      <c r="C287">
        <v>810</v>
      </c>
      <c r="D287" t="s">
        <v>807</v>
      </c>
      <c r="E287">
        <v>141.05000000000001</v>
      </c>
      <c r="F287">
        <v>143.5</v>
      </c>
      <c r="G287">
        <v>138.4</v>
      </c>
      <c r="H287">
        <v>142.49</v>
      </c>
      <c r="I287">
        <v>5800</v>
      </c>
      <c r="J287">
        <v>141.04</v>
      </c>
    </row>
    <row r="288" spans="1:10" x14ac:dyDescent="0.15">
      <c r="A288" s="661">
        <v>44764</v>
      </c>
      <c r="B288" t="s">
        <v>641</v>
      </c>
      <c r="C288">
        <v>810</v>
      </c>
      <c r="D288" t="s">
        <v>1162</v>
      </c>
      <c r="E288">
        <v>6.3</v>
      </c>
      <c r="F288">
        <v>6.47</v>
      </c>
      <c r="G288">
        <v>6.16</v>
      </c>
      <c r="H288">
        <v>6.29</v>
      </c>
      <c r="I288">
        <v>3409547</v>
      </c>
      <c r="J288">
        <v>6.29</v>
      </c>
    </row>
    <row r="289" spans="1:10" x14ac:dyDescent="0.15">
      <c r="A289" s="661">
        <v>44764</v>
      </c>
      <c r="B289" t="s">
        <v>642</v>
      </c>
      <c r="C289">
        <v>810</v>
      </c>
      <c r="D289" t="s">
        <v>643</v>
      </c>
      <c r="E289">
        <v>3.6</v>
      </c>
      <c r="F289">
        <v>3.7</v>
      </c>
      <c r="G289">
        <v>3.57</v>
      </c>
      <c r="H289">
        <v>3.65</v>
      </c>
      <c r="I289">
        <v>131000</v>
      </c>
      <c r="J289">
        <v>3.6</v>
      </c>
    </row>
    <row r="290" spans="1:10" x14ac:dyDescent="0.15">
      <c r="A290" s="661">
        <v>44764</v>
      </c>
      <c r="B290" t="s">
        <v>1483</v>
      </c>
      <c r="C290">
        <v>810</v>
      </c>
      <c r="D290" t="s">
        <v>1484</v>
      </c>
      <c r="E290">
        <v>9500</v>
      </c>
      <c r="F290">
        <v>10450</v>
      </c>
      <c r="G290">
        <v>9500</v>
      </c>
      <c r="H290">
        <v>10450</v>
      </c>
      <c r="I290">
        <v>60</v>
      </c>
      <c r="J290">
        <v>9950</v>
      </c>
    </row>
    <row r="291" spans="1:10" x14ac:dyDescent="0.15">
      <c r="A291" s="661">
        <v>44764</v>
      </c>
      <c r="B291" t="s">
        <v>644</v>
      </c>
      <c r="C291">
        <v>810</v>
      </c>
      <c r="D291" t="s">
        <v>820</v>
      </c>
      <c r="E291">
        <v>20.49</v>
      </c>
      <c r="F291">
        <v>20.99</v>
      </c>
      <c r="G291">
        <v>20.3</v>
      </c>
      <c r="H291">
        <v>20.51</v>
      </c>
      <c r="I291">
        <v>33000</v>
      </c>
      <c r="J291">
        <v>20.13</v>
      </c>
    </row>
    <row r="292" spans="1:10" x14ac:dyDescent="0.15">
      <c r="A292" s="661">
        <v>44764</v>
      </c>
      <c r="B292" t="s">
        <v>1485</v>
      </c>
      <c r="C292">
        <v>810</v>
      </c>
      <c r="D292" t="s">
        <v>1486</v>
      </c>
      <c r="E292">
        <v>0</v>
      </c>
      <c r="F292">
        <v>288.45</v>
      </c>
      <c r="G292">
        <v>288.45</v>
      </c>
      <c r="H292">
        <v>288.45</v>
      </c>
      <c r="I292">
        <v>100</v>
      </c>
      <c r="J292">
        <v>288.45</v>
      </c>
    </row>
    <row r="293" spans="1:10" x14ac:dyDescent="0.15">
      <c r="A293" s="661">
        <v>44764</v>
      </c>
      <c r="B293" t="s">
        <v>645</v>
      </c>
      <c r="C293">
        <v>810</v>
      </c>
      <c r="D293" t="s">
        <v>824</v>
      </c>
      <c r="E293">
        <v>25.8</v>
      </c>
      <c r="F293">
        <v>26.4</v>
      </c>
      <c r="G293">
        <v>25.1</v>
      </c>
      <c r="H293">
        <v>25.97</v>
      </c>
      <c r="I293">
        <v>1168500</v>
      </c>
      <c r="J293">
        <v>25.46</v>
      </c>
    </row>
    <row r="294" spans="1:10" x14ac:dyDescent="0.15">
      <c r="A294" s="661">
        <v>44764</v>
      </c>
      <c r="B294" t="s">
        <v>646</v>
      </c>
      <c r="C294">
        <v>811</v>
      </c>
      <c r="D294" t="s">
        <v>647</v>
      </c>
      <c r="E294">
        <v>8</v>
      </c>
      <c r="F294">
        <v>8.5</v>
      </c>
      <c r="G294">
        <v>7.96</v>
      </c>
      <c r="H294">
        <v>8.3699999999999992</v>
      </c>
      <c r="I294">
        <v>214500</v>
      </c>
      <c r="J294">
        <v>8.01</v>
      </c>
    </row>
    <row r="295" spans="1:10" x14ac:dyDescent="0.15">
      <c r="A295" s="661">
        <v>44764</v>
      </c>
      <c r="B295" t="s">
        <v>1415</v>
      </c>
      <c r="C295">
        <v>803</v>
      </c>
      <c r="D295" t="s">
        <v>1416</v>
      </c>
      <c r="E295">
        <v>25.3</v>
      </c>
      <c r="F295">
        <v>25.3</v>
      </c>
      <c r="G295">
        <v>25.29</v>
      </c>
      <c r="H295">
        <v>25.3</v>
      </c>
      <c r="I295">
        <v>1000</v>
      </c>
      <c r="J295">
        <v>24.75</v>
      </c>
    </row>
    <row r="296" spans="1:10" x14ac:dyDescent="0.15">
      <c r="A296" s="661">
        <v>44764</v>
      </c>
      <c r="B296" t="s">
        <v>648</v>
      </c>
      <c r="C296">
        <v>811</v>
      </c>
      <c r="D296" t="s">
        <v>909</v>
      </c>
      <c r="E296">
        <v>40</v>
      </c>
      <c r="F296">
        <v>40.880000000000003</v>
      </c>
      <c r="G296">
        <v>39.049999999999997</v>
      </c>
      <c r="H296">
        <v>40.299999999999997</v>
      </c>
      <c r="I296">
        <v>34500</v>
      </c>
      <c r="J296">
        <v>40.090000000000003</v>
      </c>
    </row>
    <row r="297" spans="1:10" x14ac:dyDescent="0.15">
      <c r="A297" s="661">
        <v>44764</v>
      </c>
      <c r="B297" t="s">
        <v>649</v>
      </c>
      <c r="C297">
        <v>811</v>
      </c>
      <c r="D297" t="s">
        <v>720</v>
      </c>
      <c r="E297">
        <v>9.85</v>
      </c>
      <c r="F297">
        <v>10.19</v>
      </c>
      <c r="G297">
        <v>9.67</v>
      </c>
      <c r="H297">
        <v>10.07</v>
      </c>
      <c r="I297">
        <v>622000</v>
      </c>
      <c r="J297">
        <v>9.82</v>
      </c>
    </row>
    <row r="298" spans="1:10" x14ac:dyDescent="0.15">
      <c r="A298" s="661">
        <v>44764</v>
      </c>
      <c r="B298" t="s">
        <v>1360</v>
      </c>
      <c r="C298">
        <v>811</v>
      </c>
      <c r="D298" t="s">
        <v>1361</v>
      </c>
      <c r="E298">
        <v>66.5</v>
      </c>
      <c r="F298">
        <v>67</v>
      </c>
      <c r="G298">
        <v>66.3</v>
      </c>
      <c r="H298">
        <v>66.349999999999994</v>
      </c>
      <c r="I298">
        <v>23000</v>
      </c>
      <c r="J298">
        <v>66.75</v>
      </c>
    </row>
    <row r="299" spans="1:10" x14ac:dyDescent="0.15">
      <c r="A299" s="661">
        <v>44764</v>
      </c>
      <c r="B299" t="s">
        <v>404</v>
      </c>
      <c r="C299">
        <v>811</v>
      </c>
      <c r="D299" t="s">
        <v>813</v>
      </c>
      <c r="E299">
        <v>100.1</v>
      </c>
      <c r="F299">
        <v>102</v>
      </c>
      <c r="G299">
        <v>99.01</v>
      </c>
      <c r="H299">
        <v>101.24</v>
      </c>
      <c r="I299">
        <v>109618</v>
      </c>
      <c r="J299">
        <v>100.11</v>
      </c>
    </row>
    <row r="300" spans="1:10" x14ac:dyDescent="0.15">
      <c r="A300" s="661">
        <v>44764</v>
      </c>
      <c r="B300" t="s">
        <v>650</v>
      </c>
      <c r="C300">
        <v>811</v>
      </c>
      <c r="D300" t="s">
        <v>812</v>
      </c>
      <c r="E300">
        <v>13.03</v>
      </c>
      <c r="F300">
        <v>13.39</v>
      </c>
      <c r="G300">
        <v>12.8</v>
      </c>
      <c r="H300">
        <v>13.29</v>
      </c>
      <c r="I300">
        <v>32000</v>
      </c>
      <c r="J300">
        <v>13.03</v>
      </c>
    </row>
    <row r="301" spans="1:10" x14ac:dyDescent="0.15">
      <c r="A301" s="661">
        <v>44764</v>
      </c>
      <c r="B301" t="s">
        <v>1573</v>
      </c>
      <c r="C301">
        <v>818</v>
      </c>
      <c r="D301" t="s">
        <v>1574</v>
      </c>
      <c r="E301">
        <v>6.25</v>
      </c>
      <c r="F301">
        <v>6.25</v>
      </c>
      <c r="G301">
        <v>6.25</v>
      </c>
      <c r="H301">
        <v>6.25</v>
      </c>
      <c r="I301">
        <v>500</v>
      </c>
      <c r="J301">
        <v>6.25</v>
      </c>
    </row>
    <row r="302" spans="1:10" x14ac:dyDescent="0.15">
      <c r="A302" s="661">
        <v>44764</v>
      </c>
      <c r="B302" t="s">
        <v>1316</v>
      </c>
      <c r="C302">
        <v>818</v>
      </c>
      <c r="D302" t="s">
        <v>1317</v>
      </c>
      <c r="E302">
        <v>15</v>
      </c>
      <c r="F302">
        <v>16.05</v>
      </c>
      <c r="G302">
        <v>15</v>
      </c>
      <c r="H302">
        <v>15.5</v>
      </c>
      <c r="I302">
        <v>158500</v>
      </c>
      <c r="J302">
        <v>15</v>
      </c>
    </row>
    <row r="303" spans="1:10" x14ac:dyDescent="0.15">
      <c r="A303" s="661">
        <v>44764</v>
      </c>
      <c r="B303" t="s">
        <v>1028</v>
      </c>
      <c r="C303">
        <v>818</v>
      </c>
      <c r="D303" t="s">
        <v>1029</v>
      </c>
      <c r="E303">
        <v>30</v>
      </c>
      <c r="F303">
        <v>30</v>
      </c>
      <c r="G303">
        <v>28</v>
      </c>
      <c r="H303">
        <v>29.17</v>
      </c>
      <c r="I303">
        <v>17000</v>
      </c>
      <c r="J303">
        <v>29.1</v>
      </c>
    </row>
    <row r="304" spans="1:10" x14ac:dyDescent="0.15">
      <c r="A304" s="661">
        <v>44764</v>
      </c>
      <c r="B304" t="s">
        <v>781</v>
      </c>
      <c r="C304">
        <v>818</v>
      </c>
      <c r="D304" t="s">
        <v>1180</v>
      </c>
      <c r="E304">
        <v>29.55</v>
      </c>
      <c r="F304">
        <v>31</v>
      </c>
      <c r="G304">
        <v>29.5</v>
      </c>
      <c r="H304">
        <v>30.73</v>
      </c>
      <c r="I304">
        <v>21000</v>
      </c>
      <c r="J304">
        <v>30</v>
      </c>
    </row>
    <row r="305" spans="1:10" x14ac:dyDescent="0.15">
      <c r="A305" s="661">
        <v>44764</v>
      </c>
      <c r="B305" t="s">
        <v>651</v>
      </c>
      <c r="C305">
        <v>818</v>
      </c>
      <c r="D305" t="s">
        <v>652</v>
      </c>
      <c r="E305">
        <v>2.72</v>
      </c>
      <c r="F305">
        <v>2.89</v>
      </c>
      <c r="G305">
        <v>2.61</v>
      </c>
      <c r="H305">
        <v>2.78</v>
      </c>
      <c r="I305">
        <v>303500</v>
      </c>
      <c r="J305">
        <v>2.71</v>
      </c>
    </row>
    <row r="306" spans="1:10" x14ac:dyDescent="0.15">
      <c r="A306" s="661">
        <v>44764</v>
      </c>
      <c r="B306" t="s">
        <v>1575</v>
      </c>
      <c r="C306">
        <v>818</v>
      </c>
      <c r="D306" t="s">
        <v>1576</v>
      </c>
      <c r="E306">
        <v>146</v>
      </c>
      <c r="F306">
        <v>147</v>
      </c>
      <c r="G306">
        <v>146</v>
      </c>
      <c r="H306">
        <v>147</v>
      </c>
      <c r="I306">
        <v>2000</v>
      </c>
      <c r="J306">
        <v>146</v>
      </c>
    </row>
    <row r="307" spans="1:10" x14ac:dyDescent="0.15">
      <c r="A307" s="661">
        <v>44764</v>
      </c>
      <c r="B307" t="s">
        <v>1520</v>
      </c>
      <c r="C307">
        <v>818</v>
      </c>
      <c r="D307" t="s">
        <v>1521</v>
      </c>
      <c r="E307">
        <v>140</v>
      </c>
      <c r="F307">
        <v>145</v>
      </c>
      <c r="G307">
        <v>140</v>
      </c>
      <c r="H307">
        <v>144.94</v>
      </c>
      <c r="I307">
        <v>700</v>
      </c>
      <c r="J307">
        <v>139.88999999999999</v>
      </c>
    </row>
    <row r="308" spans="1:10" x14ac:dyDescent="0.15">
      <c r="A308" s="661">
        <v>44764</v>
      </c>
      <c r="B308" t="s">
        <v>483</v>
      </c>
      <c r="C308">
        <v>818</v>
      </c>
      <c r="D308" t="s">
        <v>1166</v>
      </c>
      <c r="E308">
        <v>175</v>
      </c>
      <c r="F308">
        <v>175.01</v>
      </c>
      <c r="G308">
        <v>174</v>
      </c>
      <c r="H308">
        <v>175</v>
      </c>
      <c r="I308">
        <v>21000</v>
      </c>
      <c r="J308">
        <v>175.42</v>
      </c>
    </row>
    <row r="309" spans="1:10" x14ac:dyDescent="0.15">
      <c r="A309" s="661">
        <v>44764</v>
      </c>
      <c r="B309" t="s">
        <v>653</v>
      </c>
      <c r="C309">
        <v>818</v>
      </c>
      <c r="D309" t="s">
        <v>654</v>
      </c>
      <c r="E309">
        <v>9.99</v>
      </c>
      <c r="F309">
        <v>10</v>
      </c>
      <c r="G309">
        <v>9.52</v>
      </c>
      <c r="H309">
        <v>9.8800000000000008</v>
      </c>
      <c r="I309">
        <v>126500</v>
      </c>
      <c r="J309">
        <v>9.8000000000000007</v>
      </c>
    </row>
    <row r="310" spans="1:10" x14ac:dyDescent="0.15">
      <c r="A310" s="661">
        <v>44764</v>
      </c>
      <c r="B310" t="s">
        <v>737</v>
      </c>
      <c r="C310">
        <v>818</v>
      </c>
      <c r="D310" t="s">
        <v>908</v>
      </c>
      <c r="E310">
        <v>16</v>
      </c>
      <c r="F310">
        <v>17.399999999999999</v>
      </c>
      <c r="G310">
        <v>15.38</v>
      </c>
      <c r="H310">
        <v>16.87</v>
      </c>
      <c r="I310">
        <v>16814301</v>
      </c>
      <c r="J310">
        <v>16.25</v>
      </c>
    </row>
    <row r="311" spans="1:10" x14ac:dyDescent="0.15">
      <c r="A311" s="661">
        <v>44764</v>
      </c>
      <c r="B311" t="s">
        <v>1362</v>
      </c>
      <c r="C311">
        <v>818</v>
      </c>
      <c r="D311" t="s">
        <v>1363</v>
      </c>
      <c r="E311">
        <v>147</v>
      </c>
      <c r="F311">
        <v>147</v>
      </c>
      <c r="G311">
        <v>147</v>
      </c>
      <c r="H311">
        <v>147</v>
      </c>
      <c r="I311">
        <v>600</v>
      </c>
      <c r="J311">
        <v>147.1</v>
      </c>
    </row>
    <row r="312" spans="1:10" x14ac:dyDescent="0.15">
      <c r="A312" s="661">
        <v>44764</v>
      </c>
      <c r="B312" t="s">
        <v>1318</v>
      </c>
      <c r="C312">
        <v>36</v>
      </c>
      <c r="D312" t="s">
        <v>1319</v>
      </c>
      <c r="E312">
        <v>0</v>
      </c>
      <c r="F312">
        <v>0</v>
      </c>
      <c r="G312">
        <v>0</v>
      </c>
      <c r="H312">
        <v>99.921400000000006</v>
      </c>
      <c r="I312">
        <v>0</v>
      </c>
      <c r="J312">
        <v>99.921400000000006</v>
      </c>
    </row>
    <row r="313" spans="1:10" x14ac:dyDescent="0.15">
      <c r="A313" s="661">
        <v>44764</v>
      </c>
      <c r="B313" t="s">
        <v>1324</v>
      </c>
      <c r="C313">
        <v>36</v>
      </c>
      <c r="D313" t="s">
        <v>1325</v>
      </c>
      <c r="E313">
        <v>0</v>
      </c>
      <c r="F313">
        <v>0</v>
      </c>
      <c r="G313">
        <v>0</v>
      </c>
      <c r="H313">
        <v>102.12</v>
      </c>
      <c r="I313">
        <v>0</v>
      </c>
      <c r="J313">
        <v>102.12</v>
      </c>
    </row>
    <row r="314" spans="1:10" x14ac:dyDescent="0.15">
      <c r="A314" s="661">
        <v>44764</v>
      </c>
      <c r="B314" t="s">
        <v>1206</v>
      </c>
      <c r="C314">
        <v>40</v>
      </c>
      <c r="D314" t="s">
        <v>1206</v>
      </c>
      <c r="E314">
        <v>0</v>
      </c>
      <c r="F314">
        <v>0</v>
      </c>
      <c r="G314">
        <v>0</v>
      </c>
      <c r="H314">
        <v>45.91</v>
      </c>
      <c r="I314">
        <v>0</v>
      </c>
      <c r="J314">
        <v>45.72</v>
      </c>
    </row>
    <row r="315" spans="1:10" x14ac:dyDescent="0.15">
      <c r="A315" s="661">
        <v>44764</v>
      </c>
      <c r="B315" t="s">
        <v>1207</v>
      </c>
      <c r="C315">
        <v>40</v>
      </c>
      <c r="D315" t="s">
        <v>1207</v>
      </c>
      <c r="E315">
        <v>0</v>
      </c>
      <c r="F315">
        <v>0</v>
      </c>
      <c r="G315">
        <v>0</v>
      </c>
      <c r="H315">
        <v>67.650000000000006</v>
      </c>
      <c r="I315">
        <v>0</v>
      </c>
      <c r="J315">
        <v>67.489999999999995</v>
      </c>
    </row>
    <row r="316" spans="1:10" x14ac:dyDescent="0.15">
      <c r="A316" s="661">
        <v>44764</v>
      </c>
      <c r="B316" t="s">
        <v>1208</v>
      </c>
      <c r="C316">
        <v>40</v>
      </c>
      <c r="D316" t="s">
        <v>1208</v>
      </c>
      <c r="E316">
        <v>0</v>
      </c>
      <c r="F316">
        <v>0</v>
      </c>
      <c r="G316">
        <v>0</v>
      </c>
      <c r="H316">
        <v>175.85</v>
      </c>
      <c r="I316">
        <v>0</v>
      </c>
      <c r="J316">
        <v>175.79</v>
      </c>
    </row>
    <row r="317" spans="1:10" x14ac:dyDescent="0.15">
      <c r="A317" s="661">
        <v>44764</v>
      </c>
      <c r="B317" t="s">
        <v>1209</v>
      </c>
      <c r="C317">
        <v>40</v>
      </c>
      <c r="D317" t="s">
        <v>1209</v>
      </c>
      <c r="E317">
        <v>0</v>
      </c>
      <c r="F317">
        <v>0</v>
      </c>
      <c r="G317">
        <v>0</v>
      </c>
      <c r="H317">
        <v>123.63</v>
      </c>
      <c r="I317">
        <v>0</v>
      </c>
      <c r="J317">
        <v>123.45</v>
      </c>
    </row>
    <row r="318" spans="1:10" x14ac:dyDescent="0.15">
      <c r="A318" s="661">
        <v>44764</v>
      </c>
      <c r="B318" t="s">
        <v>1210</v>
      </c>
      <c r="C318">
        <v>40</v>
      </c>
      <c r="D318" t="s">
        <v>1210</v>
      </c>
      <c r="E318">
        <v>0</v>
      </c>
      <c r="F318">
        <v>0</v>
      </c>
      <c r="G318">
        <v>0</v>
      </c>
      <c r="H318">
        <v>69.459999999999994</v>
      </c>
      <c r="I318">
        <v>0</v>
      </c>
      <c r="J318">
        <v>68.64</v>
      </c>
    </row>
    <row r="319" spans="1:10" x14ac:dyDescent="0.15">
      <c r="A319" s="661">
        <v>44764</v>
      </c>
      <c r="B319" t="s">
        <v>1211</v>
      </c>
      <c r="C319">
        <v>40</v>
      </c>
      <c r="D319" t="s">
        <v>1211</v>
      </c>
      <c r="E319">
        <v>0</v>
      </c>
      <c r="F319">
        <v>0</v>
      </c>
      <c r="G319">
        <v>0</v>
      </c>
      <c r="H319">
        <v>7.07</v>
      </c>
      <c r="I319">
        <v>0</v>
      </c>
      <c r="J319">
        <v>7.1</v>
      </c>
    </row>
    <row r="320" spans="1:10" x14ac:dyDescent="0.15">
      <c r="A320" s="661">
        <v>44764</v>
      </c>
      <c r="B320" t="s">
        <v>1212</v>
      </c>
      <c r="C320">
        <v>40</v>
      </c>
      <c r="D320" t="s">
        <v>1212</v>
      </c>
      <c r="E320">
        <v>0</v>
      </c>
      <c r="F320">
        <v>0</v>
      </c>
      <c r="G320">
        <v>0</v>
      </c>
      <c r="H320">
        <v>253.72</v>
      </c>
      <c r="I320">
        <v>0</v>
      </c>
      <c r="J320">
        <v>250.11</v>
      </c>
    </row>
    <row r="321" spans="1:10" x14ac:dyDescent="0.15">
      <c r="A321" s="661">
        <v>44764</v>
      </c>
      <c r="B321" t="s">
        <v>1213</v>
      </c>
      <c r="C321">
        <v>40</v>
      </c>
      <c r="D321" t="s">
        <v>1213</v>
      </c>
      <c r="E321">
        <v>0</v>
      </c>
      <c r="F321">
        <v>0</v>
      </c>
      <c r="G321">
        <v>0</v>
      </c>
      <c r="H321">
        <v>21.79</v>
      </c>
      <c r="I321">
        <v>0</v>
      </c>
      <c r="J321">
        <v>20.57</v>
      </c>
    </row>
    <row r="322" spans="1:10" x14ac:dyDescent="0.15">
      <c r="A322" s="661">
        <v>44764</v>
      </c>
      <c r="B322" t="s">
        <v>933</v>
      </c>
      <c r="C322">
        <v>40</v>
      </c>
      <c r="D322" t="s">
        <v>933</v>
      </c>
      <c r="E322">
        <v>65.260000000000005</v>
      </c>
      <c r="F322">
        <v>66.94</v>
      </c>
      <c r="G322">
        <v>65.260000000000005</v>
      </c>
      <c r="H322">
        <v>66.14</v>
      </c>
      <c r="I322">
        <v>23000</v>
      </c>
      <c r="J322">
        <v>65.260000000000005</v>
      </c>
    </row>
    <row r="323" spans="1:10" x14ac:dyDescent="0.15">
      <c r="A323" s="661">
        <v>44764</v>
      </c>
      <c r="B323" t="s">
        <v>934</v>
      </c>
      <c r="C323">
        <v>40</v>
      </c>
      <c r="D323" t="s">
        <v>934</v>
      </c>
      <c r="E323">
        <v>169.5</v>
      </c>
      <c r="F323">
        <v>172.5</v>
      </c>
      <c r="G323">
        <v>167.81</v>
      </c>
      <c r="H323">
        <v>170.65</v>
      </c>
      <c r="I323">
        <v>292000</v>
      </c>
      <c r="J323">
        <v>170.11</v>
      </c>
    </row>
    <row r="324" spans="1:10" x14ac:dyDescent="0.15">
      <c r="A324" s="661">
        <v>44764</v>
      </c>
      <c r="B324" t="s">
        <v>935</v>
      </c>
      <c r="C324">
        <v>40</v>
      </c>
      <c r="D324" t="s">
        <v>935</v>
      </c>
      <c r="E324">
        <v>125</v>
      </c>
      <c r="F324">
        <v>127</v>
      </c>
      <c r="G324">
        <v>119.8</v>
      </c>
      <c r="H324">
        <v>119.8</v>
      </c>
      <c r="I324">
        <v>2500</v>
      </c>
      <c r="J324">
        <v>119.5</v>
      </c>
    </row>
    <row r="325" spans="1:10" x14ac:dyDescent="0.15">
      <c r="A325" s="661">
        <v>44764</v>
      </c>
      <c r="B325" t="s">
        <v>936</v>
      </c>
      <c r="C325">
        <v>40</v>
      </c>
      <c r="D325" t="s">
        <v>936</v>
      </c>
      <c r="E325">
        <v>66</v>
      </c>
      <c r="F325">
        <v>67.489999999999995</v>
      </c>
      <c r="G325">
        <v>66</v>
      </c>
      <c r="H325">
        <v>67.489999999999995</v>
      </c>
      <c r="I325">
        <v>31500</v>
      </c>
      <c r="J325">
        <v>66.08</v>
      </c>
    </row>
    <row r="326" spans="1:10" x14ac:dyDescent="0.15">
      <c r="A326" s="661">
        <v>44764</v>
      </c>
      <c r="B326" t="s">
        <v>937</v>
      </c>
      <c r="C326">
        <v>40</v>
      </c>
      <c r="D326" t="s">
        <v>937</v>
      </c>
      <c r="E326">
        <v>6.68</v>
      </c>
      <c r="F326">
        <v>6.79</v>
      </c>
      <c r="G326">
        <v>6.68</v>
      </c>
      <c r="H326">
        <v>6.79</v>
      </c>
      <c r="I326">
        <v>2500</v>
      </c>
      <c r="J326">
        <v>6.8</v>
      </c>
    </row>
    <row r="327" spans="1:10" x14ac:dyDescent="0.15">
      <c r="A327" s="661">
        <v>44764</v>
      </c>
      <c r="B327" t="s">
        <v>938</v>
      </c>
      <c r="C327">
        <v>40</v>
      </c>
      <c r="D327" t="s">
        <v>938</v>
      </c>
      <c r="E327">
        <v>242.01</v>
      </c>
      <c r="F327">
        <v>244.5</v>
      </c>
      <c r="G327">
        <v>242.01</v>
      </c>
      <c r="H327">
        <v>244.5</v>
      </c>
      <c r="I327">
        <v>1500</v>
      </c>
      <c r="J327">
        <v>242</v>
      </c>
    </row>
    <row r="328" spans="1:10" x14ac:dyDescent="0.15">
      <c r="A328" s="661">
        <v>44764</v>
      </c>
      <c r="B328" t="s">
        <v>939</v>
      </c>
      <c r="C328">
        <v>40</v>
      </c>
      <c r="D328" t="s">
        <v>939</v>
      </c>
      <c r="E328">
        <v>106</v>
      </c>
      <c r="F328">
        <v>106.6</v>
      </c>
      <c r="G328">
        <v>105.44</v>
      </c>
      <c r="H328">
        <v>106.6</v>
      </c>
      <c r="I328">
        <v>6000</v>
      </c>
      <c r="J328">
        <v>105.44</v>
      </c>
    </row>
    <row r="329" spans="1:10" x14ac:dyDescent="0.15">
      <c r="A329" s="661">
        <v>44764</v>
      </c>
      <c r="B329" t="s">
        <v>940</v>
      </c>
      <c r="C329">
        <v>40</v>
      </c>
      <c r="D329" t="s">
        <v>940</v>
      </c>
      <c r="E329">
        <v>20</v>
      </c>
      <c r="F329">
        <v>21.29</v>
      </c>
      <c r="G329">
        <v>19.98</v>
      </c>
      <c r="H329">
        <v>21.03</v>
      </c>
      <c r="I329">
        <v>623500</v>
      </c>
      <c r="J329">
        <v>20.03</v>
      </c>
    </row>
    <row r="330" spans="1:10" x14ac:dyDescent="0.15">
      <c r="A330" s="661">
        <v>44764</v>
      </c>
      <c r="B330" t="s">
        <v>941</v>
      </c>
      <c r="C330">
        <v>40</v>
      </c>
      <c r="D330" t="s">
        <v>941</v>
      </c>
      <c r="E330">
        <v>23.51</v>
      </c>
      <c r="F330">
        <v>24.75</v>
      </c>
      <c r="G330">
        <v>23.5</v>
      </c>
      <c r="H330">
        <v>24.21</v>
      </c>
      <c r="I330">
        <v>1200500</v>
      </c>
      <c r="J330">
        <v>23.78</v>
      </c>
    </row>
    <row r="331" spans="1:10" x14ac:dyDescent="0.15">
      <c r="A331" s="661">
        <v>44764</v>
      </c>
      <c r="B331" t="s">
        <v>1064</v>
      </c>
      <c r="C331">
        <v>40</v>
      </c>
      <c r="D331" t="s">
        <v>1064</v>
      </c>
      <c r="E331">
        <v>65.989999999999995</v>
      </c>
      <c r="F331">
        <v>65.989999999999995</v>
      </c>
      <c r="G331">
        <v>65.989999999999995</v>
      </c>
      <c r="H331">
        <v>65.989999999999995</v>
      </c>
      <c r="I331">
        <v>1000</v>
      </c>
      <c r="J331">
        <v>66.349999999999994</v>
      </c>
    </row>
    <row r="332" spans="1:10" x14ac:dyDescent="0.15">
      <c r="A332" s="661">
        <v>44764</v>
      </c>
      <c r="B332" t="s">
        <v>1065</v>
      </c>
      <c r="C332">
        <v>40</v>
      </c>
      <c r="D332" t="s">
        <v>1065</v>
      </c>
      <c r="E332">
        <v>170</v>
      </c>
      <c r="F332">
        <v>173.59</v>
      </c>
      <c r="G332">
        <v>170</v>
      </c>
      <c r="H332">
        <v>173.59</v>
      </c>
      <c r="I332">
        <v>5500</v>
      </c>
      <c r="J332">
        <v>172.21</v>
      </c>
    </row>
    <row r="333" spans="1:10" x14ac:dyDescent="0.15">
      <c r="A333" s="661">
        <v>44764</v>
      </c>
      <c r="B333" t="s">
        <v>1066</v>
      </c>
      <c r="C333">
        <v>40</v>
      </c>
      <c r="D333" t="s">
        <v>1066</v>
      </c>
      <c r="E333">
        <v>0</v>
      </c>
      <c r="F333">
        <v>0</v>
      </c>
      <c r="G333">
        <v>0</v>
      </c>
      <c r="H333">
        <v>121.54</v>
      </c>
      <c r="I333">
        <v>0</v>
      </c>
      <c r="J333">
        <v>121.37</v>
      </c>
    </row>
    <row r="334" spans="1:10" x14ac:dyDescent="0.15">
      <c r="A334" s="661">
        <v>44764</v>
      </c>
      <c r="B334" t="s">
        <v>1067</v>
      </c>
      <c r="C334">
        <v>40</v>
      </c>
      <c r="D334" t="s">
        <v>1067</v>
      </c>
      <c r="E334">
        <v>68.430000000000007</v>
      </c>
      <c r="F334">
        <v>70.53</v>
      </c>
      <c r="G334">
        <v>68.430000000000007</v>
      </c>
      <c r="H334">
        <v>69.13</v>
      </c>
      <c r="I334">
        <v>1500</v>
      </c>
      <c r="J334">
        <v>66.540000000000006</v>
      </c>
    </row>
    <row r="335" spans="1:10" x14ac:dyDescent="0.15">
      <c r="A335" s="661">
        <v>44764</v>
      </c>
      <c r="B335" t="s">
        <v>1068</v>
      </c>
      <c r="C335">
        <v>40</v>
      </c>
      <c r="D335" t="s">
        <v>1068</v>
      </c>
      <c r="E335">
        <v>0</v>
      </c>
      <c r="F335">
        <v>0</v>
      </c>
      <c r="G335">
        <v>0</v>
      </c>
      <c r="H335">
        <v>6.95</v>
      </c>
      <c r="I335">
        <v>0</v>
      </c>
      <c r="J335">
        <v>6.98</v>
      </c>
    </row>
    <row r="336" spans="1:10" x14ac:dyDescent="0.15">
      <c r="A336" s="661">
        <v>44764</v>
      </c>
      <c r="B336" t="s">
        <v>1069</v>
      </c>
      <c r="C336">
        <v>40</v>
      </c>
      <c r="D336" t="s">
        <v>1069</v>
      </c>
      <c r="E336">
        <v>0</v>
      </c>
      <c r="F336">
        <v>0</v>
      </c>
      <c r="G336">
        <v>0</v>
      </c>
      <c r="H336">
        <v>249.44</v>
      </c>
      <c r="I336">
        <v>0</v>
      </c>
      <c r="J336">
        <v>245.9</v>
      </c>
    </row>
    <row r="337" spans="1:10" x14ac:dyDescent="0.15">
      <c r="A337" s="661">
        <v>44764</v>
      </c>
      <c r="B337" t="s">
        <v>1070</v>
      </c>
      <c r="C337">
        <v>40</v>
      </c>
      <c r="D337" t="s">
        <v>1070</v>
      </c>
      <c r="E337">
        <v>0</v>
      </c>
      <c r="F337">
        <v>0</v>
      </c>
      <c r="G337">
        <v>0</v>
      </c>
      <c r="H337">
        <v>107.84</v>
      </c>
      <c r="I337">
        <v>0</v>
      </c>
      <c r="J337">
        <v>107.42</v>
      </c>
    </row>
    <row r="338" spans="1:10" x14ac:dyDescent="0.15">
      <c r="A338" s="661">
        <v>44764</v>
      </c>
      <c r="B338" t="s">
        <v>1071</v>
      </c>
      <c r="C338">
        <v>40</v>
      </c>
      <c r="D338" t="s">
        <v>1071</v>
      </c>
      <c r="E338">
        <v>0</v>
      </c>
      <c r="F338">
        <v>0</v>
      </c>
      <c r="G338">
        <v>0</v>
      </c>
      <c r="H338">
        <v>21.43</v>
      </c>
      <c r="I338">
        <v>0</v>
      </c>
      <c r="J338">
        <v>20.23</v>
      </c>
    </row>
    <row r="339" spans="1:10" x14ac:dyDescent="0.15">
      <c r="A339" s="661">
        <v>44764</v>
      </c>
      <c r="B339" t="s">
        <v>1072</v>
      </c>
      <c r="C339">
        <v>40</v>
      </c>
      <c r="D339" t="s">
        <v>1072</v>
      </c>
      <c r="E339">
        <v>24</v>
      </c>
      <c r="F339">
        <v>24.4</v>
      </c>
      <c r="G339">
        <v>24</v>
      </c>
      <c r="H339">
        <v>24.4</v>
      </c>
      <c r="I339">
        <v>53000</v>
      </c>
      <c r="J339">
        <v>24</v>
      </c>
    </row>
    <row r="340" spans="1:10" x14ac:dyDescent="0.15">
      <c r="A340" s="661">
        <v>44764</v>
      </c>
      <c r="B340" t="s">
        <v>1214</v>
      </c>
      <c r="C340">
        <v>40</v>
      </c>
      <c r="D340" t="s">
        <v>1214</v>
      </c>
      <c r="E340">
        <v>0</v>
      </c>
      <c r="F340">
        <v>0</v>
      </c>
      <c r="G340">
        <v>0</v>
      </c>
      <c r="H340">
        <v>24.96</v>
      </c>
      <c r="I340">
        <v>0</v>
      </c>
      <c r="J340">
        <v>24.51</v>
      </c>
    </row>
    <row r="341" spans="1:10" x14ac:dyDescent="0.15">
      <c r="A341" s="661">
        <v>44764</v>
      </c>
      <c r="B341" t="s">
        <v>942</v>
      </c>
      <c r="C341">
        <v>40</v>
      </c>
      <c r="D341" t="s">
        <v>942</v>
      </c>
      <c r="E341">
        <v>78.900000000000006</v>
      </c>
      <c r="F341">
        <v>80.599999999999994</v>
      </c>
      <c r="G341">
        <v>78.739999999999995</v>
      </c>
      <c r="H341">
        <v>80.23</v>
      </c>
      <c r="I341">
        <v>132500</v>
      </c>
      <c r="J341">
        <v>78.98</v>
      </c>
    </row>
    <row r="342" spans="1:10" x14ac:dyDescent="0.15">
      <c r="A342" s="661">
        <v>44764</v>
      </c>
      <c r="B342" t="s">
        <v>943</v>
      </c>
      <c r="C342">
        <v>40</v>
      </c>
      <c r="D342" t="s">
        <v>943</v>
      </c>
      <c r="E342">
        <v>54.03</v>
      </c>
      <c r="F342">
        <v>55.89</v>
      </c>
      <c r="G342">
        <v>53.62</v>
      </c>
      <c r="H342">
        <v>55.54</v>
      </c>
      <c r="I342">
        <v>342000</v>
      </c>
      <c r="J342">
        <v>54.19</v>
      </c>
    </row>
    <row r="343" spans="1:10" x14ac:dyDescent="0.15">
      <c r="A343" s="661">
        <v>44764</v>
      </c>
      <c r="B343" t="s">
        <v>944</v>
      </c>
      <c r="C343">
        <v>40</v>
      </c>
      <c r="D343" t="s">
        <v>944</v>
      </c>
      <c r="E343">
        <v>375</v>
      </c>
      <c r="F343">
        <v>382</v>
      </c>
      <c r="G343">
        <v>373</v>
      </c>
      <c r="H343">
        <v>382</v>
      </c>
      <c r="I343">
        <v>2000</v>
      </c>
      <c r="J343">
        <v>381.08</v>
      </c>
    </row>
    <row r="344" spans="1:10" x14ac:dyDescent="0.15">
      <c r="A344" s="661">
        <v>44764</v>
      </c>
      <c r="B344" t="s">
        <v>945</v>
      </c>
      <c r="C344">
        <v>40</v>
      </c>
      <c r="D344" t="s">
        <v>945</v>
      </c>
      <c r="E344">
        <v>0</v>
      </c>
      <c r="F344">
        <v>0</v>
      </c>
      <c r="G344">
        <v>0</v>
      </c>
      <c r="H344">
        <v>26.81</v>
      </c>
      <c r="I344">
        <v>0</v>
      </c>
      <c r="J344">
        <v>27.03</v>
      </c>
    </row>
    <row r="345" spans="1:10" x14ac:dyDescent="0.15">
      <c r="A345" s="661">
        <v>44764</v>
      </c>
      <c r="B345" t="s">
        <v>946</v>
      </c>
      <c r="C345">
        <v>40</v>
      </c>
      <c r="D345" t="s">
        <v>946</v>
      </c>
      <c r="E345">
        <v>23.02</v>
      </c>
      <c r="F345">
        <v>24.55</v>
      </c>
      <c r="G345">
        <v>22.79</v>
      </c>
      <c r="H345">
        <v>24.18</v>
      </c>
      <c r="I345">
        <v>1703500</v>
      </c>
      <c r="J345">
        <v>23.34</v>
      </c>
    </row>
    <row r="346" spans="1:10" x14ac:dyDescent="0.15">
      <c r="A346" s="661">
        <v>44764</v>
      </c>
      <c r="B346" t="s">
        <v>947</v>
      </c>
      <c r="C346">
        <v>40</v>
      </c>
      <c r="D346" t="s">
        <v>947</v>
      </c>
      <c r="E346">
        <v>422</v>
      </c>
      <c r="F346">
        <v>428.45</v>
      </c>
      <c r="G346">
        <v>409</v>
      </c>
      <c r="H346">
        <v>420.51</v>
      </c>
      <c r="I346">
        <v>296500</v>
      </c>
      <c r="J346">
        <v>424.45</v>
      </c>
    </row>
    <row r="347" spans="1:10" x14ac:dyDescent="0.15">
      <c r="A347" s="661">
        <v>44764</v>
      </c>
      <c r="B347" t="s">
        <v>948</v>
      </c>
      <c r="C347">
        <v>40</v>
      </c>
      <c r="D347" t="s">
        <v>948</v>
      </c>
      <c r="E347">
        <v>9.75</v>
      </c>
      <c r="F347">
        <v>10.35</v>
      </c>
      <c r="G347">
        <v>9.7200000000000006</v>
      </c>
      <c r="H347">
        <v>10.27</v>
      </c>
      <c r="I347">
        <v>193500</v>
      </c>
      <c r="J347">
        <v>10.050000000000001</v>
      </c>
    </row>
    <row r="348" spans="1:10" x14ac:dyDescent="0.15">
      <c r="A348" s="661">
        <v>44764</v>
      </c>
      <c r="B348" t="s">
        <v>1073</v>
      </c>
      <c r="C348">
        <v>40</v>
      </c>
      <c r="D348" t="s">
        <v>1073</v>
      </c>
      <c r="E348">
        <v>79.5</v>
      </c>
      <c r="F348">
        <v>81</v>
      </c>
      <c r="G348">
        <v>79.349999999999994</v>
      </c>
      <c r="H348">
        <v>81</v>
      </c>
      <c r="I348">
        <v>23000</v>
      </c>
      <c r="J348">
        <v>79.8</v>
      </c>
    </row>
    <row r="349" spans="1:10" x14ac:dyDescent="0.15">
      <c r="A349" s="661">
        <v>44764</v>
      </c>
      <c r="B349" t="s">
        <v>1074</v>
      </c>
      <c r="C349">
        <v>40</v>
      </c>
      <c r="D349" t="s">
        <v>1074</v>
      </c>
      <c r="E349">
        <v>54.8</v>
      </c>
      <c r="F349">
        <v>55.99</v>
      </c>
      <c r="G349">
        <v>54.8</v>
      </c>
      <c r="H349">
        <v>55.98</v>
      </c>
      <c r="I349">
        <v>10000</v>
      </c>
      <c r="J349">
        <v>54</v>
      </c>
    </row>
    <row r="350" spans="1:10" x14ac:dyDescent="0.15">
      <c r="A350" s="661">
        <v>44764</v>
      </c>
      <c r="B350" t="s">
        <v>1075</v>
      </c>
      <c r="C350">
        <v>40</v>
      </c>
      <c r="D350" t="s">
        <v>1075</v>
      </c>
      <c r="E350">
        <v>0</v>
      </c>
      <c r="F350">
        <v>0</v>
      </c>
      <c r="G350">
        <v>0</v>
      </c>
      <c r="H350">
        <v>382.75</v>
      </c>
      <c r="I350">
        <v>0</v>
      </c>
      <c r="J350">
        <v>380.48</v>
      </c>
    </row>
    <row r="351" spans="1:10" x14ac:dyDescent="0.15">
      <c r="A351" s="661">
        <v>44764</v>
      </c>
      <c r="B351" t="s">
        <v>1076</v>
      </c>
      <c r="C351">
        <v>40</v>
      </c>
      <c r="D351" t="s">
        <v>1076</v>
      </c>
      <c r="E351">
        <v>0</v>
      </c>
      <c r="F351">
        <v>0</v>
      </c>
      <c r="G351">
        <v>0</v>
      </c>
      <c r="H351">
        <v>27.19</v>
      </c>
      <c r="I351">
        <v>0</v>
      </c>
      <c r="J351">
        <v>27.4</v>
      </c>
    </row>
    <row r="352" spans="1:10" x14ac:dyDescent="0.15">
      <c r="A352" s="661">
        <v>44764</v>
      </c>
      <c r="B352" t="s">
        <v>1077</v>
      </c>
      <c r="C352">
        <v>40</v>
      </c>
      <c r="D352" t="s">
        <v>1077</v>
      </c>
      <c r="E352">
        <v>23.25</v>
      </c>
      <c r="F352">
        <v>24.75</v>
      </c>
      <c r="G352">
        <v>23.11</v>
      </c>
      <c r="H352">
        <v>24.49</v>
      </c>
      <c r="I352">
        <v>441000</v>
      </c>
      <c r="J352">
        <v>23.66</v>
      </c>
    </row>
    <row r="353" spans="1:10" x14ac:dyDescent="0.15">
      <c r="A353" s="661">
        <v>44764</v>
      </c>
      <c r="B353" t="s">
        <v>1078</v>
      </c>
      <c r="C353">
        <v>40</v>
      </c>
      <c r="D353" t="s">
        <v>1078</v>
      </c>
      <c r="E353">
        <v>421</v>
      </c>
      <c r="F353">
        <v>435</v>
      </c>
      <c r="G353">
        <v>415</v>
      </c>
      <c r="H353">
        <v>433.29</v>
      </c>
      <c r="I353">
        <v>20000</v>
      </c>
      <c r="J353">
        <v>430.79</v>
      </c>
    </row>
    <row r="354" spans="1:10" x14ac:dyDescent="0.15">
      <c r="A354" s="661">
        <v>44764</v>
      </c>
      <c r="B354" t="s">
        <v>1079</v>
      </c>
      <c r="C354">
        <v>40</v>
      </c>
      <c r="D354" t="s">
        <v>1079</v>
      </c>
      <c r="E354">
        <v>0</v>
      </c>
      <c r="F354">
        <v>0</v>
      </c>
      <c r="G354">
        <v>0</v>
      </c>
      <c r="H354">
        <v>10.39</v>
      </c>
      <c r="I354">
        <v>0</v>
      </c>
      <c r="J354">
        <v>10.199999999999999</v>
      </c>
    </row>
    <row r="355" spans="1:10" x14ac:dyDescent="0.15">
      <c r="A355" s="661">
        <v>44764</v>
      </c>
      <c r="B355" t="s">
        <v>1215</v>
      </c>
      <c r="C355">
        <v>40</v>
      </c>
      <c r="D355" t="s">
        <v>1215</v>
      </c>
      <c r="E355">
        <v>0</v>
      </c>
      <c r="F355">
        <v>0</v>
      </c>
      <c r="G355">
        <v>0</v>
      </c>
      <c r="H355">
        <v>82.89</v>
      </c>
      <c r="I355">
        <v>0</v>
      </c>
      <c r="J355">
        <v>81.56</v>
      </c>
    </row>
    <row r="356" spans="1:10" x14ac:dyDescent="0.15">
      <c r="A356" s="661">
        <v>44764</v>
      </c>
      <c r="B356" t="s">
        <v>1216</v>
      </c>
      <c r="C356">
        <v>40</v>
      </c>
      <c r="D356" t="s">
        <v>1216</v>
      </c>
      <c r="E356">
        <v>0</v>
      </c>
      <c r="F356">
        <v>0</v>
      </c>
      <c r="G356">
        <v>0</v>
      </c>
      <c r="H356">
        <v>57.29</v>
      </c>
      <c r="I356">
        <v>0</v>
      </c>
      <c r="J356">
        <v>55.91</v>
      </c>
    </row>
    <row r="357" spans="1:10" x14ac:dyDescent="0.15">
      <c r="A357" s="661">
        <v>44764</v>
      </c>
      <c r="B357" t="s">
        <v>1217</v>
      </c>
      <c r="C357">
        <v>40</v>
      </c>
      <c r="D357" t="s">
        <v>1217</v>
      </c>
      <c r="E357">
        <v>0</v>
      </c>
      <c r="F357">
        <v>0</v>
      </c>
      <c r="G357">
        <v>0</v>
      </c>
      <c r="H357">
        <v>389.31</v>
      </c>
      <c r="I357">
        <v>0</v>
      </c>
      <c r="J357">
        <v>387</v>
      </c>
    </row>
    <row r="358" spans="1:10" x14ac:dyDescent="0.15">
      <c r="A358" s="661">
        <v>44764</v>
      </c>
      <c r="B358" t="s">
        <v>1218</v>
      </c>
      <c r="C358">
        <v>40</v>
      </c>
      <c r="D358" t="s">
        <v>1218</v>
      </c>
      <c r="E358">
        <v>0</v>
      </c>
      <c r="F358">
        <v>0</v>
      </c>
      <c r="G358">
        <v>0</v>
      </c>
      <c r="H358">
        <v>27.65</v>
      </c>
      <c r="I358">
        <v>0</v>
      </c>
      <c r="J358">
        <v>27.87</v>
      </c>
    </row>
    <row r="359" spans="1:10" x14ac:dyDescent="0.15">
      <c r="A359" s="661">
        <v>44764</v>
      </c>
      <c r="B359" t="s">
        <v>1219</v>
      </c>
      <c r="C359">
        <v>40</v>
      </c>
      <c r="D359" t="s">
        <v>1219</v>
      </c>
      <c r="E359">
        <v>0</v>
      </c>
      <c r="F359">
        <v>0</v>
      </c>
      <c r="G359">
        <v>0</v>
      </c>
      <c r="H359">
        <v>24.92</v>
      </c>
      <c r="I359">
        <v>0</v>
      </c>
      <c r="J359">
        <v>24.04</v>
      </c>
    </row>
    <row r="360" spans="1:10" x14ac:dyDescent="0.15">
      <c r="A360" s="661">
        <v>44764</v>
      </c>
      <c r="B360" t="s">
        <v>1220</v>
      </c>
      <c r="C360">
        <v>40</v>
      </c>
      <c r="D360" t="s">
        <v>1220</v>
      </c>
      <c r="E360">
        <v>0</v>
      </c>
      <c r="F360">
        <v>0</v>
      </c>
      <c r="G360">
        <v>0</v>
      </c>
      <c r="H360">
        <v>433.57</v>
      </c>
      <c r="I360">
        <v>0</v>
      </c>
      <c r="J360">
        <v>438.17</v>
      </c>
    </row>
    <row r="361" spans="1:10" x14ac:dyDescent="0.15">
      <c r="A361" s="661">
        <v>44764</v>
      </c>
      <c r="B361" t="s">
        <v>1221</v>
      </c>
      <c r="C361">
        <v>40</v>
      </c>
      <c r="D361" t="s">
        <v>1221</v>
      </c>
      <c r="E361">
        <v>0</v>
      </c>
      <c r="F361">
        <v>0</v>
      </c>
      <c r="G361">
        <v>0</v>
      </c>
      <c r="H361">
        <v>10.57</v>
      </c>
      <c r="I361">
        <v>0</v>
      </c>
      <c r="J361">
        <v>10.37</v>
      </c>
    </row>
    <row r="362" spans="1:10" x14ac:dyDescent="0.15">
      <c r="A362" s="661">
        <v>44764</v>
      </c>
      <c r="B362" t="s">
        <v>949</v>
      </c>
      <c r="C362">
        <v>40</v>
      </c>
      <c r="D362" t="s">
        <v>949</v>
      </c>
      <c r="E362">
        <v>68.25</v>
      </c>
      <c r="F362">
        <v>69.89</v>
      </c>
      <c r="G362">
        <v>67.5</v>
      </c>
      <c r="H362">
        <v>68.739999999999995</v>
      </c>
      <c r="I362">
        <v>182500</v>
      </c>
      <c r="J362">
        <v>68.28</v>
      </c>
    </row>
    <row r="363" spans="1:10" x14ac:dyDescent="0.15">
      <c r="A363" s="661">
        <v>44764</v>
      </c>
      <c r="B363" t="s">
        <v>950</v>
      </c>
      <c r="C363">
        <v>40</v>
      </c>
      <c r="D363" t="s">
        <v>950</v>
      </c>
      <c r="E363">
        <v>5.25</v>
      </c>
      <c r="F363">
        <v>5.36</v>
      </c>
      <c r="G363">
        <v>5.2</v>
      </c>
      <c r="H363">
        <v>5.36</v>
      </c>
      <c r="I363">
        <v>104500</v>
      </c>
      <c r="J363">
        <v>5.35</v>
      </c>
    </row>
    <row r="364" spans="1:10" x14ac:dyDescent="0.15">
      <c r="A364" s="661">
        <v>44764</v>
      </c>
      <c r="B364" t="s">
        <v>951</v>
      </c>
      <c r="C364">
        <v>40</v>
      </c>
      <c r="D364" t="s">
        <v>951</v>
      </c>
      <c r="E364">
        <v>23.8</v>
      </c>
      <c r="F364">
        <v>23.8</v>
      </c>
      <c r="G364">
        <v>23.8</v>
      </c>
      <c r="H364">
        <v>23.8</v>
      </c>
      <c r="I364">
        <v>6000</v>
      </c>
      <c r="J364">
        <v>23.5</v>
      </c>
    </row>
    <row r="365" spans="1:10" x14ac:dyDescent="0.15">
      <c r="A365" s="661">
        <v>44764</v>
      </c>
      <c r="B365" t="s">
        <v>952</v>
      </c>
      <c r="C365">
        <v>40</v>
      </c>
      <c r="D365" t="s">
        <v>952</v>
      </c>
      <c r="E365">
        <v>10.15</v>
      </c>
      <c r="F365">
        <v>10.7</v>
      </c>
      <c r="G365">
        <v>10.02</v>
      </c>
      <c r="H365">
        <v>10.56</v>
      </c>
      <c r="I365">
        <v>1947500</v>
      </c>
      <c r="J365">
        <v>10.17</v>
      </c>
    </row>
    <row r="366" spans="1:10" x14ac:dyDescent="0.15">
      <c r="A366" s="661">
        <v>44764</v>
      </c>
      <c r="B366" t="s">
        <v>953</v>
      </c>
      <c r="C366">
        <v>40</v>
      </c>
      <c r="D366" t="s">
        <v>953</v>
      </c>
      <c r="E366">
        <v>1.34</v>
      </c>
      <c r="F366">
        <v>1.34</v>
      </c>
      <c r="G366">
        <v>1.18</v>
      </c>
      <c r="H366">
        <v>1.22</v>
      </c>
      <c r="I366">
        <v>421000</v>
      </c>
      <c r="J366">
        <v>1.23</v>
      </c>
    </row>
    <row r="367" spans="1:10" x14ac:dyDescent="0.15">
      <c r="A367" s="661">
        <v>44764</v>
      </c>
      <c r="B367" t="s">
        <v>1080</v>
      </c>
      <c r="C367">
        <v>40</v>
      </c>
      <c r="D367" t="s">
        <v>1080</v>
      </c>
      <c r="E367">
        <v>69.75</v>
      </c>
      <c r="F367">
        <v>69.75</v>
      </c>
      <c r="G367">
        <v>69.75</v>
      </c>
      <c r="H367">
        <v>69.75</v>
      </c>
      <c r="I367">
        <v>10000</v>
      </c>
      <c r="J367">
        <v>69.36</v>
      </c>
    </row>
    <row r="368" spans="1:10" x14ac:dyDescent="0.15">
      <c r="A368" s="661">
        <v>44764</v>
      </c>
      <c r="B368" t="s">
        <v>1081</v>
      </c>
      <c r="C368">
        <v>40</v>
      </c>
      <c r="D368" t="s">
        <v>1081</v>
      </c>
      <c r="E368">
        <v>5.33</v>
      </c>
      <c r="F368">
        <v>5.33</v>
      </c>
      <c r="G368">
        <v>5.33</v>
      </c>
      <c r="H368">
        <v>5.33</v>
      </c>
      <c r="I368">
        <v>50000</v>
      </c>
      <c r="J368">
        <v>5.34</v>
      </c>
    </row>
    <row r="369" spans="1:10" x14ac:dyDescent="0.15">
      <c r="A369" s="661">
        <v>44764</v>
      </c>
      <c r="B369" t="s">
        <v>1082</v>
      </c>
      <c r="C369">
        <v>40</v>
      </c>
      <c r="D369" t="s">
        <v>1082</v>
      </c>
      <c r="E369">
        <v>0</v>
      </c>
      <c r="F369">
        <v>0</v>
      </c>
      <c r="G369">
        <v>0</v>
      </c>
      <c r="H369">
        <v>24.48</v>
      </c>
      <c r="I369">
        <v>0</v>
      </c>
      <c r="J369">
        <v>24.25</v>
      </c>
    </row>
    <row r="370" spans="1:10" x14ac:dyDescent="0.15">
      <c r="A370" s="661">
        <v>44764</v>
      </c>
      <c r="B370" t="s">
        <v>1083</v>
      </c>
      <c r="C370">
        <v>40</v>
      </c>
      <c r="D370" t="s">
        <v>1083</v>
      </c>
      <c r="E370">
        <v>10.36</v>
      </c>
      <c r="F370">
        <v>10.6</v>
      </c>
      <c r="G370">
        <v>10.17</v>
      </c>
      <c r="H370">
        <v>10.6</v>
      </c>
      <c r="I370">
        <v>38500</v>
      </c>
      <c r="J370">
        <v>10.52</v>
      </c>
    </row>
    <row r="371" spans="1:10" x14ac:dyDescent="0.15">
      <c r="A371" s="661">
        <v>44764</v>
      </c>
      <c r="B371" t="s">
        <v>1084</v>
      </c>
      <c r="C371">
        <v>40</v>
      </c>
      <c r="D371" t="s">
        <v>1084</v>
      </c>
      <c r="E371">
        <v>1.26</v>
      </c>
      <c r="F371">
        <v>1.5</v>
      </c>
      <c r="G371">
        <v>1.25</v>
      </c>
      <c r="H371">
        <v>1.27</v>
      </c>
      <c r="I371">
        <v>75000</v>
      </c>
      <c r="J371">
        <v>1.23</v>
      </c>
    </row>
    <row r="372" spans="1:10" x14ac:dyDescent="0.15">
      <c r="A372" s="661">
        <v>44764</v>
      </c>
      <c r="B372" t="s">
        <v>1222</v>
      </c>
      <c r="C372">
        <v>40</v>
      </c>
      <c r="D372" t="s">
        <v>1222</v>
      </c>
      <c r="E372">
        <v>0</v>
      </c>
      <c r="F372">
        <v>0</v>
      </c>
      <c r="G372">
        <v>0</v>
      </c>
      <c r="H372">
        <v>70.709999999999994</v>
      </c>
      <c r="I372">
        <v>0</v>
      </c>
      <c r="J372">
        <v>70.44</v>
      </c>
    </row>
    <row r="373" spans="1:10" x14ac:dyDescent="0.15">
      <c r="A373" s="661">
        <v>44764</v>
      </c>
      <c r="B373" t="s">
        <v>1223</v>
      </c>
      <c r="C373">
        <v>40</v>
      </c>
      <c r="D373" t="s">
        <v>1223</v>
      </c>
      <c r="E373">
        <v>0</v>
      </c>
      <c r="F373">
        <v>0</v>
      </c>
      <c r="G373">
        <v>0</v>
      </c>
      <c r="H373">
        <v>5.51</v>
      </c>
      <c r="I373">
        <v>0</v>
      </c>
      <c r="J373">
        <v>5.44</v>
      </c>
    </row>
    <row r="374" spans="1:10" x14ac:dyDescent="0.15">
      <c r="A374" s="661">
        <v>44764</v>
      </c>
      <c r="B374" t="s">
        <v>1224</v>
      </c>
      <c r="C374">
        <v>40</v>
      </c>
      <c r="D374" t="s">
        <v>1224</v>
      </c>
      <c r="E374">
        <v>0</v>
      </c>
      <c r="F374">
        <v>0</v>
      </c>
      <c r="G374">
        <v>0</v>
      </c>
      <c r="H374">
        <v>24.9</v>
      </c>
      <c r="I374">
        <v>0</v>
      </c>
      <c r="J374">
        <v>24.66</v>
      </c>
    </row>
    <row r="375" spans="1:10" x14ac:dyDescent="0.15">
      <c r="A375" s="661">
        <v>44764</v>
      </c>
      <c r="B375" t="s">
        <v>1225</v>
      </c>
      <c r="C375">
        <v>40</v>
      </c>
      <c r="D375" t="s">
        <v>1225</v>
      </c>
      <c r="E375">
        <v>0</v>
      </c>
      <c r="F375">
        <v>0</v>
      </c>
      <c r="G375">
        <v>0</v>
      </c>
      <c r="H375">
        <v>109.69</v>
      </c>
      <c r="I375">
        <v>0</v>
      </c>
      <c r="J375">
        <v>109.26</v>
      </c>
    </row>
    <row r="376" spans="1:10" x14ac:dyDescent="0.15">
      <c r="A376" s="661">
        <v>44764</v>
      </c>
      <c r="B376" t="s">
        <v>1226</v>
      </c>
      <c r="C376">
        <v>40</v>
      </c>
      <c r="D376" t="s">
        <v>1226</v>
      </c>
      <c r="E376">
        <v>0</v>
      </c>
      <c r="F376">
        <v>0</v>
      </c>
      <c r="G376">
        <v>0</v>
      </c>
      <c r="H376">
        <v>10.85</v>
      </c>
      <c r="I376">
        <v>0</v>
      </c>
      <c r="J376">
        <v>10.49</v>
      </c>
    </row>
    <row r="377" spans="1:10" x14ac:dyDescent="0.15">
      <c r="A377" s="661">
        <v>44764</v>
      </c>
      <c r="B377" t="s">
        <v>1227</v>
      </c>
      <c r="C377">
        <v>40</v>
      </c>
      <c r="D377" t="s">
        <v>1227</v>
      </c>
      <c r="E377">
        <v>0</v>
      </c>
      <c r="F377">
        <v>0</v>
      </c>
      <c r="G377">
        <v>0</v>
      </c>
      <c r="H377">
        <v>1.24</v>
      </c>
      <c r="I377">
        <v>0</v>
      </c>
      <c r="J377">
        <v>1.25</v>
      </c>
    </row>
    <row r="378" spans="1:10" x14ac:dyDescent="0.15">
      <c r="A378" s="661">
        <v>44764</v>
      </c>
      <c r="B378" t="s">
        <v>954</v>
      </c>
      <c r="C378">
        <v>40</v>
      </c>
      <c r="D378" t="s">
        <v>954</v>
      </c>
      <c r="E378">
        <v>30.8</v>
      </c>
      <c r="F378">
        <v>30.8</v>
      </c>
      <c r="G378">
        <v>30.8</v>
      </c>
      <c r="H378">
        <v>30.8</v>
      </c>
      <c r="I378">
        <v>25000</v>
      </c>
      <c r="J378">
        <v>31.19</v>
      </c>
    </row>
    <row r="379" spans="1:10" x14ac:dyDescent="0.15">
      <c r="A379" s="661">
        <v>44764</v>
      </c>
      <c r="B379" t="s">
        <v>955</v>
      </c>
      <c r="C379">
        <v>40</v>
      </c>
      <c r="D379" t="s">
        <v>955</v>
      </c>
      <c r="E379">
        <v>3.29</v>
      </c>
      <c r="F379">
        <v>3.29</v>
      </c>
      <c r="G379">
        <v>3.29</v>
      </c>
      <c r="H379">
        <v>3.29</v>
      </c>
      <c r="I379">
        <v>1000</v>
      </c>
      <c r="J379">
        <v>3.2</v>
      </c>
    </row>
    <row r="380" spans="1:10" x14ac:dyDescent="0.15">
      <c r="A380" s="661">
        <v>44764</v>
      </c>
      <c r="B380" t="s">
        <v>956</v>
      </c>
      <c r="C380">
        <v>40</v>
      </c>
      <c r="D380" t="s">
        <v>956</v>
      </c>
      <c r="E380">
        <v>55</v>
      </c>
      <c r="F380">
        <v>57.9</v>
      </c>
      <c r="G380">
        <v>54</v>
      </c>
      <c r="H380">
        <v>56.88</v>
      </c>
      <c r="I380">
        <v>455000</v>
      </c>
      <c r="J380">
        <v>55.02</v>
      </c>
    </row>
    <row r="381" spans="1:10" x14ac:dyDescent="0.15">
      <c r="A381" s="661">
        <v>44764</v>
      </c>
      <c r="B381" t="s">
        <v>957</v>
      </c>
      <c r="C381">
        <v>40</v>
      </c>
      <c r="D381" t="s">
        <v>957</v>
      </c>
      <c r="E381">
        <v>27</v>
      </c>
      <c r="F381">
        <v>27.7</v>
      </c>
      <c r="G381">
        <v>26.73</v>
      </c>
      <c r="H381">
        <v>27.53</v>
      </c>
      <c r="I381">
        <v>76500</v>
      </c>
      <c r="J381">
        <v>27.37</v>
      </c>
    </row>
    <row r="382" spans="1:10" x14ac:dyDescent="0.15">
      <c r="A382" s="661">
        <v>44764</v>
      </c>
      <c r="B382" t="s">
        <v>1085</v>
      </c>
      <c r="C382">
        <v>40</v>
      </c>
      <c r="D382" t="s">
        <v>1085</v>
      </c>
      <c r="E382">
        <v>0</v>
      </c>
      <c r="F382">
        <v>0</v>
      </c>
      <c r="G382">
        <v>0</v>
      </c>
      <c r="H382">
        <v>31.16</v>
      </c>
      <c r="I382">
        <v>0</v>
      </c>
      <c r="J382">
        <v>31.63</v>
      </c>
    </row>
    <row r="383" spans="1:10" x14ac:dyDescent="0.15">
      <c r="A383" s="661">
        <v>44764</v>
      </c>
      <c r="B383" t="s">
        <v>1086</v>
      </c>
      <c r="C383">
        <v>40</v>
      </c>
      <c r="D383" t="s">
        <v>1086</v>
      </c>
      <c r="E383">
        <v>0</v>
      </c>
      <c r="F383">
        <v>0</v>
      </c>
      <c r="G383">
        <v>0</v>
      </c>
      <c r="H383">
        <v>3.33</v>
      </c>
      <c r="I383">
        <v>0</v>
      </c>
      <c r="J383">
        <v>3.26</v>
      </c>
    </row>
    <row r="384" spans="1:10" x14ac:dyDescent="0.15">
      <c r="A384" s="661">
        <v>44764</v>
      </c>
      <c r="B384" t="s">
        <v>1087</v>
      </c>
      <c r="C384">
        <v>40</v>
      </c>
      <c r="D384" t="s">
        <v>1087</v>
      </c>
      <c r="E384">
        <v>0</v>
      </c>
      <c r="F384">
        <v>0</v>
      </c>
      <c r="G384">
        <v>0</v>
      </c>
      <c r="H384">
        <v>57.56</v>
      </c>
      <c r="I384">
        <v>0</v>
      </c>
      <c r="J384">
        <v>55.9</v>
      </c>
    </row>
    <row r="385" spans="1:10" x14ac:dyDescent="0.15">
      <c r="A385" s="661">
        <v>44764</v>
      </c>
      <c r="B385" t="s">
        <v>1088</v>
      </c>
      <c r="C385">
        <v>40</v>
      </c>
      <c r="D385" t="s">
        <v>1088</v>
      </c>
      <c r="E385">
        <v>27</v>
      </c>
      <c r="F385">
        <v>27.41</v>
      </c>
      <c r="G385">
        <v>27</v>
      </c>
      <c r="H385">
        <v>27.4</v>
      </c>
      <c r="I385">
        <v>36500</v>
      </c>
      <c r="J385">
        <v>26.76</v>
      </c>
    </row>
    <row r="386" spans="1:10" x14ac:dyDescent="0.15">
      <c r="A386" s="661">
        <v>44764</v>
      </c>
      <c r="B386" t="s">
        <v>1228</v>
      </c>
      <c r="C386">
        <v>40</v>
      </c>
      <c r="D386" t="s">
        <v>1228</v>
      </c>
      <c r="E386">
        <v>0</v>
      </c>
      <c r="F386">
        <v>0</v>
      </c>
      <c r="G386">
        <v>0</v>
      </c>
      <c r="H386">
        <v>3.38</v>
      </c>
      <c r="I386">
        <v>0</v>
      </c>
      <c r="J386">
        <v>3.31</v>
      </c>
    </row>
    <row r="387" spans="1:10" x14ac:dyDescent="0.15">
      <c r="A387" s="661">
        <v>44764</v>
      </c>
      <c r="B387" t="s">
        <v>1229</v>
      </c>
      <c r="C387">
        <v>40</v>
      </c>
      <c r="D387" t="s">
        <v>1229</v>
      </c>
      <c r="E387">
        <v>0</v>
      </c>
      <c r="F387">
        <v>0</v>
      </c>
      <c r="G387">
        <v>0</v>
      </c>
      <c r="H387">
        <v>3.02</v>
      </c>
      <c r="I387">
        <v>0</v>
      </c>
      <c r="J387">
        <v>3.03</v>
      </c>
    </row>
    <row r="388" spans="1:10" x14ac:dyDescent="0.15">
      <c r="A388" s="661">
        <v>44764</v>
      </c>
      <c r="B388" t="s">
        <v>1230</v>
      </c>
      <c r="C388">
        <v>40</v>
      </c>
      <c r="D388" t="s">
        <v>1230</v>
      </c>
      <c r="E388">
        <v>0</v>
      </c>
      <c r="F388">
        <v>0</v>
      </c>
      <c r="G388">
        <v>0</v>
      </c>
      <c r="H388">
        <v>58.54</v>
      </c>
      <c r="I388">
        <v>0</v>
      </c>
      <c r="J388">
        <v>56.72</v>
      </c>
    </row>
    <row r="389" spans="1:10" x14ac:dyDescent="0.15">
      <c r="A389" s="661">
        <v>44764</v>
      </c>
      <c r="B389" t="s">
        <v>1231</v>
      </c>
      <c r="C389">
        <v>40</v>
      </c>
      <c r="D389" t="s">
        <v>1231</v>
      </c>
      <c r="E389">
        <v>0</v>
      </c>
      <c r="F389">
        <v>0</v>
      </c>
      <c r="G389">
        <v>0</v>
      </c>
      <c r="H389">
        <v>31.7</v>
      </c>
      <c r="I389">
        <v>0</v>
      </c>
      <c r="J389">
        <v>32.17</v>
      </c>
    </row>
    <row r="390" spans="1:10" x14ac:dyDescent="0.15">
      <c r="A390" s="661">
        <v>44764</v>
      </c>
      <c r="B390" t="s">
        <v>1232</v>
      </c>
      <c r="C390">
        <v>40</v>
      </c>
      <c r="D390" t="s">
        <v>1232</v>
      </c>
      <c r="E390">
        <v>0</v>
      </c>
      <c r="F390">
        <v>0</v>
      </c>
      <c r="G390">
        <v>0</v>
      </c>
      <c r="H390">
        <v>28.04</v>
      </c>
      <c r="I390">
        <v>0</v>
      </c>
      <c r="J390">
        <v>27.84</v>
      </c>
    </row>
    <row r="391" spans="1:10" x14ac:dyDescent="0.15">
      <c r="A391" s="661">
        <v>44764</v>
      </c>
      <c r="B391" t="s">
        <v>958</v>
      </c>
      <c r="C391">
        <v>40</v>
      </c>
      <c r="D391" t="s">
        <v>958</v>
      </c>
      <c r="E391">
        <v>0</v>
      </c>
      <c r="F391">
        <v>0</v>
      </c>
      <c r="G391">
        <v>0</v>
      </c>
      <c r="H391">
        <v>65.03</v>
      </c>
      <c r="I391">
        <v>0</v>
      </c>
      <c r="J391">
        <v>65.260000000000005</v>
      </c>
    </row>
    <row r="392" spans="1:10" x14ac:dyDescent="0.15">
      <c r="A392" s="661">
        <v>44764</v>
      </c>
      <c r="B392" t="s">
        <v>959</v>
      </c>
      <c r="C392">
        <v>40</v>
      </c>
      <c r="D392" t="s">
        <v>959</v>
      </c>
      <c r="E392">
        <v>135.5</v>
      </c>
      <c r="F392">
        <v>141.5</v>
      </c>
      <c r="G392">
        <v>133.26</v>
      </c>
      <c r="H392">
        <v>140.49</v>
      </c>
      <c r="I392">
        <v>2170000</v>
      </c>
      <c r="J392">
        <v>135.65</v>
      </c>
    </row>
    <row r="393" spans="1:10" x14ac:dyDescent="0.15">
      <c r="A393" s="661">
        <v>44764</v>
      </c>
      <c r="B393" t="s">
        <v>960</v>
      </c>
      <c r="C393">
        <v>40</v>
      </c>
      <c r="D393" t="s">
        <v>960</v>
      </c>
      <c r="E393">
        <v>10.09</v>
      </c>
      <c r="F393">
        <v>10.35</v>
      </c>
      <c r="G393">
        <v>9.8800000000000008</v>
      </c>
      <c r="H393">
        <v>10.23</v>
      </c>
      <c r="I393">
        <v>983500</v>
      </c>
      <c r="J393">
        <v>10.14</v>
      </c>
    </row>
    <row r="394" spans="1:10" x14ac:dyDescent="0.15">
      <c r="A394" s="661">
        <v>44764</v>
      </c>
      <c r="B394" t="s">
        <v>961</v>
      </c>
      <c r="C394">
        <v>40</v>
      </c>
      <c r="D394" t="s">
        <v>961</v>
      </c>
      <c r="E394">
        <v>0</v>
      </c>
      <c r="F394">
        <v>0</v>
      </c>
      <c r="G394">
        <v>0</v>
      </c>
      <c r="H394">
        <v>2.79</v>
      </c>
      <c r="I394">
        <v>0</v>
      </c>
      <c r="J394">
        <v>2.71</v>
      </c>
    </row>
    <row r="395" spans="1:10" x14ac:dyDescent="0.15">
      <c r="A395" s="661">
        <v>44764</v>
      </c>
      <c r="B395" t="s">
        <v>962</v>
      </c>
      <c r="C395">
        <v>40</v>
      </c>
      <c r="D395" t="s">
        <v>962</v>
      </c>
      <c r="E395">
        <v>12.6</v>
      </c>
      <c r="F395">
        <v>13.04</v>
      </c>
      <c r="G395">
        <v>12.6</v>
      </c>
      <c r="H395">
        <v>13</v>
      </c>
      <c r="I395">
        <v>102500</v>
      </c>
      <c r="J395">
        <v>12.81</v>
      </c>
    </row>
    <row r="396" spans="1:10" x14ac:dyDescent="0.15">
      <c r="A396" s="661">
        <v>44764</v>
      </c>
      <c r="B396" t="s">
        <v>963</v>
      </c>
      <c r="C396">
        <v>40</v>
      </c>
      <c r="D396" t="s">
        <v>963</v>
      </c>
      <c r="E396">
        <v>87.7</v>
      </c>
      <c r="F396">
        <v>93.2</v>
      </c>
      <c r="G396">
        <v>86.26</v>
      </c>
      <c r="H396">
        <v>92.12</v>
      </c>
      <c r="I396">
        <v>1325000</v>
      </c>
      <c r="J396">
        <v>87.63</v>
      </c>
    </row>
    <row r="397" spans="1:10" x14ac:dyDescent="0.15">
      <c r="A397" s="661">
        <v>44764</v>
      </c>
      <c r="B397" t="s">
        <v>964</v>
      </c>
      <c r="C397">
        <v>40</v>
      </c>
      <c r="D397" t="s">
        <v>964</v>
      </c>
      <c r="E397">
        <v>111</v>
      </c>
      <c r="F397">
        <v>111.63</v>
      </c>
      <c r="G397">
        <v>110</v>
      </c>
      <c r="H397">
        <v>110.12</v>
      </c>
      <c r="I397">
        <v>26500</v>
      </c>
      <c r="J397">
        <v>111.63</v>
      </c>
    </row>
    <row r="398" spans="1:10" x14ac:dyDescent="0.15">
      <c r="A398" s="661">
        <v>44764</v>
      </c>
      <c r="B398" t="s">
        <v>965</v>
      </c>
      <c r="C398">
        <v>40</v>
      </c>
      <c r="D398" t="s">
        <v>965</v>
      </c>
      <c r="E398">
        <v>218</v>
      </c>
      <c r="F398">
        <v>222</v>
      </c>
      <c r="G398">
        <v>213.05</v>
      </c>
      <c r="H398">
        <v>220.85</v>
      </c>
      <c r="I398">
        <v>493500</v>
      </c>
      <c r="J398">
        <v>216.28</v>
      </c>
    </row>
    <row r="399" spans="1:10" x14ac:dyDescent="0.15">
      <c r="A399" s="661">
        <v>44764</v>
      </c>
      <c r="B399" t="s">
        <v>966</v>
      </c>
      <c r="C399">
        <v>40</v>
      </c>
      <c r="D399" t="s">
        <v>966</v>
      </c>
      <c r="E399">
        <v>86.77</v>
      </c>
      <c r="F399">
        <v>86.77</v>
      </c>
      <c r="G399">
        <v>84.5</v>
      </c>
      <c r="H399">
        <v>84.73</v>
      </c>
      <c r="I399">
        <v>20000</v>
      </c>
      <c r="J399">
        <v>86.87</v>
      </c>
    </row>
    <row r="400" spans="1:10" x14ac:dyDescent="0.15">
      <c r="A400" s="661">
        <v>44764</v>
      </c>
      <c r="B400" t="s">
        <v>1089</v>
      </c>
      <c r="C400">
        <v>40</v>
      </c>
      <c r="D400" t="s">
        <v>1089</v>
      </c>
      <c r="E400">
        <v>0</v>
      </c>
      <c r="F400">
        <v>0</v>
      </c>
      <c r="G400">
        <v>0</v>
      </c>
      <c r="H400">
        <v>65.930000000000007</v>
      </c>
      <c r="I400">
        <v>0</v>
      </c>
      <c r="J400">
        <v>66.17</v>
      </c>
    </row>
    <row r="401" spans="1:10" x14ac:dyDescent="0.15">
      <c r="A401" s="661">
        <v>44764</v>
      </c>
      <c r="B401" t="s">
        <v>1090</v>
      </c>
      <c r="C401">
        <v>40</v>
      </c>
      <c r="D401" t="s">
        <v>1090</v>
      </c>
      <c r="E401">
        <v>136</v>
      </c>
      <c r="F401">
        <v>142</v>
      </c>
      <c r="G401">
        <v>135.5</v>
      </c>
      <c r="H401">
        <v>141.97999999999999</v>
      </c>
      <c r="I401">
        <v>12500</v>
      </c>
      <c r="J401">
        <v>137</v>
      </c>
    </row>
    <row r="402" spans="1:10" x14ac:dyDescent="0.15">
      <c r="A402" s="661">
        <v>44764</v>
      </c>
      <c r="B402" t="s">
        <v>1091</v>
      </c>
      <c r="C402">
        <v>40</v>
      </c>
      <c r="D402" t="s">
        <v>1091</v>
      </c>
      <c r="E402">
        <v>0</v>
      </c>
      <c r="F402">
        <v>0</v>
      </c>
      <c r="G402">
        <v>0</v>
      </c>
      <c r="H402">
        <v>10.33</v>
      </c>
      <c r="I402">
        <v>0</v>
      </c>
      <c r="J402">
        <v>10.28</v>
      </c>
    </row>
    <row r="403" spans="1:10" x14ac:dyDescent="0.15">
      <c r="A403" s="661">
        <v>44764</v>
      </c>
      <c r="B403" t="s">
        <v>1092</v>
      </c>
      <c r="C403">
        <v>40</v>
      </c>
      <c r="D403" t="s">
        <v>1092</v>
      </c>
      <c r="E403">
        <v>0</v>
      </c>
      <c r="F403">
        <v>0</v>
      </c>
      <c r="G403">
        <v>0</v>
      </c>
      <c r="H403">
        <v>2.83</v>
      </c>
      <c r="I403">
        <v>0</v>
      </c>
      <c r="J403">
        <v>2.76</v>
      </c>
    </row>
    <row r="404" spans="1:10" x14ac:dyDescent="0.15">
      <c r="A404" s="661">
        <v>44764</v>
      </c>
      <c r="B404" t="s">
        <v>1093</v>
      </c>
      <c r="C404">
        <v>40</v>
      </c>
      <c r="D404" t="s">
        <v>1093</v>
      </c>
      <c r="E404">
        <v>12.85</v>
      </c>
      <c r="F404">
        <v>13.25</v>
      </c>
      <c r="G404">
        <v>12.85</v>
      </c>
      <c r="H404">
        <v>13.05</v>
      </c>
      <c r="I404">
        <v>1293000</v>
      </c>
      <c r="J404">
        <v>13</v>
      </c>
    </row>
    <row r="405" spans="1:10" x14ac:dyDescent="0.15">
      <c r="A405" s="661">
        <v>44764</v>
      </c>
      <c r="B405" t="s">
        <v>1094</v>
      </c>
      <c r="C405">
        <v>40</v>
      </c>
      <c r="D405" t="s">
        <v>1094</v>
      </c>
      <c r="E405">
        <v>88.22</v>
      </c>
      <c r="F405">
        <v>94.52</v>
      </c>
      <c r="G405">
        <v>88.22</v>
      </c>
      <c r="H405">
        <v>94.14</v>
      </c>
      <c r="I405">
        <v>32500</v>
      </c>
      <c r="J405">
        <v>88</v>
      </c>
    </row>
    <row r="406" spans="1:10" x14ac:dyDescent="0.15">
      <c r="A406" s="661">
        <v>44764</v>
      </c>
      <c r="B406" t="s">
        <v>1095</v>
      </c>
      <c r="C406">
        <v>40</v>
      </c>
      <c r="D406" t="s">
        <v>1095</v>
      </c>
      <c r="E406">
        <v>0</v>
      </c>
      <c r="F406">
        <v>0</v>
      </c>
      <c r="G406">
        <v>0</v>
      </c>
      <c r="H406">
        <v>111.92</v>
      </c>
      <c r="I406">
        <v>0</v>
      </c>
      <c r="J406">
        <v>113.45</v>
      </c>
    </row>
    <row r="407" spans="1:10" x14ac:dyDescent="0.15">
      <c r="A407" s="661">
        <v>44764</v>
      </c>
      <c r="B407" t="s">
        <v>1096</v>
      </c>
      <c r="C407">
        <v>40</v>
      </c>
      <c r="D407" t="s">
        <v>1096</v>
      </c>
      <c r="E407">
        <v>222.5</v>
      </c>
      <c r="F407">
        <v>223.5</v>
      </c>
      <c r="G407">
        <v>222.5</v>
      </c>
      <c r="H407">
        <v>222.97</v>
      </c>
      <c r="I407">
        <v>18000</v>
      </c>
      <c r="J407">
        <v>219</v>
      </c>
    </row>
    <row r="408" spans="1:10" x14ac:dyDescent="0.15">
      <c r="A408" s="661">
        <v>44764</v>
      </c>
      <c r="B408" t="s">
        <v>1097</v>
      </c>
      <c r="C408">
        <v>40</v>
      </c>
      <c r="D408" t="s">
        <v>1097</v>
      </c>
      <c r="E408">
        <v>86</v>
      </c>
      <c r="F408">
        <v>86</v>
      </c>
      <c r="G408">
        <v>86</v>
      </c>
      <c r="H408">
        <v>86</v>
      </c>
      <c r="I408">
        <v>1000</v>
      </c>
      <c r="J408">
        <v>88.08</v>
      </c>
    </row>
    <row r="409" spans="1:10" x14ac:dyDescent="0.15">
      <c r="A409" s="661">
        <v>44764</v>
      </c>
      <c r="B409" t="s">
        <v>1233</v>
      </c>
      <c r="C409">
        <v>40</v>
      </c>
      <c r="D409" t="s">
        <v>1233</v>
      </c>
      <c r="E409">
        <v>0</v>
      </c>
      <c r="F409">
        <v>0</v>
      </c>
      <c r="G409">
        <v>0</v>
      </c>
      <c r="H409">
        <v>67.06</v>
      </c>
      <c r="I409">
        <v>0</v>
      </c>
      <c r="J409">
        <v>67.3</v>
      </c>
    </row>
    <row r="410" spans="1:10" x14ac:dyDescent="0.15">
      <c r="A410" s="661">
        <v>44764</v>
      </c>
      <c r="B410" t="s">
        <v>1234</v>
      </c>
      <c r="C410">
        <v>40</v>
      </c>
      <c r="D410" t="s">
        <v>1234</v>
      </c>
      <c r="E410">
        <v>0</v>
      </c>
      <c r="F410">
        <v>0</v>
      </c>
      <c r="G410">
        <v>0</v>
      </c>
      <c r="H410">
        <v>144.80000000000001</v>
      </c>
      <c r="I410">
        <v>0</v>
      </c>
      <c r="J410">
        <v>140.02000000000001</v>
      </c>
    </row>
    <row r="411" spans="1:10" x14ac:dyDescent="0.15">
      <c r="A411" s="661">
        <v>44764</v>
      </c>
      <c r="B411" t="s">
        <v>1235</v>
      </c>
      <c r="C411">
        <v>40</v>
      </c>
      <c r="D411" t="s">
        <v>1235</v>
      </c>
      <c r="E411">
        <v>0</v>
      </c>
      <c r="F411">
        <v>0</v>
      </c>
      <c r="G411">
        <v>0</v>
      </c>
      <c r="H411">
        <v>10.5</v>
      </c>
      <c r="I411">
        <v>0</v>
      </c>
      <c r="J411">
        <v>10.46</v>
      </c>
    </row>
    <row r="412" spans="1:10" x14ac:dyDescent="0.15">
      <c r="A412" s="661">
        <v>44764</v>
      </c>
      <c r="B412" t="s">
        <v>1236</v>
      </c>
      <c r="C412">
        <v>40</v>
      </c>
      <c r="D412" t="s">
        <v>1236</v>
      </c>
      <c r="E412">
        <v>0</v>
      </c>
      <c r="F412">
        <v>0</v>
      </c>
      <c r="G412">
        <v>0</v>
      </c>
      <c r="H412">
        <v>2.88</v>
      </c>
      <c r="I412">
        <v>0</v>
      </c>
      <c r="J412">
        <v>2.81</v>
      </c>
    </row>
    <row r="413" spans="1:10" x14ac:dyDescent="0.15">
      <c r="A413" s="661">
        <v>44764</v>
      </c>
      <c r="B413" t="s">
        <v>1237</v>
      </c>
      <c r="C413">
        <v>40</v>
      </c>
      <c r="D413" t="s">
        <v>1237</v>
      </c>
      <c r="E413">
        <v>0</v>
      </c>
      <c r="F413">
        <v>0</v>
      </c>
      <c r="G413">
        <v>0</v>
      </c>
      <c r="H413">
        <v>13.38</v>
      </c>
      <c r="I413">
        <v>0</v>
      </c>
      <c r="J413">
        <v>13.18</v>
      </c>
    </row>
    <row r="414" spans="1:10" x14ac:dyDescent="0.15">
      <c r="A414" s="661">
        <v>44764</v>
      </c>
      <c r="B414" t="s">
        <v>1238</v>
      </c>
      <c r="C414">
        <v>40</v>
      </c>
      <c r="D414" t="s">
        <v>1238</v>
      </c>
      <c r="E414">
        <v>0</v>
      </c>
      <c r="F414">
        <v>0</v>
      </c>
      <c r="G414">
        <v>0</v>
      </c>
      <c r="H414">
        <v>94.91</v>
      </c>
      <c r="I414">
        <v>0</v>
      </c>
      <c r="J414">
        <v>90.37</v>
      </c>
    </row>
    <row r="415" spans="1:10" x14ac:dyDescent="0.15">
      <c r="A415" s="661">
        <v>44764</v>
      </c>
      <c r="B415" t="s">
        <v>1239</v>
      </c>
      <c r="C415">
        <v>40</v>
      </c>
      <c r="D415" t="s">
        <v>1239</v>
      </c>
      <c r="E415">
        <v>0</v>
      </c>
      <c r="F415">
        <v>0</v>
      </c>
      <c r="G415">
        <v>0</v>
      </c>
      <c r="H415">
        <v>113.84</v>
      </c>
      <c r="I415">
        <v>0</v>
      </c>
      <c r="J415">
        <v>115.39</v>
      </c>
    </row>
    <row r="416" spans="1:10" x14ac:dyDescent="0.15">
      <c r="A416" s="661">
        <v>44764</v>
      </c>
      <c r="B416" t="s">
        <v>1240</v>
      </c>
      <c r="C416">
        <v>40</v>
      </c>
      <c r="D416" t="s">
        <v>1240</v>
      </c>
      <c r="E416">
        <v>0</v>
      </c>
      <c r="F416">
        <v>0</v>
      </c>
      <c r="G416">
        <v>0</v>
      </c>
      <c r="H416">
        <v>227.45</v>
      </c>
      <c r="I416">
        <v>0</v>
      </c>
      <c r="J416">
        <v>222.98</v>
      </c>
    </row>
    <row r="417" spans="1:10" x14ac:dyDescent="0.15">
      <c r="A417" s="661">
        <v>44764</v>
      </c>
      <c r="B417" t="s">
        <v>1241</v>
      </c>
      <c r="C417">
        <v>40</v>
      </c>
      <c r="D417" t="s">
        <v>1241</v>
      </c>
      <c r="E417">
        <v>0</v>
      </c>
      <c r="F417">
        <v>0</v>
      </c>
      <c r="G417">
        <v>0</v>
      </c>
      <c r="H417">
        <v>87.59</v>
      </c>
      <c r="I417">
        <v>0</v>
      </c>
      <c r="J417">
        <v>89.59</v>
      </c>
    </row>
    <row r="418" spans="1:10" x14ac:dyDescent="0.15">
      <c r="A418" s="661">
        <v>44764</v>
      </c>
      <c r="B418" t="s">
        <v>1242</v>
      </c>
      <c r="C418">
        <v>40</v>
      </c>
      <c r="D418" t="s">
        <v>1242</v>
      </c>
      <c r="E418">
        <v>0</v>
      </c>
      <c r="F418">
        <v>0</v>
      </c>
      <c r="G418">
        <v>0</v>
      </c>
      <c r="H418">
        <v>59.87</v>
      </c>
      <c r="I418">
        <v>0</v>
      </c>
      <c r="J418">
        <v>60.29</v>
      </c>
    </row>
    <row r="419" spans="1:10" x14ac:dyDescent="0.15">
      <c r="A419" s="661">
        <v>44764</v>
      </c>
      <c r="B419" t="s">
        <v>967</v>
      </c>
      <c r="C419">
        <v>40</v>
      </c>
      <c r="D419" t="s">
        <v>967</v>
      </c>
      <c r="E419">
        <v>58</v>
      </c>
      <c r="F419">
        <v>58</v>
      </c>
      <c r="G419">
        <v>58</v>
      </c>
      <c r="H419">
        <v>58</v>
      </c>
      <c r="I419">
        <v>500</v>
      </c>
      <c r="J419">
        <v>58.46</v>
      </c>
    </row>
    <row r="420" spans="1:10" x14ac:dyDescent="0.15">
      <c r="A420" s="661">
        <v>44764</v>
      </c>
      <c r="B420" t="s">
        <v>968</v>
      </c>
      <c r="C420">
        <v>40</v>
      </c>
      <c r="D420" t="s">
        <v>968</v>
      </c>
      <c r="E420">
        <v>0</v>
      </c>
      <c r="F420">
        <v>0</v>
      </c>
      <c r="G420">
        <v>0</v>
      </c>
      <c r="H420">
        <v>36.42</v>
      </c>
      <c r="I420">
        <v>0</v>
      </c>
      <c r="J420">
        <v>35.93</v>
      </c>
    </row>
    <row r="421" spans="1:10" x14ac:dyDescent="0.15">
      <c r="A421" s="661">
        <v>44764</v>
      </c>
      <c r="B421" t="s">
        <v>1098</v>
      </c>
      <c r="C421">
        <v>40</v>
      </c>
      <c r="D421" t="s">
        <v>1098</v>
      </c>
      <c r="E421">
        <v>0</v>
      </c>
      <c r="F421">
        <v>0</v>
      </c>
      <c r="G421">
        <v>0</v>
      </c>
      <c r="H421">
        <v>58.86</v>
      </c>
      <c r="I421">
        <v>0</v>
      </c>
      <c r="J421">
        <v>59.27</v>
      </c>
    </row>
    <row r="422" spans="1:10" x14ac:dyDescent="0.15">
      <c r="A422" s="661">
        <v>44764</v>
      </c>
      <c r="B422" t="s">
        <v>1099</v>
      </c>
      <c r="C422">
        <v>40</v>
      </c>
      <c r="D422" t="s">
        <v>1099</v>
      </c>
      <c r="E422">
        <v>0</v>
      </c>
      <c r="F422">
        <v>0</v>
      </c>
      <c r="G422">
        <v>0</v>
      </c>
      <c r="H422">
        <v>36.92</v>
      </c>
      <c r="I422">
        <v>0</v>
      </c>
      <c r="J422">
        <v>36.43</v>
      </c>
    </row>
    <row r="423" spans="1:10" x14ac:dyDescent="0.15">
      <c r="A423" s="661">
        <v>44764</v>
      </c>
      <c r="B423" t="s">
        <v>1243</v>
      </c>
      <c r="C423">
        <v>40</v>
      </c>
      <c r="D423" t="s">
        <v>1243</v>
      </c>
      <c r="E423">
        <v>0</v>
      </c>
      <c r="F423">
        <v>0</v>
      </c>
      <c r="G423">
        <v>0</v>
      </c>
      <c r="H423">
        <v>37.56</v>
      </c>
      <c r="I423">
        <v>0</v>
      </c>
      <c r="J423">
        <v>37.06</v>
      </c>
    </row>
    <row r="424" spans="1:10" x14ac:dyDescent="0.15">
      <c r="A424" s="661">
        <v>44764</v>
      </c>
      <c r="B424" t="s">
        <v>969</v>
      </c>
      <c r="C424">
        <v>40</v>
      </c>
      <c r="D424" t="s">
        <v>969</v>
      </c>
      <c r="E424">
        <v>77.5</v>
      </c>
      <c r="F424">
        <v>80.900000000000006</v>
      </c>
      <c r="G424">
        <v>75</v>
      </c>
      <c r="H424">
        <v>79.97</v>
      </c>
      <c r="I424">
        <v>172500</v>
      </c>
      <c r="J424">
        <v>76.7</v>
      </c>
    </row>
    <row r="425" spans="1:10" x14ac:dyDescent="0.15">
      <c r="A425" s="661">
        <v>44764</v>
      </c>
      <c r="B425" t="s">
        <v>970</v>
      </c>
      <c r="C425">
        <v>40</v>
      </c>
      <c r="D425" t="s">
        <v>970</v>
      </c>
      <c r="E425">
        <v>0</v>
      </c>
      <c r="F425">
        <v>0</v>
      </c>
      <c r="G425">
        <v>0</v>
      </c>
      <c r="H425">
        <v>65.23</v>
      </c>
      <c r="I425">
        <v>0</v>
      </c>
      <c r="J425">
        <v>64.7</v>
      </c>
    </row>
    <row r="426" spans="1:10" x14ac:dyDescent="0.15">
      <c r="A426" s="661">
        <v>44764</v>
      </c>
      <c r="B426" t="s">
        <v>971</v>
      </c>
      <c r="C426">
        <v>40</v>
      </c>
      <c r="D426" t="s">
        <v>971</v>
      </c>
      <c r="E426">
        <v>44</v>
      </c>
      <c r="F426">
        <v>44.55</v>
      </c>
      <c r="G426">
        <v>44</v>
      </c>
      <c r="H426">
        <v>44.45</v>
      </c>
      <c r="I426">
        <v>22500</v>
      </c>
      <c r="J426">
        <v>44.38</v>
      </c>
    </row>
    <row r="427" spans="1:10" x14ac:dyDescent="0.15">
      <c r="A427" s="661">
        <v>44764</v>
      </c>
      <c r="B427" t="s">
        <v>1100</v>
      </c>
      <c r="C427">
        <v>40</v>
      </c>
      <c r="D427" t="s">
        <v>1100</v>
      </c>
      <c r="E427">
        <v>77.48</v>
      </c>
      <c r="F427">
        <v>77.48</v>
      </c>
      <c r="G427">
        <v>77.48</v>
      </c>
      <c r="H427">
        <v>77.48</v>
      </c>
      <c r="I427">
        <v>500</v>
      </c>
      <c r="J427">
        <v>77.5</v>
      </c>
    </row>
    <row r="428" spans="1:10" x14ac:dyDescent="0.15">
      <c r="A428" s="661">
        <v>44764</v>
      </c>
      <c r="B428" t="s">
        <v>1101</v>
      </c>
      <c r="C428">
        <v>40</v>
      </c>
      <c r="D428" t="s">
        <v>1101</v>
      </c>
      <c r="E428">
        <v>0</v>
      </c>
      <c r="F428">
        <v>0</v>
      </c>
      <c r="G428">
        <v>0</v>
      </c>
      <c r="H428">
        <v>45.13</v>
      </c>
      <c r="I428">
        <v>0</v>
      </c>
      <c r="J428">
        <v>44.95</v>
      </c>
    </row>
    <row r="429" spans="1:10" x14ac:dyDescent="0.15">
      <c r="A429" s="661">
        <v>44764</v>
      </c>
      <c r="B429" t="s">
        <v>1244</v>
      </c>
      <c r="C429">
        <v>40</v>
      </c>
      <c r="D429" t="s">
        <v>1244</v>
      </c>
      <c r="E429">
        <v>0</v>
      </c>
      <c r="F429">
        <v>0</v>
      </c>
      <c r="G429">
        <v>0</v>
      </c>
      <c r="H429">
        <v>68.290000000000006</v>
      </c>
      <c r="I429">
        <v>0</v>
      </c>
      <c r="J429">
        <v>67.319999999999993</v>
      </c>
    </row>
    <row r="430" spans="1:10" x14ac:dyDescent="0.15">
      <c r="A430" s="661">
        <v>44764</v>
      </c>
      <c r="B430" t="s">
        <v>1245</v>
      </c>
      <c r="C430">
        <v>40</v>
      </c>
      <c r="D430" t="s">
        <v>1245</v>
      </c>
      <c r="E430">
        <v>0</v>
      </c>
      <c r="F430">
        <v>0</v>
      </c>
      <c r="G430">
        <v>0</v>
      </c>
      <c r="H430">
        <v>31.05</v>
      </c>
      <c r="I430">
        <v>0</v>
      </c>
      <c r="J430">
        <v>31.05</v>
      </c>
    </row>
    <row r="431" spans="1:10" x14ac:dyDescent="0.15">
      <c r="A431" s="661">
        <v>44764</v>
      </c>
      <c r="B431" t="s">
        <v>1246</v>
      </c>
      <c r="C431">
        <v>40</v>
      </c>
      <c r="D431" t="s">
        <v>1246</v>
      </c>
      <c r="E431">
        <v>0</v>
      </c>
      <c r="F431">
        <v>0</v>
      </c>
      <c r="G431">
        <v>0</v>
      </c>
      <c r="H431">
        <v>15.59</v>
      </c>
      <c r="I431">
        <v>0</v>
      </c>
      <c r="J431">
        <v>15.01</v>
      </c>
    </row>
    <row r="432" spans="1:10" x14ac:dyDescent="0.15">
      <c r="A432" s="661">
        <v>44764</v>
      </c>
      <c r="B432" t="s">
        <v>1247</v>
      </c>
      <c r="C432">
        <v>40</v>
      </c>
      <c r="D432" t="s">
        <v>1247</v>
      </c>
      <c r="E432">
        <v>0</v>
      </c>
      <c r="F432">
        <v>0</v>
      </c>
      <c r="G432">
        <v>0</v>
      </c>
      <c r="H432">
        <v>82.54</v>
      </c>
      <c r="I432">
        <v>0</v>
      </c>
      <c r="J432">
        <v>79.02</v>
      </c>
    </row>
    <row r="433" spans="1:10" x14ac:dyDescent="0.15">
      <c r="A433" s="661">
        <v>44764</v>
      </c>
      <c r="B433" t="s">
        <v>972</v>
      </c>
      <c r="C433">
        <v>40</v>
      </c>
      <c r="D433" t="s">
        <v>972</v>
      </c>
      <c r="E433">
        <v>82.75</v>
      </c>
      <c r="F433">
        <v>85.5</v>
      </c>
      <c r="G433">
        <v>82.1</v>
      </c>
      <c r="H433">
        <v>85.21</v>
      </c>
      <c r="I433">
        <v>119000</v>
      </c>
      <c r="J433">
        <v>83.03</v>
      </c>
    </row>
    <row r="434" spans="1:10" x14ac:dyDescent="0.15">
      <c r="A434" s="661">
        <v>44764</v>
      </c>
      <c r="B434" t="s">
        <v>973</v>
      </c>
      <c r="C434">
        <v>40</v>
      </c>
      <c r="D434" t="s">
        <v>973</v>
      </c>
      <c r="E434">
        <v>30.25</v>
      </c>
      <c r="F434">
        <v>30.5</v>
      </c>
      <c r="G434">
        <v>29.51</v>
      </c>
      <c r="H434">
        <v>30</v>
      </c>
      <c r="I434">
        <v>18000</v>
      </c>
      <c r="J434">
        <v>30.14</v>
      </c>
    </row>
    <row r="435" spans="1:10" x14ac:dyDescent="0.15">
      <c r="A435" s="661">
        <v>44764</v>
      </c>
      <c r="B435" t="s">
        <v>974</v>
      </c>
      <c r="C435">
        <v>40</v>
      </c>
      <c r="D435" t="s">
        <v>974</v>
      </c>
      <c r="E435">
        <v>2.9</v>
      </c>
      <c r="F435">
        <v>2.95</v>
      </c>
      <c r="G435">
        <v>2.9</v>
      </c>
      <c r="H435">
        <v>2.94</v>
      </c>
      <c r="I435">
        <v>18000</v>
      </c>
      <c r="J435">
        <v>2.93</v>
      </c>
    </row>
    <row r="436" spans="1:10" x14ac:dyDescent="0.15">
      <c r="A436" s="661">
        <v>44764</v>
      </c>
      <c r="B436" t="s">
        <v>975</v>
      </c>
      <c r="C436">
        <v>40</v>
      </c>
      <c r="D436" t="s">
        <v>975</v>
      </c>
      <c r="E436">
        <v>14.5</v>
      </c>
      <c r="F436">
        <v>15.18</v>
      </c>
      <c r="G436">
        <v>14.31</v>
      </c>
      <c r="H436">
        <v>15.1</v>
      </c>
      <c r="I436">
        <v>1001500</v>
      </c>
      <c r="J436">
        <v>14.56</v>
      </c>
    </row>
    <row r="437" spans="1:10" x14ac:dyDescent="0.15">
      <c r="A437" s="661">
        <v>44764</v>
      </c>
      <c r="B437" t="s">
        <v>976</v>
      </c>
      <c r="C437">
        <v>40</v>
      </c>
      <c r="D437" t="s">
        <v>976</v>
      </c>
      <c r="E437">
        <v>97.01</v>
      </c>
      <c r="F437">
        <v>99.25</v>
      </c>
      <c r="G437">
        <v>95.5</v>
      </c>
      <c r="H437">
        <v>98.75</v>
      </c>
      <c r="I437">
        <v>50500</v>
      </c>
      <c r="J437">
        <v>97.55</v>
      </c>
    </row>
    <row r="438" spans="1:10" x14ac:dyDescent="0.15">
      <c r="A438" s="661">
        <v>44764</v>
      </c>
      <c r="B438" t="s">
        <v>1102</v>
      </c>
      <c r="C438">
        <v>40</v>
      </c>
      <c r="D438" t="s">
        <v>1102</v>
      </c>
      <c r="E438">
        <v>84.5</v>
      </c>
      <c r="F438">
        <v>84.5</v>
      </c>
      <c r="G438">
        <v>84.5</v>
      </c>
      <c r="H438">
        <v>84.5</v>
      </c>
      <c r="I438">
        <v>500</v>
      </c>
      <c r="J438">
        <v>83.15</v>
      </c>
    </row>
    <row r="439" spans="1:10" x14ac:dyDescent="0.15">
      <c r="A439" s="661">
        <v>44764</v>
      </c>
      <c r="B439" t="s">
        <v>1103</v>
      </c>
      <c r="C439">
        <v>40</v>
      </c>
      <c r="D439" t="s">
        <v>1103</v>
      </c>
      <c r="E439">
        <v>2.98</v>
      </c>
      <c r="F439">
        <v>3.99</v>
      </c>
      <c r="G439">
        <v>2.98</v>
      </c>
      <c r="H439">
        <v>3.71</v>
      </c>
      <c r="I439">
        <v>5500</v>
      </c>
      <c r="J439">
        <v>2.99</v>
      </c>
    </row>
    <row r="440" spans="1:10" x14ac:dyDescent="0.15">
      <c r="A440" s="661">
        <v>44764</v>
      </c>
      <c r="B440" t="s">
        <v>1104</v>
      </c>
      <c r="C440">
        <v>40</v>
      </c>
      <c r="D440" t="s">
        <v>1104</v>
      </c>
      <c r="E440">
        <v>15.2</v>
      </c>
      <c r="F440">
        <v>15.34</v>
      </c>
      <c r="G440">
        <v>15.2</v>
      </c>
      <c r="H440">
        <v>15.3</v>
      </c>
      <c r="I440">
        <v>121500</v>
      </c>
      <c r="J440">
        <v>14.71</v>
      </c>
    </row>
    <row r="441" spans="1:10" x14ac:dyDescent="0.15">
      <c r="A441" s="661">
        <v>44764</v>
      </c>
      <c r="B441" t="s">
        <v>1105</v>
      </c>
      <c r="C441">
        <v>40</v>
      </c>
      <c r="D441" t="s">
        <v>1105</v>
      </c>
      <c r="E441">
        <v>98</v>
      </c>
      <c r="F441">
        <v>98</v>
      </c>
      <c r="G441">
        <v>97.65</v>
      </c>
      <c r="H441">
        <v>97.88</v>
      </c>
      <c r="I441">
        <v>1500</v>
      </c>
      <c r="J441">
        <v>97.5</v>
      </c>
    </row>
    <row r="442" spans="1:10" x14ac:dyDescent="0.15">
      <c r="A442" s="661">
        <v>44764</v>
      </c>
      <c r="B442" t="s">
        <v>1248</v>
      </c>
      <c r="C442">
        <v>40</v>
      </c>
      <c r="D442" t="s">
        <v>1248</v>
      </c>
      <c r="E442">
        <v>0</v>
      </c>
      <c r="F442">
        <v>0</v>
      </c>
      <c r="G442">
        <v>0</v>
      </c>
      <c r="H442">
        <v>87.78</v>
      </c>
      <c r="I442">
        <v>0</v>
      </c>
      <c r="J442">
        <v>85.86</v>
      </c>
    </row>
    <row r="443" spans="1:10" x14ac:dyDescent="0.15">
      <c r="A443" s="661">
        <v>44764</v>
      </c>
      <c r="B443" t="s">
        <v>1249</v>
      </c>
      <c r="C443">
        <v>40</v>
      </c>
      <c r="D443" t="s">
        <v>1249</v>
      </c>
      <c r="E443">
        <v>0</v>
      </c>
      <c r="F443">
        <v>0</v>
      </c>
      <c r="G443">
        <v>0</v>
      </c>
      <c r="H443">
        <v>101.91</v>
      </c>
      <c r="I443">
        <v>0</v>
      </c>
      <c r="J443">
        <v>101.08</v>
      </c>
    </row>
    <row r="444" spans="1:10" x14ac:dyDescent="0.15">
      <c r="A444" s="661">
        <v>44764</v>
      </c>
      <c r="B444" t="s">
        <v>1250</v>
      </c>
      <c r="C444">
        <v>40</v>
      </c>
      <c r="D444" t="s">
        <v>1250</v>
      </c>
      <c r="E444">
        <v>0</v>
      </c>
      <c r="F444">
        <v>0</v>
      </c>
      <c r="G444">
        <v>0</v>
      </c>
      <c r="H444">
        <v>6.92</v>
      </c>
      <c r="I444">
        <v>0</v>
      </c>
      <c r="J444">
        <v>6.74</v>
      </c>
    </row>
    <row r="445" spans="1:10" x14ac:dyDescent="0.15">
      <c r="A445" s="661">
        <v>44764</v>
      </c>
      <c r="B445" t="s">
        <v>977</v>
      </c>
      <c r="C445">
        <v>40</v>
      </c>
      <c r="D445" t="s">
        <v>977</v>
      </c>
      <c r="E445">
        <v>5.09</v>
      </c>
      <c r="F445">
        <v>5.09</v>
      </c>
      <c r="G445">
        <v>5.09</v>
      </c>
      <c r="H445">
        <v>5.09</v>
      </c>
      <c r="I445">
        <v>500</v>
      </c>
      <c r="J445">
        <v>4.9800000000000004</v>
      </c>
    </row>
    <row r="446" spans="1:10" x14ac:dyDescent="0.15">
      <c r="A446" s="661">
        <v>44764</v>
      </c>
      <c r="B446" t="s">
        <v>978</v>
      </c>
      <c r="C446">
        <v>40</v>
      </c>
      <c r="D446" t="s">
        <v>978</v>
      </c>
      <c r="E446">
        <v>53</v>
      </c>
      <c r="F446">
        <v>55.43</v>
      </c>
      <c r="G446">
        <v>53</v>
      </c>
      <c r="H446">
        <v>54.6</v>
      </c>
      <c r="I446">
        <v>27000</v>
      </c>
      <c r="J446">
        <v>53.04</v>
      </c>
    </row>
    <row r="447" spans="1:10" x14ac:dyDescent="0.15">
      <c r="A447" s="661">
        <v>44764</v>
      </c>
      <c r="B447" t="s">
        <v>979</v>
      </c>
      <c r="C447">
        <v>40</v>
      </c>
      <c r="D447" t="s">
        <v>979</v>
      </c>
      <c r="E447">
        <v>4.9000000000000004</v>
      </c>
      <c r="F447">
        <v>4.9000000000000004</v>
      </c>
      <c r="G447">
        <v>4.9000000000000004</v>
      </c>
      <c r="H447">
        <v>4.9000000000000004</v>
      </c>
      <c r="I447">
        <v>33000</v>
      </c>
      <c r="J447">
        <v>5.5</v>
      </c>
    </row>
    <row r="448" spans="1:10" x14ac:dyDescent="0.15">
      <c r="A448" s="661">
        <v>44764</v>
      </c>
      <c r="B448" t="s">
        <v>980</v>
      </c>
      <c r="C448">
        <v>40</v>
      </c>
      <c r="D448" t="s">
        <v>980</v>
      </c>
      <c r="E448">
        <v>8.02</v>
      </c>
      <c r="F448">
        <v>8.6</v>
      </c>
      <c r="G448">
        <v>7.9</v>
      </c>
      <c r="H448">
        <v>8.41</v>
      </c>
      <c r="I448">
        <v>366500</v>
      </c>
      <c r="J448">
        <v>8.08</v>
      </c>
    </row>
    <row r="449" spans="1:10" x14ac:dyDescent="0.15">
      <c r="A449" s="661">
        <v>44764</v>
      </c>
      <c r="B449" t="s">
        <v>981</v>
      </c>
      <c r="C449">
        <v>40</v>
      </c>
      <c r="D449" t="s">
        <v>981</v>
      </c>
      <c r="E449">
        <v>78.489999999999995</v>
      </c>
      <c r="F449">
        <v>80.510000000000005</v>
      </c>
      <c r="G449">
        <v>78.03</v>
      </c>
      <c r="H449">
        <v>79.94</v>
      </c>
      <c r="I449">
        <v>3270500</v>
      </c>
      <c r="J449">
        <v>78.14</v>
      </c>
    </row>
    <row r="450" spans="1:10" x14ac:dyDescent="0.15">
      <c r="A450" s="661">
        <v>44764</v>
      </c>
      <c r="B450" t="s">
        <v>982</v>
      </c>
      <c r="C450">
        <v>40</v>
      </c>
      <c r="D450" t="s">
        <v>982</v>
      </c>
      <c r="E450">
        <v>6.4</v>
      </c>
      <c r="F450">
        <v>6.71</v>
      </c>
      <c r="G450">
        <v>6.4</v>
      </c>
      <c r="H450">
        <v>6.68</v>
      </c>
      <c r="I450">
        <v>269000</v>
      </c>
      <c r="J450">
        <v>6.5</v>
      </c>
    </row>
    <row r="451" spans="1:10" x14ac:dyDescent="0.15">
      <c r="A451" s="661">
        <v>44764</v>
      </c>
      <c r="B451" t="s">
        <v>1251</v>
      </c>
      <c r="C451">
        <v>40</v>
      </c>
      <c r="D451" t="s">
        <v>1251</v>
      </c>
      <c r="E451">
        <v>0</v>
      </c>
      <c r="F451">
        <v>0</v>
      </c>
      <c r="G451">
        <v>0</v>
      </c>
      <c r="H451">
        <v>5.22</v>
      </c>
      <c r="I451">
        <v>0</v>
      </c>
      <c r="J451">
        <v>5.07</v>
      </c>
    </row>
    <row r="452" spans="1:10" x14ac:dyDescent="0.15">
      <c r="A452" s="661">
        <v>44764</v>
      </c>
      <c r="B452" t="s">
        <v>1252</v>
      </c>
      <c r="C452">
        <v>40</v>
      </c>
      <c r="D452" t="s">
        <v>1252</v>
      </c>
      <c r="E452">
        <v>0</v>
      </c>
      <c r="F452">
        <v>0</v>
      </c>
      <c r="G452">
        <v>0</v>
      </c>
      <c r="H452">
        <v>5.07</v>
      </c>
      <c r="I452">
        <v>0</v>
      </c>
      <c r="J452">
        <v>5.09</v>
      </c>
    </row>
    <row r="453" spans="1:10" x14ac:dyDescent="0.15">
      <c r="A453" s="661">
        <v>44764</v>
      </c>
      <c r="B453" t="s">
        <v>1253</v>
      </c>
      <c r="C453">
        <v>40</v>
      </c>
      <c r="D453" t="s">
        <v>1253</v>
      </c>
      <c r="E453">
        <v>0</v>
      </c>
      <c r="F453">
        <v>0</v>
      </c>
      <c r="G453">
        <v>0</v>
      </c>
      <c r="H453">
        <v>56.1</v>
      </c>
      <c r="I453">
        <v>0</v>
      </c>
      <c r="J453">
        <v>54.81</v>
      </c>
    </row>
    <row r="454" spans="1:10" x14ac:dyDescent="0.15">
      <c r="A454" s="661">
        <v>44764</v>
      </c>
      <c r="B454" t="s">
        <v>1254</v>
      </c>
      <c r="C454">
        <v>40</v>
      </c>
      <c r="D454" t="s">
        <v>1254</v>
      </c>
      <c r="E454">
        <v>0</v>
      </c>
      <c r="F454">
        <v>0</v>
      </c>
      <c r="G454">
        <v>0</v>
      </c>
      <c r="H454">
        <v>8.58</v>
      </c>
      <c r="I454">
        <v>0</v>
      </c>
      <c r="J454">
        <v>8.32</v>
      </c>
    </row>
    <row r="455" spans="1:10" x14ac:dyDescent="0.15">
      <c r="A455" s="661">
        <v>44764</v>
      </c>
      <c r="B455" t="s">
        <v>1255</v>
      </c>
      <c r="C455">
        <v>40</v>
      </c>
      <c r="D455" t="s">
        <v>1255</v>
      </c>
      <c r="E455">
        <v>0</v>
      </c>
      <c r="F455">
        <v>0</v>
      </c>
      <c r="G455">
        <v>0</v>
      </c>
      <c r="H455">
        <v>82.47</v>
      </c>
      <c r="I455">
        <v>0</v>
      </c>
      <c r="J455">
        <v>80.53</v>
      </c>
    </row>
    <row r="456" spans="1:10" x14ac:dyDescent="0.15">
      <c r="A456" s="661">
        <v>44764</v>
      </c>
      <c r="B456" t="s">
        <v>1106</v>
      </c>
      <c r="C456">
        <v>40</v>
      </c>
      <c r="D456" t="s">
        <v>1106</v>
      </c>
      <c r="E456">
        <v>0</v>
      </c>
      <c r="F456">
        <v>0</v>
      </c>
      <c r="G456">
        <v>0</v>
      </c>
      <c r="H456">
        <v>5.13</v>
      </c>
      <c r="I456">
        <v>0</v>
      </c>
      <c r="J456">
        <v>4.99</v>
      </c>
    </row>
    <row r="457" spans="1:10" x14ac:dyDescent="0.15">
      <c r="A457" s="661">
        <v>44764</v>
      </c>
      <c r="B457" t="s">
        <v>1107</v>
      </c>
      <c r="C457">
        <v>40</v>
      </c>
      <c r="D457" t="s">
        <v>1107</v>
      </c>
      <c r="E457">
        <v>54.95</v>
      </c>
      <c r="F457">
        <v>54.95</v>
      </c>
      <c r="G457">
        <v>54.95</v>
      </c>
      <c r="H457">
        <v>54.95</v>
      </c>
      <c r="I457">
        <v>1000</v>
      </c>
      <c r="J457">
        <v>54</v>
      </c>
    </row>
    <row r="458" spans="1:10" x14ac:dyDescent="0.15">
      <c r="A458" s="661">
        <v>44764</v>
      </c>
      <c r="B458" t="s">
        <v>1108</v>
      </c>
      <c r="C458">
        <v>40</v>
      </c>
      <c r="D458" t="s">
        <v>1108</v>
      </c>
      <c r="E458">
        <v>0</v>
      </c>
      <c r="F458">
        <v>0</v>
      </c>
      <c r="G458">
        <v>0</v>
      </c>
      <c r="H458">
        <v>4.99</v>
      </c>
      <c r="I458">
        <v>0</v>
      </c>
      <c r="J458">
        <v>5.01</v>
      </c>
    </row>
    <row r="459" spans="1:10" x14ac:dyDescent="0.15">
      <c r="A459" s="661">
        <v>44764</v>
      </c>
      <c r="B459" t="s">
        <v>1109</v>
      </c>
      <c r="C459">
        <v>40</v>
      </c>
      <c r="D459" t="s">
        <v>1109</v>
      </c>
      <c r="E459">
        <v>0</v>
      </c>
      <c r="F459">
        <v>0</v>
      </c>
      <c r="G459">
        <v>0</v>
      </c>
      <c r="H459">
        <v>8.43</v>
      </c>
      <c r="I459">
        <v>0</v>
      </c>
      <c r="J459">
        <v>8.1999999999999993</v>
      </c>
    </row>
    <row r="460" spans="1:10" x14ac:dyDescent="0.15">
      <c r="A460" s="661">
        <v>44764</v>
      </c>
      <c r="B460" t="s">
        <v>1110</v>
      </c>
      <c r="C460">
        <v>40</v>
      </c>
      <c r="D460" t="s">
        <v>1110</v>
      </c>
      <c r="E460">
        <v>78.5</v>
      </c>
      <c r="F460">
        <v>81</v>
      </c>
      <c r="G460">
        <v>78.5</v>
      </c>
      <c r="H460">
        <v>80.14</v>
      </c>
      <c r="I460">
        <v>30000</v>
      </c>
      <c r="J460">
        <v>78.510000000000005</v>
      </c>
    </row>
    <row r="461" spans="1:10" x14ac:dyDescent="0.15">
      <c r="A461" s="661">
        <v>44764</v>
      </c>
      <c r="B461" t="s">
        <v>1256</v>
      </c>
      <c r="C461">
        <v>40</v>
      </c>
      <c r="D461" t="s">
        <v>1256</v>
      </c>
      <c r="E461">
        <v>0</v>
      </c>
      <c r="F461">
        <v>0</v>
      </c>
      <c r="G461">
        <v>0</v>
      </c>
      <c r="H461">
        <v>24.06</v>
      </c>
      <c r="I461">
        <v>0</v>
      </c>
      <c r="J461">
        <v>22.71</v>
      </c>
    </row>
    <row r="462" spans="1:10" x14ac:dyDescent="0.15">
      <c r="A462" s="661">
        <v>44764</v>
      </c>
      <c r="B462" t="s">
        <v>983</v>
      </c>
      <c r="C462">
        <v>40</v>
      </c>
      <c r="D462" t="s">
        <v>983</v>
      </c>
      <c r="E462">
        <v>25.55</v>
      </c>
      <c r="F462">
        <v>26.45</v>
      </c>
      <c r="G462">
        <v>25.15</v>
      </c>
      <c r="H462">
        <v>26.01</v>
      </c>
      <c r="I462">
        <v>604000</v>
      </c>
      <c r="J462">
        <v>25.55</v>
      </c>
    </row>
    <row r="463" spans="1:10" x14ac:dyDescent="0.15">
      <c r="A463" s="661">
        <v>44764</v>
      </c>
      <c r="B463" t="s">
        <v>1111</v>
      </c>
      <c r="C463">
        <v>40</v>
      </c>
      <c r="D463" t="s">
        <v>1111</v>
      </c>
      <c r="E463">
        <v>0</v>
      </c>
      <c r="F463">
        <v>0</v>
      </c>
      <c r="G463">
        <v>0</v>
      </c>
      <c r="H463">
        <v>26.42</v>
      </c>
      <c r="I463">
        <v>0</v>
      </c>
      <c r="J463">
        <v>25.61</v>
      </c>
    </row>
    <row r="464" spans="1:10" x14ac:dyDescent="0.15">
      <c r="A464" s="661">
        <v>44764</v>
      </c>
      <c r="B464" t="s">
        <v>1257</v>
      </c>
      <c r="C464">
        <v>40</v>
      </c>
      <c r="D464" t="s">
        <v>1257</v>
      </c>
      <c r="E464">
        <v>0</v>
      </c>
      <c r="F464">
        <v>0</v>
      </c>
      <c r="G464">
        <v>0</v>
      </c>
      <c r="H464">
        <v>26.88</v>
      </c>
      <c r="I464">
        <v>0</v>
      </c>
      <c r="J464">
        <v>26.36</v>
      </c>
    </row>
    <row r="465" spans="1:10" x14ac:dyDescent="0.15">
      <c r="A465" s="661">
        <v>44764</v>
      </c>
      <c r="B465" t="s">
        <v>984</v>
      </c>
      <c r="C465">
        <v>40</v>
      </c>
      <c r="D465" t="s">
        <v>984</v>
      </c>
      <c r="E465">
        <v>9</v>
      </c>
      <c r="F465">
        <v>9</v>
      </c>
      <c r="G465">
        <v>9</v>
      </c>
      <c r="H465">
        <v>9</v>
      </c>
      <c r="I465">
        <v>10000</v>
      </c>
      <c r="J465">
        <v>8.99</v>
      </c>
    </row>
    <row r="466" spans="1:10" x14ac:dyDescent="0.15">
      <c r="A466" s="661">
        <v>44764</v>
      </c>
      <c r="B466" t="s">
        <v>985</v>
      </c>
      <c r="C466">
        <v>40</v>
      </c>
      <c r="D466" t="s">
        <v>985</v>
      </c>
      <c r="E466">
        <v>52.99</v>
      </c>
      <c r="F466">
        <v>54.3</v>
      </c>
      <c r="G466">
        <v>52.01</v>
      </c>
      <c r="H466">
        <v>54.03</v>
      </c>
      <c r="I466">
        <v>30500</v>
      </c>
      <c r="J466">
        <v>53.01</v>
      </c>
    </row>
    <row r="467" spans="1:10" x14ac:dyDescent="0.15">
      <c r="A467" s="661">
        <v>44764</v>
      </c>
      <c r="B467" t="s">
        <v>986</v>
      </c>
      <c r="C467">
        <v>40</v>
      </c>
      <c r="D467" t="s">
        <v>986</v>
      </c>
      <c r="E467">
        <v>15.18</v>
      </c>
      <c r="F467">
        <v>15.7</v>
      </c>
      <c r="G467">
        <v>14.8</v>
      </c>
      <c r="H467">
        <v>15.56</v>
      </c>
      <c r="I467">
        <v>4178500</v>
      </c>
      <c r="J467">
        <v>15.15</v>
      </c>
    </row>
    <row r="468" spans="1:10" x14ac:dyDescent="0.15">
      <c r="A468" s="661">
        <v>44764</v>
      </c>
      <c r="B468" t="s">
        <v>987</v>
      </c>
      <c r="C468">
        <v>40</v>
      </c>
      <c r="D468" t="s">
        <v>987</v>
      </c>
      <c r="E468">
        <v>10</v>
      </c>
      <c r="F468">
        <v>10.59</v>
      </c>
      <c r="G468">
        <v>10</v>
      </c>
      <c r="H468">
        <v>10.47</v>
      </c>
      <c r="I468">
        <v>17500</v>
      </c>
      <c r="J468">
        <v>10.15</v>
      </c>
    </row>
    <row r="469" spans="1:10" x14ac:dyDescent="0.15">
      <c r="A469" s="661">
        <v>44764</v>
      </c>
      <c r="B469" t="s">
        <v>988</v>
      </c>
      <c r="C469">
        <v>40</v>
      </c>
      <c r="D469" t="s">
        <v>988</v>
      </c>
      <c r="E469">
        <v>64.650000000000006</v>
      </c>
      <c r="F469">
        <v>66.650000000000006</v>
      </c>
      <c r="G469">
        <v>62.66</v>
      </c>
      <c r="H469">
        <v>66.03</v>
      </c>
      <c r="I469">
        <v>610000</v>
      </c>
      <c r="J469">
        <v>65.150000000000006</v>
      </c>
    </row>
    <row r="470" spans="1:10" x14ac:dyDescent="0.15">
      <c r="A470" s="661">
        <v>44764</v>
      </c>
      <c r="B470" t="s">
        <v>989</v>
      </c>
      <c r="C470">
        <v>40</v>
      </c>
      <c r="D470" t="s">
        <v>989</v>
      </c>
      <c r="E470">
        <v>0</v>
      </c>
      <c r="F470">
        <v>0</v>
      </c>
      <c r="G470">
        <v>0</v>
      </c>
      <c r="H470">
        <v>36.17</v>
      </c>
      <c r="I470">
        <v>0</v>
      </c>
      <c r="J470">
        <v>37.17</v>
      </c>
    </row>
    <row r="471" spans="1:10" x14ac:dyDescent="0.15">
      <c r="A471" s="661">
        <v>44764</v>
      </c>
      <c r="B471" t="s">
        <v>990</v>
      </c>
      <c r="C471">
        <v>40</v>
      </c>
      <c r="D471" t="s">
        <v>990</v>
      </c>
      <c r="E471">
        <v>97.04</v>
      </c>
      <c r="F471">
        <v>101</v>
      </c>
      <c r="G471">
        <v>97</v>
      </c>
      <c r="H471">
        <v>100.08</v>
      </c>
      <c r="I471">
        <v>15500</v>
      </c>
      <c r="J471">
        <v>99</v>
      </c>
    </row>
    <row r="472" spans="1:10" x14ac:dyDescent="0.15">
      <c r="A472" s="661">
        <v>44764</v>
      </c>
      <c r="B472" t="s">
        <v>991</v>
      </c>
      <c r="C472">
        <v>40</v>
      </c>
      <c r="D472" t="s">
        <v>991</v>
      </c>
      <c r="E472">
        <v>5.53</v>
      </c>
      <c r="F472">
        <v>5.65</v>
      </c>
      <c r="G472">
        <v>5.5</v>
      </c>
      <c r="H472">
        <v>5.63</v>
      </c>
      <c r="I472">
        <v>104000</v>
      </c>
      <c r="J472">
        <v>5.63</v>
      </c>
    </row>
    <row r="473" spans="1:10" x14ac:dyDescent="0.15">
      <c r="A473" s="661">
        <v>44764</v>
      </c>
      <c r="B473" t="s">
        <v>1112</v>
      </c>
      <c r="C473">
        <v>40</v>
      </c>
      <c r="D473" t="s">
        <v>1112</v>
      </c>
      <c r="E473">
        <v>0</v>
      </c>
      <c r="F473">
        <v>0</v>
      </c>
      <c r="G473">
        <v>0</v>
      </c>
      <c r="H473">
        <v>10.56</v>
      </c>
      <c r="I473">
        <v>0</v>
      </c>
      <c r="J473">
        <v>10.38</v>
      </c>
    </row>
    <row r="474" spans="1:10" x14ac:dyDescent="0.15">
      <c r="A474" s="661">
        <v>44764</v>
      </c>
      <c r="B474" t="s">
        <v>1113</v>
      </c>
      <c r="C474">
        <v>40</v>
      </c>
      <c r="D474" t="s">
        <v>1113</v>
      </c>
      <c r="E474">
        <v>64.5</v>
      </c>
      <c r="F474">
        <v>67</v>
      </c>
      <c r="G474">
        <v>63.45</v>
      </c>
      <c r="H474">
        <v>66.25</v>
      </c>
      <c r="I474">
        <v>69500</v>
      </c>
      <c r="J474">
        <v>65.099999999999994</v>
      </c>
    </row>
    <row r="475" spans="1:10" x14ac:dyDescent="0.15">
      <c r="A475" s="661">
        <v>44764</v>
      </c>
      <c r="B475" t="s">
        <v>1114</v>
      </c>
      <c r="C475">
        <v>40</v>
      </c>
      <c r="D475" t="s">
        <v>1114</v>
      </c>
      <c r="E475">
        <v>0</v>
      </c>
      <c r="F475">
        <v>0</v>
      </c>
      <c r="G475">
        <v>0</v>
      </c>
      <c r="H475">
        <v>36.67</v>
      </c>
      <c r="I475">
        <v>0</v>
      </c>
      <c r="J475">
        <v>37.68</v>
      </c>
    </row>
    <row r="476" spans="1:10" x14ac:dyDescent="0.15">
      <c r="A476" s="661">
        <v>44764</v>
      </c>
      <c r="B476" t="s">
        <v>1115</v>
      </c>
      <c r="C476">
        <v>40</v>
      </c>
      <c r="D476" t="s">
        <v>1115</v>
      </c>
      <c r="E476">
        <v>0</v>
      </c>
      <c r="F476">
        <v>0</v>
      </c>
      <c r="G476">
        <v>0</v>
      </c>
      <c r="H476">
        <v>101.25</v>
      </c>
      <c r="I476">
        <v>0</v>
      </c>
      <c r="J476">
        <v>99.59</v>
      </c>
    </row>
    <row r="477" spans="1:10" x14ac:dyDescent="0.15">
      <c r="A477" s="661">
        <v>44764</v>
      </c>
      <c r="B477" t="s">
        <v>1116</v>
      </c>
      <c r="C477">
        <v>40</v>
      </c>
      <c r="D477" t="s">
        <v>1116</v>
      </c>
      <c r="E477">
        <v>0</v>
      </c>
      <c r="F477">
        <v>0</v>
      </c>
      <c r="G477">
        <v>0</v>
      </c>
      <c r="H477">
        <v>8.94</v>
      </c>
      <c r="I477">
        <v>0</v>
      </c>
      <c r="J477">
        <v>9.11</v>
      </c>
    </row>
    <row r="478" spans="1:10" x14ac:dyDescent="0.15">
      <c r="A478" s="661">
        <v>44764</v>
      </c>
      <c r="B478" t="s">
        <v>1117</v>
      </c>
      <c r="C478">
        <v>40</v>
      </c>
      <c r="D478" t="s">
        <v>1117</v>
      </c>
      <c r="E478">
        <v>5.73</v>
      </c>
      <c r="F478">
        <v>5.73</v>
      </c>
      <c r="G478">
        <v>5.73</v>
      </c>
      <c r="H478">
        <v>5.73</v>
      </c>
      <c r="I478">
        <v>500</v>
      </c>
      <c r="J478">
        <v>5.64</v>
      </c>
    </row>
    <row r="479" spans="1:10" x14ac:dyDescent="0.15">
      <c r="A479" s="661">
        <v>44764</v>
      </c>
      <c r="B479" t="s">
        <v>1258</v>
      </c>
      <c r="C479">
        <v>40</v>
      </c>
      <c r="D479" t="s">
        <v>1258</v>
      </c>
      <c r="E479">
        <v>17.989999999999998</v>
      </c>
      <c r="F479">
        <v>17.989999999999998</v>
      </c>
      <c r="G479">
        <v>17.989999999999998</v>
      </c>
      <c r="H479">
        <v>17.989999999999998</v>
      </c>
      <c r="I479">
        <v>4000</v>
      </c>
      <c r="J479">
        <v>18.03</v>
      </c>
    </row>
    <row r="480" spans="1:10" x14ac:dyDescent="0.15">
      <c r="A480" s="661">
        <v>44764</v>
      </c>
      <c r="B480" t="s">
        <v>1259</v>
      </c>
      <c r="C480">
        <v>40</v>
      </c>
      <c r="D480" t="s">
        <v>1259</v>
      </c>
      <c r="E480">
        <v>0</v>
      </c>
      <c r="F480">
        <v>0</v>
      </c>
      <c r="G480">
        <v>0</v>
      </c>
      <c r="H480">
        <v>6.51</v>
      </c>
      <c r="I480">
        <v>0</v>
      </c>
      <c r="J480">
        <v>6.51</v>
      </c>
    </row>
    <row r="481" spans="1:10" x14ac:dyDescent="0.15">
      <c r="A481" s="661">
        <v>44764</v>
      </c>
      <c r="B481" t="s">
        <v>1260</v>
      </c>
      <c r="C481">
        <v>40</v>
      </c>
      <c r="D481" t="s">
        <v>1260</v>
      </c>
      <c r="E481">
        <v>0</v>
      </c>
      <c r="F481">
        <v>0</v>
      </c>
      <c r="G481">
        <v>0</v>
      </c>
      <c r="H481">
        <v>15.6</v>
      </c>
      <c r="I481">
        <v>0</v>
      </c>
      <c r="J481">
        <v>15.06</v>
      </c>
    </row>
    <row r="482" spans="1:10" x14ac:dyDescent="0.15">
      <c r="A482" s="661">
        <v>44764</v>
      </c>
      <c r="B482" t="s">
        <v>1261</v>
      </c>
      <c r="C482">
        <v>40</v>
      </c>
      <c r="D482" t="s">
        <v>1261</v>
      </c>
      <c r="E482">
        <v>0</v>
      </c>
      <c r="F482">
        <v>0</v>
      </c>
      <c r="G482">
        <v>0</v>
      </c>
      <c r="H482">
        <v>37.299999999999997</v>
      </c>
      <c r="I482">
        <v>0</v>
      </c>
      <c r="J482">
        <v>38.33</v>
      </c>
    </row>
    <row r="483" spans="1:10" x14ac:dyDescent="0.15">
      <c r="A483" s="661">
        <v>44764</v>
      </c>
      <c r="B483" t="s">
        <v>1262</v>
      </c>
      <c r="C483">
        <v>40</v>
      </c>
      <c r="D483" t="s">
        <v>1262</v>
      </c>
      <c r="E483">
        <v>0</v>
      </c>
      <c r="F483">
        <v>0</v>
      </c>
      <c r="G483">
        <v>0</v>
      </c>
      <c r="H483">
        <v>102.99</v>
      </c>
      <c r="I483">
        <v>0</v>
      </c>
      <c r="J483">
        <v>101.3</v>
      </c>
    </row>
    <row r="484" spans="1:10" x14ac:dyDescent="0.15">
      <c r="A484" s="661">
        <v>44764</v>
      </c>
      <c r="B484" t="s">
        <v>1263</v>
      </c>
      <c r="C484">
        <v>40</v>
      </c>
      <c r="D484" t="s">
        <v>1263</v>
      </c>
      <c r="E484">
        <v>0</v>
      </c>
      <c r="F484">
        <v>0</v>
      </c>
      <c r="G484">
        <v>0</v>
      </c>
      <c r="H484">
        <v>5.82</v>
      </c>
      <c r="I484">
        <v>0</v>
      </c>
      <c r="J484">
        <v>5.74</v>
      </c>
    </row>
    <row r="485" spans="1:10" x14ac:dyDescent="0.15">
      <c r="A485" s="661">
        <v>44764</v>
      </c>
      <c r="B485" t="s">
        <v>1264</v>
      </c>
      <c r="C485">
        <v>40</v>
      </c>
      <c r="D485" t="s">
        <v>1264</v>
      </c>
      <c r="E485">
        <v>0</v>
      </c>
      <c r="F485">
        <v>0</v>
      </c>
      <c r="G485">
        <v>0</v>
      </c>
      <c r="H485">
        <v>9.1</v>
      </c>
      <c r="I485">
        <v>0</v>
      </c>
      <c r="J485">
        <v>9.27</v>
      </c>
    </row>
    <row r="486" spans="1:10" x14ac:dyDescent="0.15">
      <c r="A486" s="661">
        <v>44764</v>
      </c>
      <c r="B486" t="s">
        <v>1265</v>
      </c>
      <c r="C486">
        <v>40</v>
      </c>
      <c r="D486" t="s">
        <v>1265</v>
      </c>
      <c r="E486">
        <v>0</v>
      </c>
      <c r="F486">
        <v>0</v>
      </c>
      <c r="G486">
        <v>0</v>
      </c>
      <c r="H486">
        <v>10.74</v>
      </c>
      <c r="I486">
        <v>0</v>
      </c>
      <c r="J486">
        <v>10.56</v>
      </c>
    </row>
    <row r="487" spans="1:10" x14ac:dyDescent="0.15">
      <c r="A487" s="661">
        <v>44764</v>
      </c>
      <c r="B487" t="s">
        <v>992</v>
      </c>
      <c r="C487">
        <v>40</v>
      </c>
      <c r="D487" t="s">
        <v>992</v>
      </c>
      <c r="E487">
        <v>117.5</v>
      </c>
      <c r="F487">
        <v>117.5</v>
      </c>
      <c r="G487">
        <v>117</v>
      </c>
      <c r="H487">
        <v>117</v>
      </c>
      <c r="I487">
        <v>2000</v>
      </c>
      <c r="J487">
        <v>116.74</v>
      </c>
    </row>
    <row r="488" spans="1:10" x14ac:dyDescent="0.15">
      <c r="A488" s="661">
        <v>44764</v>
      </c>
      <c r="B488" t="s">
        <v>993</v>
      </c>
      <c r="C488">
        <v>40</v>
      </c>
      <c r="D488" t="s">
        <v>993</v>
      </c>
      <c r="E488">
        <v>22.2</v>
      </c>
      <c r="F488">
        <v>23.4</v>
      </c>
      <c r="G488">
        <v>22.1</v>
      </c>
      <c r="H488">
        <v>23.19</v>
      </c>
      <c r="I488">
        <v>52000</v>
      </c>
      <c r="J488">
        <v>22.25</v>
      </c>
    </row>
    <row r="489" spans="1:10" x14ac:dyDescent="0.15">
      <c r="A489" s="661">
        <v>44764</v>
      </c>
      <c r="B489" t="s">
        <v>994</v>
      </c>
      <c r="C489">
        <v>40</v>
      </c>
      <c r="D489" t="s">
        <v>994</v>
      </c>
      <c r="E489">
        <v>6.26</v>
      </c>
      <c r="F489">
        <v>6.49</v>
      </c>
      <c r="G489">
        <v>6.22</v>
      </c>
      <c r="H489">
        <v>6.33</v>
      </c>
      <c r="I489">
        <v>259500</v>
      </c>
      <c r="J489">
        <v>6.3</v>
      </c>
    </row>
    <row r="490" spans="1:10" x14ac:dyDescent="0.15">
      <c r="A490" s="661">
        <v>44764</v>
      </c>
      <c r="B490" t="s">
        <v>995</v>
      </c>
      <c r="C490">
        <v>40</v>
      </c>
      <c r="D490" t="s">
        <v>995</v>
      </c>
      <c r="E490">
        <v>16.75</v>
      </c>
      <c r="F490">
        <v>18.04</v>
      </c>
      <c r="G490">
        <v>15.76</v>
      </c>
      <c r="H490">
        <v>17.829999999999998</v>
      </c>
      <c r="I490">
        <v>11476000</v>
      </c>
      <c r="J490">
        <v>16.79</v>
      </c>
    </row>
    <row r="491" spans="1:10" x14ac:dyDescent="0.15">
      <c r="A491" s="661">
        <v>44764</v>
      </c>
      <c r="B491" t="s">
        <v>996</v>
      </c>
      <c r="C491">
        <v>40</v>
      </c>
      <c r="D491" t="s">
        <v>996</v>
      </c>
      <c r="E491">
        <v>141.12</v>
      </c>
      <c r="F491">
        <v>145.65</v>
      </c>
      <c r="G491">
        <v>141</v>
      </c>
      <c r="H491">
        <v>145.09</v>
      </c>
      <c r="I491">
        <v>109500</v>
      </c>
      <c r="J491">
        <v>142.37</v>
      </c>
    </row>
    <row r="492" spans="1:10" x14ac:dyDescent="0.15">
      <c r="A492" s="661">
        <v>44764</v>
      </c>
      <c r="B492" t="s">
        <v>997</v>
      </c>
      <c r="C492">
        <v>40</v>
      </c>
      <c r="D492" t="s">
        <v>997</v>
      </c>
      <c r="E492">
        <v>175</v>
      </c>
      <c r="F492">
        <v>179.8</v>
      </c>
      <c r="G492">
        <v>174.5</v>
      </c>
      <c r="H492">
        <v>178.38</v>
      </c>
      <c r="I492">
        <v>7500</v>
      </c>
      <c r="J492">
        <v>175.99</v>
      </c>
    </row>
    <row r="493" spans="1:10" x14ac:dyDescent="0.15">
      <c r="A493" s="661">
        <v>44764</v>
      </c>
      <c r="B493" t="s">
        <v>998</v>
      </c>
      <c r="C493">
        <v>40</v>
      </c>
      <c r="D493" t="s">
        <v>998</v>
      </c>
      <c r="E493">
        <v>11.5</v>
      </c>
      <c r="F493">
        <v>12</v>
      </c>
      <c r="G493">
        <v>11.34</v>
      </c>
      <c r="H493">
        <v>11.79</v>
      </c>
      <c r="I493">
        <v>255500</v>
      </c>
      <c r="J493">
        <v>11.57</v>
      </c>
    </row>
    <row r="494" spans="1:10" x14ac:dyDescent="0.15">
      <c r="A494" s="661">
        <v>44764</v>
      </c>
      <c r="B494" t="s">
        <v>1118</v>
      </c>
      <c r="C494">
        <v>40</v>
      </c>
      <c r="D494" t="s">
        <v>1118</v>
      </c>
      <c r="E494">
        <v>0</v>
      </c>
      <c r="F494">
        <v>0</v>
      </c>
      <c r="G494">
        <v>0</v>
      </c>
      <c r="H494">
        <v>118.6</v>
      </c>
      <c r="I494">
        <v>0</v>
      </c>
      <c r="J494">
        <v>118.71</v>
      </c>
    </row>
    <row r="495" spans="1:10" x14ac:dyDescent="0.15">
      <c r="A495" s="661">
        <v>44764</v>
      </c>
      <c r="B495" t="s">
        <v>1119</v>
      </c>
      <c r="C495">
        <v>40</v>
      </c>
      <c r="D495" t="s">
        <v>1119</v>
      </c>
      <c r="E495">
        <v>0</v>
      </c>
      <c r="F495">
        <v>0</v>
      </c>
      <c r="G495">
        <v>0</v>
      </c>
      <c r="H495">
        <v>23.66</v>
      </c>
      <c r="I495">
        <v>0</v>
      </c>
      <c r="J495">
        <v>22.32</v>
      </c>
    </row>
    <row r="496" spans="1:10" x14ac:dyDescent="0.15">
      <c r="A496" s="661">
        <v>44764</v>
      </c>
      <c r="B496" t="s">
        <v>1120</v>
      </c>
      <c r="C496">
        <v>40</v>
      </c>
      <c r="D496" t="s">
        <v>1120</v>
      </c>
      <c r="E496">
        <v>6.3</v>
      </c>
      <c r="F496">
        <v>6.99</v>
      </c>
      <c r="G496">
        <v>6.3</v>
      </c>
      <c r="H496">
        <v>6.43</v>
      </c>
      <c r="I496">
        <v>225500</v>
      </c>
      <c r="J496">
        <v>6.4</v>
      </c>
    </row>
    <row r="497" spans="1:10" x14ac:dyDescent="0.15">
      <c r="A497" s="661">
        <v>44764</v>
      </c>
      <c r="B497" t="s">
        <v>1121</v>
      </c>
      <c r="C497">
        <v>40</v>
      </c>
      <c r="D497" t="s">
        <v>1121</v>
      </c>
      <c r="E497">
        <v>16.190000000000001</v>
      </c>
      <c r="F497">
        <v>18.18</v>
      </c>
      <c r="G497">
        <v>16</v>
      </c>
      <c r="H497">
        <v>17.96</v>
      </c>
      <c r="I497">
        <v>313000</v>
      </c>
      <c r="J497">
        <v>16.920000000000002</v>
      </c>
    </row>
    <row r="498" spans="1:10" x14ac:dyDescent="0.15">
      <c r="A498" s="661">
        <v>44764</v>
      </c>
      <c r="B498" t="s">
        <v>1122</v>
      </c>
      <c r="C498">
        <v>40</v>
      </c>
      <c r="D498" t="s">
        <v>1122</v>
      </c>
      <c r="E498">
        <v>0</v>
      </c>
      <c r="F498">
        <v>0</v>
      </c>
      <c r="G498">
        <v>0</v>
      </c>
      <c r="H498">
        <v>146.9</v>
      </c>
      <c r="I498">
        <v>0</v>
      </c>
      <c r="J498">
        <v>146.15</v>
      </c>
    </row>
    <row r="499" spans="1:10" x14ac:dyDescent="0.15">
      <c r="A499" s="661">
        <v>44764</v>
      </c>
      <c r="B499" t="s">
        <v>1123</v>
      </c>
      <c r="C499">
        <v>40</v>
      </c>
      <c r="D499" t="s">
        <v>1123</v>
      </c>
      <c r="E499">
        <v>0</v>
      </c>
      <c r="F499">
        <v>0</v>
      </c>
      <c r="G499">
        <v>0</v>
      </c>
      <c r="H499">
        <v>180.57</v>
      </c>
      <c r="I499">
        <v>0</v>
      </c>
      <c r="J499">
        <v>178.2</v>
      </c>
    </row>
    <row r="500" spans="1:10" x14ac:dyDescent="0.15">
      <c r="A500" s="661">
        <v>44764</v>
      </c>
      <c r="B500" t="s">
        <v>1124</v>
      </c>
      <c r="C500">
        <v>40</v>
      </c>
      <c r="D500" t="s">
        <v>1124</v>
      </c>
      <c r="E500">
        <v>11.97</v>
      </c>
      <c r="F500">
        <v>11.97</v>
      </c>
      <c r="G500">
        <v>11.95</v>
      </c>
      <c r="H500">
        <v>11.96</v>
      </c>
      <c r="I500">
        <v>29000</v>
      </c>
      <c r="J500">
        <v>11.81</v>
      </c>
    </row>
    <row r="501" spans="1:10" x14ac:dyDescent="0.15">
      <c r="A501" s="661">
        <v>44764</v>
      </c>
      <c r="B501" t="s">
        <v>1125</v>
      </c>
      <c r="C501">
        <v>40</v>
      </c>
      <c r="D501" t="s">
        <v>1125</v>
      </c>
      <c r="E501">
        <v>0</v>
      </c>
      <c r="F501">
        <v>0</v>
      </c>
      <c r="G501">
        <v>0</v>
      </c>
      <c r="H501">
        <v>54.49</v>
      </c>
      <c r="I501">
        <v>0</v>
      </c>
      <c r="J501">
        <v>54.05</v>
      </c>
    </row>
    <row r="502" spans="1:10" x14ac:dyDescent="0.15">
      <c r="A502" s="661">
        <v>44764</v>
      </c>
      <c r="B502" t="s">
        <v>1126</v>
      </c>
      <c r="C502">
        <v>40</v>
      </c>
      <c r="D502" t="s">
        <v>1126</v>
      </c>
      <c r="E502">
        <v>15.8</v>
      </c>
      <c r="F502">
        <v>15.94</v>
      </c>
      <c r="G502">
        <v>15.02</v>
      </c>
      <c r="H502">
        <v>15.8</v>
      </c>
      <c r="I502">
        <v>428500</v>
      </c>
      <c r="J502">
        <v>15.38</v>
      </c>
    </row>
    <row r="503" spans="1:10" x14ac:dyDescent="0.15">
      <c r="A503" s="661">
        <v>44764</v>
      </c>
      <c r="B503" t="s">
        <v>1127</v>
      </c>
      <c r="C503">
        <v>40</v>
      </c>
      <c r="D503" t="s">
        <v>1127</v>
      </c>
      <c r="E503">
        <v>0</v>
      </c>
      <c r="F503">
        <v>0</v>
      </c>
      <c r="G503">
        <v>0</v>
      </c>
      <c r="H503">
        <v>30.52</v>
      </c>
      <c r="I503">
        <v>0</v>
      </c>
      <c r="J503">
        <v>30.76</v>
      </c>
    </row>
    <row r="504" spans="1:10" x14ac:dyDescent="0.15">
      <c r="A504" s="661">
        <v>44764</v>
      </c>
      <c r="B504" t="s">
        <v>1128</v>
      </c>
      <c r="C504">
        <v>40</v>
      </c>
      <c r="D504" t="s">
        <v>1128</v>
      </c>
      <c r="E504">
        <v>0</v>
      </c>
      <c r="F504">
        <v>0</v>
      </c>
      <c r="G504">
        <v>0</v>
      </c>
      <c r="H504">
        <v>66.13</v>
      </c>
      <c r="I504">
        <v>0</v>
      </c>
      <c r="J504">
        <v>65.599999999999994</v>
      </c>
    </row>
    <row r="505" spans="1:10" x14ac:dyDescent="0.15">
      <c r="A505" s="661">
        <v>44764</v>
      </c>
      <c r="B505" t="s">
        <v>1266</v>
      </c>
      <c r="C505">
        <v>40</v>
      </c>
      <c r="D505" t="s">
        <v>1266</v>
      </c>
      <c r="E505">
        <v>0</v>
      </c>
      <c r="F505">
        <v>0</v>
      </c>
      <c r="G505">
        <v>0</v>
      </c>
      <c r="H505">
        <v>149.41</v>
      </c>
      <c r="I505">
        <v>0</v>
      </c>
      <c r="J505">
        <v>146.5</v>
      </c>
    </row>
    <row r="506" spans="1:10" x14ac:dyDescent="0.15">
      <c r="A506" s="661">
        <v>44764</v>
      </c>
      <c r="B506" t="s">
        <v>1267</v>
      </c>
      <c r="C506">
        <v>40</v>
      </c>
      <c r="D506" t="s">
        <v>1267</v>
      </c>
      <c r="E506">
        <v>0</v>
      </c>
      <c r="F506">
        <v>0</v>
      </c>
      <c r="G506">
        <v>0</v>
      </c>
      <c r="H506">
        <v>183.67</v>
      </c>
      <c r="I506">
        <v>0</v>
      </c>
      <c r="J506">
        <v>181.25</v>
      </c>
    </row>
    <row r="507" spans="1:10" x14ac:dyDescent="0.15">
      <c r="A507" s="661">
        <v>44764</v>
      </c>
      <c r="B507" t="s">
        <v>1268</v>
      </c>
      <c r="C507">
        <v>40</v>
      </c>
      <c r="D507" t="s">
        <v>1268</v>
      </c>
      <c r="E507">
        <v>0</v>
      </c>
      <c r="F507">
        <v>0</v>
      </c>
      <c r="G507">
        <v>0</v>
      </c>
      <c r="H507">
        <v>55.43</v>
      </c>
      <c r="I507">
        <v>0</v>
      </c>
      <c r="J507">
        <v>54.84</v>
      </c>
    </row>
    <row r="508" spans="1:10" x14ac:dyDescent="0.15">
      <c r="A508" s="661">
        <v>44764</v>
      </c>
      <c r="B508" t="s">
        <v>1269</v>
      </c>
      <c r="C508">
        <v>40</v>
      </c>
      <c r="D508" t="s">
        <v>1269</v>
      </c>
      <c r="E508">
        <v>0</v>
      </c>
      <c r="F508">
        <v>0</v>
      </c>
      <c r="G508">
        <v>0</v>
      </c>
      <c r="H508">
        <v>67.27</v>
      </c>
      <c r="I508">
        <v>0</v>
      </c>
      <c r="J508">
        <v>66.72</v>
      </c>
    </row>
    <row r="509" spans="1:10" x14ac:dyDescent="0.15">
      <c r="A509" s="661">
        <v>44764</v>
      </c>
      <c r="B509" t="s">
        <v>1270</v>
      </c>
      <c r="C509">
        <v>40</v>
      </c>
      <c r="D509" t="s">
        <v>1270</v>
      </c>
      <c r="E509">
        <v>0</v>
      </c>
      <c r="F509">
        <v>0</v>
      </c>
      <c r="G509">
        <v>0</v>
      </c>
      <c r="H509">
        <v>120.63</v>
      </c>
      <c r="I509">
        <v>0</v>
      </c>
      <c r="J509">
        <v>120.74</v>
      </c>
    </row>
    <row r="510" spans="1:10" x14ac:dyDescent="0.15">
      <c r="A510" s="661">
        <v>44764</v>
      </c>
      <c r="B510" t="s">
        <v>1271</v>
      </c>
      <c r="C510">
        <v>40</v>
      </c>
      <c r="D510" t="s">
        <v>1271</v>
      </c>
      <c r="E510">
        <v>0</v>
      </c>
      <c r="F510">
        <v>0</v>
      </c>
      <c r="G510">
        <v>0</v>
      </c>
      <c r="H510">
        <v>124.26</v>
      </c>
      <c r="I510">
        <v>0</v>
      </c>
      <c r="J510">
        <v>123.2</v>
      </c>
    </row>
    <row r="511" spans="1:10" x14ac:dyDescent="0.15">
      <c r="A511" s="661">
        <v>44764</v>
      </c>
      <c r="B511" t="s">
        <v>999</v>
      </c>
      <c r="C511">
        <v>40</v>
      </c>
      <c r="D511" t="s">
        <v>999</v>
      </c>
      <c r="E511">
        <v>69</v>
      </c>
      <c r="F511">
        <v>73.709999999999994</v>
      </c>
      <c r="G511">
        <v>67.599999999999994</v>
      </c>
      <c r="H511">
        <v>73.290000000000006</v>
      </c>
      <c r="I511">
        <v>1283500</v>
      </c>
      <c r="J511">
        <v>68.569999999999993</v>
      </c>
    </row>
    <row r="512" spans="1:10" x14ac:dyDescent="0.15">
      <c r="A512" s="661">
        <v>44764</v>
      </c>
      <c r="B512" t="s">
        <v>1000</v>
      </c>
      <c r="C512">
        <v>40</v>
      </c>
      <c r="D512" t="s">
        <v>1000</v>
      </c>
      <c r="E512">
        <v>0</v>
      </c>
      <c r="F512">
        <v>0</v>
      </c>
      <c r="G512">
        <v>0</v>
      </c>
      <c r="H512">
        <v>120.49</v>
      </c>
      <c r="I512">
        <v>0</v>
      </c>
      <c r="J512">
        <v>120</v>
      </c>
    </row>
    <row r="513" spans="1:10" x14ac:dyDescent="0.15">
      <c r="A513" s="661">
        <v>44764</v>
      </c>
      <c r="B513" t="s">
        <v>1129</v>
      </c>
      <c r="C513">
        <v>40</v>
      </c>
      <c r="D513" t="s">
        <v>1129</v>
      </c>
      <c r="E513">
        <v>69</v>
      </c>
      <c r="F513">
        <v>74.709999999999994</v>
      </c>
      <c r="G513">
        <v>68.5</v>
      </c>
      <c r="H513">
        <v>74.2</v>
      </c>
      <c r="I513">
        <v>116000</v>
      </c>
      <c r="J513">
        <v>69.5</v>
      </c>
    </row>
    <row r="514" spans="1:10" x14ac:dyDescent="0.15">
      <c r="A514" s="661">
        <v>44764</v>
      </c>
      <c r="B514" t="s">
        <v>1130</v>
      </c>
      <c r="C514">
        <v>40</v>
      </c>
      <c r="D514" t="s">
        <v>1130</v>
      </c>
      <c r="E514">
        <v>0</v>
      </c>
      <c r="F514">
        <v>0</v>
      </c>
      <c r="G514">
        <v>0</v>
      </c>
      <c r="H514">
        <v>122.16</v>
      </c>
      <c r="I514">
        <v>0</v>
      </c>
      <c r="J514">
        <v>121.12</v>
      </c>
    </row>
    <row r="515" spans="1:10" x14ac:dyDescent="0.15">
      <c r="A515" s="661">
        <v>44764</v>
      </c>
      <c r="B515" t="s">
        <v>1272</v>
      </c>
      <c r="C515">
        <v>40</v>
      </c>
      <c r="D515" t="s">
        <v>1272</v>
      </c>
      <c r="E515">
        <v>0</v>
      </c>
      <c r="F515">
        <v>0</v>
      </c>
      <c r="G515">
        <v>0</v>
      </c>
      <c r="H515">
        <v>16.05</v>
      </c>
      <c r="I515">
        <v>0</v>
      </c>
      <c r="J515">
        <v>15.62</v>
      </c>
    </row>
    <row r="516" spans="1:10" x14ac:dyDescent="0.15">
      <c r="A516" s="661">
        <v>44764</v>
      </c>
      <c r="B516" t="s">
        <v>1273</v>
      </c>
      <c r="C516">
        <v>40</v>
      </c>
      <c r="D516" t="s">
        <v>1273</v>
      </c>
      <c r="E516">
        <v>0</v>
      </c>
      <c r="F516">
        <v>0</v>
      </c>
      <c r="G516">
        <v>0</v>
      </c>
      <c r="H516">
        <v>352.88</v>
      </c>
      <c r="I516">
        <v>0</v>
      </c>
      <c r="J516">
        <v>343.61</v>
      </c>
    </row>
    <row r="517" spans="1:10" x14ac:dyDescent="0.15">
      <c r="A517" s="661">
        <v>44764</v>
      </c>
      <c r="B517" t="s">
        <v>1274</v>
      </c>
      <c r="C517">
        <v>40</v>
      </c>
      <c r="D517" t="s">
        <v>1274</v>
      </c>
      <c r="E517">
        <v>0</v>
      </c>
      <c r="F517">
        <v>0</v>
      </c>
      <c r="G517">
        <v>0</v>
      </c>
      <c r="H517">
        <v>104.77</v>
      </c>
      <c r="I517">
        <v>0</v>
      </c>
      <c r="J517">
        <v>103.65</v>
      </c>
    </row>
    <row r="518" spans="1:10" x14ac:dyDescent="0.15">
      <c r="A518" s="661">
        <v>44764</v>
      </c>
      <c r="B518" t="s">
        <v>1275</v>
      </c>
      <c r="C518">
        <v>40</v>
      </c>
      <c r="D518" t="s">
        <v>1275</v>
      </c>
      <c r="E518">
        <v>0</v>
      </c>
      <c r="F518">
        <v>0</v>
      </c>
      <c r="G518">
        <v>0</v>
      </c>
      <c r="H518">
        <v>75.55</v>
      </c>
      <c r="I518">
        <v>0</v>
      </c>
      <c r="J518">
        <v>70.8</v>
      </c>
    </row>
    <row r="519" spans="1:10" x14ac:dyDescent="0.15">
      <c r="A519" s="661">
        <v>44764</v>
      </c>
      <c r="B519" t="s">
        <v>1001</v>
      </c>
      <c r="C519">
        <v>40</v>
      </c>
      <c r="D519" t="s">
        <v>1001</v>
      </c>
      <c r="E519">
        <v>105.5</v>
      </c>
      <c r="F519">
        <v>105.5</v>
      </c>
      <c r="G519">
        <v>105.5</v>
      </c>
      <c r="H519">
        <v>105.5</v>
      </c>
      <c r="I519">
        <v>500</v>
      </c>
      <c r="J519">
        <v>100</v>
      </c>
    </row>
    <row r="520" spans="1:10" x14ac:dyDescent="0.15">
      <c r="A520" s="661">
        <v>44764</v>
      </c>
      <c r="B520" t="s">
        <v>1002</v>
      </c>
      <c r="C520">
        <v>40</v>
      </c>
      <c r="D520" t="s">
        <v>1002</v>
      </c>
      <c r="E520">
        <v>0</v>
      </c>
      <c r="F520">
        <v>0</v>
      </c>
      <c r="G520">
        <v>0</v>
      </c>
      <c r="H520">
        <v>10.56</v>
      </c>
      <c r="I520">
        <v>0</v>
      </c>
      <c r="J520">
        <v>10.51</v>
      </c>
    </row>
    <row r="521" spans="1:10" x14ac:dyDescent="0.15">
      <c r="A521" s="661">
        <v>44764</v>
      </c>
      <c r="B521" t="s">
        <v>1003</v>
      </c>
      <c r="C521">
        <v>40</v>
      </c>
      <c r="D521" t="s">
        <v>1003</v>
      </c>
      <c r="E521">
        <v>14.52</v>
      </c>
      <c r="F521">
        <v>15.39</v>
      </c>
      <c r="G521">
        <v>14.35</v>
      </c>
      <c r="H521">
        <v>15.14</v>
      </c>
      <c r="I521">
        <v>4008500</v>
      </c>
      <c r="J521">
        <v>14.6</v>
      </c>
    </row>
    <row r="522" spans="1:10" x14ac:dyDescent="0.15">
      <c r="A522" s="661">
        <v>44764</v>
      </c>
      <c r="B522" t="s">
        <v>1004</v>
      </c>
      <c r="C522">
        <v>40</v>
      </c>
      <c r="D522" t="s">
        <v>1004</v>
      </c>
      <c r="E522">
        <v>8.02</v>
      </c>
      <c r="F522">
        <v>8.24</v>
      </c>
      <c r="G522">
        <v>8</v>
      </c>
      <c r="H522">
        <v>8.23</v>
      </c>
      <c r="I522">
        <v>45500</v>
      </c>
      <c r="J522">
        <v>8.02</v>
      </c>
    </row>
    <row r="523" spans="1:10" x14ac:dyDescent="0.15">
      <c r="A523" s="661">
        <v>44764</v>
      </c>
      <c r="B523" t="s">
        <v>1131</v>
      </c>
      <c r="C523">
        <v>40</v>
      </c>
      <c r="D523" t="s">
        <v>1131</v>
      </c>
      <c r="E523">
        <v>0</v>
      </c>
      <c r="F523">
        <v>0</v>
      </c>
      <c r="G523">
        <v>0</v>
      </c>
      <c r="H523">
        <v>14.14</v>
      </c>
      <c r="I523">
        <v>0</v>
      </c>
      <c r="J523">
        <v>13.72</v>
      </c>
    </row>
    <row r="524" spans="1:10" x14ac:dyDescent="0.15">
      <c r="A524" s="661">
        <v>44764</v>
      </c>
      <c r="B524" t="s">
        <v>1132</v>
      </c>
      <c r="C524">
        <v>40</v>
      </c>
      <c r="D524" t="s">
        <v>1132</v>
      </c>
      <c r="E524">
        <v>8</v>
      </c>
      <c r="F524">
        <v>8</v>
      </c>
      <c r="G524">
        <v>8</v>
      </c>
      <c r="H524">
        <v>8</v>
      </c>
      <c r="I524">
        <v>1000</v>
      </c>
      <c r="J524">
        <v>8.17</v>
      </c>
    </row>
    <row r="525" spans="1:10" x14ac:dyDescent="0.15">
      <c r="A525" s="661">
        <v>44764</v>
      </c>
      <c r="B525" t="s">
        <v>1133</v>
      </c>
      <c r="C525">
        <v>40</v>
      </c>
      <c r="D525" t="s">
        <v>1133</v>
      </c>
      <c r="E525">
        <v>0</v>
      </c>
      <c r="F525">
        <v>0</v>
      </c>
      <c r="G525">
        <v>0</v>
      </c>
      <c r="H525">
        <v>10.7</v>
      </c>
      <c r="I525">
        <v>0</v>
      </c>
      <c r="J525">
        <v>10.66</v>
      </c>
    </row>
    <row r="526" spans="1:10" x14ac:dyDescent="0.15">
      <c r="A526" s="661">
        <v>44764</v>
      </c>
      <c r="B526" t="s">
        <v>1134</v>
      </c>
      <c r="C526">
        <v>40</v>
      </c>
      <c r="D526" t="s">
        <v>1134</v>
      </c>
      <c r="E526">
        <v>0</v>
      </c>
      <c r="F526">
        <v>0</v>
      </c>
      <c r="G526">
        <v>0</v>
      </c>
      <c r="H526">
        <v>10.25</v>
      </c>
      <c r="I526">
        <v>0</v>
      </c>
      <c r="J526">
        <v>10</v>
      </c>
    </row>
    <row r="527" spans="1:10" x14ac:dyDescent="0.15">
      <c r="A527" s="661">
        <v>44764</v>
      </c>
      <c r="B527" t="s">
        <v>1135</v>
      </c>
      <c r="C527">
        <v>40</v>
      </c>
      <c r="D527" t="s">
        <v>1135</v>
      </c>
      <c r="E527">
        <v>14.7</v>
      </c>
      <c r="F527">
        <v>15.5</v>
      </c>
      <c r="G527">
        <v>14.66</v>
      </c>
      <c r="H527">
        <v>15.28</v>
      </c>
      <c r="I527">
        <v>2345500</v>
      </c>
      <c r="J527">
        <v>14.8</v>
      </c>
    </row>
    <row r="528" spans="1:10" x14ac:dyDescent="0.15">
      <c r="A528" s="661">
        <v>44764</v>
      </c>
      <c r="B528" t="s">
        <v>1136</v>
      </c>
      <c r="C528">
        <v>40</v>
      </c>
      <c r="D528" t="s">
        <v>1136</v>
      </c>
      <c r="E528">
        <v>0</v>
      </c>
      <c r="F528">
        <v>0</v>
      </c>
      <c r="G528">
        <v>0</v>
      </c>
      <c r="H528">
        <v>6.81</v>
      </c>
      <c r="I528">
        <v>0</v>
      </c>
      <c r="J528">
        <v>6.63</v>
      </c>
    </row>
    <row r="529" spans="1:10" x14ac:dyDescent="0.15">
      <c r="A529" s="661">
        <v>44764</v>
      </c>
      <c r="B529" t="s">
        <v>1137</v>
      </c>
      <c r="C529">
        <v>40</v>
      </c>
      <c r="D529" t="s">
        <v>1137</v>
      </c>
      <c r="E529">
        <v>0</v>
      </c>
      <c r="F529">
        <v>0</v>
      </c>
      <c r="G529">
        <v>0</v>
      </c>
      <c r="H529">
        <v>1.17</v>
      </c>
      <c r="I529">
        <v>0</v>
      </c>
      <c r="J529">
        <v>1.1499999999999999</v>
      </c>
    </row>
    <row r="530" spans="1:10" x14ac:dyDescent="0.15">
      <c r="A530" s="661">
        <v>44764</v>
      </c>
      <c r="B530" t="s">
        <v>1138</v>
      </c>
      <c r="C530">
        <v>40</v>
      </c>
      <c r="D530" t="s">
        <v>1138</v>
      </c>
      <c r="E530">
        <v>0</v>
      </c>
      <c r="F530">
        <v>0</v>
      </c>
      <c r="G530">
        <v>0</v>
      </c>
      <c r="H530">
        <v>103</v>
      </c>
      <c r="I530">
        <v>0</v>
      </c>
      <c r="J530">
        <v>101.91</v>
      </c>
    </row>
    <row r="531" spans="1:10" x14ac:dyDescent="0.15">
      <c r="A531" s="661">
        <v>44764</v>
      </c>
      <c r="B531" t="s">
        <v>1276</v>
      </c>
      <c r="C531">
        <v>40</v>
      </c>
      <c r="D531" t="s">
        <v>1276</v>
      </c>
      <c r="E531">
        <v>0</v>
      </c>
      <c r="F531">
        <v>0</v>
      </c>
      <c r="G531">
        <v>0</v>
      </c>
      <c r="H531">
        <v>12.16</v>
      </c>
      <c r="I531">
        <v>0</v>
      </c>
      <c r="J531">
        <v>11.94</v>
      </c>
    </row>
    <row r="532" spans="1:10" x14ac:dyDescent="0.15">
      <c r="A532" s="661">
        <v>44764</v>
      </c>
      <c r="B532" t="s">
        <v>1277</v>
      </c>
      <c r="C532">
        <v>40</v>
      </c>
      <c r="D532" t="s">
        <v>1277</v>
      </c>
      <c r="E532">
        <v>0</v>
      </c>
      <c r="F532">
        <v>0</v>
      </c>
      <c r="G532">
        <v>0</v>
      </c>
      <c r="H532">
        <v>14.38</v>
      </c>
      <c r="I532">
        <v>0</v>
      </c>
      <c r="J532">
        <v>13.96</v>
      </c>
    </row>
    <row r="533" spans="1:10" x14ac:dyDescent="0.15">
      <c r="A533" s="661">
        <v>44764</v>
      </c>
      <c r="B533" t="s">
        <v>1278</v>
      </c>
      <c r="C533">
        <v>40</v>
      </c>
      <c r="D533" t="s">
        <v>1278</v>
      </c>
      <c r="E533">
        <v>0</v>
      </c>
      <c r="F533">
        <v>0</v>
      </c>
      <c r="G533">
        <v>0</v>
      </c>
      <c r="H533">
        <v>8.6199999999999992</v>
      </c>
      <c r="I533">
        <v>0</v>
      </c>
      <c r="J533">
        <v>8.31</v>
      </c>
    </row>
    <row r="534" spans="1:10" x14ac:dyDescent="0.15">
      <c r="A534" s="661">
        <v>44764</v>
      </c>
      <c r="B534" t="s">
        <v>1279</v>
      </c>
      <c r="C534">
        <v>40</v>
      </c>
      <c r="D534" t="s">
        <v>1279</v>
      </c>
      <c r="E534">
        <v>0</v>
      </c>
      <c r="F534">
        <v>0</v>
      </c>
      <c r="G534">
        <v>0</v>
      </c>
      <c r="H534">
        <v>10.89</v>
      </c>
      <c r="I534">
        <v>0</v>
      </c>
      <c r="J534">
        <v>10.84</v>
      </c>
    </row>
    <row r="535" spans="1:10" x14ac:dyDescent="0.15">
      <c r="A535" s="661">
        <v>44764</v>
      </c>
      <c r="B535" t="s">
        <v>1280</v>
      </c>
      <c r="C535">
        <v>40</v>
      </c>
      <c r="D535" t="s">
        <v>1280</v>
      </c>
      <c r="E535">
        <v>0</v>
      </c>
      <c r="F535">
        <v>0</v>
      </c>
      <c r="G535">
        <v>0</v>
      </c>
      <c r="H535">
        <v>10.42</v>
      </c>
      <c r="I535">
        <v>0</v>
      </c>
      <c r="J535">
        <v>10.17</v>
      </c>
    </row>
    <row r="536" spans="1:10" x14ac:dyDescent="0.15">
      <c r="A536" s="661">
        <v>44764</v>
      </c>
      <c r="B536" t="s">
        <v>1281</v>
      </c>
      <c r="C536">
        <v>40</v>
      </c>
      <c r="D536" t="s">
        <v>1281</v>
      </c>
      <c r="E536">
        <v>0</v>
      </c>
      <c r="F536">
        <v>0</v>
      </c>
      <c r="G536">
        <v>0</v>
      </c>
      <c r="H536">
        <v>1.19</v>
      </c>
      <c r="I536">
        <v>0</v>
      </c>
      <c r="J536">
        <v>1.1399999999999999</v>
      </c>
    </row>
    <row r="537" spans="1:10" x14ac:dyDescent="0.15">
      <c r="A537" s="661">
        <v>44764</v>
      </c>
      <c r="B537" t="s">
        <v>1373</v>
      </c>
      <c r="C537">
        <v>40</v>
      </c>
      <c r="D537" t="s">
        <v>1373</v>
      </c>
      <c r="E537">
        <v>31.75</v>
      </c>
      <c r="F537">
        <v>32</v>
      </c>
      <c r="G537">
        <v>30.5</v>
      </c>
      <c r="H537">
        <v>31.48</v>
      </c>
      <c r="I537">
        <v>1417000</v>
      </c>
      <c r="J537">
        <v>31.73</v>
      </c>
    </row>
    <row r="538" spans="1:10" x14ac:dyDescent="0.15">
      <c r="A538" s="661">
        <v>44764</v>
      </c>
      <c r="B538" t="s">
        <v>1282</v>
      </c>
      <c r="C538">
        <v>40</v>
      </c>
      <c r="D538" t="s">
        <v>1282</v>
      </c>
      <c r="E538">
        <v>0</v>
      </c>
      <c r="F538">
        <v>0</v>
      </c>
      <c r="G538">
        <v>0</v>
      </c>
      <c r="H538">
        <v>10.220000000000001</v>
      </c>
      <c r="I538">
        <v>0</v>
      </c>
      <c r="J538">
        <v>10.07</v>
      </c>
    </row>
    <row r="539" spans="1:10" x14ac:dyDescent="0.15">
      <c r="A539" s="661">
        <v>44764</v>
      </c>
      <c r="B539" t="s">
        <v>1005</v>
      </c>
      <c r="C539">
        <v>40</v>
      </c>
      <c r="D539" t="s">
        <v>1005</v>
      </c>
      <c r="E539">
        <v>0</v>
      </c>
      <c r="F539">
        <v>0</v>
      </c>
      <c r="G539">
        <v>0</v>
      </c>
      <c r="H539">
        <v>13.95</v>
      </c>
      <c r="I539">
        <v>0</v>
      </c>
      <c r="J539">
        <v>13.53</v>
      </c>
    </row>
    <row r="540" spans="1:10" x14ac:dyDescent="0.15">
      <c r="A540" s="661">
        <v>44764</v>
      </c>
      <c r="B540" t="s">
        <v>1006</v>
      </c>
      <c r="C540">
        <v>40</v>
      </c>
      <c r="D540" t="s">
        <v>1006</v>
      </c>
      <c r="E540">
        <v>0</v>
      </c>
      <c r="F540">
        <v>0</v>
      </c>
      <c r="G540">
        <v>0</v>
      </c>
      <c r="H540">
        <v>77.45</v>
      </c>
      <c r="I540">
        <v>0</v>
      </c>
      <c r="J540">
        <v>76.22</v>
      </c>
    </row>
    <row r="541" spans="1:10" x14ac:dyDescent="0.15">
      <c r="A541" s="661">
        <v>44764</v>
      </c>
      <c r="B541" t="s">
        <v>1007</v>
      </c>
      <c r="C541">
        <v>40</v>
      </c>
      <c r="D541" t="s">
        <v>1007</v>
      </c>
      <c r="E541">
        <v>4.9000000000000004</v>
      </c>
      <c r="F541">
        <v>5</v>
      </c>
      <c r="G541">
        <v>4.75</v>
      </c>
      <c r="H541">
        <v>4.95</v>
      </c>
      <c r="I541">
        <v>2404000</v>
      </c>
      <c r="J541">
        <v>4.88</v>
      </c>
    </row>
    <row r="542" spans="1:10" x14ac:dyDescent="0.15">
      <c r="A542" s="661">
        <v>44764</v>
      </c>
      <c r="B542" t="s">
        <v>1008</v>
      </c>
      <c r="C542">
        <v>40</v>
      </c>
      <c r="D542" t="s">
        <v>1008</v>
      </c>
      <c r="E542">
        <v>0</v>
      </c>
      <c r="F542">
        <v>0</v>
      </c>
      <c r="G542">
        <v>0</v>
      </c>
      <c r="H542">
        <v>265.10000000000002</v>
      </c>
      <c r="I542">
        <v>0</v>
      </c>
      <c r="J542">
        <v>262</v>
      </c>
    </row>
    <row r="543" spans="1:10" x14ac:dyDescent="0.15">
      <c r="A543" s="661">
        <v>44764</v>
      </c>
      <c r="B543" t="s">
        <v>1009</v>
      </c>
      <c r="C543">
        <v>40</v>
      </c>
      <c r="D543" t="s">
        <v>1009</v>
      </c>
      <c r="E543">
        <v>6.35</v>
      </c>
      <c r="F543">
        <v>6.7</v>
      </c>
      <c r="G543">
        <v>6.27</v>
      </c>
      <c r="H543">
        <v>6.66</v>
      </c>
      <c r="I543">
        <v>2267500</v>
      </c>
      <c r="J543">
        <v>6.44</v>
      </c>
    </row>
    <row r="544" spans="1:10" x14ac:dyDescent="0.15">
      <c r="A544" s="661">
        <v>44764</v>
      </c>
      <c r="B544" t="s">
        <v>1010</v>
      </c>
      <c r="C544">
        <v>40</v>
      </c>
      <c r="D544" t="s">
        <v>1010</v>
      </c>
      <c r="E544">
        <v>9.91</v>
      </c>
      <c r="F544">
        <v>10.19</v>
      </c>
      <c r="G544">
        <v>9.6999999999999993</v>
      </c>
      <c r="H544">
        <v>10.130000000000001</v>
      </c>
      <c r="I544">
        <v>36000</v>
      </c>
      <c r="J544">
        <v>9.84</v>
      </c>
    </row>
    <row r="545" spans="1:10" x14ac:dyDescent="0.15">
      <c r="A545" s="661">
        <v>44764</v>
      </c>
      <c r="B545" t="s">
        <v>1011</v>
      </c>
      <c r="C545">
        <v>40</v>
      </c>
      <c r="D545" t="s">
        <v>1011</v>
      </c>
      <c r="E545">
        <v>0</v>
      </c>
      <c r="F545">
        <v>0</v>
      </c>
      <c r="G545">
        <v>0</v>
      </c>
      <c r="H545">
        <v>40.44</v>
      </c>
      <c r="I545">
        <v>0</v>
      </c>
      <c r="J545">
        <v>40.25</v>
      </c>
    </row>
    <row r="546" spans="1:10" x14ac:dyDescent="0.15">
      <c r="A546" s="661">
        <v>44764</v>
      </c>
      <c r="B546" t="s">
        <v>1012</v>
      </c>
      <c r="C546">
        <v>40</v>
      </c>
      <c r="D546" t="s">
        <v>1012</v>
      </c>
      <c r="E546">
        <v>0</v>
      </c>
      <c r="F546">
        <v>0</v>
      </c>
      <c r="G546">
        <v>0</v>
      </c>
      <c r="H546">
        <v>2.96</v>
      </c>
      <c r="I546">
        <v>0</v>
      </c>
      <c r="J546">
        <v>2.88</v>
      </c>
    </row>
    <row r="547" spans="1:10" x14ac:dyDescent="0.15">
      <c r="A547" s="661">
        <v>44764</v>
      </c>
      <c r="B547" t="s">
        <v>1013</v>
      </c>
      <c r="C547">
        <v>40</v>
      </c>
      <c r="D547" t="s">
        <v>1013</v>
      </c>
      <c r="E547">
        <v>0</v>
      </c>
      <c r="F547">
        <v>0</v>
      </c>
      <c r="G547">
        <v>0</v>
      </c>
      <c r="H547">
        <v>830.38</v>
      </c>
      <c r="I547">
        <v>0</v>
      </c>
      <c r="J547">
        <v>835.76</v>
      </c>
    </row>
    <row r="548" spans="1:10" x14ac:dyDescent="0.15">
      <c r="A548" s="661">
        <v>44764</v>
      </c>
      <c r="B548" t="s">
        <v>1014</v>
      </c>
      <c r="C548">
        <v>40</v>
      </c>
      <c r="D548" t="s">
        <v>1014</v>
      </c>
      <c r="E548">
        <v>0</v>
      </c>
      <c r="F548">
        <v>0</v>
      </c>
      <c r="G548">
        <v>0</v>
      </c>
      <c r="H548">
        <v>7.57</v>
      </c>
      <c r="I548">
        <v>0</v>
      </c>
      <c r="J548">
        <v>7.53</v>
      </c>
    </row>
    <row r="549" spans="1:10" x14ac:dyDescent="0.15">
      <c r="A549" s="661">
        <v>44764</v>
      </c>
      <c r="B549" t="s">
        <v>1015</v>
      </c>
      <c r="C549">
        <v>40</v>
      </c>
      <c r="D549" t="s">
        <v>1015</v>
      </c>
      <c r="E549">
        <v>0</v>
      </c>
      <c r="F549">
        <v>0</v>
      </c>
      <c r="G549">
        <v>0</v>
      </c>
      <c r="H549">
        <v>9.6</v>
      </c>
      <c r="I549">
        <v>0</v>
      </c>
      <c r="J549">
        <v>9.61</v>
      </c>
    </row>
    <row r="550" spans="1:10" x14ac:dyDescent="0.15">
      <c r="A550" s="661">
        <v>44764</v>
      </c>
      <c r="B550" t="s">
        <v>1016</v>
      </c>
      <c r="C550">
        <v>40</v>
      </c>
      <c r="D550" t="s">
        <v>1016</v>
      </c>
      <c r="E550">
        <v>0</v>
      </c>
      <c r="F550">
        <v>0</v>
      </c>
      <c r="G550">
        <v>0</v>
      </c>
      <c r="H550">
        <v>10</v>
      </c>
      <c r="I550">
        <v>0</v>
      </c>
      <c r="J550">
        <v>10.01</v>
      </c>
    </row>
    <row r="551" spans="1:10" x14ac:dyDescent="0.15">
      <c r="A551" s="661">
        <v>44764</v>
      </c>
      <c r="B551" t="s">
        <v>1017</v>
      </c>
      <c r="C551">
        <v>40</v>
      </c>
      <c r="D551" t="s">
        <v>1017</v>
      </c>
      <c r="E551">
        <v>117.51</v>
      </c>
      <c r="F551">
        <v>122</v>
      </c>
      <c r="G551">
        <v>117.5</v>
      </c>
      <c r="H551">
        <v>121.75</v>
      </c>
      <c r="I551">
        <v>9500</v>
      </c>
      <c r="J551">
        <v>120</v>
      </c>
    </row>
    <row r="552" spans="1:10" x14ac:dyDescent="0.15">
      <c r="A552" s="661">
        <v>44764</v>
      </c>
      <c r="B552" t="s">
        <v>1018</v>
      </c>
      <c r="C552">
        <v>40</v>
      </c>
      <c r="D552" t="s">
        <v>1018</v>
      </c>
      <c r="E552">
        <v>1.19</v>
      </c>
      <c r="F552">
        <v>1.2</v>
      </c>
      <c r="G552">
        <v>1.19</v>
      </c>
      <c r="H552">
        <v>1.2</v>
      </c>
      <c r="I552">
        <v>10000</v>
      </c>
      <c r="J552">
        <v>1.08</v>
      </c>
    </row>
    <row r="553" spans="1:10" x14ac:dyDescent="0.15">
      <c r="A553" s="661">
        <v>44764</v>
      </c>
      <c r="B553" t="s">
        <v>1019</v>
      </c>
      <c r="C553">
        <v>40</v>
      </c>
      <c r="D553" t="s">
        <v>1019</v>
      </c>
      <c r="E553">
        <v>0</v>
      </c>
      <c r="F553">
        <v>0</v>
      </c>
      <c r="G553">
        <v>0</v>
      </c>
      <c r="H553">
        <v>2.16</v>
      </c>
      <c r="I553">
        <v>0</v>
      </c>
      <c r="J553">
        <v>2.15</v>
      </c>
    </row>
    <row r="554" spans="1:10" x14ac:dyDescent="0.15">
      <c r="A554" s="661">
        <v>44764</v>
      </c>
      <c r="B554" t="s">
        <v>1020</v>
      </c>
      <c r="C554">
        <v>40</v>
      </c>
      <c r="D554" t="s">
        <v>1020</v>
      </c>
      <c r="E554">
        <v>329.8</v>
      </c>
      <c r="F554">
        <v>345.5</v>
      </c>
      <c r="G554">
        <v>329.8</v>
      </c>
      <c r="H554">
        <v>343.24</v>
      </c>
      <c r="I554">
        <v>28000</v>
      </c>
      <c r="J554">
        <v>333.59</v>
      </c>
    </row>
    <row r="555" spans="1:10" x14ac:dyDescent="0.15">
      <c r="A555" s="661">
        <v>44764</v>
      </c>
      <c r="B555" t="s">
        <v>1021</v>
      </c>
      <c r="C555">
        <v>40</v>
      </c>
      <c r="D555" t="s">
        <v>1021</v>
      </c>
      <c r="E555">
        <v>0</v>
      </c>
      <c r="F555">
        <v>0</v>
      </c>
      <c r="G555">
        <v>0</v>
      </c>
      <c r="H555">
        <v>256.18</v>
      </c>
      <c r="I555">
        <v>0</v>
      </c>
      <c r="J555">
        <v>250.46</v>
      </c>
    </row>
    <row r="556" spans="1:10" x14ac:dyDescent="0.15">
      <c r="A556" s="661">
        <v>44764</v>
      </c>
      <c r="B556" t="s">
        <v>1022</v>
      </c>
      <c r="C556">
        <v>40</v>
      </c>
      <c r="D556" t="s">
        <v>1022</v>
      </c>
      <c r="E556">
        <v>16.07</v>
      </c>
      <c r="F556">
        <v>17.45</v>
      </c>
      <c r="G556">
        <v>15.3</v>
      </c>
      <c r="H556">
        <v>16.96</v>
      </c>
      <c r="I556">
        <v>12844500</v>
      </c>
      <c r="J556">
        <v>16.32</v>
      </c>
    </row>
    <row r="557" spans="1:10" x14ac:dyDescent="0.15">
      <c r="A557" s="661">
        <v>44764</v>
      </c>
      <c r="B557" t="s">
        <v>1023</v>
      </c>
      <c r="C557">
        <v>40</v>
      </c>
      <c r="D557" t="s">
        <v>1023</v>
      </c>
      <c r="E557">
        <v>4.5</v>
      </c>
      <c r="F557">
        <v>4.5999999999999996</v>
      </c>
      <c r="G557">
        <v>4.5</v>
      </c>
      <c r="H557">
        <v>4.59</v>
      </c>
      <c r="I557">
        <v>6500</v>
      </c>
      <c r="J557">
        <v>4.45</v>
      </c>
    </row>
    <row r="558" spans="1:10" x14ac:dyDescent="0.15">
      <c r="A558" s="661">
        <v>44764</v>
      </c>
      <c r="B558" t="s">
        <v>1024</v>
      </c>
      <c r="C558">
        <v>40</v>
      </c>
      <c r="D558" t="s">
        <v>1024</v>
      </c>
      <c r="E558">
        <v>6.25</v>
      </c>
      <c r="F558">
        <v>6.55</v>
      </c>
      <c r="G558">
        <v>6.25</v>
      </c>
      <c r="H558">
        <v>6.42</v>
      </c>
      <c r="I558">
        <v>446500</v>
      </c>
      <c r="J558">
        <v>6.39</v>
      </c>
    </row>
    <row r="559" spans="1:10" x14ac:dyDescent="0.15">
      <c r="A559" s="661">
        <v>44764</v>
      </c>
      <c r="B559" t="s">
        <v>1025</v>
      </c>
      <c r="C559">
        <v>40</v>
      </c>
      <c r="D559" t="s">
        <v>1025</v>
      </c>
      <c r="E559">
        <v>0</v>
      </c>
      <c r="F559">
        <v>0</v>
      </c>
      <c r="G559">
        <v>0</v>
      </c>
      <c r="H559">
        <v>37.11</v>
      </c>
      <c r="I559">
        <v>0</v>
      </c>
      <c r="J559">
        <v>35.299999999999997</v>
      </c>
    </row>
    <row r="560" spans="1:10" x14ac:dyDescent="0.15">
      <c r="A560" s="661">
        <v>44764</v>
      </c>
      <c r="B560" t="s">
        <v>1026</v>
      </c>
      <c r="C560">
        <v>40</v>
      </c>
      <c r="D560" t="s">
        <v>1026</v>
      </c>
      <c r="E560">
        <v>0</v>
      </c>
      <c r="F560">
        <v>0</v>
      </c>
      <c r="G560">
        <v>0</v>
      </c>
      <c r="H560">
        <v>30.84</v>
      </c>
      <c r="I560">
        <v>0</v>
      </c>
      <c r="J560">
        <v>30.12</v>
      </c>
    </row>
    <row r="561" spans="1:10" x14ac:dyDescent="0.15">
      <c r="A561" s="661">
        <v>44764</v>
      </c>
      <c r="B561" t="s">
        <v>1027</v>
      </c>
      <c r="C561">
        <v>40</v>
      </c>
      <c r="D561" t="s">
        <v>1027</v>
      </c>
      <c r="E561">
        <v>31</v>
      </c>
      <c r="F561">
        <v>31.3</v>
      </c>
      <c r="G561">
        <v>31</v>
      </c>
      <c r="H561">
        <v>31.3</v>
      </c>
      <c r="I561">
        <v>2000</v>
      </c>
      <c r="J561">
        <v>30.14</v>
      </c>
    </row>
    <row r="562" spans="1:10" x14ac:dyDescent="0.15">
      <c r="A562" s="661">
        <v>44764</v>
      </c>
      <c r="B562" t="s">
        <v>1139</v>
      </c>
      <c r="C562">
        <v>40</v>
      </c>
      <c r="D562" t="s">
        <v>1139</v>
      </c>
      <c r="E562">
        <v>0</v>
      </c>
      <c r="F562">
        <v>0</v>
      </c>
      <c r="G562">
        <v>0</v>
      </c>
      <c r="H562">
        <v>6.5</v>
      </c>
      <c r="I562">
        <v>0</v>
      </c>
      <c r="J562">
        <v>6.49</v>
      </c>
    </row>
    <row r="563" spans="1:10" x14ac:dyDescent="0.15">
      <c r="A563" s="661">
        <v>44764</v>
      </c>
      <c r="B563" t="s">
        <v>1140</v>
      </c>
      <c r="C563">
        <v>40</v>
      </c>
      <c r="D563" t="s">
        <v>1140</v>
      </c>
      <c r="E563">
        <v>0</v>
      </c>
      <c r="F563">
        <v>0</v>
      </c>
      <c r="G563">
        <v>0</v>
      </c>
      <c r="H563">
        <v>78.53</v>
      </c>
      <c r="I563">
        <v>0</v>
      </c>
      <c r="J563">
        <v>77.28</v>
      </c>
    </row>
    <row r="564" spans="1:10" x14ac:dyDescent="0.15">
      <c r="A564" s="661">
        <v>44764</v>
      </c>
      <c r="B564" t="s">
        <v>1141</v>
      </c>
      <c r="C564">
        <v>40</v>
      </c>
      <c r="D564" t="s">
        <v>1141</v>
      </c>
      <c r="E564">
        <v>0</v>
      </c>
      <c r="F564">
        <v>0</v>
      </c>
      <c r="G564">
        <v>0</v>
      </c>
      <c r="H564">
        <v>37.619999999999997</v>
      </c>
      <c r="I564">
        <v>0</v>
      </c>
      <c r="J564">
        <v>35.79</v>
      </c>
    </row>
    <row r="565" spans="1:10" x14ac:dyDescent="0.15">
      <c r="A565" s="661">
        <v>44764</v>
      </c>
      <c r="B565" t="s">
        <v>1142</v>
      </c>
      <c r="C565">
        <v>40</v>
      </c>
      <c r="D565" t="s">
        <v>1142</v>
      </c>
      <c r="E565">
        <v>4.8499999999999996</v>
      </c>
      <c r="F565">
        <v>5.76</v>
      </c>
      <c r="G565">
        <v>4.8499999999999996</v>
      </c>
      <c r="H565">
        <v>5.03</v>
      </c>
      <c r="I565">
        <v>1334500</v>
      </c>
      <c r="J565">
        <v>4.95</v>
      </c>
    </row>
    <row r="566" spans="1:10" x14ac:dyDescent="0.15">
      <c r="A566" s="661">
        <v>44764</v>
      </c>
      <c r="B566" t="s">
        <v>1143</v>
      </c>
      <c r="C566">
        <v>40</v>
      </c>
      <c r="D566" t="s">
        <v>1143</v>
      </c>
      <c r="E566">
        <v>0</v>
      </c>
      <c r="F566">
        <v>0</v>
      </c>
      <c r="G566">
        <v>0</v>
      </c>
      <c r="H566">
        <v>31.71</v>
      </c>
      <c r="I566">
        <v>0</v>
      </c>
      <c r="J566">
        <v>30.7</v>
      </c>
    </row>
    <row r="567" spans="1:10" x14ac:dyDescent="0.15">
      <c r="A567" s="661">
        <v>44764</v>
      </c>
      <c r="B567" t="s">
        <v>1144</v>
      </c>
      <c r="C567">
        <v>40</v>
      </c>
      <c r="D567" t="s">
        <v>1144</v>
      </c>
      <c r="E567">
        <v>6.42</v>
      </c>
      <c r="F567">
        <v>7.36</v>
      </c>
      <c r="G567">
        <v>6.42</v>
      </c>
      <c r="H567">
        <v>7.05</v>
      </c>
      <c r="I567">
        <v>1889000</v>
      </c>
      <c r="J567">
        <v>6.5</v>
      </c>
    </row>
    <row r="568" spans="1:10" x14ac:dyDescent="0.15">
      <c r="A568" s="661">
        <v>44764</v>
      </c>
      <c r="B568" t="s">
        <v>1145</v>
      </c>
      <c r="C568">
        <v>40</v>
      </c>
      <c r="D568" t="s">
        <v>1145</v>
      </c>
      <c r="E568">
        <v>0</v>
      </c>
      <c r="F568">
        <v>0</v>
      </c>
      <c r="G568">
        <v>0</v>
      </c>
      <c r="H568">
        <v>3</v>
      </c>
      <c r="I568">
        <v>0</v>
      </c>
      <c r="J568">
        <v>2.93</v>
      </c>
    </row>
    <row r="569" spans="1:10" x14ac:dyDescent="0.15">
      <c r="A569" s="661">
        <v>44764</v>
      </c>
      <c r="B569" t="s">
        <v>1146</v>
      </c>
      <c r="C569">
        <v>40</v>
      </c>
      <c r="D569" t="s">
        <v>1146</v>
      </c>
      <c r="E569">
        <v>0</v>
      </c>
      <c r="F569">
        <v>0</v>
      </c>
      <c r="G569">
        <v>0</v>
      </c>
      <c r="H569">
        <v>841.92</v>
      </c>
      <c r="I569">
        <v>0</v>
      </c>
      <c r="J569">
        <v>847.37</v>
      </c>
    </row>
    <row r="570" spans="1:10" x14ac:dyDescent="0.15">
      <c r="A570" s="661">
        <v>44764</v>
      </c>
      <c r="B570" t="s">
        <v>1147</v>
      </c>
      <c r="C570">
        <v>40</v>
      </c>
      <c r="D570" t="s">
        <v>1147</v>
      </c>
      <c r="E570">
        <v>0</v>
      </c>
      <c r="F570">
        <v>0</v>
      </c>
      <c r="G570">
        <v>0</v>
      </c>
      <c r="H570">
        <v>7.67</v>
      </c>
      <c r="I570">
        <v>0</v>
      </c>
      <c r="J570">
        <v>7.63</v>
      </c>
    </row>
    <row r="571" spans="1:10" x14ac:dyDescent="0.15">
      <c r="A571" s="661">
        <v>44764</v>
      </c>
      <c r="B571" t="s">
        <v>1148</v>
      </c>
      <c r="C571">
        <v>40</v>
      </c>
      <c r="D571" t="s">
        <v>1148</v>
      </c>
      <c r="E571">
        <v>0</v>
      </c>
      <c r="F571">
        <v>0</v>
      </c>
      <c r="G571">
        <v>0</v>
      </c>
      <c r="H571">
        <v>9.74</v>
      </c>
      <c r="I571">
        <v>0</v>
      </c>
      <c r="J571">
        <v>9.74</v>
      </c>
    </row>
    <row r="572" spans="1:10" x14ac:dyDescent="0.15">
      <c r="A572" s="661">
        <v>44764</v>
      </c>
      <c r="B572" t="s">
        <v>1149</v>
      </c>
      <c r="C572">
        <v>40</v>
      </c>
      <c r="D572" t="s">
        <v>1149</v>
      </c>
      <c r="E572">
        <v>0</v>
      </c>
      <c r="F572">
        <v>0</v>
      </c>
      <c r="G572">
        <v>0</v>
      </c>
      <c r="H572">
        <v>10.14</v>
      </c>
      <c r="I572">
        <v>0</v>
      </c>
      <c r="J572">
        <v>10.15</v>
      </c>
    </row>
    <row r="573" spans="1:10" x14ac:dyDescent="0.15">
      <c r="A573" s="661">
        <v>44764</v>
      </c>
      <c r="B573" t="s">
        <v>1150</v>
      </c>
      <c r="C573">
        <v>40</v>
      </c>
      <c r="D573" t="s">
        <v>1150</v>
      </c>
      <c r="E573">
        <v>0</v>
      </c>
      <c r="F573">
        <v>0</v>
      </c>
      <c r="G573">
        <v>0</v>
      </c>
      <c r="H573">
        <v>31.27</v>
      </c>
      <c r="I573">
        <v>0</v>
      </c>
      <c r="J573">
        <v>30.54</v>
      </c>
    </row>
    <row r="574" spans="1:10" x14ac:dyDescent="0.15">
      <c r="A574" s="661">
        <v>44764</v>
      </c>
      <c r="B574" t="s">
        <v>1151</v>
      </c>
      <c r="C574">
        <v>40</v>
      </c>
      <c r="D574" t="s">
        <v>1151</v>
      </c>
      <c r="E574">
        <v>0</v>
      </c>
      <c r="F574">
        <v>0</v>
      </c>
      <c r="G574">
        <v>0</v>
      </c>
      <c r="H574">
        <v>122.98</v>
      </c>
      <c r="I574">
        <v>0</v>
      </c>
      <c r="J574">
        <v>122.5</v>
      </c>
    </row>
    <row r="575" spans="1:10" x14ac:dyDescent="0.15">
      <c r="A575" s="661">
        <v>44764</v>
      </c>
      <c r="B575" t="s">
        <v>1152</v>
      </c>
      <c r="C575">
        <v>40</v>
      </c>
      <c r="D575" t="s">
        <v>1152</v>
      </c>
      <c r="E575">
        <v>0</v>
      </c>
      <c r="F575">
        <v>0</v>
      </c>
      <c r="G575">
        <v>0</v>
      </c>
      <c r="H575">
        <v>2.19</v>
      </c>
      <c r="I575">
        <v>0</v>
      </c>
      <c r="J575">
        <v>2.1800000000000002</v>
      </c>
    </row>
    <row r="576" spans="1:10" x14ac:dyDescent="0.15">
      <c r="A576" s="661">
        <v>44764</v>
      </c>
      <c r="B576" t="s">
        <v>1153</v>
      </c>
      <c r="C576">
        <v>40</v>
      </c>
      <c r="D576" t="s">
        <v>1153</v>
      </c>
      <c r="E576">
        <v>337.9</v>
      </c>
      <c r="F576">
        <v>348</v>
      </c>
      <c r="G576">
        <v>337.9</v>
      </c>
      <c r="H576">
        <v>348</v>
      </c>
      <c r="I576">
        <v>2000</v>
      </c>
      <c r="J576">
        <v>336</v>
      </c>
    </row>
    <row r="577" spans="1:10" x14ac:dyDescent="0.15">
      <c r="A577" s="661">
        <v>44764</v>
      </c>
      <c r="B577" t="s">
        <v>1154</v>
      </c>
      <c r="C577">
        <v>40</v>
      </c>
      <c r="D577" t="s">
        <v>1154</v>
      </c>
      <c r="E577">
        <v>0</v>
      </c>
      <c r="F577">
        <v>0</v>
      </c>
      <c r="G577">
        <v>0</v>
      </c>
      <c r="H577">
        <v>259.74</v>
      </c>
      <c r="I577">
        <v>0</v>
      </c>
      <c r="J577">
        <v>253.94</v>
      </c>
    </row>
    <row r="578" spans="1:10" x14ac:dyDescent="0.15">
      <c r="A578" s="661">
        <v>44764</v>
      </c>
      <c r="B578" t="s">
        <v>1155</v>
      </c>
      <c r="C578">
        <v>40</v>
      </c>
      <c r="D578" t="s">
        <v>1155</v>
      </c>
      <c r="E578">
        <v>16</v>
      </c>
      <c r="F578">
        <v>17.739999999999998</v>
      </c>
      <c r="G578">
        <v>15.73</v>
      </c>
      <c r="H578">
        <v>17.18</v>
      </c>
      <c r="I578">
        <v>197500</v>
      </c>
      <c r="J578">
        <v>16.52</v>
      </c>
    </row>
    <row r="579" spans="1:10" x14ac:dyDescent="0.15">
      <c r="A579" s="661">
        <v>44764</v>
      </c>
      <c r="B579" t="s">
        <v>1156</v>
      </c>
      <c r="C579">
        <v>40</v>
      </c>
      <c r="D579" t="s">
        <v>1156</v>
      </c>
      <c r="E579">
        <v>0</v>
      </c>
      <c r="F579">
        <v>0</v>
      </c>
      <c r="G579">
        <v>0</v>
      </c>
      <c r="H579">
        <v>4.67</v>
      </c>
      <c r="I579">
        <v>0</v>
      </c>
      <c r="J579">
        <v>4.5999999999999996</v>
      </c>
    </row>
    <row r="580" spans="1:10" x14ac:dyDescent="0.15">
      <c r="A580" s="661">
        <v>44764</v>
      </c>
      <c r="B580" t="s">
        <v>1283</v>
      </c>
      <c r="C580">
        <v>40</v>
      </c>
      <c r="D580" t="s">
        <v>1283</v>
      </c>
      <c r="E580">
        <v>0</v>
      </c>
      <c r="F580">
        <v>0</v>
      </c>
      <c r="G580">
        <v>0</v>
      </c>
      <c r="H580">
        <v>6.61</v>
      </c>
      <c r="I580">
        <v>0</v>
      </c>
      <c r="J580">
        <v>6.61</v>
      </c>
    </row>
    <row r="581" spans="1:10" x14ac:dyDescent="0.15">
      <c r="A581" s="661">
        <v>44764</v>
      </c>
      <c r="B581" t="s">
        <v>1284</v>
      </c>
      <c r="C581">
        <v>40</v>
      </c>
      <c r="D581" t="s">
        <v>1284</v>
      </c>
      <c r="E581">
        <v>0</v>
      </c>
      <c r="F581">
        <v>0</v>
      </c>
      <c r="G581">
        <v>0</v>
      </c>
      <c r="H581">
        <v>79.87</v>
      </c>
      <c r="I581">
        <v>0</v>
      </c>
      <c r="J581">
        <v>78.599999999999994</v>
      </c>
    </row>
    <row r="582" spans="1:10" x14ac:dyDescent="0.15">
      <c r="A582" s="661">
        <v>44764</v>
      </c>
      <c r="B582" t="s">
        <v>1285</v>
      </c>
      <c r="C582">
        <v>40</v>
      </c>
      <c r="D582" t="s">
        <v>1285</v>
      </c>
      <c r="E582">
        <v>0</v>
      </c>
      <c r="F582">
        <v>0</v>
      </c>
      <c r="G582">
        <v>0</v>
      </c>
      <c r="H582">
        <v>38.270000000000003</v>
      </c>
      <c r="I582">
        <v>0</v>
      </c>
      <c r="J582">
        <v>36.4</v>
      </c>
    </row>
    <row r="583" spans="1:10" x14ac:dyDescent="0.15">
      <c r="A583" s="661">
        <v>44764</v>
      </c>
      <c r="B583" t="s">
        <v>1286</v>
      </c>
      <c r="C583">
        <v>40</v>
      </c>
      <c r="D583" t="s">
        <v>1286</v>
      </c>
      <c r="E583">
        <v>0</v>
      </c>
      <c r="F583">
        <v>0</v>
      </c>
      <c r="G583">
        <v>0</v>
      </c>
      <c r="H583">
        <v>5.12</v>
      </c>
      <c r="I583">
        <v>0</v>
      </c>
      <c r="J583">
        <v>5.04</v>
      </c>
    </row>
    <row r="584" spans="1:10" x14ac:dyDescent="0.15">
      <c r="A584" s="661">
        <v>44764</v>
      </c>
      <c r="B584" t="s">
        <v>1287</v>
      </c>
      <c r="C584">
        <v>40</v>
      </c>
      <c r="D584" t="s">
        <v>1287</v>
      </c>
      <c r="E584">
        <v>0</v>
      </c>
      <c r="F584">
        <v>0</v>
      </c>
      <c r="G584">
        <v>0</v>
      </c>
      <c r="H584">
        <v>32.26</v>
      </c>
      <c r="I584">
        <v>0</v>
      </c>
      <c r="J584">
        <v>31.23</v>
      </c>
    </row>
    <row r="585" spans="1:10" x14ac:dyDescent="0.15">
      <c r="A585" s="661">
        <v>44764</v>
      </c>
      <c r="B585" t="s">
        <v>1288</v>
      </c>
      <c r="C585">
        <v>40</v>
      </c>
      <c r="D585" t="s">
        <v>1288</v>
      </c>
      <c r="E585">
        <v>0</v>
      </c>
      <c r="F585">
        <v>0</v>
      </c>
      <c r="G585">
        <v>0</v>
      </c>
      <c r="H585">
        <v>6.85</v>
      </c>
      <c r="I585">
        <v>0</v>
      </c>
      <c r="J585">
        <v>6.63</v>
      </c>
    </row>
    <row r="586" spans="1:10" x14ac:dyDescent="0.15">
      <c r="A586" s="661">
        <v>44764</v>
      </c>
      <c r="B586" t="s">
        <v>1289</v>
      </c>
      <c r="C586">
        <v>40</v>
      </c>
      <c r="D586" t="s">
        <v>1289</v>
      </c>
      <c r="E586">
        <v>0</v>
      </c>
      <c r="F586">
        <v>0</v>
      </c>
      <c r="G586">
        <v>0</v>
      </c>
      <c r="H586">
        <v>3.05</v>
      </c>
      <c r="I586">
        <v>0</v>
      </c>
      <c r="J586">
        <v>2.98</v>
      </c>
    </row>
    <row r="587" spans="1:10" x14ac:dyDescent="0.15">
      <c r="A587" s="661">
        <v>44764</v>
      </c>
      <c r="B587" t="s">
        <v>1290</v>
      </c>
      <c r="C587">
        <v>40</v>
      </c>
      <c r="D587" t="s">
        <v>1290</v>
      </c>
      <c r="E587">
        <v>0</v>
      </c>
      <c r="F587">
        <v>0</v>
      </c>
      <c r="G587">
        <v>0</v>
      </c>
      <c r="H587">
        <v>856.34</v>
      </c>
      <c r="I587">
        <v>0</v>
      </c>
      <c r="J587">
        <v>861.88</v>
      </c>
    </row>
    <row r="588" spans="1:10" x14ac:dyDescent="0.15">
      <c r="A588" s="661">
        <v>44764</v>
      </c>
      <c r="B588" t="s">
        <v>1291</v>
      </c>
      <c r="C588">
        <v>40</v>
      </c>
      <c r="D588" t="s">
        <v>1291</v>
      </c>
      <c r="E588">
        <v>0</v>
      </c>
      <c r="F588">
        <v>0</v>
      </c>
      <c r="G588">
        <v>0</v>
      </c>
      <c r="H588">
        <v>7.8</v>
      </c>
      <c r="I588">
        <v>0</v>
      </c>
      <c r="J588">
        <v>7.77</v>
      </c>
    </row>
    <row r="589" spans="1:10" x14ac:dyDescent="0.15">
      <c r="A589" s="661">
        <v>44764</v>
      </c>
      <c r="B589" t="s">
        <v>1292</v>
      </c>
      <c r="C589">
        <v>40</v>
      </c>
      <c r="D589" t="s">
        <v>1292</v>
      </c>
      <c r="E589">
        <v>0</v>
      </c>
      <c r="F589">
        <v>0</v>
      </c>
      <c r="G589">
        <v>0</v>
      </c>
      <c r="H589">
        <v>9.9</v>
      </c>
      <c r="I589">
        <v>0</v>
      </c>
      <c r="J589">
        <v>9.91</v>
      </c>
    </row>
    <row r="590" spans="1:10" x14ac:dyDescent="0.15">
      <c r="A590" s="661">
        <v>44764</v>
      </c>
      <c r="B590" t="s">
        <v>1293</v>
      </c>
      <c r="C590">
        <v>40</v>
      </c>
      <c r="D590" t="s">
        <v>1293</v>
      </c>
      <c r="E590">
        <v>0</v>
      </c>
      <c r="F590">
        <v>0</v>
      </c>
      <c r="G590">
        <v>0</v>
      </c>
      <c r="H590">
        <v>10.32</v>
      </c>
      <c r="I590">
        <v>0</v>
      </c>
      <c r="J590">
        <v>10.32</v>
      </c>
    </row>
    <row r="591" spans="1:10" x14ac:dyDescent="0.15">
      <c r="A591" s="661">
        <v>44764</v>
      </c>
      <c r="B591" t="s">
        <v>1294</v>
      </c>
      <c r="C591">
        <v>40</v>
      </c>
      <c r="D591" t="s">
        <v>1294</v>
      </c>
      <c r="E591">
        <v>0</v>
      </c>
      <c r="F591">
        <v>0</v>
      </c>
      <c r="G591">
        <v>0</v>
      </c>
      <c r="H591">
        <v>31.8</v>
      </c>
      <c r="I591">
        <v>0</v>
      </c>
      <c r="J591">
        <v>31.06</v>
      </c>
    </row>
    <row r="592" spans="1:10" x14ac:dyDescent="0.15">
      <c r="A592" s="661">
        <v>44764</v>
      </c>
      <c r="B592" t="s">
        <v>1295</v>
      </c>
      <c r="C592">
        <v>40</v>
      </c>
      <c r="D592" t="s">
        <v>1295</v>
      </c>
      <c r="E592">
        <v>0</v>
      </c>
      <c r="F592">
        <v>0</v>
      </c>
      <c r="G592">
        <v>0</v>
      </c>
      <c r="H592">
        <v>125.08</v>
      </c>
      <c r="I592">
        <v>0</v>
      </c>
      <c r="J592">
        <v>123.96</v>
      </c>
    </row>
    <row r="593" spans="1:10" x14ac:dyDescent="0.15">
      <c r="A593" s="661">
        <v>44764</v>
      </c>
      <c r="B593" t="s">
        <v>1296</v>
      </c>
      <c r="C593">
        <v>40</v>
      </c>
      <c r="D593" t="s">
        <v>1296</v>
      </c>
      <c r="E593">
        <v>0</v>
      </c>
      <c r="F593">
        <v>0</v>
      </c>
      <c r="G593">
        <v>0</v>
      </c>
      <c r="H593">
        <v>2.2200000000000002</v>
      </c>
      <c r="I593">
        <v>0</v>
      </c>
      <c r="J593">
        <v>2.2200000000000002</v>
      </c>
    </row>
    <row r="594" spans="1:10" x14ac:dyDescent="0.15">
      <c r="A594" s="661">
        <v>44764</v>
      </c>
      <c r="B594" t="s">
        <v>1297</v>
      </c>
      <c r="C594">
        <v>40</v>
      </c>
      <c r="D594" t="s">
        <v>1297</v>
      </c>
      <c r="E594">
        <v>0</v>
      </c>
      <c r="F594">
        <v>0</v>
      </c>
      <c r="G594">
        <v>0</v>
      </c>
      <c r="H594">
        <v>264.19</v>
      </c>
      <c r="I594">
        <v>0</v>
      </c>
      <c r="J594">
        <v>258.29000000000002</v>
      </c>
    </row>
    <row r="595" spans="1:10" x14ac:dyDescent="0.15">
      <c r="A595" s="661">
        <v>44764</v>
      </c>
      <c r="B595" t="s">
        <v>1298</v>
      </c>
      <c r="C595">
        <v>40</v>
      </c>
      <c r="D595" t="s">
        <v>1298</v>
      </c>
      <c r="E595">
        <v>0</v>
      </c>
      <c r="F595">
        <v>0</v>
      </c>
      <c r="G595">
        <v>0</v>
      </c>
      <c r="H595">
        <v>17.46</v>
      </c>
      <c r="I595">
        <v>0</v>
      </c>
      <c r="J595">
        <v>16.82</v>
      </c>
    </row>
    <row r="596" spans="1:10" x14ac:dyDescent="0.15">
      <c r="A596" s="661">
        <v>44764</v>
      </c>
      <c r="B596" t="s">
        <v>1299</v>
      </c>
      <c r="C596">
        <v>40</v>
      </c>
      <c r="D596" t="s">
        <v>1299</v>
      </c>
      <c r="E596">
        <v>0</v>
      </c>
      <c r="F596">
        <v>0</v>
      </c>
      <c r="G596">
        <v>0</v>
      </c>
      <c r="H596">
        <v>4.75</v>
      </c>
      <c r="I596">
        <v>0</v>
      </c>
      <c r="J596">
        <v>4.68</v>
      </c>
    </row>
    <row r="597" spans="1:10" x14ac:dyDescent="0.15">
      <c r="A597" s="661">
        <v>44764</v>
      </c>
      <c r="B597" t="s">
        <v>1300</v>
      </c>
      <c r="C597">
        <v>40</v>
      </c>
      <c r="D597" t="s">
        <v>1300</v>
      </c>
      <c r="E597">
        <v>0</v>
      </c>
      <c r="F597">
        <v>0</v>
      </c>
      <c r="G597">
        <v>0</v>
      </c>
      <c r="H597">
        <v>10.050000000000001</v>
      </c>
      <c r="I597">
        <v>0</v>
      </c>
      <c r="J597">
        <v>9.9</v>
      </c>
    </row>
    <row r="598" spans="1:10" x14ac:dyDescent="0.15">
      <c r="A598" s="661">
        <v>44764</v>
      </c>
      <c r="B598" t="s">
        <v>1301</v>
      </c>
      <c r="C598">
        <v>40</v>
      </c>
      <c r="D598" t="s">
        <v>1301</v>
      </c>
      <c r="E598">
        <v>0</v>
      </c>
      <c r="F598">
        <v>0</v>
      </c>
      <c r="G598">
        <v>0</v>
      </c>
      <c r="H598">
        <v>9.91</v>
      </c>
      <c r="I598">
        <v>0</v>
      </c>
      <c r="J598">
        <v>9.77</v>
      </c>
    </row>
    <row r="599" spans="1:10" x14ac:dyDescent="0.15">
      <c r="A599" s="661">
        <v>44764</v>
      </c>
      <c r="B599" t="s">
        <v>1374</v>
      </c>
      <c r="C599">
        <v>40</v>
      </c>
      <c r="D599" t="s">
        <v>1374</v>
      </c>
      <c r="E599">
        <v>0</v>
      </c>
      <c r="F599">
        <v>0</v>
      </c>
      <c r="G599">
        <v>0</v>
      </c>
      <c r="H599">
        <v>32.53</v>
      </c>
      <c r="I599">
        <v>0</v>
      </c>
      <c r="J599">
        <v>32.5</v>
      </c>
    </row>
    <row r="600" spans="1:10" x14ac:dyDescent="0.15">
      <c r="A600" s="661">
        <v>44764</v>
      </c>
      <c r="B600" t="s">
        <v>1375</v>
      </c>
      <c r="C600">
        <v>40</v>
      </c>
      <c r="D600" t="s">
        <v>1375</v>
      </c>
      <c r="E600">
        <v>0</v>
      </c>
      <c r="F600">
        <v>0</v>
      </c>
      <c r="G600">
        <v>0</v>
      </c>
      <c r="H600">
        <v>13.98</v>
      </c>
      <c r="I600">
        <v>0</v>
      </c>
      <c r="J600">
        <v>13.84</v>
      </c>
    </row>
    <row r="601" spans="1:10" x14ac:dyDescent="0.15">
      <c r="A601" s="661">
        <v>44764</v>
      </c>
      <c r="B601" t="s">
        <v>1376</v>
      </c>
      <c r="C601">
        <v>40</v>
      </c>
      <c r="D601" t="s">
        <v>1376</v>
      </c>
      <c r="E601">
        <v>0</v>
      </c>
      <c r="F601">
        <v>0</v>
      </c>
      <c r="G601">
        <v>0</v>
      </c>
      <c r="H601">
        <v>14.17</v>
      </c>
      <c r="I601">
        <v>0</v>
      </c>
      <c r="J601">
        <v>14.04</v>
      </c>
    </row>
    <row r="602" spans="1:10" x14ac:dyDescent="0.15">
      <c r="A602" s="661">
        <v>44764</v>
      </c>
      <c r="B602" t="s">
        <v>1377</v>
      </c>
      <c r="C602">
        <v>40</v>
      </c>
      <c r="D602" t="s">
        <v>1377</v>
      </c>
      <c r="E602">
        <v>0</v>
      </c>
      <c r="F602">
        <v>0</v>
      </c>
      <c r="G602">
        <v>0</v>
      </c>
      <c r="H602">
        <v>14.42</v>
      </c>
      <c r="I602">
        <v>0</v>
      </c>
      <c r="J602">
        <v>14.28</v>
      </c>
    </row>
    <row r="603" spans="1:10" x14ac:dyDescent="0.15">
      <c r="A603" s="661">
        <v>44764</v>
      </c>
      <c r="B603" t="s">
        <v>1378</v>
      </c>
      <c r="C603">
        <v>40</v>
      </c>
      <c r="D603" t="s">
        <v>1378</v>
      </c>
      <c r="E603">
        <v>31.25</v>
      </c>
      <c r="F603">
        <v>31.98</v>
      </c>
      <c r="G603">
        <v>30.55</v>
      </c>
      <c r="H603">
        <v>31.31</v>
      </c>
      <c r="I603">
        <v>97500</v>
      </c>
      <c r="J603">
        <v>31.75</v>
      </c>
    </row>
    <row r="604" spans="1:10" x14ac:dyDescent="0.15">
      <c r="A604" s="661">
        <v>44764</v>
      </c>
      <c r="B604" t="s">
        <v>655</v>
      </c>
      <c r="C604">
        <v>836</v>
      </c>
      <c r="D604" t="s">
        <v>1456</v>
      </c>
      <c r="E604">
        <v>14.09</v>
      </c>
      <c r="F604">
        <v>14.09</v>
      </c>
      <c r="G604">
        <v>13.45</v>
      </c>
      <c r="H604">
        <v>13.93</v>
      </c>
      <c r="I604">
        <v>19000</v>
      </c>
      <c r="J604">
        <v>13.79</v>
      </c>
    </row>
    <row r="605" spans="1:10" x14ac:dyDescent="0.15">
      <c r="A605" s="661">
        <v>44764</v>
      </c>
      <c r="B605" t="s">
        <v>1522</v>
      </c>
      <c r="C605">
        <v>837</v>
      </c>
      <c r="D605" t="s">
        <v>1523</v>
      </c>
      <c r="E605">
        <v>9.8800000000000008</v>
      </c>
      <c r="F605">
        <v>9.8800000000000008</v>
      </c>
      <c r="G605">
        <v>9.8800000000000008</v>
      </c>
      <c r="H605">
        <v>9.8800000000000008</v>
      </c>
      <c r="I605">
        <v>500</v>
      </c>
      <c r="J605">
        <v>9.73</v>
      </c>
    </row>
    <row r="606" spans="1:10" x14ac:dyDescent="0.15">
      <c r="A606" s="661">
        <v>44764</v>
      </c>
      <c r="B606" t="s">
        <v>783</v>
      </c>
      <c r="C606">
        <v>837</v>
      </c>
      <c r="D606" t="s">
        <v>1310</v>
      </c>
      <c r="E606">
        <v>7.4</v>
      </c>
      <c r="F606">
        <v>7.6</v>
      </c>
      <c r="G606">
        <v>7.35</v>
      </c>
      <c r="H606">
        <v>7.54</v>
      </c>
      <c r="I606">
        <v>31500</v>
      </c>
      <c r="J606">
        <v>7.5</v>
      </c>
    </row>
    <row r="607" spans="1:10" x14ac:dyDescent="0.15">
      <c r="A607" s="661">
        <v>44764</v>
      </c>
      <c r="B607" t="s">
        <v>1457</v>
      </c>
      <c r="C607">
        <v>837</v>
      </c>
      <c r="D607" t="s">
        <v>1458</v>
      </c>
      <c r="E607">
        <v>7.91</v>
      </c>
      <c r="F607">
        <v>8.26</v>
      </c>
      <c r="G607">
        <v>7.91</v>
      </c>
      <c r="H607">
        <v>8.26</v>
      </c>
      <c r="I607">
        <v>254500</v>
      </c>
      <c r="J607">
        <v>8.15</v>
      </c>
    </row>
    <row r="608" spans="1:10" x14ac:dyDescent="0.15">
      <c r="A608" s="661">
        <v>44764</v>
      </c>
      <c r="B608" t="s">
        <v>1396</v>
      </c>
      <c r="C608">
        <v>837</v>
      </c>
      <c r="D608" t="s">
        <v>1397</v>
      </c>
      <c r="E608">
        <v>7.09</v>
      </c>
      <c r="F608">
        <v>7.09</v>
      </c>
      <c r="G608">
        <v>7.09</v>
      </c>
      <c r="H608">
        <v>7.09</v>
      </c>
      <c r="I608">
        <v>1500</v>
      </c>
      <c r="J608">
        <v>7.3</v>
      </c>
    </row>
    <row r="609" spans="1:1" x14ac:dyDescent="0.15">
      <c r="A609" s="661"/>
    </row>
    <row r="610" spans="1:1" x14ac:dyDescent="0.15">
      <c r="A610" s="661"/>
    </row>
    <row r="611" spans="1:1" x14ac:dyDescent="0.15">
      <c r="A611" s="661"/>
    </row>
    <row r="612" spans="1:1" x14ac:dyDescent="0.15">
      <c r="A612" s="661"/>
    </row>
    <row r="613" spans="1:1" x14ac:dyDescent="0.15">
      <c r="A613" s="661"/>
    </row>
    <row r="614" spans="1:1" x14ac:dyDescent="0.15">
      <c r="A614" s="661"/>
    </row>
    <row r="615" spans="1:1" x14ac:dyDescent="0.15">
      <c r="A615" s="661"/>
    </row>
    <row r="616" spans="1:1" x14ac:dyDescent="0.15">
      <c r="A616" s="661"/>
    </row>
    <row r="617" spans="1:1" x14ac:dyDescent="0.15">
      <c r="A617" s="661"/>
    </row>
    <row r="618" spans="1:1" x14ac:dyDescent="0.15">
      <c r="A618" s="661"/>
    </row>
    <row r="619" spans="1:1" x14ac:dyDescent="0.15">
      <c r="A619" s="661"/>
    </row>
    <row r="620" spans="1:1" x14ac:dyDescent="0.15">
      <c r="A620" s="661"/>
    </row>
    <row r="621" spans="1:1" x14ac:dyDescent="0.15">
      <c r="A621" s="661"/>
    </row>
    <row r="622" spans="1:1" x14ac:dyDescent="0.15">
      <c r="A622" s="661"/>
    </row>
    <row r="623" spans="1:1" x14ac:dyDescent="0.15">
      <c r="A623" s="661"/>
    </row>
    <row r="624" spans="1:1" x14ac:dyDescent="0.15">
      <c r="A624" s="661"/>
    </row>
    <row r="625" spans="1:1" x14ac:dyDescent="0.15">
      <c r="A625" s="661"/>
    </row>
    <row r="626" spans="1:1" x14ac:dyDescent="0.15">
      <c r="A626" s="661"/>
    </row>
    <row r="627" spans="1:1" x14ac:dyDescent="0.15">
      <c r="A627" s="661"/>
    </row>
    <row r="628" spans="1:1" x14ac:dyDescent="0.15">
      <c r="A628" s="661"/>
    </row>
    <row r="629" spans="1:1" x14ac:dyDescent="0.15">
      <c r="A629" s="661"/>
    </row>
    <row r="630" spans="1:1" x14ac:dyDescent="0.15">
      <c r="A630" s="661"/>
    </row>
    <row r="631" spans="1:1" x14ac:dyDescent="0.15">
      <c r="A631" s="661"/>
    </row>
    <row r="632" spans="1:1" x14ac:dyDescent="0.15">
      <c r="A632" s="661"/>
    </row>
    <row r="633" spans="1:1" x14ac:dyDescent="0.15">
      <c r="A633" s="661"/>
    </row>
    <row r="634" spans="1:1" x14ac:dyDescent="0.15">
      <c r="A634" s="661"/>
    </row>
    <row r="635" spans="1:1" x14ac:dyDescent="0.15">
      <c r="A635" s="661"/>
    </row>
    <row r="636" spans="1:1" x14ac:dyDescent="0.15">
      <c r="A636" s="661"/>
    </row>
    <row r="637" spans="1:1" x14ac:dyDescent="0.15">
      <c r="A637" s="661"/>
    </row>
    <row r="638" spans="1:1" x14ac:dyDescent="0.15">
      <c r="A638" s="661"/>
    </row>
    <row r="639" spans="1:1" x14ac:dyDescent="0.15">
      <c r="A639" s="661"/>
    </row>
    <row r="640" spans="1:1" x14ac:dyDescent="0.15">
      <c r="A640" s="661"/>
    </row>
    <row r="641" spans="1:1" x14ac:dyDescent="0.15">
      <c r="A641" s="661"/>
    </row>
    <row r="642" spans="1:1" x14ac:dyDescent="0.15">
      <c r="A642" s="661"/>
    </row>
    <row r="643" spans="1:1" x14ac:dyDescent="0.15">
      <c r="A643" s="661"/>
    </row>
    <row r="644" spans="1:1" x14ac:dyDescent="0.15">
      <c r="A644" s="661"/>
    </row>
    <row r="645" spans="1:1" x14ac:dyDescent="0.15">
      <c r="A645" s="661"/>
    </row>
    <row r="646" spans="1:1" x14ac:dyDescent="0.15">
      <c r="A646" s="661"/>
    </row>
    <row r="647" spans="1:1" x14ac:dyDescent="0.15">
      <c r="A647" s="661"/>
    </row>
    <row r="648" spans="1:1" x14ac:dyDescent="0.15">
      <c r="A648" s="661"/>
    </row>
    <row r="649" spans="1:1" x14ac:dyDescent="0.15">
      <c r="A649" s="661"/>
    </row>
    <row r="650" spans="1:1" x14ac:dyDescent="0.15">
      <c r="A650" s="661"/>
    </row>
    <row r="651" spans="1:1" x14ac:dyDescent="0.15">
      <c r="A651" s="661"/>
    </row>
    <row r="652" spans="1:1" x14ac:dyDescent="0.15">
      <c r="A652" s="661"/>
    </row>
    <row r="653" spans="1:1" x14ac:dyDescent="0.15">
      <c r="A653" s="661"/>
    </row>
    <row r="654" spans="1:1" x14ac:dyDescent="0.15">
      <c r="A654" s="661"/>
    </row>
    <row r="655" spans="1:1" x14ac:dyDescent="0.15">
      <c r="A655" s="661"/>
    </row>
    <row r="656" spans="1:1" x14ac:dyDescent="0.15">
      <c r="A656" s="661"/>
    </row>
    <row r="657" spans="1:1" x14ac:dyDescent="0.15">
      <c r="A657" s="661"/>
    </row>
    <row r="658" spans="1:1" x14ac:dyDescent="0.15">
      <c r="A658" s="661"/>
    </row>
    <row r="659" spans="1:1" x14ac:dyDescent="0.15">
      <c r="A659" s="661"/>
    </row>
    <row r="660" spans="1:1" x14ac:dyDescent="0.15">
      <c r="A660" s="661"/>
    </row>
    <row r="661" spans="1:1" x14ac:dyDescent="0.15">
      <c r="A661" s="661"/>
    </row>
    <row r="662" spans="1:1" x14ac:dyDescent="0.15">
      <c r="A662" s="661"/>
    </row>
    <row r="663" spans="1:1" x14ac:dyDescent="0.15">
      <c r="A663" s="661"/>
    </row>
    <row r="664" spans="1:1" x14ac:dyDescent="0.15">
      <c r="A664" s="661"/>
    </row>
    <row r="665" spans="1:1" x14ac:dyDescent="0.15">
      <c r="A665" s="661"/>
    </row>
    <row r="666" spans="1:1" x14ac:dyDescent="0.15">
      <c r="A666" s="661"/>
    </row>
    <row r="667" spans="1:1" x14ac:dyDescent="0.15">
      <c r="A667" s="661"/>
    </row>
    <row r="668" spans="1:1" x14ac:dyDescent="0.15">
      <c r="A668" s="661"/>
    </row>
    <row r="669" spans="1:1" x14ac:dyDescent="0.15">
      <c r="A669" s="661"/>
    </row>
    <row r="670" spans="1:1" x14ac:dyDescent="0.15">
      <c r="A670" s="661"/>
    </row>
    <row r="671" spans="1:1" x14ac:dyDescent="0.15">
      <c r="A671" s="661"/>
    </row>
    <row r="672" spans="1:1" x14ac:dyDescent="0.15">
      <c r="A672" s="661"/>
    </row>
    <row r="673" spans="1:1" x14ac:dyDescent="0.15">
      <c r="A673" s="661"/>
    </row>
    <row r="674" spans="1:1" x14ac:dyDescent="0.15">
      <c r="A674" s="661"/>
    </row>
    <row r="675" spans="1:1" x14ac:dyDescent="0.15">
      <c r="A675" s="661"/>
    </row>
    <row r="676" spans="1:1" x14ac:dyDescent="0.15">
      <c r="A676" s="661"/>
    </row>
    <row r="677" spans="1:1" x14ac:dyDescent="0.15">
      <c r="A677" s="661"/>
    </row>
    <row r="678" spans="1:1" x14ac:dyDescent="0.15">
      <c r="A678" s="661"/>
    </row>
    <row r="679" spans="1:1" x14ac:dyDescent="0.15">
      <c r="A679" s="661"/>
    </row>
    <row r="680" spans="1:1" x14ac:dyDescent="0.15">
      <c r="A680" s="661"/>
    </row>
    <row r="681" spans="1:1" x14ac:dyDescent="0.15">
      <c r="A681" s="661"/>
    </row>
    <row r="682" spans="1:1" x14ac:dyDescent="0.15">
      <c r="A682" s="661"/>
    </row>
    <row r="683" spans="1:1" x14ac:dyDescent="0.15">
      <c r="A683" s="661"/>
    </row>
    <row r="684" spans="1:1" x14ac:dyDescent="0.15">
      <c r="A684" s="661"/>
    </row>
    <row r="685" spans="1:1" x14ac:dyDescent="0.15">
      <c r="A685" s="661"/>
    </row>
    <row r="686" spans="1:1" x14ac:dyDescent="0.15">
      <c r="A686" s="661"/>
    </row>
    <row r="687" spans="1:1" x14ac:dyDescent="0.15">
      <c r="A687" s="661"/>
    </row>
    <row r="688" spans="1:1" x14ac:dyDescent="0.15">
      <c r="A688" s="661"/>
    </row>
    <row r="689" spans="1:1" x14ac:dyDescent="0.15">
      <c r="A689" s="661"/>
    </row>
    <row r="690" spans="1:1" x14ac:dyDescent="0.15">
      <c r="A690" s="661"/>
    </row>
    <row r="691" spans="1:1" x14ac:dyDescent="0.15">
      <c r="A691" s="661"/>
    </row>
    <row r="692" spans="1:1" x14ac:dyDescent="0.15">
      <c r="A692" s="661"/>
    </row>
    <row r="693" spans="1:1" x14ac:dyDescent="0.15">
      <c r="A693" s="661"/>
    </row>
    <row r="694" spans="1:1" x14ac:dyDescent="0.15">
      <c r="A694" s="661"/>
    </row>
    <row r="695" spans="1:1" x14ac:dyDescent="0.15">
      <c r="A695" s="661"/>
    </row>
    <row r="696" spans="1:1" x14ac:dyDescent="0.15">
      <c r="A696" s="661"/>
    </row>
    <row r="697" spans="1:1" x14ac:dyDescent="0.15">
      <c r="A697" s="661"/>
    </row>
    <row r="698" spans="1:1" x14ac:dyDescent="0.15">
      <c r="A698" s="661"/>
    </row>
    <row r="699" spans="1:1" x14ac:dyDescent="0.15">
      <c r="A699" s="661"/>
    </row>
    <row r="700" spans="1:1" x14ac:dyDescent="0.15">
      <c r="A700" s="661"/>
    </row>
    <row r="701" spans="1:1" x14ac:dyDescent="0.15">
      <c r="A701" s="661"/>
    </row>
    <row r="702" spans="1:1" x14ac:dyDescent="0.15">
      <c r="A702" s="661"/>
    </row>
    <row r="703" spans="1:1" x14ac:dyDescent="0.15">
      <c r="A703" s="661"/>
    </row>
    <row r="704" spans="1:1" x14ac:dyDescent="0.15">
      <c r="A704" s="661"/>
    </row>
    <row r="705" spans="1:1" x14ac:dyDescent="0.15">
      <c r="A705" s="661"/>
    </row>
    <row r="706" spans="1:1" x14ac:dyDescent="0.15">
      <c r="A706" s="661"/>
    </row>
    <row r="707" spans="1:1" x14ac:dyDescent="0.15">
      <c r="A707" s="661"/>
    </row>
    <row r="708" spans="1:1" x14ac:dyDescent="0.15">
      <c r="A708" s="661"/>
    </row>
    <row r="709" spans="1:1" x14ac:dyDescent="0.15">
      <c r="A709" s="661"/>
    </row>
    <row r="710" spans="1:1" x14ac:dyDescent="0.15">
      <c r="A710" s="661"/>
    </row>
    <row r="711" spans="1:1" x14ac:dyDescent="0.15">
      <c r="A711" s="661"/>
    </row>
    <row r="712" spans="1:1" x14ac:dyDescent="0.15">
      <c r="A712" s="661"/>
    </row>
    <row r="713" spans="1:1" x14ac:dyDescent="0.15">
      <c r="A713" s="661"/>
    </row>
    <row r="714" spans="1:1" x14ac:dyDescent="0.15">
      <c r="A714" s="661"/>
    </row>
    <row r="715" spans="1:1" x14ac:dyDescent="0.15">
      <c r="A715" s="661"/>
    </row>
    <row r="716" spans="1:1" x14ac:dyDescent="0.15">
      <c r="A716" s="661"/>
    </row>
    <row r="717" spans="1:1" x14ac:dyDescent="0.15">
      <c r="A717" s="661"/>
    </row>
    <row r="718" spans="1:1" x14ac:dyDescent="0.15">
      <c r="A718" s="661"/>
    </row>
    <row r="719" spans="1:1" x14ac:dyDescent="0.15">
      <c r="A719" s="661"/>
    </row>
    <row r="720" spans="1:1" x14ac:dyDescent="0.15">
      <c r="A720" s="661"/>
    </row>
    <row r="721" spans="1:1" x14ac:dyDescent="0.15">
      <c r="A721" s="661"/>
    </row>
    <row r="722" spans="1:1" x14ac:dyDescent="0.15">
      <c r="A722" s="661"/>
    </row>
    <row r="723" spans="1:1" x14ac:dyDescent="0.15">
      <c r="A723" s="661"/>
    </row>
    <row r="724" spans="1:1" x14ac:dyDescent="0.15">
      <c r="A724" s="661"/>
    </row>
    <row r="725" spans="1:1" x14ac:dyDescent="0.15">
      <c r="A725" s="661"/>
    </row>
    <row r="726" spans="1:1" x14ac:dyDescent="0.15">
      <c r="A726" s="661"/>
    </row>
    <row r="727" spans="1:1" x14ac:dyDescent="0.15">
      <c r="A727" s="661"/>
    </row>
    <row r="728" spans="1:1" x14ac:dyDescent="0.15">
      <c r="A728" s="661"/>
    </row>
    <row r="729" spans="1:1" x14ac:dyDescent="0.15">
      <c r="A729" s="661"/>
    </row>
    <row r="730" spans="1:1" x14ac:dyDescent="0.15">
      <c r="A730" s="661"/>
    </row>
    <row r="731" spans="1:1" x14ac:dyDescent="0.15">
      <c r="A731" s="661"/>
    </row>
    <row r="732" spans="1:1" x14ac:dyDescent="0.15">
      <c r="A732" s="661"/>
    </row>
    <row r="733" spans="1:1" x14ac:dyDescent="0.15">
      <c r="A733" s="661"/>
    </row>
    <row r="734" spans="1:1" x14ac:dyDescent="0.15">
      <c r="A734" s="661"/>
    </row>
    <row r="735" spans="1:1" x14ac:dyDescent="0.15">
      <c r="A735" s="661"/>
    </row>
    <row r="736" spans="1:1" x14ac:dyDescent="0.15">
      <c r="A736" s="661"/>
    </row>
    <row r="737" spans="1:1" x14ac:dyDescent="0.15">
      <c r="A737" s="661"/>
    </row>
    <row r="738" spans="1:1" x14ac:dyDescent="0.15">
      <c r="A738" s="661"/>
    </row>
    <row r="739" spans="1:1" x14ac:dyDescent="0.15">
      <c r="A739" s="661"/>
    </row>
    <row r="740" spans="1:1" x14ac:dyDescent="0.15">
      <c r="A740" s="661"/>
    </row>
    <row r="741" spans="1:1" x14ac:dyDescent="0.15">
      <c r="A741" s="661"/>
    </row>
    <row r="742" spans="1:1" x14ac:dyDescent="0.15">
      <c r="A742" s="661"/>
    </row>
    <row r="743" spans="1:1" x14ac:dyDescent="0.15">
      <c r="A743" s="661"/>
    </row>
    <row r="744" spans="1:1" x14ac:dyDescent="0.15">
      <c r="A744" s="661"/>
    </row>
    <row r="745" spans="1:1" x14ac:dyDescent="0.15">
      <c r="A745" s="661"/>
    </row>
    <row r="746" spans="1:1" x14ac:dyDescent="0.15">
      <c r="A746" s="661"/>
    </row>
    <row r="747" spans="1:1" x14ac:dyDescent="0.15">
      <c r="A747" s="661"/>
    </row>
    <row r="748" spans="1:1" x14ac:dyDescent="0.15">
      <c r="A748" s="661"/>
    </row>
    <row r="749" spans="1:1" x14ac:dyDescent="0.15">
      <c r="A749" s="661"/>
    </row>
    <row r="750" spans="1:1" x14ac:dyDescent="0.15">
      <c r="A750" s="661"/>
    </row>
    <row r="751" spans="1:1" x14ac:dyDescent="0.15">
      <c r="A751" s="661"/>
    </row>
    <row r="752" spans="1:1" x14ac:dyDescent="0.15">
      <c r="A752" s="661"/>
    </row>
    <row r="753" spans="1:1" x14ac:dyDescent="0.15">
      <c r="A753" s="661"/>
    </row>
    <row r="754" spans="1:1" x14ac:dyDescent="0.15">
      <c r="A754" s="661"/>
    </row>
    <row r="755" spans="1:1" x14ac:dyDescent="0.15">
      <c r="A755" s="661"/>
    </row>
    <row r="756" spans="1:1" x14ac:dyDescent="0.15">
      <c r="A756" s="661"/>
    </row>
    <row r="757" spans="1:1" x14ac:dyDescent="0.15">
      <c r="A757" s="661"/>
    </row>
    <row r="758" spans="1:1" x14ac:dyDescent="0.15">
      <c r="A758" s="661"/>
    </row>
    <row r="759" spans="1:1" x14ac:dyDescent="0.15">
      <c r="A759" s="661"/>
    </row>
    <row r="760" spans="1:1" x14ac:dyDescent="0.15">
      <c r="A760" s="661"/>
    </row>
    <row r="761" spans="1:1" x14ac:dyDescent="0.15">
      <c r="A761" s="661"/>
    </row>
    <row r="762" spans="1:1" x14ac:dyDescent="0.15">
      <c r="A762" s="661"/>
    </row>
    <row r="763" spans="1:1" x14ac:dyDescent="0.15">
      <c r="A763" s="661"/>
    </row>
    <row r="764" spans="1:1" x14ac:dyDescent="0.15">
      <c r="A764" s="661"/>
    </row>
    <row r="765" spans="1:1" x14ac:dyDescent="0.15">
      <c r="A765" s="661"/>
    </row>
    <row r="766" spans="1:1" x14ac:dyDescent="0.15">
      <c r="A766" s="661"/>
    </row>
    <row r="767" spans="1:1" x14ac:dyDescent="0.15">
      <c r="A767" s="661"/>
    </row>
    <row r="768" spans="1:1" x14ac:dyDescent="0.15">
      <c r="A768" s="661"/>
    </row>
    <row r="769" spans="1:1" x14ac:dyDescent="0.15">
      <c r="A769" s="661"/>
    </row>
    <row r="770" spans="1:1" x14ac:dyDescent="0.15">
      <c r="A770" s="661"/>
    </row>
    <row r="771" spans="1:1" x14ac:dyDescent="0.15">
      <c r="A771" s="661"/>
    </row>
    <row r="772" spans="1:1" x14ac:dyDescent="0.15">
      <c r="A772" s="661"/>
    </row>
    <row r="773" spans="1:1" x14ac:dyDescent="0.15">
      <c r="A773" s="661"/>
    </row>
    <row r="774" spans="1:1" x14ac:dyDescent="0.15">
      <c r="A774" s="661"/>
    </row>
    <row r="775" spans="1:1" x14ac:dyDescent="0.15">
      <c r="A775" s="661"/>
    </row>
    <row r="776" spans="1:1" x14ac:dyDescent="0.15">
      <c r="A776" s="661"/>
    </row>
    <row r="777" spans="1:1" x14ac:dyDescent="0.15">
      <c r="A777" s="661"/>
    </row>
    <row r="778" spans="1:1" x14ac:dyDescent="0.15">
      <c r="A778" s="661"/>
    </row>
    <row r="779" spans="1:1" x14ac:dyDescent="0.15">
      <c r="A779" s="661"/>
    </row>
    <row r="780" spans="1:1" x14ac:dyDescent="0.15">
      <c r="A780" s="661"/>
    </row>
    <row r="781" spans="1:1" x14ac:dyDescent="0.15">
      <c r="A781" s="661"/>
    </row>
    <row r="782" spans="1:1" x14ac:dyDescent="0.15">
      <c r="A782" s="661"/>
    </row>
    <row r="783" spans="1:1" x14ac:dyDescent="0.15">
      <c r="A783" s="661"/>
    </row>
    <row r="784" spans="1:1" x14ac:dyDescent="0.15">
      <c r="A784" s="661"/>
    </row>
    <row r="785" spans="1:1" x14ac:dyDescent="0.15">
      <c r="A785" s="661"/>
    </row>
    <row r="786" spans="1:1" x14ac:dyDescent="0.15">
      <c r="A786" s="661"/>
    </row>
    <row r="787" spans="1:1" x14ac:dyDescent="0.15">
      <c r="A787" s="661"/>
    </row>
    <row r="788" spans="1:1" x14ac:dyDescent="0.15">
      <c r="A788" s="661"/>
    </row>
    <row r="789" spans="1:1" x14ac:dyDescent="0.15">
      <c r="A789" s="661"/>
    </row>
    <row r="790" spans="1:1" x14ac:dyDescent="0.15">
      <c r="A790" s="661"/>
    </row>
    <row r="791" spans="1:1" x14ac:dyDescent="0.15">
      <c r="A791" s="661"/>
    </row>
    <row r="792" spans="1:1" x14ac:dyDescent="0.15">
      <c r="A792" s="661"/>
    </row>
    <row r="793" spans="1:1" x14ac:dyDescent="0.15">
      <c r="A793" s="661"/>
    </row>
    <row r="794" spans="1:1" x14ac:dyDescent="0.15">
      <c r="A794" s="661"/>
    </row>
    <row r="795" spans="1:1" x14ac:dyDescent="0.15">
      <c r="A795" s="661"/>
    </row>
    <row r="796" spans="1:1" x14ac:dyDescent="0.15">
      <c r="A796" s="661"/>
    </row>
    <row r="797" spans="1:1" x14ac:dyDescent="0.15">
      <c r="A797" s="661"/>
    </row>
    <row r="798" spans="1:1" x14ac:dyDescent="0.15">
      <c r="A798" s="661"/>
    </row>
    <row r="799" spans="1:1" x14ac:dyDescent="0.15">
      <c r="A799" s="661"/>
    </row>
    <row r="800" spans="1:1" x14ac:dyDescent="0.15">
      <c r="A800" s="661"/>
    </row>
    <row r="801" spans="1:1" x14ac:dyDescent="0.15">
      <c r="A801" s="661"/>
    </row>
    <row r="802" spans="1:1" x14ac:dyDescent="0.15">
      <c r="A802" s="661"/>
    </row>
    <row r="803" spans="1:1" x14ac:dyDescent="0.15">
      <c r="A803" s="661"/>
    </row>
    <row r="804" spans="1:1" x14ac:dyDescent="0.15">
      <c r="A804" s="661"/>
    </row>
    <row r="805" spans="1:1" x14ac:dyDescent="0.15">
      <c r="A805" s="661"/>
    </row>
    <row r="806" spans="1:1" x14ac:dyDescent="0.15">
      <c r="A806" s="661"/>
    </row>
    <row r="807" spans="1:1" x14ac:dyDescent="0.15">
      <c r="A807" s="661"/>
    </row>
    <row r="808" spans="1:1" x14ac:dyDescent="0.15">
      <c r="A808" s="661"/>
    </row>
    <row r="809" spans="1:1" x14ac:dyDescent="0.15">
      <c r="A809" s="661"/>
    </row>
    <row r="810" spans="1:1" x14ac:dyDescent="0.15">
      <c r="A810" s="661"/>
    </row>
    <row r="811" spans="1:1" x14ac:dyDescent="0.15">
      <c r="A811" s="661"/>
    </row>
    <row r="812" spans="1:1" x14ac:dyDescent="0.15">
      <c r="A812" s="661"/>
    </row>
    <row r="813" spans="1:1" x14ac:dyDescent="0.15">
      <c r="A813" s="661"/>
    </row>
    <row r="814" spans="1:1" x14ac:dyDescent="0.15">
      <c r="A814" s="661"/>
    </row>
    <row r="815" spans="1:1" x14ac:dyDescent="0.15">
      <c r="A815" s="661"/>
    </row>
    <row r="816" spans="1:1" x14ac:dyDescent="0.15">
      <c r="A816" s="661"/>
    </row>
    <row r="817" spans="1:1" x14ac:dyDescent="0.15">
      <c r="A817" s="661"/>
    </row>
    <row r="818" spans="1:1" x14ac:dyDescent="0.15">
      <c r="A818" s="661"/>
    </row>
    <row r="819" spans="1:1" x14ac:dyDescent="0.15">
      <c r="A819" s="661"/>
    </row>
    <row r="820" spans="1:1" x14ac:dyDescent="0.15">
      <c r="A820" s="661"/>
    </row>
    <row r="821" spans="1:1" x14ac:dyDescent="0.15">
      <c r="A821" s="661"/>
    </row>
    <row r="822" spans="1:1" x14ac:dyDescent="0.15">
      <c r="A822" s="661"/>
    </row>
    <row r="823" spans="1:1" x14ac:dyDescent="0.15">
      <c r="A823" s="661"/>
    </row>
    <row r="824" spans="1:1" x14ac:dyDescent="0.15">
      <c r="A824" s="661"/>
    </row>
    <row r="825" spans="1:1" x14ac:dyDescent="0.15">
      <c r="A825" s="661"/>
    </row>
    <row r="826" spans="1:1" x14ac:dyDescent="0.15">
      <c r="A826" s="661"/>
    </row>
    <row r="827" spans="1:1" x14ac:dyDescent="0.15">
      <c r="A827" s="661"/>
    </row>
    <row r="828" spans="1:1" x14ac:dyDescent="0.15">
      <c r="A828" s="661"/>
    </row>
    <row r="829" spans="1:1" x14ac:dyDescent="0.15">
      <c r="A829" s="661"/>
    </row>
    <row r="830" spans="1:1" x14ac:dyDescent="0.15">
      <c r="A830" s="661"/>
    </row>
    <row r="831" spans="1:1" x14ac:dyDescent="0.15">
      <c r="A831" s="661"/>
    </row>
    <row r="832" spans="1:1" x14ac:dyDescent="0.15">
      <c r="A832" s="661"/>
    </row>
    <row r="833" spans="1:1" x14ac:dyDescent="0.15">
      <c r="A833" s="661"/>
    </row>
    <row r="834" spans="1:1" x14ac:dyDescent="0.15">
      <c r="A834" s="661"/>
    </row>
    <row r="835" spans="1:1" x14ac:dyDescent="0.15">
      <c r="A835" s="661"/>
    </row>
    <row r="836" spans="1:1" x14ac:dyDescent="0.15">
      <c r="A836" s="661"/>
    </row>
    <row r="837" spans="1:1" x14ac:dyDescent="0.15">
      <c r="A837" s="661"/>
    </row>
    <row r="838" spans="1:1" x14ac:dyDescent="0.15">
      <c r="A838" s="661"/>
    </row>
    <row r="839" spans="1:1" x14ac:dyDescent="0.15">
      <c r="A839" s="661"/>
    </row>
    <row r="840" spans="1:1" x14ac:dyDescent="0.15">
      <c r="A840" s="661"/>
    </row>
    <row r="841" spans="1:1" x14ac:dyDescent="0.15">
      <c r="A841" s="661"/>
    </row>
    <row r="842" spans="1:1" x14ac:dyDescent="0.15">
      <c r="A842" s="661"/>
    </row>
    <row r="843" spans="1:1" x14ac:dyDescent="0.15">
      <c r="A843" s="661"/>
    </row>
    <row r="844" spans="1:1" x14ac:dyDescent="0.15">
      <c r="A844" s="661"/>
    </row>
    <row r="845" spans="1:1" x14ac:dyDescent="0.15">
      <c r="A845" s="661"/>
    </row>
    <row r="846" spans="1:1" x14ac:dyDescent="0.15">
      <c r="A846" s="661"/>
    </row>
    <row r="847" spans="1:1" x14ac:dyDescent="0.15">
      <c r="A847" s="661"/>
    </row>
    <row r="848" spans="1:1" x14ac:dyDescent="0.15">
      <c r="A848" s="661"/>
    </row>
    <row r="849" spans="1:1" x14ac:dyDescent="0.15">
      <c r="A849" s="661"/>
    </row>
    <row r="850" spans="1:1" x14ac:dyDescent="0.15">
      <c r="A850" s="661"/>
    </row>
    <row r="851" spans="1:1" x14ac:dyDescent="0.15">
      <c r="A851" s="661"/>
    </row>
    <row r="852" spans="1:1" x14ac:dyDescent="0.15">
      <c r="A852" s="661"/>
    </row>
    <row r="853" spans="1:1" x14ac:dyDescent="0.15">
      <c r="A853" s="661"/>
    </row>
    <row r="854" spans="1:1" x14ac:dyDescent="0.15">
      <c r="A854" s="661"/>
    </row>
    <row r="855" spans="1:1" x14ac:dyDescent="0.15">
      <c r="A855" s="661"/>
    </row>
    <row r="856" spans="1:1" x14ac:dyDescent="0.15">
      <c r="A856" s="661"/>
    </row>
    <row r="857" spans="1:1" x14ac:dyDescent="0.15">
      <c r="A857" s="661"/>
    </row>
    <row r="858" spans="1:1" x14ac:dyDescent="0.15">
      <c r="A858" s="661"/>
    </row>
    <row r="859" spans="1:1" x14ac:dyDescent="0.15">
      <c r="A859" s="661"/>
    </row>
    <row r="860" spans="1:1" x14ac:dyDescent="0.15">
      <c r="A860" s="661"/>
    </row>
    <row r="861" spans="1:1" x14ac:dyDescent="0.15">
      <c r="A861" s="661"/>
    </row>
    <row r="862" spans="1:1" x14ac:dyDescent="0.15">
      <c r="A862" s="661"/>
    </row>
    <row r="863" spans="1:1" x14ac:dyDescent="0.15">
      <c r="A863" s="661"/>
    </row>
    <row r="864" spans="1:1" x14ac:dyDescent="0.15">
      <c r="A864" s="661"/>
    </row>
    <row r="865" spans="1:1" x14ac:dyDescent="0.15">
      <c r="A865" s="661"/>
    </row>
    <row r="866" spans="1:1" x14ac:dyDescent="0.15">
      <c r="A866" s="661"/>
    </row>
    <row r="867" spans="1:1" x14ac:dyDescent="0.15">
      <c r="A867" s="661"/>
    </row>
    <row r="868" spans="1:1" x14ac:dyDescent="0.15">
      <c r="A868" s="661"/>
    </row>
    <row r="869" spans="1:1" x14ac:dyDescent="0.15">
      <c r="A869" s="661"/>
    </row>
    <row r="870" spans="1:1" x14ac:dyDescent="0.15">
      <c r="A870" s="661"/>
    </row>
    <row r="871" spans="1:1" x14ac:dyDescent="0.15">
      <c r="A871" s="661"/>
    </row>
    <row r="872" spans="1:1" x14ac:dyDescent="0.15">
      <c r="A872" s="661"/>
    </row>
    <row r="873" spans="1:1" x14ac:dyDescent="0.15">
      <c r="A873" s="661"/>
    </row>
    <row r="874" spans="1:1" x14ac:dyDescent="0.15">
      <c r="A874" s="661"/>
    </row>
    <row r="875" spans="1:1" x14ac:dyDescent="0.15">
      <c r="A875" s="661"/>
    </row>
    <row r="876" spans="1:1" x14ac:dyDescent="0.15">
      <c r="A876" s="661"/>
    </row>
    <row r="877" spans="1:1" x14ac:dyDescent="0.15">
      <c r="A877" s="661"/>
    </row>
    <row r="878" spans="1:1" x14ac:dyDescent="0.15">
      <c r="A878" s="661"/>
    </row>
    <row r="879" spans="1:1" x14ac:dyDescent="0.15">
      <c r="A879" s="661"/>
    </row>
    <row r="880" spans="1:1" x14ac:dyDescent="0.15">
      <c r="A880" s="661"/>
    </row>
    <row r="881" spans="1:1" x14ac:dyDescent="0.15">
      <c r="A881" s="661"/>
    </row>
    <row r="882" spans="1:1" x14ac:dyDescent="0.15">
      <c r="A882" s="661"/>
    </row>
    <row r="883" spans="1:1" x14ac:dyDescent="0.15">
      <c r="A883" s="661"/>
    </row>
    <row r="884" spans="1:1" x14ac:dyDescent="0.15">
      <c r="A884" s="661"/>
    </row>
    <row r="885" spans="1:1" x14ac:dyDescent="0.15">
      <c r="A885" s="661"/>
    </row>
    <row r="886" spans="1:1" x14ac:dyDescent="0.15">
      <c r="A886" s="661"/>
    </row>
    <row r="887" spans="1:1" x14ac:dyDescent="0.15">
      <c r="A887" s="661"/>
    </row>
    <row r="888" spans="1:1" x14ac:dyDescent="0.15">
      <c r="A888" s="661"/>
    </row>
    <row r="889" spans="1:1" x14ac:dyDescent="0.15">
      <c r="A889" s="661"/>
    </row>
    <row r="890" spans="1:1" x14ac:dyDescent="0.15">
      <c r="A890" s="661"/>
    </row>
    <row r="891" spans="1:1" x14ac:dyDescent="0.15">
      <c r="A891" s="661"/>
    </row>
    <row r="892" spans="1:1" x14ac:dyDescent="0.15">
      <c r="A892" s="661"/>
    </row>
    <row r="893" spans="1:1" x14ac:dyDescent="0.15">
      <c r="A893" s="661"/>
    </row>
    <row r="894" spans="1:1" x14ac:dyDescent="0.15">
      <c r="A894" s="661"/>
    </row>
    <row r="895" spans="1:1" x14ac:dyDescent="0.15">
      <c r="A895" s="661"/>
    </row>
    <row r="896" spans="1:1" x14ac:dyDescent="0.15">
      <c r="A896" s="661"/>
    </row>
    <row r="897" spans="1:1" x14ac:dyDescent="0.15">
      <c r="A897" s="661"/>
    </row>
    <row r="898" spans="1:1" x14ac:dyDescent="0.15">
      <c r="A898" s="661"/>
    </row>
    <row r="899" spans="1:1" x14ac:dyDescent="0.15">
      <c r="A899" s="661"/>
    </row>
    <row r="900" spans="1:1" x14ac:dyDescent="0.15">
      <c r="A900" s="661"/>
    </row>
    <row r="901" spans="1:1" x14ac:dyDescent="0.15">
      <c r="A901" s="661"/>
    </row>
    <row r="902" spans="1:1" x14ac:dyDescent="0.15">
      <c r="A902" s="661"/>
    </row>
    <row r="903" spans="1:1" x14ac:dyDescent="0.15">
      <c r="A903" s="661"/>
    </row>
    <row r="904" spans="1:1" x14ac:dyDescent="0.15">
      <c r="A904" s="661"/>
    </row>
    <row r="905" spans="1:1" x14ac:dyDescent="0.15">
      <c r="A905" s="661"/>
    </row>
    <row r="906" spans="1:1" x14ac:dyDescent="0.15">
      <c r="A906" s="661"/>
    </row>
    <row r="907" spans="1:1" x14ac:dyDescent="0.15">
      <c r="A907" s="661"/>
    </row>
    <row r="908" spans="1:1" x14ac:dyDescent="0.15">
      <c r="A908" s="661"/>
    </row>
    <row r="909" spans="1:1" x14ac:dyDescent="0.15">
      <c r="A909" s="661"/>
    </row>
    <row r="910" spans="1:1" x14ac:dyDescent="0.15">
      <c r="A910" s="661"/>
    </row>
    <row r="911" spans="1:1" x14ac:dyDescent="0.15">
      <c r="A911" s="661"/>
    </row>
    <row r="912" spans="1:1" x14ac:dyDescent="0.15">
      <c r="A912" s="661"/>
    </row>
    <row r="913" spans="1:1" x14ac:dyDescent="0.15">
      <c r="A913" s="661"/>
    </row>
    <row r="914" spans="1:1" x14ac:dyDescent="0.15">
      <c r="A914" s="661"/>
    </row>
    <row r="915" spans="1:1" x14ac:dyDescent="0.15">
      <c r="A915" s="661"/>
    </row>
    <row r="916" spans="1:1" x14ac:dyDescent="0.15">
      <c r="A916" s="661"/>
    </row>
    <row r="917" spans="1:1" x14ac:dyDescent="0.15">
      <c r="A917" s="661"/>
    </row>
    <row r="918" spans="1:1" x14ac:dyDescent="0.15">
      <c r="A918" s="661"/>
    </row>
    <row r="919" spans="1:1" x14ac:dyDescent="0.15">
      <c r="A919" s="661"/>
    </row>
    <row r="920" spans="1:1" x14ac:dyDescent="0.15">
      <c r="A920" s="661"/>
    </row>
    <row r="921" spans="1:1" x14ac:dyDescent="0.15">
      <c r="A921" s="661"/>
    </row>
    <row r="922" spans="1:1" x14ac:dyDescent="0.15">
      <c r="A922" s="661"/>
    </row>
    <row r="923" spans="1:1" x14ac:dyDescent="0.15">
      <c r="A923" s="661"/>
    </row>
    <row r="924" spans="1:1" x14ac:dyDescent="0.15">
      <c r="A924" s="661"/>
    </row>
    <row r="925" spans="1:1" x14ac:dyDescent="0.15">
      <c r="A925" s="661"/>
    </row>
    <row r="926" spans="1:1" x14ac:dyDescent="0.15">
      <c r="A926" s="661"/>
    </row>
    <row r="927" spans="1:1" x14ac:dyDescent="0.15">
      <c r="A927" s="661"/>
    </row>
    <row r="928" spans="1:1" x14ac:dyDescent="0.15">
      <c r="A928" s="661"/>
    </row>
    <row r="929" spans="1:1" x14ac:dyDescent="0.15">
      <c r="A929" s="661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55"/>
  <sheetViews>
    <sheetView topLeftCell="A36" workbookViewId="0">
      <selection activeCell="G61" sqref="G61"/>
    </sheetView>
  </sheetViews>
  <sheetFormatPr defaultColWidth="8.75" defaultRowHeight="15" x14ac:dyDescent="0.25"/>
  <cols>
    <col min="1" max="1" width="16.375" style="1171" bestFit="1" customWidth="1"/>
    <col min="2" max="2" width="14.75" style="1171" customWidth="1"/>
    <col min="3" max="3" width="19.75" style="1171" customWidth="1"/>
    <col min="4" max="4" width="21" style="1171" customWidth="1"/>
    <col min="5" max="5" width="26.125" style="1171" bestFit="1" customWidth="1"/>
    <col min="6" max="6" width="28.125" style="1171" bestFit="1" customWidth="1"/>
    <col min="7" max="7" width="14.125" style="1171" bestFit="1" customWidth="1"/>
    <col min="8" max="8" width="10.5" style="1171" bestFit="1" customWidth="1"/>
    <col min="9" max="9" width="12.125" style="1171" bestFit="1" customWidth="1"/>
    <col min="10" max="10" width="14.75" style="1171" customWidth="1"/>
    <col min="11" max="11" width="12" style="1171" bestFit="1" customWidth="1"/>
    <col min="12" max="12" width="17.75" style="1171" customWidth="1"/>
    <col min="13" max="13" width="14.75" style="1171" bestFit="1" customWidth="1"/>
    <col min="14" max="14" width="9.75" style="1171" bestFit="1" customWidth="1"/>
    <col min="15" max="15" width="9" style="1171" bestFit="1" customWidth="1"/>
    <col min="16" max="16" width="9.75" style="1171" bestFit="1" customWidth="1"/>
    <col min="17" max="16384" width="8.75" style="1171"/>
  </cols>
  <sheetData>
    <row r="1" spans="1:10" x14ac:dyDescent="0.25">
      <c r="A1" s="1170" t="s">
        <v>420</v>
      </c>
      <c r="D1" s="1171" t="s">
        <v>739</v>
      </c>
      <c r="G1" s="1386" t="s">
        <v>740</v>
      </c>
      <c r="H1" s="1386"/>
      <c r="I1" s="1386"/>
      <c r="J1" s="1386"/>
    </row>
    <row r="2" spans="1:10" x14ac:dyDescent="0.25">
      <c r="A2" s="1170" t="s">
        <v>66</v>
      </c>
      <c r="G2" s="1172"/>
      <c r="H2" s="1173" t="s">
        <v>67</v>
      </c>
      <c r="I2" s="1173" t="s">
        <v>741</v>
      </c>
      <c r="J2" s="1173" t="s">
        <v>742</v>
      </c>
    </row>
    <row r="3" spans="1:10" x14ac:dyDescent="0.25">
      <c r="A3" s="1170" t="s">
        <v>743</v>
      </c>
      <c r="G3" s="1174" t="s">
        <v>744</v>
      </c>
      <c r="H3" s="1175"/>
      <c r="I3" s="1176"/>
      <c r="J3" s="1176"/>
    </row>
    <row r="4" spans="1:10" x14ac:dyDescent="0.25">
      <c r="A4" s="1170"/>
      <c r="G4" s="1174" t="s">
        <v>745</v>
      </c>
      <c r="H4" s="1176"/>
      <c r="I4" s="1176"/>
      <c r="J4" s="1177"/>
    </row>
    <row r="5" spans="1:10" x14ac:dyDescent="0.25">
      <c r="A5" s="1170"/>
      <c r="G5" s="1178"/>
    </row>
    <row r="6" spans="1:10" x14ac:dyDescent="0.25">
      <c r="A6" s="1170"/>
      <c r="D6" s="1179"/>
      <c r="E6" s="1180"/>
      <c r="F6" s="1180"/>
      <c r="G6" s="1178"/>
    </row>
    <row r="7" spans="1:10" x14ac:dyDescent="0.25">
      <c r="A7" s="1170"/>
      <c r="B7" s="1171" t="s">
        <v>465</v>
      </c>
      <c r="C7" s="1181">
        <v>44281</v>
      </c>
      <c r="D7" s="1182"/>
      <c r="E7" s="1173" t="s">
        <v>66</v>
      </c>
      <c r="F7" s="1183" t="s">
        <v>746</v>
      </c>
      <c r="G7" s="1178"/>
    </row>
    <row r="8" spans="1:10" x14ac:dyDescent="0.25">
      <c r="A8" s="1170"/>
      <c r="B8" s="1171" t="s">
        <v>66</v>
      </c>
      <c r="C8" s="1184" t="s">
        <v>667</v>
      </c>
      <c r="D8" s="1182"/>
      <c r="E8" s="1172" t="s">
        <v>412</v>
      </c>
      <c r="F8" s="1185">
        <v>1000000001</v>
      </c>
      <c r="G8" s="1178"/>
    </row>
    <row r="9" spans="1:10" x14ac:dyDescent="0.25">
      <c r="A9" s="1170"/>
      <c r="B9" s="1171" t="s">
        <v>414</v>
      </c>
      <c r="C9" s="1186">
        <v>5000000000</v>
      </c>
      <c r="D9" s="1182"/>
      <c r="E9" s="1172"/>
      <c r="F9" s="1185"/>
      <c r="G9" s="1178"/>
    </row>
    <row r="10" spans="1:10" x14ac:dyDescent="0.25">
      <c r="A10" s="1170"/>
      <c r="B10" s="1171" t="s">
        <v>747</v>
      </c>
      <c r="C10" s="1187">
        <v>44308</v>
      </c>
      <c r="E10" s="1172"/>
      <c r="F10" s="1185"/>
      <c r="G10" s="1178"/>
    </row>
    <row r="11" spans="1:10" x14ac:dyDescent="0.25">
      <c r="A11" s="1170"/>
      <c r="B11" s="1171" t="s">
        <v>23</v>
      </c>
      <c r="C11" s="1188">
        <v>7.9500000000000001E-2</v>
      </c>
      <c r="E11" s="1189" t="s">
        <v>402</v>
      </c>
      <c r="F11" s="1190">
        <f>SUM(F8:F10)</f>
        <v>1000000001</v>
      </c>
      <c r="G11" s="1178"/>
    </row>
    <row r="12" spans="1:10" x14ac:dyDescent="0.25">
      <c r="A12" s="1170"/>
      <c r="B12" s="1171" t="s">
        <v>748</v>
      </c>
      <c r="C12" s="1191" t="s">
        <v>749</v>
      </c>
      <c r="G12" s="1178"/>
    </row>
    <row r="13" spans="1:10" x14ac:dyDescent="0.25">
      <c r="A13" s="1170"/>
      <c r="B13" s="1171" t="s">
        <v>750</v>
      </c>
      <c r="C13" s="1192"/>
      <c r="G13" s="1178"/>
    </row>
    <row r="14" spans="1:10" x14ac:dyDescent="0.25">
      <c r="A14" s="1170"/>
      <c r="B14" s="1171" t="s">
        <v>751</v>
      </c>
      <c r="C14" s="1191" t="s">
        <v>752</v>
      </c>
      <c r="G14" s="1178"/>
    </row>
    <row r="15" spans="1:10" x14ac:dyDescent="0.25">
      <c r="A15" s="1170"/>
      <c r="B15" s="1171" t="s">
        <v>753</v>
      </c>
      <c r="C15" s="1193"/>
      <c r="G15" s="1178"/>
    </row>
    <row r="16" spans="1:10" x14ac:dyDescent="0.25">
      <c r="A16" s="1170"/>
      <c r="G16" s="1178"/>
    </row>
    <row r="17" spans="1:9" x14ac:dyDescent="0.25">
      <c r="A17" s="1170"/>
      <c r="B17" s="1170" t="s">
        <v>754</v>
      </c>
      <c r="G17" s="1178"/>
    </row>
    <row r="18" spans="1:9" x14ac:dyDescent="0.25">
      <c r="A18" s="1170"/>
      <c r="B18" s="1170"/>
      <c r="C18" s="1194" t="s">
        <v>755</v>
      </c>
      <c r="D18" s="1194" t="s">
        <v>756</v>
      </c>
      <c r="E18" s="1194" t="s">
        <v>757</v>
      </c>
      <c r="G18" s="1178"/>
    </row>
    <row r="19" spans="1:9" x14ac:dyDescent="0.25">
      <c r="A19" s="1195">
        <v>3995</v>
      </c>
      <c r="B19" s="1171" t="s">
        <v>409</v>
      </c>
      <c r="C19" s="1196">
        <v>23493883.561643839</v>
      </c>
      <c r="D19" s="1197">
        <f t="shared" ref="D19:D24" si="0">-($C$33/5000*A19)</f>
        <v>870143.99335615861</v>
      </c>
      <c r="E19" s="1196">
        <f t="shared" ref="E19:E24" si="1">+C19+D19</f>
        <v>24364027.554999996</v>
      </c>
      <c r="G19" s="1178"/>
    </row>
    <row r="20" spans="1:9" x14ac:dyDescent="0.25">
      <c r="A20" s="1195">
        <v>100</v>
      </c>
      <c r="B20" s="1171" t="s">
        <v>353</v>
      </c>
      <c r="C20" s="1196">
        <v>588082.19178082189</v>
      </c>
      <c r="D20" s="1197">
        <f t="shared" si="0"/>
        <v>21780.825866236763</v>
      </c>
      <c r="E20" s="1196">
        <f t="shared" si="1"/>
        <v>609863.0176470587</v>
      </c>
      <c r="G20" s="1178"/>
    </row>
    <row r="21" spans="1:9" x14ac:dyDescent="0.25">
      <c r="A21" s="1195">
        <v>400</v>
      </c>
      <c r="B21" s="1171" t="s">
        <v>699</v>
      </c>
      <c r="C21" s="1196">
        <v>2352328.7671232875</v>
      </c>
      <c r="D21" s="1197">
        <f t="shared" si="0"/>
        <v>87123.30346494705</v>
      </c>
      <c r="E21" s="1196">
        <f t="shared" si="1"/>
        <v>2439452.0705882348</v>
      </c>
      <c r="G21" s="1178"/>
    </row>
    <row r="22" spans="1:9" x14ac:dyDescent="0.25">
      <c r="A22" s="1195">
        <v>205</v>
      </c>
      <c r="B22" s="1171" t="s">
        <v>752</v>
      </c>
      <c r="C22" s="1196">
        <v>1205568.4931506847</v>
      </c>
      <c r="D22" s="1197">
        <f t="shared" si="0"/>
        <v>44650.69302578536</v>
      </c>
      <c r="E22" s="1196">
        <f t="shared" si="1"/>
        <v>1250219.18617647</v>
      </c>
      <c r="G22" s="1178"/>
    </row>
    <row r="23" spans="1:9" x14ac:dyDescent="0.25">
      <c r="A23" s="1195">
        <v>150</v>
      </c>
      <c r="B23" s="1171" t="s">
        <v>758</v>
      </c>
      <c r="C23" s="1196">
        <v>882123.28767123283</v>
      </c>
      <c r="D23" s="1197">
        <f t="shared" si="0"/>
        <v>32671.238799355142</v>
      </c>
      <c r="E23" s="1196">
        <f t="shared" si="1"/>
        <v>914794.52647058794</v>
      </c>
      <c r="G23" s="1178"/>
    </row>
    <row r="24" spans="1:9" x14ac:dyDescent="0.25">
      <c r="A24" s="1195">
        <v>150</v>
      </c>
      <c r="B24" s="1171" t="s">
        <v>759</v>
      </c>
      <c r="C24" s="1196">
        <v>882123.28767123283</v>
      </c>
      <c r="D24" s="1197">
        <f t="shared" si="0"/>
        <v>32671.238799355142</v>
      </c>
      <c r="E24" s="1196">
        <f t="shared" si="1"/>
        <v>914794.52647058794</v>
      </c>
      <c r="G24" s="1178"/>
    </row>
    <row r="25" spans="1:9" x14ac:dyDescent="0.25">
      <c r="A25" s="1170"/>
      <c r="E25" s="1178"/>
      <c r="G25" s="1178"/>
      <c r="H25" s="1178"/>
    </row>
    <row r="26" spans="1:9" x14ac:dyDescent="0.25">
      <c r="A26" s="1170"/>
      <c r="B26" s="1170" t="s">
        <v>402</v>
      </c>
      <c r="C26" s="1198">
        <f>SUM(C19:C25)</f>
        <v>29404109.589041103</v>
      </c>
      <c r="D26" s="1195"/>
      <c r="E26" s="1198">
        <f>SUM(E19:E25)</f>
        <v>30493150.882352933</v>
      </c>
      <c r="F26" s="1199"/>
      <c r="G26" s="1178"/>
    </row>
    <row r="27" spans="1:9" x14ac:dyDescent="0.25">
      <c r="A27" s="1170"/>
      <c r="D27" s="1200"/>
      <c r="E27" s="1178"/>
      <c r="G27" s="1178"/>
    </row>
    <row r="28" spans="1:9" x14ac:dyDescent="0.25">
      <c r="A28" s="1170"/>
      <c r="B28" s="1170" t="s">
        <v>760</v>
      </c>
      <c r="G28" s="1178"/>
    </row>
    <row r="29" spans="1:9" x14ac:dyDescent="0.25">
      <c r="A29" s="1170"/>
      <c r="B29" s="1170"/>
      <c r="G29" s="1181"/>
      <c r="H29" s="1181"/>
      <c r="I29" s="1181"/>
    </row>
    <row r="30" spans="1:9" x14ac:dyDescent="0.25">
      <c r="A30" s="1170"/>
      <c r="B30" s="1170" t="s">
        <v>761</v>
      </c>
      <c r="C30" s="1196">
        <f>25919178.25/0.85</f>
        <v>30493150.882352941</v>
      </c>
      <c r="D30" s="1171" t="s">
        <v>762</v>
      </c>
      <c r="G30" s="1178"/>
    </row>
    <row r="31" spans="1:9" x14ac:dyDescent="0.25">
      <c r="A31" s="1170"/>
      <c r="B31" s="1170" t="s">
        <v>303</v>
      </c>
      <c r="C31" s="1196">
        <f>+C30*0.15</f>
        <v>4573972.6323529407</v>
      </c>
      <c r="D31" s="1178"/>
      <c r="F31" s="1178"/>
      <c r="G31" s="1178"/>
    </row>
    <row r="32" spans="1:9" x14ac:dyDescent="0.25">
      <c r="A32" s="1170"/>
      <c r="B32" s="1170" t="s">
        <v>419</v>
      </c>
      <c r="C32" s="1196">
        <f>+C30-C31</f>
        <v>25919178.25</v>
      </c>
      <c r="E32" s="1178"/>
      <c r="G32" s="1178"/>
      <c r="I32" s="1178"/>
    </row>
    <row r="33" spans="1:12" x14ac:dyDescent="0.25">
      <c r="A33" s="1170"/>
      <c r="B33" s="1170" t="s">
        <v>25</v>
      </c>
      <c r="C33" s="1201">
        <f>C26-C30</f>
        <v>-1089041.2933118381</v>
      </c>
      <c r="G33" s="1178"/>
    </row>
    <row r="34" spans="1:12" x14ac:dyDescent="0.25">
      <c r="A34" s="1170"/>
      <c r="B34" s="1170"/>
      <c r="G34" s="1178"/>
      <c r="H34" s="1178"/>
    </row>
    <row r="35" spans="1:12" x14ac:dyDescent="0.25">
      <c r="G35" s="1178"/>
      <c r="L35" s="1202"/>
    </row>
    <row r="36" spans="1:12" x14ac:dyDescent="0.25">
      <c r="B36" s="1170" t="s">
        <v>763</v>
      </c>
      <c r="G36" s="1178"/>
    </row>
    <row r="37" spans="1:12" x14ac:dyDescent="0.25">
      <c r="B37" s="1203" t="s">
        <v>31</v>
      </c>
      <c r="C37" s="1203" t="s">
        <v>32</v>
      </c>
      <c r="D37" s="1203" t="s">
        <v>414</v>
      </c>
      <c r="E37" s="1203" t="s">
        <v>355</v>
      </c>
    </row>
    <row r="38" spans="1:12" x14ac:dyDescent="0.25">
      <c r="B38" s="1204" t="s">
        <v>415</v>
      </c>
      <c r="C38" s="1204" t="str">
        <f t="shared" ref="C38:C43" si="2">B19</f>
        <v>Managed</v>
      </c>
      <c r="D38" s="1205">
        <f t="shared" ref="D38:D43" si="3">E19</f>
        <v>24364027.554999996</v>
      </c>
      <c r="E38" s="1204" t="s">
        <v>764</v>
      </c>
    </row>
    <row r="39" spans="1:12" x14ac:dyDescent="0.25">
      <c r="B39" s="1204" t="s">
        <v>415</v>
      </c>
      <c r="C39" s="1204" t="str">
        <f t="shared" si="2"/>
        <v>CGF</v>
      </c>
      <c r="D39" s="1205">
        <f t="shared" si="3"/>
        <v>609863.0176470587</v>
      </c>
      <c r="E39" s="1204" t="s">
        <v>764</v>
      </c>
    </row>
    <row r="40" spans="1:12" x14ac:dyDescent="0.25">
      <c r="B40" s="1204" t="s">
        <v>415</v>
      </c>
      <c r="C40" s="1204" t="str">
        <f t="shared" si="2"/>
        <v>YGF</v>
      </c>
      <c r="D40" s="1205">
        <f t="shared" si="3"/>
        <v>2439452.0705882348</v>
      </c>
      <c r="E40" s="1204" t="s">
        <v>764</v>
      </c>
    </row>
    <row r="41" spans="1:12" x14ac:dyDescent="0.25">
      <c r="B41" s="1204" t="s">
        <v>415</v>
      </c>
      <c r="C41" s="1204" t="str">
        <f t="shared" si="2"/>
        <v>IL</v>
      </c>
      <c r="D41" s="1205">
        <f t="shared" si="3"/>
        <v>1250219.18617647</v>
      </c>
      <c r="E41" s="1204" t="s">
        <v>764</v>
      </c>
    </row>
    <row r="42" spans="1:12" x14ac:dyDescent="0.25">
      <c r="B42" s="1204" t="s">
        <v>415</v>
      </c>
      <c r="C42" s="1204" t="str">
        <f t="shared" si="2"/>
        <v>GL</v>
      </c>
      <c r="D42" s="1205">
        <f t="shared" si="3"/>
        <v>914794.52647058794</v>
      </c>
      <c r="E42" s="1204" t="s">
        <v>764</v>
      </c>
    </row>
    <row r="43" spans="1:12" x14ac:dyDescent="0.25">
      <c r="B43" s="1204" t="s">
        <v>415</v>
      </c>
      <c r="C43" s="1204" t="str">
        <f t="shared" si="2"/>
        <v>GH</v>
      </c>
      <c r="D43" s="1205">
        <f t="shared" si="3"/>
        <v>914794.52647058794</v>
      </c>
      <c r="E43" s="1204" t="s">
        <v>764</v>
      </c>
    </row>
    <row r="44" spans="1:12" x14ac:dyDescent="0.25">
      <c r="B44" s="1204" t="s">
        <v>707</v>
      </c>
      <c r="C44" s="1204" t="str">
        <f>B38</f>
        <v>ILUL</v>
      </c>
      <c r="D44" s="1205">
        <f>+C31</f>
        <v>4573972.6323529407</v>
      </c>
      <c r="E44" s="1204" t="s">
        <v>765</v>
      </c>
    </row>
    <row r="46" spans="1:12" x14ac:dyDescent="0.25">
      <c r="B46" s="1170" t="s">
        <v>766</v>
      </c>
    </row>
    <row r="47" spans="1:12" x14ac:dyDescent="0.25">
      <c r="A47" s="1170" t="str">
        <f>+B19</f>
        <v>Managed</v>
      </c>
      <c r="E47" s="1170"/>
      <c r="F47" s="1170" t="s">
        <v>353</v>
      </c>
    </row>
    <row r="48" spans="1:12" x14ac:dyDescent="0.25">
      <c r="B48" s="1171" t="s">
        <v>767</v>
      </c>
      <c r="C48" s="1196">
        <f>E19</f>
        <v>24364027.554999996</v>
      </c>
      <c r="D48" s="1171" t="s">
        <v>500</v>
      </c>
      <c r="F48" s="1171" t="s">
        <v>767</v>
      </c>
      <c r="G48" s="1196">
        <f>E20</f>
        <v>609863.0176470587</v>
      </c>
      <c r="H48" s="1171" t="s">
        <v>500</v>
      </c>
    </row>
    <row r="49" spans="2:8" x14ac:dyDescent="0.25">
      <c r="B49" s="1171" t="s">
        <v>520</v>
      </c>
      <c r="C49" s="1196">
        <f>C19</f>
        <v>23493883.561643839</v>
      </c>
      <c r="D49" s="1171" t="s">
        <v>499</v>
      </c>
      <c r="F49" s="1171" t="s">
        <v>520</v>
      </c>
      <c r="G49" s="1196">
        <f>C20</f>
        <v>588082.19178082189</v>
      </c>
      <c r="H49" s="1171" t="s">
        <v>499</v>
      </c>
    </row>
    <row r="50" spans="2:8" x14ac:dyDescent="0.25">
      <c r="B50" s="1171" t="s">
        <v>509</v>
      </c>
      <c r="C50" s="1196">
        <f>C48-C49</f>
        <v>870143.99335615709</v>
      </c>
      <c r="D50" s="1171" t="s">
        <v>499</v>
      </c>
      <c r="F50" s="1171" t="s">
        <v>509</v>
      </c>
      <c r="G50" s="1196">
        <f>G48-G49</f>
        <v>21780.825866236817</v>
      </c>
      <c r="H50" s="1171" t="s">
        <v>499</v>
      </c>
    </row>
    <row r="52" spans="2:8" x14ac:dyDescent="0.25">
      <c r="C52" s="1200"/>
      <c r="D52" s="1170" t="s">
        <v>699</v>
      </c>
    </row>
    <row r="53" spans="2:8" x14ac:dyDescent="0.25">
      <c r="C53" s="1200"/>
      <c r="D53" s="1171" t="s">
        <v>767</v>
      </c>
      <c r="E53" s="1200">
        <f>E21</f>
        <v>2439452.0705882348</v>
      </c>
      <c r="F53" s="1171" t="s">
        <v>500</v>
      </c>
    </row>
    <row r="54" spans="2:8" x14ac:dyDescent="0.25">
      <c r="D54" s="1171" t="s">
        <v>520</v>
      </c>
      <c r="E54" s="1200">
        <f>C21</f>
        <v>2352328.7671232875</v>
      </c>
      <c r="F54" s="1171" t="s">
        <v>499</v>
      </c>
    </row>
    <row r="55" spans="2:8" x14ac:dyDescent="0.25">
      <c r="D55" s="1171" t="s">
        <v>509</v>
      </c>
      <c r="E55" s="1200">
        <f>E53-E54</f>
        <v>87123.303464947268</v>
      </c>
      <c r="F55" s="1171" t="s">
        <v>499</v>
      </c>
    </row>
  </sheetData>
  <mergeCells count="1">
    <mergeCell ref="G1:J1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11" sqref="B11"/>
    </sheetView>
  </sheetViews>
  <sheetFormatPr defaultRowHeight="11.25" x14ac:dyDescent="0.15"/>
  <cols>
    <col min="1" max="1" width="9.375" bestFit="1" customWidth="1"/>
    <col min="2" max="2" width="11.25" style="858" bestFit="1" customWidth="1"/>
  </cols>
  <sheetData>
    <row r="1" spans="1:2" s="892" customFormat="1" x14ac:dyDescent="0.15">
      <c r="A1" s="892" t="s">
        <v>771</v>
      </c>
      <c r="B1" s="1026"/>
    </row>
    <row r="3" spans="1:2" x14ac:dyDescent="0.15">
      <c r="A3" s="892" t="s">
        <v>67</v>
      </c>
      <c r="B3" s="1026" t="s">
        <v>414</v>
      </c>
    </row>
    <row r="5" spans="1:2" x14ac:dyDescent="0.15">
      <c r="A5" s="661">
        <v>44592</v>
      </c>
      <c r="B5" s="858">
        <v>227267.3361040923</v>
      </c>
    </row>
    <row r="6" spans="1:2" x14ac:dyDescent="0.15">
      <c r="A6" s="661">
        <v>44620</v>
      </c>
      <c r="B6" s="858">
        <v>174674</v>
      </c>
    </row>
    <row r="7" spans="1:2" x14ac:dyDescent="0.15">
      <c r="A7" s="661">
        <v>44651</v>
      </c>
      <c r="B7" s="858">
        <v>164776</v>
      </c>
    </row>
    <row r="8" spans="1:2" x14ac:dyDescent="0.15">
      <c r="A8" s="661">
        <v>44681</v>
      </c>
      <c r="B8" s="858">
        <v>164611</v>
      </c>
    </row>
    <row r="9" spans="1:2" x14ac:dyDescent="0.15">
      <c r="A9" s="661">
        <v>44712</v>
      </c>
      <c r="B9" s="858">
        <v>211676</v>
      </c>
    </row>
    <row r="10" spans="1:2" x14ac:dyDescent="0.15">
      <c r="A10" s="661">
        <v>44742</v>
      </c>
      <c r="B10" s="857">
        <v>229292</v>
      </c>
    </row>
    <row r="11" spans="1:2" x14ac:dyDescent="0.15">
      <c r="A11" s="661">
        <v>44773</v>
      </c>
    </row>
    <row r="12" spans="1:2" x14ac:dyDescent="0.15">
      <c r="A12" s="661">
        <v>44804</v>
      </c>
    </row>
    <row r="13" spans="1:2" x14ac:dyDescent="0.15">
      <c r="A13" s="661">
        <v>44834</v>
      </c>
    </row>
    <row r="14" spans="1:2" x14ac:dyDescent="0.15">
      <c r="A14" s="661">
        <v>44865</v>
      </c>
    </row>
    <row r="15" spans="1:2" x14ac:dyDescent="0.15">
      <c r="A15" s="661">
        <v>44895</v>
      </c>
    </row>
    <row r="16" spans="1:2" x14ac:dyDescent="0.15">
      <c r="A16" s="661">
        <v>44926</v>
      </c>
    </row>
    <row r="18" spans="2:2" x14ac:dyDescent="0.15">
      <c r="B18" s="858">
        <f>+SUM(B5:B16)</f>
        <v>1172296.3361040922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/>
  </sheetViews>
  <sheetFormatPr defaultRowHeight="11.25" x14ac:dyDescent="0.15"/>
  <cols>
    <col min="1" max="1" width="9.375" bestFit="1" customWidth="1"/>
  </cols>
  <sheetData>
    <row r="1" spans="1:2" x14ac:dyDescent="0.15">
      <c r="A1" s="892" t="s">
        <v>786</v>
      </c>
    </row>
    <row r="3" spans="1:2" x14ac:dyDescent="0.15">
      <c r="A3" s="892" t="s">
        <v>67</v>
      </c>
      <c r="B3" s="1026" t="s">
        <v>414</v>
      </c>
    </row>
    <row r="4" spans="1:2" x14ac:dyDescent="0.15">
      <c r="A4" s="892"/>
      <c r="B4" s="1026"/>
    </row>
    <row r="5" spans="1:2" x14ac:dyDescent="0.15">
      <c r="A5" s="661">
        <v>44592</v>
      </c>
      <c r="B5" s="858"/>
    </row>
    <row r="6" spans="1:2" x14ac:dyDescent="0.15">
      <c r="A6" s="661">
        <v>44620</v>
      </c>
      <c r="B6" s="858"/>
    </row>
    <row r="7" spans="1:2" x14ac:dyDescent="0.15">
      <c r="A7" s="661">
        <v>44651</v>
      </c>
      <c r="B7" s="858"/>
    </row>
    <row r="8" spans="1:2" x14ac:dyDescent="0.15">
      <c r="A8" s="661">
        <v>44681</v>
      </c>
      <c r="B8" s="858"/>
    </row>
    <row r="9" spans="1:2" x14ac:dyDescent="0.15">
      <c r="A9" s="661">
        <v>44712</v>
      </c>
      <c r="B9" s="858"/>
    </row>
    <row r="10" spans="1:2" x14ac:dyDescent="0.15">
      <c r="A10" s="661">
        <v>44742</v>
      </c>
    </row>
    <row r="11" spans="1:2" x14ac:dyDescent="0.15">
      <c r="A11" s="661">
        <v>44773</v>
      </c>
    </row>
    <row r="12" spans="1:2" x14ac:dyDescent="0.15">
      <c r="A12" s="661">
        <v>44804</v>
      </c>
    </row>
    <row r="13" spans="1:2" x14ac:dyDescent="0.15">
      <c r="A13" s="661">
        <v>44834</v>
      </c>
    </row>
    <row r="14" spans="1:2" x14ac:dyDescent="0.15">
      <c r="A14" s="661">
        <v>44865</v>
      </c>
    </row>
    <row r="15" spans="1:2" x14ac:dyDescent="0.15">
      <c r="A15" s="661">
        <v>44895</v>
      </c>
    </row>
    <row r="16" spans="1:2" x14ac:dyDescent="0.15">
      <c r="A16" s="661">
        <v>44926</v>
      </c>
    </row>
    <row r="18" spans="2:2" x14ac:dyDescent="0.15">
      <c r="B18" s="1007">
        <f>SUM(B5:B17)</f>
        <v>0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49"/>
  <sheetViews>
    <sheetView topLeftCell="A13" workbookViewId="0">
      <selection activeCell="A13" sqref="A13"/>
    </sheetView>
  </sheetViews>
  <sheetFormatPr defaultColWidth="8.125" defaultRowHeight="15" x14ac:dyDescent="0.25"/>
  <cols>
    <col min="1" max="1" width="8.125" style="1054" customWidth="1"/>
    <col min="2" max="2" width="12.125" style="1054" customWidth="1"/>
    <col min="3" max="3" width="12.75" style="1054" bestFit="1" customWidth="1"/>
    <col min="4" max="4" width="12.125" style="1054" customWidth="1"/>
    <col min="5" max="5" width="28.375" style="1054" bestFit="1" customWidth="1"/>
    <col min="6" max="6" width="12.125" style="1054" customWidth="1"/>
    <col min="7" max="7" width="10.375" style="1054" bestFit="1" customWidth="1"/>
    <col min="8" max="8" width="14.375" style="1054" bestFit="1" customWidth="1"/>
    <col min="9" max="9" width="13.125" style="1054" bestFit="1" customWidth="1"/>
    <col min="10" max="12" width="8.125" style="1054"/>
    <col min="13" max="13" width="12.125" style="1054" bestFit="1" customWidth="1"/>
    <col min="14" max="14" width="10" style="1054" bestFit="1" customWidth="1"/>
    <col min="15" max="16384" width="8.125" style="1054"/>
  </cols>
  <sheetData>
    <row r="1" spans="1:14" x14ac:dyDescent="0.25">
      <c r="A1" s="1053" t="s">
        <v>420</v>
      </c>
      <c r="E1" s="1053"/>
    </row>
    <row r="2" spans="1:14" x14ac:dyDescent="0.25">
      <c r="A2" s="1053" t="s">
        <v>691</v>
      </c>
    </row>
    <row r="3" spans="1:14" x14ac:dyDescent="0.25">
      <c r="A3" s="1055">
        <v>44204</v>
      </c>
    </row>
    <row r="4" spans="1:14" x14ac:dyDescent="0.25">
      <c r="B4" s="1056" t="s">
        <v>692</v>
      </c>
    </row>
    <row r="5" spans="1:14" ht="30" x14ac:dyDescent="0.25">
      <c r="B5" s="1057" t="s">
        <v>693</v>
      </c>
      <c r="C5" s="1057" t="s">
        <v>24</v>
      </c>
      <c r="D5" s="1058" t="s">
        <v>694</v>
      </c>
      <c r="E5" s="1058" t="s">
        <v>695</v>
      </c>
      <c r="F5" s="1057" t="s">
        <v>305</v>
      </c>
      <c r="G5" s="1057" t="s">
        <v>696</v>
      </c>
      <c r="H5" s="1057" t="s">
        <v>697</v>
      </c>
    </row>
    <row r="6" spans="1:14" x14ac:dyDescent="0.25">
      <c r="C6" s="1059"/>
      <c r="D6" s="1059"/>
      <c r="E6" s="1059"/>
    </row>
    <row r="7" spans="1:14" x14ac:dyDescent="0.25">
      <c r="A7" s="1060">
        <v>32000</v>
      </c>
      <c r="B7" s="1054" t="s">
        <v>698</v>
      </c>
      <c r="C7" s="1059"/>
      <c r="D7" s="1059">
        <v>6624838.8383561643</v>
      </c>
      <c r="E7" s="1059">
        <v>32000</v>
      </c>
      <c r="F7" s="1054" t="s">
        <v>409</v>
      </c>
      <c r="G7" s="1060">
        <f>+$D$21/$A$13*A7</f>
        <v>-18100.635382666802</v>
      </c>
      <c r="H7" s="1061">
        <f>+D7+G7+E7</f>
        <v>6638738.2029734971</v>
      </c>
      <c r="I7" s="1062">
        <v>159680000</v>
      </c>
      <c r="J7" s="1063">
        <v>44020</v>
      </c>
      <c r="K7" s="1063">
        <v>44196</v>
      </c>
      <c r="L7" s="1054">
        <f>K7-J7</f>
        <v>176</v>
      </c>
      <c r="M7" s="1062">
        <f>I7/366*8.23%*$L$7</f>
        <v>6319488.6994535513</v>
      </c>
      <c r="N7" s="1062">
        <f>I7/365*8.23%*$L$8</f>
        <v>252031.91232876712</v>
      </c>
    </row>
    <row r="8" spans="1:14" x14ac:dyDescent="0.25">
      <c r="A8" s="1060">
        <v>27360</v>
      </c>
      <c r="B8" s="1054" t="s">
        <v>698</v>
      </c>
      <c r="C8" s="1059"/>
      <c r="D8" s="1059">
        <v>5664237.2067945208</v>
      </c>
      <c r="E8" s="1059">
        <v>27360</v>
      </c>
      <c r="F8" s="1054" t="s">
        <v>409</v>
      </c>
      <c r="G8" s="1060">
        <f>+$D$21/$A$13*A8</f>
        <v>-15476.043252180116</v>
      </c>
      <c r="H8" s="1061">
        <f t="shared" ref="H8:H10" si="0">+D8+G8+E8</f>
        <v>5676121.1635423405</v>
      </c>
      <c r="I8" s="1062">
        <v>136526400</v>
      </c>
      <c r="J8" s="1063">
        <v>44197</v>
      </c>
      <c r="K8" s="1063">
        <v>44204</v>
      </c>
      <c r="L8" s="1054">
        <f>K8-J8</f>
        <v>7</v>
      </c>
      <c r="M8" s="1062">
        <f>I8/366*8.23%*$L$7</f>
        <v>5403162.8380327867</v>
      </c>
      <c r="N8" s="1062">
        <f>I8/365*8.23%*$L$8</f>
        <v>215487.28504109586</v>
      </c>
    </row>
    <row r="9" spans="1:14" x14ac:dyDescent="0.25">
      <c r="A9" s="1060">
        <v>20000</v>
      </c>
      <c r="B9" s="1054" t="s">
        <v>698</v>
      </c>
      <c r="C9" s="1059"/>
      <c r="D9" s="1059">
        <v>4140524.2739726026</v>
      </c>
      <c r="E9" s="1059">
        <v>20000</v>
      </c>
      <c r="F9" s="1054" t="s">
        <v>353</v>
      </c>
      <c r="G9" s="1060">
        <f>+$D$21/$A$13*A9</f>
        <v>-11312.897114166752</v>
      </c>
      <c r="H9" s="1061">
        <f t="shared" si="0"/>
        <v>4149211.376858436</v>
      </c>
      <c r="I9" s="1062">
        <v>99800000</v>
      </c>
      <c r="L9" s="1054">
        <f>SUM(L7:L8)</f>
        <v>183</v>
      </c>
      <c r="M9" s="1062">
        <f>I9/366*8.23%*$L$7</f>
        <v>3949680.43715847</v>
      </c>
      <c r="N9" s="1062">
        <f>I9/365*8.23%*$L$8</f>
        <v>157519.94520547945</v>
      </c>
    </row>
    <row r="10" spans="1:14" x14ac:dyDescent="0.25">
      <c r="A10" s="1060">
        <v>8000</v>
      </c>
      <c r="B10" s="1054" t="s">
        <v>698</v>
      </c>
      <c r="C10" s="1059"/>
      <c r="D10" s="1059">
        <v>1656209.7095890411</v>
      </c>
      <c r="E10" s="1059">
        <v>8000</v>
      </c>
      <c r="F10" s="1054" t="s">
        <v>699</v>
      </c>
      <c r="G10" s="1060">
        <f>+$D$21/$A$13*A10</f>
        <v>-4525.1588456667005</v>
      </c>
      <c r="H10" s="1061">
        <f t="shared" si="0"/>
        <v>1659684.5507433743</v>
      </c>
      <c r="I10" s="1062">
        <v>39920000</v>
      </c>
      <c r="M10" s="1062">
        <f>I10/366*8.23%*$L$7</f>
        <v>1579872.1748633878</v>
      </c>
      <c r="N10" s="1062">
        <f>I10/365*8.23%*$L$8</f>
        <v>63007.978082191781</v>
      </c>
    </row>
    <row r="11" spans="1:14" x14ac:dyDescent="0.25">
      <c r="A11" s="1060"/>
      <c r="C11" s="1059"/>
      <c r="D11" s="1059"/>
      <c r="E11" s="1059"/>
    </row>
    <row r="12" spans="1:14" x14ac:dyDescent="0.25">
      <c r="A12" s="1060"/>
      <c r="M12" s="1064">
        <f>SUM(M7:N10)</f>
        <v>17940251.27016573</v>
      </c>
    </row>
    <row r="13" spans="1:14" ht="15.75" thickBot="1" x14ac:dyDescent="0.3">
      <c r="A13" s="1060">
        <f>SUM(A7:A12)</f>
        <v>87360</v>
      </c>
      <c r="B13" s="1053" t="s">
        <v>402</v>
      </c>
      <c r="D13" s="1065">
        <f>SUM(D6:D12)</f>
        <v>18085810.028712329</v>
      </c>
      <c r="E13" s="1065">
        <f>SUM(E6:E12)</f>
        <v>87360</v>
      </c>
      <c r="G13" s="1065">
        <f>SUM(G6:G12)</f>
        <v>-49414.734594680369</v>
      </c>
      <c r="H13" s="1065">
        <f>SUM(H6:H12)</f>
        <v>18123755.294117648</v>
      </c>
      <c r="M13" s="1066">
        <f>M12*0.15</f>
        <v>2691037.6905248594</v>
      </c>
    </row>
    <row r="14" spans="1:14" ht="15.75" thickTop="1" x14ac:dyDescent="0.25">
      <c r="H14" s="1061">
        <f>+H13-D17-D18</f>
        <v>0</v>
      </c>
      <c r="M14" s="1066">
        <f>M12-M13</f>
        <v>15249213.579640871</v>
      </c>
    </row>
    <row r="15" spans="1:14" x14ac:dyDescent="0.25">
      <c r="D15" s="1061"/>
    </row>
    <row r="16" spans="1:14" x14ac:dyDescent="0.25">
      <c r="B16" s="1056" t="s">
        <v>700</v>
      </c>
      <c r="D16" s="1061"/>
    </row>
    <row r="17" spans="2:7" x14ac:dyDescent="0.25">
      <c r="B17" s="1054" t="s">
        <v>701</v>
      </c>
      <c r="D17" s="1059">
        <f>+(15418296-87360)/0.85</f>
        <v>18036395.294117648</v>
      </c>
      <c r="E17" s="1059"/>
      <c r="F17" s="1067"/>
      <c r="G17" s="1068"/>
    </row>
    <row r="18" spans="2:7" x14ac:dyDescent="0.25">
      <c r="B18" s="1054" t="s">
        <v>702</v>
      </c>
      <c r="D18" s="1059">
        <v>87360</v>
      </c>
      <c r="E18" s="1059"/>
      <c r="F18" s="1061"/>
      <c r="G18" s="1061"/>
    </row>
    <row r="19" spans="2:7" x14ac:dyDescent="0.25">
      <c r="B19" s="1054" t="s">
        <v>703</v>
      </c>
      <c r="D19" s="1059">
        <f>-D17*0.15</f>
        <v>-2705459.2941176472</v>
      </c>
      <c r="E19" s="1059"/>
      <c r="F19" s="1061"/>
    </row>
    <row r="20" spans="2:7" ht="15.75" thickBot="1" x14ac:dyDescent="0.3">
      <c r="B20" s="1054" t="s">
        <v>704</v>
      </c>
      <c r="D20" s="1065">
        <f>SUM(D17:D19)</f>
        <v>15418296</v>
      </c>
      <c r="E20" s="1059"/>
      <c r="F20" s="1061"/>
    </row>
    <row r="21" spans="2:7" ht="15.75" thickTop="1" x14ac:dyDescent="0.25">
      <c r="B21" s="1054" t="s">
        <v>25</v>
      </c>
      <c r="D21" s="1061">
        <f>+D18+D17-D13-E13</f>
        <v>-49414.734594680369</v>
      </c>
      <c r="E21" s="1061"/>
    </row>
    <row r="23" spans="2:7" x14ac:dyDescent="0.25">
      <c r="D23" s="1061"/>
    </row>
    <row r="25" spans="2:7" ht="15.75" thickBot="1" x14ac:dyDescent="0.3">
      <c r="B25" s="1056" t="s">
        <v>705</v>
      </c>
    </row>
    <row r="26" spans="2:7" x14ac:dyDescent="0.25">
      <c r="B26" s="1069" t="s">
        <v>31</v>
      </c>
      <c r="C26" s="1070" t="s">
        <v>32</v>
      </c>
      <c r="D26" s="1070" t="s">
        <v>414</v>
      </c>
      <c r="E26" s="1071" t="s">
        <v>355</v>
      </c>
    </row>
    <row r="27" spans="2:7" x14ac:dyDescent="0.25">
      <c r="B27" s="1072" t="s">
        <v>415</v>
      </c>
      <c r="C27" s="1073" t="s">
        <v>409</v>
      </c>
      <c r="D27" s="1074">
        <f>+H7+H8</f>
        <v>12314859.366515838</v>
      </c>
      <c r="E27" s="1075" t="s">
        <v>706</v>
      </c>
    </row>
    <row r="28" spans="2:7" x14ac:dyDescent="0.25">
      <c r="B28" s="1072" t="s">
        <v>415</v>
      </c>
      <c r="C28" s="1073" t="s">
        <v>353</v>
      </c>
      <c r="D28" s="1074">
        <f>+H9</f>
        <v>4149211.376858436</v>
      </c>
      <c r="E28" s="1075" t="s">
        <v>706</v>
      </c>
    </row>
    <row r="29" spans="2:7" x14ac:dyDescent="0.25">
      <c r="B29" s="1072" t="s">
        <v>415</v>
      </c>
      <c r="C29" s="1073" t="s">
        <v>699</v>
      </c>
      <c r="D29" s="1074">
        <f>+H10</f>
        <v>1659684.5507433743</v>
      </c>
      <c r="E29" s="1075" t="s">
        <v>706</v>
      </c>
    </row>
    <row r="30" spans="2:7" ht="15.75" thickBot="1" x14ac:dyDescent="0.3">
      <c r="B30" s="1076" t="s">
        <v>707</v>
      </c>
      <c r="C30" s="1077" t="s">
        <v>415</v>
      </c>
      <c r="D30" s="1078">
        <f>-D19</f>
        <v>2705459.2941176472</v>
      </c>
      <c r="E30" s="1079" t="s">
        <v>708</v>
      </c>
    </row>
    <row r="32" spans="2:7" ht="15.75" thickBot="1" x14ac:dyDescent="0.3">
      <c r="B32" s="1056" t="s">
        <v>709</v>
      </c>
    </row>
    <row r="33" spans="3:7" ht="15.75" thickBot="1" x14ac:dyDescent="0.3">
      <c r="C33" s="1080" t="s">
        <v>409</v>
      </c>
      <c r="D33" s="1081"/>
      <c r="E33" s="1081"/>
      <c r="F33" s="1082"/>
    </row>
    <row r="34" spans="3:7" x14ac:dyDescent="0.25">
      <c r="C34" s="1083" t="s">
        <v>710</v>
      </c>
      <c r="D34" s="1084" t="s">
        <v>711</v>
      </c>
      <c r="E34" s="1085">
        <f>+H7+H8</f>
        <v>12314859.366515838</v>
      </c>
      <c r="F34" s="1084" t="s">
        <v>500</v>
      </c>
    </row>
    <row r="35" spans="3:7" x14ac:dyDescent="0.25">
      <c r="C35" s="1083" t="s">
        <v>44</v>
      </c>
      <c r="D35" s="1084" t="s">
        <v>520</v>
      </c>
      <c r="E35" s="1085">
        <f>+D7+D8</f>
        <v>12289076.045150686</v>
      </c>
      <c r="F35" s="1084" t="s">
        <v>499</v>
      </c>
      <c r="G35" s="1061"/>
    </row>
    <row r="36" spans="3:7" x14ac:dyDescent="0.25">
      <c r="C36" s="1083" t="s">
        <v>712</v>
      </c>
      <c r="D36" s="1084" t="s">
        <v>702</v>
      </c>
      <c r="E36" s="1085">
        <f>+E7+E8</f>
        <v>59360</v>
      </c>
      <c r="F36" s="1084" t="s">
        <v>499</v>
      </c>
    </row>
    <row r="37" spans="3:7" ht="15.75" thickBot="1" x14ac:dyDescent="0.3">
      <c r="C37" s="1086" t="s">
        <v>713</v>
      </c>
      <c r="D37" s="1087" t="s">
        <v>509</v>
      </c>
      <c r="E37" s="1088">
        <f>-G7-G8</f>
        <v>33576.678634846918</v>
      </c>
      <c r="F37" s="1087" t="s">
        <v>500</v>
      </c>
    </row>
    <row r="38" spans="3:7" ht="15.75" thickBot="1" x14ac:dyDescent="0.3">
      <c r="E38" s="1061"/>
    </row>
    <row r="39" spans="3:7" ht="15.75" thickBot="1" x14ac:dyDescent="0.3">
      <c r="C39" s="1080" t="s">
        <v>353</v>
      </c>
      <c r="D39" s="1089"/>
      <c r="E39" s="1081"/>
      <c r="F39" s="1082"/>
    </row>
    <row r="40" spans="3:7" x14ac:dyDescent="0.25">
      <c r="C40" s="1090" t="s">
        <v>714</v>
      </c>
      <c r="D40" s="1091" t="s">
        <v>711</v>
      </c>
      <c r="E40" s="1092">
        <f>+H9</f>
        <v>4149211.376858436</v>
      </c>
      <c r="F40" s="1093" t="s">
        <v>500</v>
      </c>
    </row>
    <row r="41" spans="3:7" x14ac:dyDescent="0.25">
      <c r="C41" s="1083" t="s">
        <v>44</v>
      </c>
      <c r="D41" s="1084" t="s">
        <v>520</v>
      </c>
      <c r="E41" s="1085">
        <f>+D9</f>
        <v>4140524.2739726026</v>
      </c>
      <c r="F41" s="1094" t="s">
        <v>499</v>
      </c>
    </row>
    <row r="42" spans="3:7" x14ac:dyDescent="0.25">
      <c r="C42" s="1083" t="s">
        <v>712</v>
      </c>
      <c r="D42" s="1084" t="s">
        <v>702</v>
      </c>
      <c r="E42" s="1085">
        <f>+E9</f>
        <v>20000</v>
      </c>
      <c r="F42" s="1094" t="s">
        <v>499</v>
      </c>
    </row>
    <row r="43" spans="3:7" ht="15.75" thickBot="1" x14ac:dyDescent="0.3">
      <c r="C43" s="1086" t="s">
        <v>713</v>
      </c>
      <c r="D43" s="1087" t="s">
        <v>509</v>
      </c>
      <c r="E43" s="1088">
        <f>-G9</f>
        <v>11312.897114166752</v>
      </c>
      <c r="F43" s="1095" t="s">
        <v>500</v>
      </c>
    </row>
    <row r="44" spans="3:7" ht="15.75" thickBot="1" x14ac:dyDescent="0.3"/>
    <row r="45" spans="3:7" ht="15.75" thickBot="1" x14ac:dyDescent="0.3">
      <c r="C45" s="1080" t="s">
        <v>699</v>
      </c>
      <c r="D45" s="1089"/>
      <c r="E45" s="1089"/>
      <c r="F45" s="1082"/>
    </row>
    <row r="46" spans="3:7" x14ac:dyDescent="0.25">
      <c r="C46" s="1096" t="s">
        <v>715</v>
      </c>
      <c r="D46" s="1091" t="s">
        <v>711</v>
      </c>
      <c r="E46" s="1092">
        <f>+H10</f>
        <v>1659684.5507433743</v>
      </c>
      <c r="F46" s="1091" t="s">
        <v>500</v>
      </c>
    </row>
    <row r="47" spans="3:7" x14ac:dyDescent="0.25">
      <c r="C47" s="1097" t="s">
        <v>44</v>
      </c>
      <c r="D47" s="1084" t="s">
        <v>520</v>
      </c>
      <c r="E47" s="1085">
        <f>+D10</f>
        <v>1656209.7095890411</v>
      </c>
      <c r="F47" s="1084" t="s">
        <v>499</v>
      </c>
    </row>
    <row r="48" spans="3:7" x14ac:dyDescent="0.25">
      <c r="C48" s="1097" t="s">
        <v>712</v>
      </c>
      <c r="D48" s="1084" t="s">
        <v>702</v>
      </c>
      <c r="E48" s="1085">
        <f>+E10</f>
        <v>8000</v>
      </c>
      <c r="F48" s="1084" t="s">
        <v>499</v>
      </c>
    </row>
    <row r="49" spans="3:6" ht="15.75" thickBot="1" x14ac:dyDescent="0.3">
      <c r="C49" s="1086" t="s">
        <v>713</v>
      </c>
      <c r="D49" s="1087" t="s">
        <v>509</v>
      </c>
      <c r="E49" s="1088">
        <f>-G10</f>
        <v>4525.1588456667005</v>
      </c>
      <c r="F49" s="1087" t="s">
        <v>500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5"/>
  <sheetViews>
    <sheetView showGridLines="0" view="pageBreakPreview" zoomScaleSheetLayoutView="100" workbookViewId="0">
      <pane xSplit="2" ySplit="5" topLeftCell="C61" activePane="bottomRight" state="frozen"/>
      <selection activeCell="J40" sqref="J40"/>
      <selection pane="topRight" activeCell="J40" sqref="J40"/>
      <selection pane="bottomLeft" activeCell="J40" sqref="J40"/>
      <selection pane="bottomRight" activeCell="K77" sqref="K77"/>
    </sheetView>
  </sheetViews>
  <sheetFormatPr defaultColWidth="9" defaultRowHeight="11.25" x14ac:dyDescent="0.2"/>
  <cols>
    <col min="1" max="1" width="14.625" style="159" customWidth="1"/>
    <col min="2" max="2" width="43.75" style="159" hidden="1" customWidth="1"/>
    <col min="3" max="3" width="12.625" style="160" customWidth="1"/>
    <col min="4" max="8" width="8.625" style="169" customWidth="1"/>
    <col min="9" max="13" width="12.625" style="160" customWidth="1"/>
    <col min="14" max="14" width="8.625" style="160" customWidth="1"/>
    <col min="15" max="16" width="8.625" style="159" customWidth="1"/>
    <col min="17" max="17" width="11.75" style="169" bestFit="1" customWidth="1"/>
    <col min="18" max="18" width="9" style="159"/>
    <col min="19" max="19" width="14" style="67" bestFit="1" customWidth="1"/>
    <col min="20" max="20" width="9" style="159"/>
    <col min="21" max="21" width="11.125" style="159" bestFit="1" customWidth="1"/>
    <col min="22" max="16384" width="9" style="159"/>
  </cols>
  <sheetData>
    <row r="1" spans="1:21" ht="15" customHeight="1" x14ac:dyDescent="0.25">
      <c r="A1" s="672" t="s">
        <v>420</v>
      </c>
      <c r="B1" s="170"/>
      <c r="C1" s="170"/>
      <c r="D1" s="171"/>
      <c r="E1" s="165"/>
      <c r="F1" s="159"/>
      <c r="G1" s="165"/>
      <c r="H1" s="165"/>
    </row>
    <row r="2" spans="1:21" ht="15" customHeight="1" thickBot="1" x14ac:dyDescent="0.3">
      <c r="A2" s="672" t="s">
        <v>421</v>
      </c>
      <c r="B2" s="170"/>
      <c r="C2" s="170"/>
      <c r="D2" s="171"/>
      <c r="E2" s="165"/>
      <c r="F2" s="167"/>
      <c r="G2" s="165">
        <v>0</v>
      </c>
      <c r="H2" s="165"/>
      <c r="K2" s="249" t="str">
        <f>"Fund size as at "&amp;TEXT(C3,"mmmm dd, yyyy")</f>
        <v>Fund size as at February 28, 2018</v>
      </c>
      <c r="L2" s="250"/>
      <c r="M2" s="251"/>
      <c r="N2" s="251"/>
      <c r="O2" s="1328">
        <f>'[8]NAV 31.12.2017'!E65</f>
        <v>14499712927.731102</v>
      </c>
      <c r="P2" s="1328"/>
    </row>
    <row r="3" spans="1:21" ht="15" customHeight="1" thickTop="1" x14ac:dyDescent="0.25">
      <c r="A3" s="673" t="s">
        <v>422</v>
      </c>
      <c r="B3" s="170"/>
      <c r="C3" s="674">
        <v>43159</v>
      </c>
      <c r="D3" s="171"/>
      <c r="E3" s="165"/>
      <c r="F3" s="167"/>
      <c r="G3" s="165"/>
      <c r="H3" s="165"/>
    </row>
    <row r="4" spans="1:21" ht="15" customHeight="1" x14ac:dyDescent="0.2"/>
    <row r="5" spans="1:21" s="18" customFormat="1" ht="45" customHeight="1" x14ac:dyDescent="0.2">
      <c r="A5" s="442" t="s">
        <v>99</v>
      </c>
      <c r="B5" s="442" t="s">
        <v>100</v>
      </c>
      <c r="C5" s="668" t="s">
        <v>423</v>
      </c>
      <c r="D5" s="668" t="s">
        <v>184</v>
      </c>
      <c r="E5" s="668" t="s">
        <v>424</v>
      </c>
      <c r="F5" s="668" t="s">
        <v>185</v>
      </c>
      <c r="G5" s="668" t="s">
        <v>186</v>
      </c>
      <c r="H5" s="668" t="s">
        <v>187</v>
      </c>
      <c r="I5" s="675" t="s">
        <v>188</v>
      </c>
      <c r="J5" s="675" t="s">
        <v>189</v>
      </c>
      <c r="K5" s="675" t="s">
        <v>217</v>
      </c>
      <c r="L5" s="675" t="s">
        <v>190</v>
      </c>
      <c r="M5" s="667" t="s">
        <v>191</v>
      </c>
      <c r="N5" s="667" t="s">
        <v>292</v>
      </c>
      <c r="O5" s="667" t="s">
        <v>293</v>
      </c>
      <c r="P5" s="667" t="s">
        <v>294</v>
      </c>
      <c r="Q5" s="279"/>
      <c r="S5" s="666" t="s">
        <v>295</v>
      </c>
      <c r="T5" s="669"/>
      <c r="U5" s="669" t="s">
        <v>296</v>
      </c>
    </row>
    <row r="6" spans="1:21" ht="12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</row>
    <row r="7" spans="1:21" s="224" customFormat="1" ht="12" customHeight="1" x14ac:dyDescent="0.2">
      <c r="A7" s="239" t="s">
        <v>101</v>
      </c>
      <c r="B7" s="168" t="s">
        <v>101</v>
      </c>
      <c r="C7" s="178"/>
      <c r="D7" s="177"/>
      <c r="E7" s="177"/>
      <c r="F7" s="177"/>
      <c r="G7" s="177"/>
      <c r="H7" s="177"/>
      <c r="I7" s="178"/>
      <c r="J7" s="178"/>
      <c r="K7" s="178"/>
      <c r="L7" s="178"/>
      <c r="M7" s="178"/>
      <c r="N7" s="226"/>
      <c r="O7" s="226"/>
      <c r="P7" s="254"/>
      <c r="Q7" s="278"/>
      <c r="S7" s="68"/>
    </row>
    <row r="8" spans="1:21" s="224" customFormat="1" ht="12" customHeight="1" x14ac:dyDescent="0.2">
      <c r="A8" s="159" t="s">
        <v>104</v>
      </c>
      <c r="B8" s="159"/>
      <c r="C8" s="173">
        <v>1288500</v>
      </c>
      <c r="D8" s="174">
        <f t="shared" ref="D8:D13" si="0">I8/C8</f>
        <v>89.661071012805593</v>
      </c>
      <c r="E8" s="174">
        <f t="shared" ref="E8:E13" si="1">+J8/C8</f>
        <v>89.661071012805593</v>
      </c>
      <c r="F8" s="188">
        <f>VLOOKUP(A8,[9]Rates!B:H,7,FALSE)</f>
        <v>92.01</v>
      </c>
      <c r="G8" s="174">
        <v>84.98</v>
      </c>
      <c r="H8" s="174">
        <f t="shared" ref="H8:H13" si="2">+F8-G8</f>
        <v>7.0300000000000011</v>
      </c>
      <c r="I8" s="175">
        <v>115528290</v>
      </c>
      <c r="J8" s="175">
        <v>115528290</v>
      </c>
      <c r="K8" s="175">
        <f t="shared" ref="K8:K13" si="3">C8*F8</f>
        <v>118554885</v>
      </c>
      <c r="L8" s="175">
        <f t="shared" ref="L8:L13" si="4">+K8-I8</f>
        <v>3026595</v>
      </c>
      <c r="M8" s="175">
        <f t="shared" ref="M8:M13" si="5">+K8-J8</f>
        <v>3026595</v>
      </c>
      <c r="N8" s="234">
        <f t="shared" ref="N8:N13" si="6">+K8/$O$2*100</f>
        <v>0.81763608418247025</v>
      </c>
      <c r="O8" s="234">
        <f t="shared" ref="O8:O13" si="7">+K8/$K$77*100</f>
        <v>0.83026021153449903</v>
      </c>
      <c r="P8" s="259" t="e">
        <f t="shared" ref="P8:P13" si="8">(C8*10)/U8*100</f>
        <v>#DIV/0!</v>
      </c>
      <c r="Q8" s="278"/>
      <c r="S8" s="318">
        <v>0</v>
      </c>
      <c r="T8" s="228">
        <v>1000000</v>
      </c>
      <c r="U8" s="228">
        <f>S8*T8</f>
        <v>0</v>
      </c>
    </row>
    <row r="9" spans="1:21" ht="12" customHeight="1" x14ac:dyDescent="0.2">
      <c r="A9" s="159" t="s">
        <v>107</v>
      </c>
      <c r="B9" s="159" t="s">
        <v>108</v>
      </c>
      <c r="C9" s="176">
        <v>14442500</v>
      </c>
      <c r="D9" s="177">
        <f t="shared" si="0"/>
        <v>42.36149506948243</v>
      </c>
      <c r="E9" s="177">
        <f t="shared" si="1"/>
        <v>42.5</v>
      </c>
      <c r="F9" s="431">
        <f>VLOOKUP(A9,[9]Rates!B:H,7,FALSE)</f>
        <v>47.33</v>
      </c>
      <c r="G9" s="177">
        <v>42.5</v>
      </c>
      <c r="H9" s="177">
        <f t="shared" si="2"/>
        <v>4.8299999999999983</v>
      </c>
      <c r="I9" s="178">
        <v>611805892.54100001</v>
      </c>
      <c r="J9" s="178">
        <v>613806250</v>
      </c>
      <c r="K9" s="178">
        <f t="shared" si="3"/>
        <v>683563525</v>
      </c>
      <c r="L9" s="178">
        <f t="shared" si="4"/>
        <v>71757632.458999991</v>
      </c>
      <c r="M9" s="178">
        <f t="shared" si="5"/>
        <v>69757275</v>
      </c>
      <c r="N9" s="226">
        <f t="shared" si="6"/>
        <v>4.7143245415063761</v>
      </c>
      <c r="O9" s="226">
        <f t="shared" si="7"/>
        <v>4.7871127104021713</v>
      </c>
      <c r="P9" s="252">
        <f t="shared" si="8"/>
        <v>0.89840460635073305</v>
      </c>
      <c r="Q9" s="160"/>
      <c r="R9" s="261"/>
      <c r="S9" s="318">
        <v>16075.718999999999</v>
      </c>
      <c r="T9" s="228">
        <v>1000000</v>
      </c>
      <c r="U9" s="228">
        <f>S9*T9</f>
        <v>16075719000</v>
      </c>
    </row>
    <row r="10" spans="1:21" ht="12" customHeight="1" x14ac:dyDescent="0.2">
      <c r="A10" s="159" t="s">
        <v>102</v>
      </c>
      <c r="B10" s="159" t="s">
        <v>103</v>
      </c>
      <c r="C10" s="176">
        <f>3817220+1700000</f>
        <v>5517220</v>
      </c>
      <c r="D10" s="177">
        <f t="shared" si="0"/>
        <v>51.563844019270576</v>
      </c>
      <c r="E10" s="177">
        <f t="shared" si="1"/>
        <v>59.351291810005762</v>
      </c>
      <c r="F10" s="177">
        <f>VLOOKUP(A10,[9]Rates!B:H,7,FALSE)</f>
        <v>68</v>
      </c>
      <c r="G10" s="177">
        <v>58.36</v>
      </c>
      <c r="H10" s="177">
        <f t="shared" si="2"/>
        <v>9.64</v>
      </c>
      <c r="I10" s="178">
        <f>179807896.5+104681175</f>
        <v>284489071.5</v>
      </c>
      <c r="J10" s="178">
        <f>222772959.2+104681175</f>
        <v>327454134.19999999</v>
      </c>
      <c r="K10" s="178">
        <f t="shared" si="3"/>
        <v>375170960</v>
      </c>
      <c r="L10" s="178">
        <f t="shared" si="4"/>
        <v>90681888.5</v>
      </c>
      <c r="M10" s="178">
        <f t="shared" si="5"/>
        <v>47716825.800000012</v>
      </c>
      <c r="N10" s="226">
        <f t="shared" si="6"/>
        <v>2.5874371573417507</v>
      </c>
      <c r="O10" s="226">
        <f t="shared" si="7"/>
        <v>2.6273866370938745</v>
      </c>
      <c r="P10" s="252">
        <f t="shared" si="8"/>
        <v>0.49640938564117748</v>
      </c>
      <c r="Q10" s="160"/>
      <c r="R10" s="261"/>
      <c r="S10" s="318">
        <f>11114.254</f>
        <v>11114.254000000001</v>
      </c>
      <c r="T10" s="228">
        <v>1000000</v>
      </c>
      <c r="U10" s="228">
        <f t="shared" ref="U10:U13" si="9">S10*T10</f>
        <v>11114254000</v>
      </c>
    </row>
    <row r="11" spans="1:21" ht="12" customHeight="1" x14ac:dyDescent="0.2">
      <c r="A11" s="224" t="s">
        <v>83</v>
      </c>
      <c r="B11" s="224" t="s">
        <v>110</v>
      </c>
      <c r="C11" s="225">
        <f>589000+2137000+1785700</f>
        <v>4511700</v>
      </c>
      <c r="D11" s="226">
        <f t="shared" si="0"/>
        <v>196.2230565541748</v>
      </c>
      <c r="E11" s="226">
        <f t="shared" si="1"/>
        <v>196.10337925837268</v>
      </c>
      <c r="F11" s="226">
        <f>VLOOKUP(A11,[9]Rates!B:H,7,FALSE)</f>
        <v>208.35</v>
      </c>
      <c r="G11" s="226">
        <v>167.09</v>
      </c>
      <c r="H11" s="226">
        <f t="shared" si="2"/>
        <v>41.259999999999991</v>
      </c>
      <c r="I11" s="227">
        <f>98955958.0554705+426032654+360310952.2</f>
        <v>885299564.25547051</v>
      </c>
      <c r="J11" s="227">
        <f>98416010+426032654+360310952.2</f>
        <v>884759616.20000005</v>
      </c>
      <c r="K11" s="227">
        <f t="shared" si="3"/>
        <v>940012695</v>
      </c>
      <c r="L11" s="227">
        <f t="shared" si="4"/>
        <v>54713130.744529486</v>
      </c>
      <c r="M11" s="227">
        <f t="shared" si="5"/>
        <v>55253078.799999952</v>
      </c>
      <c r="N11" s="226">
        <f t="shared" si="6"/>
        <v>6.4829745229107241</v>
      </c>
      <c r="O11" s="226">
        <f t="shared" si="7"/>
        <v>6.5830702715945826</v>
      </c>
      <c r="P11" s="252">
        <f t="shared" si="8"/>
        <v>0.30757693769482614</v>
      </c>
      <c r="Q11" s="160"/>
      <c r="R11" s="261"/>
      <c r="S11" s="318">
        <f>14668.525</f>
        <v>14668.525</v>
      </c>
      <c r="T11" s="228">
        <v>1000000</v>
      </c>
      <c r="U11" s="228">
        <f t="shared" si="9"/>
        <v>14668525000</v>
      </c>
    </row>
    <row r="12" spans="1:21" s="168" customFormat="1" ht="12" customHeight="1" x14ac:dyDescent="0.2">
      <c r="A12" s="159" t="s">
        <v>158</v>
      </c>
      <c r="B12" s="159" t="s">
        <v>109</v>
      </c>
      <c r="C12" s="176">
        <f>1969300+700000+607400</f>
        <v>3276700</v>
      </c>
      <c r="D12" s="177">
        <f t="shared" si="0"/>
        <v>215.80396511805631</v>
      </c>
      <c r="E12" s="177">
        <f t="shared" si="1"/>
        <v>216.1893529533784</v>
      </c>
      <c r="F12" s="226">
        <f>VLOOKUP(A12,[9]Rates!B:H,7,FALSE)</f>
        <v>218.39</v>
      </c>
      <c r="G12" s="177">
        <v>212.32</v>
      </c>
      <c r="H12" s="177">
        <f t="shared" si="2"/>
        <v>6.0699999999999932</v>
      </c>
      <c r="I12" s="178">
        <f>416858975.68+156758654.822335+133507222</f>
        <v>707124852.50233507</v>
      </c>
      <c r="J12" s="178">
        <f>418121776+156758654.822335+133507222</f>
        <v>708387652.822335</v>
      </c>
      <c r="K12" s="178">
        <f t="shared" si="3"/>
        <v>715598513</v>
      </c>
      <c r="L12" s="178">
        <f t="shared" si="4"/>
        <v>8473660.4976649284</v>
      </c>
      <c r="M12" s="178">
        <f t="shared" si="5"/>
        <v>7210860.1776649952</v>
      </c>
      <c r="N12" s="226">
        <f t="shared" si="6"/>
        <v>4.9352598673274288</v>
      </c>
      <c r="O12" s="226">
        <f t="shared" si="7"/>
        <v>5.0114592306943146</v>
      </c>
      <c r="P12" s="252">
        <f t="shared" si="8"/>
        <v>0.27650076789360878</v>
      </c>
      <c r="Q12" s="160"/>
      <c r="R12" s="261"/>
      <c r="S12" s="318">
        <v>11850.6</v>
      </c>
      <c r="T12" s="228">
        <v>1000000</v>
      </c>
      <c r="U12" s="228">
        <f t="shared" si="9"/>
        <v>11850600000</v>
      </c>
    </row>
    <row r="13" spans="1:21" ht="12" customHeight="1" x14ac:dyDescent="0.2">
      <c r="A13" s="159" t="s">
        <v>105</v>
      </c>
      <c r="B13" s="159" t="s">
        <v>106</v>
      </c>
      <c r="C13" s="179">
        <f>4672098+627500</f>
        <v>5299598</v>
      </c>
      <c r="D13" s="180">
        <f t="shared" si="0"/>
        <v>189.11399681855414</v>
      </c>
      <c r="E13" s="180">
        <f t="shared" si="1"/>
        <v>190.44714413281045</v>
      </c>
      <c r="F13" s="180">
        <f>VLOOKUP(A13,[9]Rates!B:H,7,FALSE)</f>
        <v>188.66</v>
      </c>
      <c r="G13" s="180">
        <v>187.97</v>
      </c>
      <c r="H13" s="180">
        <f t="shared" si="2"/>
        <v>0.68999999999999773</v>
      </c>
      <c r="I13" s="181">
        <f>871149116.219662+131079043.091954</f>
        <v>1002228159.3116159</v>
      </c>
      <c r="J13" s="181">
        <f>878214261.06+131079043.091954</f>
        <v>1009293304.1519539</v>
      </c>
      <c r="K13" s="181">
        <f t="shared" si="3"/>
        <v>999822158.67999995</v>
      </c>
      <c r="L13" s="181">
        <f t="shared" si="4"/>
        <v>-2406000.6316159964</v>
      </c>
      <c r="M13" s="181">
        <f t="shared" si="5"/>
        <v>-9471145.4719539881</v>
      </c>
      <c r="N13" s="230">
        <f t="shared" si="6"/>
        <v>6.8954617492309964</v>
      </c>
      <c r="O13" s="230">
        <f t="shared" si="7"/>
        <v>7.0019262130154827</v>
      </c>
      <c r="P13" s="260">
        <f t="shared" si="8"/>
        <v>0.43291013566063868</v>
      </c>
      <c r="Q13" s="160"/>
      <c r="R13" s="261"/>
      <c r="S13" s="318">
        <f>12241.797</f>
        <v>12241.797</v>
      </c>
      <c r="T13" s="228">
        <v>1000000</v>
      </c>
      <c r="U13" s="228">
        <f t="shared" si="9"/>
        <v>12241797000</v>
      </c>
    </row>
    <row r="14" spans="1:21" ht="12" customHeight="1" x14ac:dyDescent="0.2">
      <c r="B14" s="166" t="s">
        <v>111</v>
      </c>
      <c r="C14" s="194">
        <f>SUM(C8:C13)</f>
        <v>34336218</v>
      </c>
      <c r="D14" s="177"/>
      <c r="E14" s="177"/>
      <c r="F14" s="177"/>
      <c r="G14" s="177"/>
      <c r="H14" s="177"/>
      <c r="I14" s="194">
        <f t="shared" ref="I14:P14" si="10">SUM(I8:I13)</f>
        <v>3606475830.1104217</v>
      </c>
      <c r="J14" s="194">
        <f t="shared" si="10"/>
        <v>3659229247.3742886</v>
      </c>
      <c r="K14" s="194">
        <f t="shared" si="10"/>
        <v>3832722736.6799998</v>
      </c>
      <c r="L14" s="194">
        <f t="shared" si="10"/>
        <v>226246906.56957841</v>
      </c>
      <c r="M14" s="194">
        <f t="shared" si="10"/>
        <v>173493489.30571097</v>
      </c>
      <c r="N14" s="255">
        <f t="shared" si="10"/>
        <v>26.433093922499744</v>
      </c>
      <c r="O14" s="255">
        <f t="shared" si="10"/>
        <v>26.841215274334925</v>
      </c>
      <c r="P14" s="255" t="e">
        <f t="shared" si="10"/>
        <v>#DIV/0!</v>
      </c>
    </row>
    <row r="15" spans="1:21" ht="12" customHeight="1" x14ac:dyDescent="0.2">
      <c r="C15" s="178"/>
      <c r="D15" s="177"/>
      <c r="E15" s="177"/>
      <c r="F15" s="177"/>
      <c r="G15" s="177"/>
      <c r="H15" s="177"/>
      <c r="I15" s="178"/>
      <c r="J15" s="178"/>
      <c r="K15" s="178"/>
      <c r="L15" s="178"/>
      <c r="M15" s="178"/>
      <c r="N15" s="177"/>
      <c r="O15" s="177"/>
      <c r="P15" s="253"/>
    </row>
    <row r="16" spans="1:21" ht="12" customHeight="1" x14ac:dyDescent="0.2">
      <c r="A16" s="239" t="s">
        <v>142</v>
      </c>
      <c r="B16" s="168" t="s">
        <v>142</v>
      </c>
      <c r="C16" s="178"/>
      <c r="D16" s="177"/>
      <c r="E16" s="180"/>
      <c r="F16" s="177"/>
      <c r="G16" s="177"/>
      <c r="H16" s="177"/>
      <c r="I16" s="178"/>
      <c r="J16" s="178"/>
      <c r="K16" s="178"/>
      <c r="L16" s="178"/>
      <c r="M16" s="178"/>
      <c r="N16" s="177"/>
      <c r="O16" s="177"/>
      <c r="P16" s="253"/>
    </row>
    <row r="17" spans="1:23" ht="12" customHeight="1" x14ac:dyDescent="0.2">
      <c r="A17" s="159" t="s">
        <v>143</v>
      </c>
      <c r="B17" s="159" t="s">
        <v>144</v>
      </c>
      <c r="C17" s="173">
        <f>1674200-350000-250000</f>
        <v>1074200</v>
      </c>
      <c r="D17" s="174">
        <f t="shared" ref="D17:D19" si="11">I17/C17</f>
        <v>189.77146592650286</v>
      </c>
      <c r="E17" s="177">
        <f t="shared" ref="E17:E19" si="12">+J17/C17</f>
        <v>133.72</v>
      </c>
      <c r="F17" s="174">
        <f>VLOOKUP(A17,[9]Rates!B:H,7,FALSE)</f>
        <v>143.71</v>
      </c>
      <c r="G17" s="174">
        <v>133.72</v>
      </c>
      <c r="H17" s="174">
        <f t="shared" ref="H17:H19" si="13">+F17-G17</f>
        <v>9.9900000000000091</v>
      </c>
      <c r="I17" s="175">
        <f>317715388.254151-66420013.0742759-47442866.4816257</f>
        <v>203852508.69824937</v>
      </c>
      <c r="J17" s="175">
        <f>223874024-46802000-33430000</f>
        <v>143642024</v>
      </c>
      <c r="K17" s="175">
        <f t="shared" ref="K17:K19" si="14">C17*F17</f>
        <v>154373282</v>
      </c>
      <c r="L17" s="175">
        <f t="shared" ref="L17:L19" si="15">+K17-I17</f>
        <v>-49479226.69824937</v>
      </c>
      <c r="M17" s="175">
        <f t="shared" ref="M17:M19" si="16">+K17-J17</f>
        <v>10731258</v>
      </c>
      <c r="N17" s="234">
        <f>+K17/$O$2*100</f>
        <v>1.0646644024569398</v>
      </c>
      <c r="O17" s="234">
        <f>+K17/$K$77*100</f>
        <v>1.0811025945374995</v>
      </c>
      <c r="P17" s="259">
        <f t="shared" ref="P17:P19" si="17">(C17*10)/U17*100</f>
        <v>0.24518447152840403</v>
      </c>
      <c r="R17" s="261"/>
      <c r="S17" s="318">
        <f>4381.191</f>
        <v>4381.1909999999998</v>
      </c>
      <c r="T17" s="228">
        <v>1000000</v>
      </c>
      <c r="U17" s="228">
        <f>S17*T17</f>
        <v>4381191000</v>
      </c>
    </row>
    <row r="18" spans="1:23" ht="12" customHeight="1" x14ac:dyDescent="0.2">
      <c r="A18" s="159" t="s">
        <v>161</v>
      </c>
      <c r="B18" s="159" t="s">
        <v>180</v>
      </c>
      <c r="C18" s="176">
        <f>3682900+101000-1361500</f>
        <v>2422400</v>
      </c>
      <c r="D18" s="177">
        <f t="shared" si="11"/>
        <v>71.709640646322583</v>
      </c>
      <c r="E18" s="177">
        <f t="shared" si="12"/>
        <v>68.481623721557128</v>
      </c>
      <c r="F18" s="177">
        <f>VLOOKUP(A18,[9]Rates!B:H,7,FALSE)</f>
        <v>67.5</v>
      </c>
      <c r="G18" s="177">
        <v>68.44</v>
      </c>
      <c r="H18" s="177">
        <f t="shared" si="13"/>
        <v>-0.93999999999999773</v>
      </c>
      <c r="I18" s="187">
        <f>264272169.24162+7069940-97632675.7399682</f>
        <v>173709433.50165182</v>
      </c>
      <c r="J18" s="187">
        <f>252057676+7069940-93237730.6969</f>
        <v>165889885.30309999</v>
      </c>
      <c r="K18" s="178">
        <f t="shared" si="14"/>
        <v>163512000</v>
      </c>
      <c r="L18" s="178">
        <f t="shared" si="15"/>
        <v>-10197433.501651824</v>
      </c>
      <c r="M18" s="178">
        <f t="shared" si="16"/>
        <v>-2377885.3030999899</v>
      </c>
      <c r="N18" s="226">
        <f>+K18/$O$2*100</f>
        <v>1.1276912916481179</v>
      </c>
      <c r="O18" s="226">
        <f>+K18/$K$77*100</f>
        <v>1.1451026055014855</v>
      </c>
      <c r="P18" s="252">
        <f t="shared" si="17"/>
        <v>0.45901921403949986</v>
      </c>
      <c r="R18" s="261"/>
      <c r="S18" s="318">
        <v>5277.3389999999999</v>
      </c>
      <c r="T18" s="228">
        <v>1000000</v>
      </c>
      <c r="U18" s="228">
        <f t="shared" ref="U18:U19" si="18">S18*T18</f>
        <v>5277339000</v>
      </c>
    </row>
    <row r="19" spans="1:23" ht="12" customHeight="1" x14ac:dyDescent="0.2">
      <c r="A19" s="159" t="s">
        <v>145</v>
      </c>
      <c r="B19" s="159" t="s">
        <v>146</v>
      </c>
      <c r="C19" s="179">
        <f>1451750+70000</f>
        <v>1521750</v>
      </c>
      <c r="D19" s="180">
        <f t="shared" si="11"/>
        <v>599.81273235549338</v>
      </c>
      <c r="E19" s="180">
        <f t="shared" si="12"/>
        <v>520.95633231476916</v>
      </c>
      <c r="F19" s="180">
        <f>VLOOKUP(A19,[9]Rates!B:H,7,FALSE)</f>
        <v>600.75</v>
      </c>
      <c r="G19" s="180">
        <v>517.41</v>
      </c>
      <c r="H19" s="180">
        <f t="shared" si="13"/>
        <v>83.340000000000032</v>
      </c>
      <c r="I19" s="181">
        <f>871149694.261972+41615331.2</f>
        <v>912765025.461972</v>
      </c>
      <c r="J19" s="181">
        <f>751149967.5+41615331.2</f>
        <v>792765298.70000005</v>
      </c>
      <c r="K19" s="181">
        <f t="shared" si="14"/>
        <v>914191312.5</v>
      </c>
      <c r="L19" s="181">
        <f t="shared" si="15"/>
        <v>1426287.0380280018</v>
      </c>
      <c r="M19" s="181">
        <f t="shared" si="16"/>
        <v>121426013.79999995</v>
      </c>
      <c r="N19" s="230">
        <f>+K19/$O$2*100</f>
        <v>6.3048924972271951</v>
      </c>
      <c r="O19" s="230">
        <f>+K19/$K$77*100</f>
        <v>6.40223869728566</v>
      </c>
      <c r="P19" s="260">
        <f t="shared" si="17"/>
        <v>0.47058368766911485</v>
      </c>
      <c r="R19" s="261"/>
      <c r="S19" s="318">
        <f>3233.75</f>
        <v>3233.75</v>
      </c>
      <c r="T19" s="228">
        <v>1000000</v>
      </c>
      <c r="U19" s="228">
        <f t="shared" si="18"/>
        <v>3233750000</v>
      </c>
    </row>
    <row r="20" spans="1:23" ht="12" customHeight="1" x14ac:dyDescent="0.2">
      <c r="B20" s="166" t="s">
        <v>111</v>
      </c>
      <c r="C20" s="194">
        <f>SUM(C17:C19)</f>
        <v>5018350</v>
      </c>
      <c r="D20" s="177"/>
      <c r="E20" s="177"/>
      <c r="F20" s="177"/>
      <c r="G20" s="177"/>
      <c r="H20" s="177"/>
      <c r="I20" s="194">
        <f t="shared" ref="I20:P20" si="19">SUM(I17:I19)</f>
        <v>1290326967.6618733</v>
      </c>
      <c r="J20" s="194">
        <f t="shared" si="19"/>
        <v>1102297208.0030999</v>
      </c>
      <c r="K20" s="194">
        <f t="shared" si="19"/>
        <v>1232076594.5</v>
      </c>
      <c r="L20" s="194">
        <f t="shared" si="19"/>
        <v>-58250373.161873192</v>
      </c>
      <c r="M20" s="194">
        <f t="shared" si="19"/>
        <v>129779386.49689996</v>
      </c>
      <c r="N20" s="255">
        <f t="shared" si="19"/>
        <v>8.497248191332254</v>
      </c>
      <c r="O20" s="255">
        <f t="shared" si="19"/>
        <v>8.6284438973246438</v>
      </c>
      <c r="P20" s="255">
        <f t="shared" si="19"/>
        <v>1.1747873732370189</v>
      </c>
      <c r="R20" s="261"/>
    </row>
    <row r="21" spans="1:23" ht="12" customHeight="1" x14ac:dyDescent="0.2">
      <c r="C21" s="178"/>
      <c r="D21" s="177"/>
      <c r="E21" s="177"/>
      <c r="F21" s="177"/>
      <c r="G21" s="177"/>
      <c r="H21" s="177"/>
      <c r="I21" s="178"/>
      <c r="J21" s="178"/>
      <c r="K21" s="178"/>
      <c r="L21" s="178"/>
      <c r="M21" s="178"/>
      <c r="N21" s="177"/>
      <c r="O21" s="177"/>
      <c r="P21" s="253"/>
    </row>
    <row r="22" spans="1:23" ht="12" customHeight="1" x14ac:dyDescent="0.2">
      <c r="A22" s="239" t="s">
        <v>275</v>
      </c>
      <c r="B22" s="168" t="s">
        <v>112</v>
      </c>
      <c r="C22" s="178"/>
      <c r="D22" s="177"/>
      <c r="E22" s="177"/>
      <c r="F22" s="177"/>
      <c r="G22" s="177"/>
      <c r="H22" s="177"/>
      <c r="I22" s="178"/>
      <c r="J22" s="178"/>
      <c r="K22" s="178"/>
      <c r="L22" s="178"/>
      <c r="M22" s="178"/>
      <c r="N22" s="177"/>
      <c r="O22" s="177"/>
      <c r="P22" s="253"/>
    </row>
    <row r="23" spans="1:23" s="224" customFormat="1" ht="12" customHeight="1" x14ac:dyDescent="0.2">
      <c r="A23" s="159" t="s">
        <v>113</v>
      </c>
      <c r="B23" s="159" t="s">
        <v>114</v>
      </c>
      <c r="C23" s="173">
        <f>4493900+750000</f>
        <v>5243900</v>
      </c>
      <c r="D23" s="174">
        <f t="shared" ref="D23:D24" si="20">I23/C23</f>
        <v>116.81137797822232</v>
      </c>
      <c r="E23" s="174">
        <f t="shared" ref="E23:E24" si="21">+J23/C23</f>
        <v>91.244981788363617</v>
      </c>
      <c r="F23" s="174">
        <f>VLOOKUP(A23,[9]Rates!B:H,7,FALSE)</f>
        <v>98.05</v>
      </c>
      <c r="G23" s="174">
        <v>91</v>
      </c>
      <c r="H23" s="174">
        <f t="shared" ref="H23:H24" si="22">+F23-G23</f>
        <v>7.0499999999999972</v>
      </c>
      <c r="I23" s="175">
        <f>543012524.98+69534660</f>
        <v>612547184.98000002</v>
      </c>
      <c r="J23" s="175">
        <f>408944900+69534660</f>
        <v>478479560</v>
      </c>
      <c r="K23" s="175">
        <f t="shared" ref="K23:K24" si="23">C23*F23</f>
        <v>514164395</v>
      </c>
      <c r="L23" s="175">
        <f t="shared" ref="L23:L24" si="24">+K23-I23</f>
        <v>-98382789.980000019</v>
      </c>
      <c r="M23" s="175">
        <f t="shared" ref="M23:M24" si="25">+K23-J23</f>
        <v>35684835</v>
      </c>
      <c r="N23" s="234">
        <f>+K23/$O$2*100</f>
        <v>3.5460315494705164</v>
      </c>
      <c r="O23" s="234">
        <f>+K23/$K$77*100</f>
        <v>3.6007815228888096</v>
      </c>
      <c r="P23" s="259">
        <f t="shared" ref="P23:P24" si="26">(C23*10)/U23*100</f>
        <v>0.45317202267908241</v>
      </c>
      <c r="Q23" s="278"/>
      <c r="R23" s="261"/>
      <c r="S23" s="318">
        <f>11571.544</f>
        <v>11571.544</v>
      </c>
      <c r="T23" s="228">
        <v>1000000</v>
      </c>
      <c r="U23" s="228">
        <f t="shared" ref="U23:U24" si="27">S23*T23</f>
        <v>11571544000</v>
      </c>
    </row>
    <row r="24" spans="1:23" ht="12" customHeight="1" x14ac:dyDescent="0.2">
      <c r="A24" s="159" t="s">
        <v>166</v>
      </c>
      <c r="C24" s="179">
        <v>6699600</v>
      </c>
      <c r="D24" s="180">
        <f t="shared" si="20"/>
        <v>99.291717480369201</v>
      </c>
      <c r="E24" s="180">
        <f t="shared" si="21"/>
        <v>47.49</v>
      </c>
      <c r="F24" s="180">
        <f>VLOOKUP(A24,[9]Rates!B:H,7,FALSE)</f>
        <v>48.87</v>
      </c>
      <c r="G24" s="180">
        <v>47.49</v>
      </c>
      <c r="H24" s="180">
        <f t="shared" si="22"/>
        <v>1.3799999999999955</v>
      </c>
      <c r="I24" s="181">
        <v>665214790.43148148</v>
      </c>
      <c r="J24" s="181">
        <v>318164004</v>
      </c>
      <c r="K24" s="181">
        <f t="shared" si="23"/>
        <v>327409452</v>
      </c>
      <c r="L24" s="181">
        <f t="shared" si="24"/>
        <v>-337805338.43148148</v>
      </c>
      <c r="M24" s="181">
        <f t="shared" si="25"/>
        <v>9245448</v>
      </c>
      <c r="N24" s="181">
        <f>+K24/$O$2*100</f>
        <v>2.2580409255815015</v>
      </c>
      <c r="O24" s="181">
        <f>+K24/$K$77*100</f>
        <v>2.2929045975280933</v>
      </c>
      <c r="P24" s="181">
        <f t="shared" si="26"/>
        <v>1.3461624243944017</v>
      </c>
      <c r="R24" s="261"/>
      <c r="S24" s="169">
        <v>4976.8140000000003</v>
      </c>
      <c r="T24" s="228">
        <v>1000000</v>
      </c>
      <c r="U24" s="228">
        <f t="shared" si="27"/>
        <v>4976814000</v>
      </c>
    </row>
    <row r="25" spans="1:23" ht="12" customHeight="1" x14ac:dyDescent="0.2">
      <c r="B25" s="166" t="s">
        <v>111</v>
      </c>
      <c r="C25" s="194">
        <f>SUM(C23:C24)</f>
        <v>11943500</v>
      </c>
      <c r="D25" s="177"/>
      <c r="E25" s="177"/>
      <c r="F25" s="177"/>
      <c r="G25" s="177"/>
      <c r="H25" s="177"/>
      <c r="I25" s="194">
        <f t="shared" ref="I25:P25" si="28">SUM(I23:I24)</f>
        <v>1277761975.4114814</v>
      </c>
      <c r="J25" s="194">
        <f t="shared" si="28"/>
        <v>796643564</v>
      </c>
      <c r="K25" s="194">
        <f t="shared" si="28"/>
        <v>841573847</v>
      </c>
      <c r="L25" s="194">
        <f t="shared" si="28"/>
        <v>-436188128.4114815</v>
      </c>
      <c r="M25" s="194">
        <f t="shared" si="28"/>
        <v>44930283</v>
      </c>
      <c r="N25" s="255">
        <f t="shared" si="28"/>
        <v>5.8040724750520178</v>
      </c>
      <c r="O25" s="255">
        <f t="shared" si="28"/>
        <v>5.8936861204169029</v>
      </c>
      <c r="P25" s="255">
        <f t="shared" si="28"/>
        <v>1.799334447073484</v>
      </c>
      <c r="R25" s="261"/>
      <c r="S25" s="169"/>
    </row>
    <row r="26" spans="1:23" ht="12" customHeight="1" x14ac:dyDescent="0.2">
      <c r="B26" s="166"/>
      <c r="C26" s="194"/>
      <c r="D26" s="177"/>
      <c r="E26" s="177"/>
      <c r="F26" s="177"/>
      <c r="G26" s="177"/>
      <c r="H26" s="177"/>
      <c r="I26" s="194"/>
      <c r="J26" s="194"/>
      <c r="K26" s="194"/>
      <c r="L26" s="194"/>
      <c r="M26" s="194"/>
      <c r="N26" s="255"/>
      <c r="O26" s="255"/>
      <c r="P26" s="255"/>
    </row>
    <row r="27" spans="1:23" ht="12" customHeight="1" x14ac:dyDescent="0.2">
      <c r="A27" s="239" t="s">
        <v>403</v>
      </c>
      <c r="C27" s="178"/>
      <c r="D27" s="177"/>
      <c r="E27" s="177"/>
      <c r="F27" s="177"/>
      <c r="G27" s="177"/>
      <c r="H27" s="177"/>
      <c r="I27" s="178"/>
      <c r="J27" s="178"/>
      <c r="K27" s="178"/>
      <c r="L27" s="178"/>
      <c r="M27" s="178"/>
      <c r="N27" s="177"/>
      <c r="O27" s="177"/>
      <c r="P27" s="253"/>
    </row>
    <row r="28" spans="1:23" s="166" customFormat="1" ht="12" customHeight="1" x14ac:dyDescent="0.2">
      <c r="A28" s="224" t="s">
        <v>160</v>
      </c>
      <c r="B28" s="224" t="s">
        <v>120</v>
      </c>
      <c r="C28" s="233">
        <f>3877800+325000</f>
        <v>4202800</v>
      </c>
      <c r="D28" s="234">
        <f>I28/C28</f>
        <v>154.04791135093294</v>
      </c>
      <c r="E28" s="234">
        <f>+J28/C28</f>
        <v>150.30287177595889</v>
      </c>
      <c r="F28" s="234">
        <f>VLOOKUP(A28,[9]Rates!B:H,7,FALSE)</f>
        <v>159.55000000000001</v>
      </c>
      <c r="G28" s="234">
        <v>149.5</v>
      </c>
      <c r="H28" s="234">
        <f>+F28-G28</f>
        <v>10.050000000000011</v>
      </c>
      <c r="I28" s="235">
        <f>595470752.325701+51961809.5</f>
        <v>647432561.825701</v>
      </c>
      <c r="J28" s="235">
        <f>579731100+51961809.5</f>
        <v>631692909.5</v>
      </c>
      <c r="K28" s="235">
        <f>C28*F28</f>
        <v>670556740</v>
      </c>
      <c r="L28" s="235">
        <f>+K28-I28</f>
        <v>23124178.174299002</v>
      </c>
      <c r="M28" s="235">
        <f>+K28-J28</f>
        <v>38863830.5</v>
      </c>
      <c r="N28" s="234">
        <f>+K28/$O$2*100</f>
        <v>4.6246208000266114</v>
      </c>
      <c r="O28" s="234">
        <f>+K28/$K$77*100</f>
        <v>4.6960239622204014</v>
      </c>
      <c r="P28" s="259">
        <f t="shared" ref="P28:P29" si="29">(C28*10)/U28*100</f>
        <v>1.195336288587195</v>
      </c>
      <c r="Q28" s="165"/>
      <c r="R28" s="261"/>
      <c r="S28" s="318">
        <v>3515.998</v>
      </c>
      <c r="T28" s="228">
        <v>1000000</v>
      </c>
      <c r="U28" s="228">
        <f t="shared" ref="U28:U29" si="30">S28*T28</f>
        <v>3515998000</v>
      </c>
    </row>
    <row r="29" spans="1:23" s="166" customFormat="1" ht="12" customHeight="1" x14ac:dyDescent="0.2">
      <c r="A29" s="224" t="s">
        <v>159</v>
      </c>
      <c r="B29" s="224"/>
      <c r="C29" s="229">
        <v>5000000</v>
      </c>
      <c r="D29" s="230">
        <f>I29/C29</f>
        <v>57.110913018097577</v>
      </c>
      <c r="E29" s="230">
        <f>+J29/C29</f>
        <v>45.77</v>
      </c>
      <c r="F29" s="230">
        <f>VLOOKUP(A29,[9]Rates!B:H,7,FALSE)</f>
        <v>49.57</v>
      </c>
      <c r="G29" s="230">
        <v>45.77</v>
      </c>
      <c r="H29" s="230">
        <f>+F29-G29</f>
        <v>3.7999999999999972</v>
      </c>
      <c r="I29" s="231">
        <v>285554565.0904879</v>
      </c>
      <c r="J29" s="231">
        <v>228850000.00000003</v>
      </c>
      <c r="K29" s="231">
        <f>C29*F29</f>
        <v>247850000</v>
      </c>
      <c r="L29" s="231">
        <f>+K29-I29</f>
        <v>-37704565.090487897</v>
      </c>
      <c r="M29" s="231">
        <f>+K29-J29</f>
        <v>18999999.99999997</v>
      </c>
      <c r="N29" s="230">
        <f>+K29/$O$2*100</f>
        <v>1.7093441865733769</v>
      </c>
      <c r="O29" s="230">
        <f>+K29/$K$77*100</f>
        <v>1.7357360974946376</v>
      </c>
      <c r="P29" s="260">
        <f t="shared" si="29"/>
        <v>2.0659321589197654</v>
      </c>
      <c r="Q29" s="165"/>
      <c r="R29" s="261"/>
      <c r="S29" s="318">
        <v>2420.2150000000001</v>
      </c>
      <c r="T29" s="228">
        <v>1000000</v>
      </c>
      <c r="U29" s="228">
        <f t="shared" si="30"/>
        <v>2420215000</v>
      </c>
    </row>
    <row r="30" spans="1:23" ht="12" customHeight="1" x14ac:dyDescent="0.2">
      <c r="B30" s="166" t="s">
        <v>111</v>
      </c>
      <c r="C30" s="194">
        <f>SUM(C28:C29)</f>
        <v>9202800</v>
      </c>
      <c r="D30" s="177"/>
      <c r="E30" s="177"/>
      <c r="F30" s="177"/>
      <c r="G30" s="177"/>
      <c r="H30" s="177"/>
      <c r="I30" s="194">
        <f t="shared" ref="I30:P30" si="31">SUM(I28:I29)</f>
        <v>932987126.91618896</v>
      </c>
      <c r="J30" s="194">
        <f t="shared" si="31"/>
        <v>860542909.5</v>
      </c>
      <c r="K30" s="194">
        <f t="shared" si="31"/>
        <v>918406740</v>
      </c>
      <c r="L30" s="194">
        <f t="shared" si="31"/>
        <v>-14580386.916188896</v>
      </c>
      <c r="M30" s="194">
        <f t="shared" si="31"/>
        <v>57863830.49999997</v>
      </c>
      <c r="N30" s="194">
        <f t="shared" si="31"/>
        <v>6.3339649865999883</v>
      </c>
      <c r="O30" s="194">
        <f t="shared" si="31"/>
        <v>6.4317600597150388</v>
      </c>
      <c r="P30" s="194">
        <f t="shared" si="31"/>
        <v>3.2612684475069607</v>
      </c>
      <c r="R30" s="169"/>
      <c r="S30" s="169"/>
      <c r="T30" s="169"/>
      <c r="U30" s="169"/>
      <c r="V30" s="169"/>
      <c r="W30" s="67"/>
    </row>
    <row r="31" spans="1:23" ht="12" customHeight="1" x14ac:dyDescent="0.2">
      <c r="B31" s="166"/>
      <c r="C31" s="194"/>
      <c r="D31" s="177"/>
      <c r="E31" s="177"/>
      <c r="F31" s="177"/>
      <c r="G31" s="177"/>
      <c r="H31" s="177"/>
      <c r="I31" s="194"/>
      <c r="J31" s="194"/>
      <c r="K31" s="194"/>
      <c r="L31" s="194"/>
      <c r="M31" s="194"/>
      <c r="N31" s="255"/>
      <c r="O31" s="255"/>
      <c r="P31" s="255"/>
    </row>
    <row r="32" spans="1:23" ht="12" customHeight="1" x14ac:dyDescent="0.2">
      <c r="A32" s="239" t="s">
        <v>276</v>
      </c>
      <c r="C32" s="178"/>
      <c r="D32" s="177"/>
      <c r="E32" s="177"/>
      <c r="F32" s="177"/>
      <c r="G32" s="177"/>
      <c r="H32" s="177"/>
      <c r="I32" s="178"/>
      <c r="J32" s="178"/>
      <c r="K32" s="178"/>
      <c r="L32" s="178"/>
      <c r="M32" s="178"/>
      <c r="N32" s="177"/>
      <c r="O32" s="177"/>
      <c r="P32" s="253"/>
    </row>
    <row r="33" spans="1:21" s="224" customFormat="1" ht="12" customHeight="1" x14ac:dyDescent="0.2">
      <c r="A33" s="159" t="s">
        <v>121</v>
      </c>
      <c r="B33" s="159" t="s">
        <v>122</v>
      </c>
      <c r="C33" s="173">
        <v>248300</v>
      </c>
      <c r="D33" s="174">
        <f>I33/C33</f>
        <v>481.95887805539189</v>
      </c>
      <c r="E33" s="174">
        <f>+J33/C33</f>
        <v>523.08000000000004</v>
      </c>
      <c r="F33" s="188">
        <f>VLOOKUP(A33,[9]Rates!B:H,7,FALSE)</f>
        <v>564.54999999999995</v>
      </c>
      <c r="G33" s="174">
        <v>523.08000000000004</v>
      </c>
      <c r="H33" s="174">
        <f>+F33-G33</f>
        <v>41.469999999999914</v>
      </c>
      <c r="I33" s="175">
        <v>119670389.42115381</v>
      </c>
      <c r="J33" s="175">
        <v>129880764.00000001</v>
      </c>
      <c r="K33" s="175">
        <f>C33*F33</f>
        <v>140177765</v>
      </c>
      <c r="L33" s="175">
        <f>+K33-I33</f>
        <v>20507375.578846186</v>
      </c>
      <c r="M33" s="175">
        <f>+K33-J33</f>
        <v>10297000.999999985</v>
      </c>
      <c r="N33" s="234">
        <f>+K33/$O$2*100</f>
        <v>0.96676234694209817</v>
      </c>
      <c r="O33" s="234">
        <f>+K33/$K$77*100</f>
        <v>0.98168895209449425</v>
      </c>
      <c r="P33" s="259">
        <f t="shared" ref="P33:P35" si="32">(C33*10)/U33*100</f>
        <v>0.29935860339506176</v>
      </c>
      <c r="Q33" s="278"/>
      <c r="R33" s="261"/>
      <c r="S33" s="318">
        <f>829.44</f>
        <v>829.44</v>
      </c>
      <c r="T33" s="228">
        <v>1000000</v>
      </c>
      <c r="U33" s="228">
        <f t="shared" ref="U33:U35" si="33">S33*T33</f>
        <v>829440000</v>
      </c>
    </row>
    <row r="34" spans="1:21" ht="12" customHeight="1" x14ac:dyDescent="0.2">
      <c r="A34" s="159" t="s">
        <v>125</v>
      </c>
      <c r="B34" s="159" t="s">
        <v>126</v>
      </c>
      <c r="C34" s="176">
        <v>1644228</v>
      </c>
      <c r="D34" s="177">
        <f>I34/C34</f>
        <v>277.35938716944571</v>
      </c>
      <c r="E34" s="177">
        <f>+J34/C34</f>
        <v>247.04</v>
      </c>
      <c r="F34" s="177">
        <f>VLOOKUP(A34,[9]Rates!B:H,7,FALSE)</f>
        <v>271.24</v>
      </c>
      <c r="G34" s="177">
        <v>247.04</v>
      </c>
      <c r="H34" s="177">
        <f>+F34-G34</f>
        <v>24.200000000000017</v>
      </c>
      <c r="I34" s="178">
        <v>456042070.44684339</v>
      </c>
      <c r="J34" s="178">
        <v>406190085.12</v>
      </c>
      <c r="K34" s="178">
        <f>C34*F34</f>
        <v>445980402.72000003</v>
      </c>
      <c r="L34" s="178">
        <f>+K34-I34</f>
        <v>-10061667.726843357</v>
      </c>
      <c r="M34" s="178">
        <f>+K34-J34</f>
        <v>39790317.600000024</v>
      </c>
      <c r="N34" s="226">
        <f>+K34/$O$2*100</f>
        <v>3.0757878100265708</v>
      </c>
      <c r="O34" s="226">
        <f>+K34/$K$77*100</f>
        <v>3.1232773200576953</v>
      </c>
      <c r="P34" s="252">
        <f t="shared" si="32"/>
        <v>1.3624783724121472</v>
      </c>
      <c r="R34" s="261"/>
      <c r="S34" s="318">
        <f>1206.792</f>
        <v>1206.7919999999999</v>
      </c>
      <c r="T34" s="228">
        <v>1000000</v>
      </c>
      <c r="U34" s="228">
        <f t="shared" si="33"/>
        <v>1206792000</v>
      </c>
    </row>
    <row r="35" spans="1:21" ht="12" customHeight="1" x14ac:dyDescent="0.2">
      <c r="A35" s="159" t="s">
        <v>127</v>
      </c>
      <c r="B35" s="159" t="s">
        <v>128</v>
      </c>
      <c r="C35" s="179">
        <f>4521600+1425600+352800</f>
        <v>6300000</v>
      </c>
      <c r="D35" s="180">
        <f>I35/C35</f>
        <v>87.629784110955356</v>
      </c>
      <c r="E35" s="180">
        <f>+J35/C35</f>
        <v>101.59613269666963</v>
      </c>
      <c r="F35" s="180">
        <f>VLOOKUP(A35,[9]Rates!B:H,7,FALSE)</f>
        <v>115.09</v>
      </c>
      <c r="G35" s="180">
        <v>94.61</v>
      </c>
      <c r="H35" s="180">
        <f>+F35-G35</f>
        <v>20.480000000000004</v>
      </c>
      <c r="I35" s="181">
        <f>339800579.91+168765705.275+43501354.7140187</f>
        <v>552067639.89901876</v>
      </c>
      <c r="J35" s="181">
        <f>427788576+168765705.275+43501354.7140187</f>
        <v>640055635.98901868</v>
      </c>
      <c r="K35" s="181">
        <f>C35*F35</f>
        <v>725067000</v>
      </c>
      <c r="L35" s="181">
        <f t="shared" ref="L35" si="34">+K35-I35</f>
        <v>172999360.10098124</v>
      </c>
      <c r="M35" s="181">
        <f>+K35-J35</f>
        <v>85011364.010981321</v>
      </c>
      <c r="N35" s="230">
        <f>+K35/$O$2*100</f>
        <v>5.0005610705111909</v>
      </c>
      <c r="O35" s="230">
        <f>+K35/$K$77*100</f>
        <v>5.0777686705755274</v>
      </c>
      <c r="P35" s="260">
        <f t="shared" si="32"/>
        <v>0.99335148275841412</v>
      </c>
      <c r="R35" s="261"/>
      <c r="S35" s="318">
        <f>6342.166</f>
        <v>6342.1660000000002</v>
      </c>
      <c r="T35" s="228">
        <v>1000000</v>
      </c>
      <c r="U35" s="228">
        <f t="shared" si="33"/>
        <v>6342166000</v>
      </c>
    </row>
    <row r="36" spans="1:21" ht="12" customHeight="1" x14ac:dyDescent="0.2">
      <c r="C36" s="194">
        <f>SUM(C33:C35)</f>
        <v>8192528</v>
      </c>
      <c r="D36" s="177"/>
      <c r="E36" s="177"/>
      <c r="F36" s="177"/>
      <c r="G36" s="177"/>
      <c r="H36" s="177"/>
      <c r="I36" s="194">
        <f t="shared" ref="I36:P36" si="35">SUM(I33:I35)</f>
        <v>1127780099.7670159</v>
      </c>
      <c r="J36" s="194">
        <f t="shared" si="35"/>
        <v>1176126485.1090188</v>
      </c>
      <c r="K36" s="194">
        <f t="shared" si="35"/>
        <v>1311225167.72</v>
      </c>
      <c r="L36" s="194">
        <f t="shared" si="35"/>
        <v>183445067.95298406</v>
      </c>
      <c r="M36" s="194">
        <f t="shared" si="35"/>
        <v>135098682.61098135</v>
      </c>
      <c r="N36" s="255">
        <f t="shared" si="35"/>
        <v>9.0431112274798586</v>
      </c>
      <c r="O36" s="255">
        <f t="shared" si="35"/>
        <v>9.1827349427277163</v>
      </c>
      <c r="P36" s="255">
        <f t="shared" si="35"/>
        <v>2.6551884585656231</v>
      </c>
    </row>
    <row r="37" spans="1:21" ht="12" customHeight="1" x14ac:dyDescent="0.2">
      <c r="C37" s="178"/>
      <c r="D37" s="177"/>
      <c r="E37" s="177"/>
      <c r="F37" s="177"/>
      <c r="G37" s="177"/>
      <c r="H37" s="177"/>
      <c r="I37" s="178"/>
      <c r="J37" s="178"/>
      <c r="K37" s="178"/>
      <c r="L37" s="178"/>
      <c r="M37" s="178"/>
      <c r="N37" s="177"/>
      <c r="O37" s="177"/>
      <c r="P37" s="253"/>
    </row>
    <row r="38" spans="1:21" ht="12" customHeight="1" x14ac:dyDescent="0.2">
      <c r="A38" s="239" t="s">
        <v>277</v>
      </c>
      <c r="C38" s="178"/>
      <c r="D38" s="177"/>
      <c r="E38" s="177"/>
      <c r="F38" s="177"/>
      <c r="G38" s="177"/>
      <c r="H38" s="177"/>
      <c r="I38" s="178"/>
      <c r="J38" s="178"/>
      <c r="K38" s="178"/>
      <c r="L38" s="178"/>
      <c r="M38" s="178"/>
      <c r="N38" s="177"/>
      <c r="O38" s="177"/>
      <c r="P38" s="253"/>
    </row>
    <row r="39" spans="1:21" ht="12" customHeight="1" x14ac:dyDescent="0.2">
      <c r="A39" s="159" t="s">
        <v>123</v>
      </c>
      <c r="B39" s="159" t="s">
        <v>124</v>
      </c>
      <c r="C39" s="173">
        <v>278505</v>
      </c>
      <c r="D39" s="174">
        <f>I39/C39</f>
        <v>1426.7360973891361</v>
      </c>
      <c r="E39" s="174">
        <f>+J39/C39</f>
        <v>1450.87</v>
      </c>
      <c r="F39" s="174">
        <f>VLOOKUP(A39,[9]Rates!B:H,7,FALSE)</f>
        <v>1471.89</v>
      </c>
      <c r="G39" s="174">
        <v>1450.87</v>
      </c>
      <c r="H39" s="174">
        <f>+F39-G39</f>
        <v>21.020000000000209</v>
      </c>
      <c r="I39" s="175">
        <v>397353136.80336136</v>
      </c>
      <c r="J39" s="175">
        <v>404074549.34999996</v>
      </c>
      <c r="K39" s="175">
        <f>C39*F39</f>
        <v>409928724.45000005</v>
      </c>
      <c r="L39" s="175">
        <f>+K39-I39</f>
        <v>12575587.646638691</v>
      </c>
      <c r="M39" s="175">
        <f>+K39-J39</f>
        <v>5854175.1000000834</v>
      </c>
      <c r="N39" s="234">
        <f>+K39/$O$2*100</f>
        <v>2.8271506235547603</v>
      </c>
      <c r="O39" s="234">
        <f>+K39/$K$77*100</f>
        <v>2.8708012282743502</v>
      </c>
      <c r="P39" s="259">
        <f t="shared" ref="P39:P42" si="36">(C39*10)/U39*100</f>
        <v>0.25261224489795919</v>
      </c>
      <c r="R39" s="261"/>
      <c r="S39" s="318">
        <f>1102.5</f>
        <v>1102.5</v>
      </c>
      <c r="T39" s="228">
        <v>1000000</v>
      </c>
      <c r="U39" s="228">
        <f t="shared" ref="U39:U42" si="37">S39*T39</f>
        <v>1102500000</v>
      </c>
    </row>
    <row r="40" spans="1:21" ht="12" customHeight="1" x14ac:dyDescent="0.2">
      <c r="A40" s="159" t="s">
        <v>116</v>
      </c>
      <c r="B40" s="159" t="s">
        <v>116</v>
      </c>
      <c r="C40" s="176">
        <f>5198700+150000</f>
        <v>5348700</v>
      </c>
      <c r="D40" s="177">
        <f>I40/C40</f>
        <v>147.11976320716266</v>
      </c>
      <c r="E40" s="177">
        <f>+J40/C40</f>
        <v>162.9530464972797</v>
      </c>
      <c r="F40" s="177">
        <f>VLOOKUP(A40,[9]Rates!B:H,7,FALSE)</f>
        <v>163.22</v>
      </c>
      <c r="G40" s="177">
        <v>162.79</v>
      </c>
      <c r="H40" s="177">
        <f>+F40-G40</f>
        <v>0.43000000000000682</v>
      </c>
      <c r="I40" s="178">
        <f>761608890.666151+25290586.8</f>
        <v>786899477.466151</v>
      </c>
      <c r="J40" s="178">
        <f>846296373+25290586.8</f>
        <v>871586959.79999995</v>
      </c>
      <c r="K40" s="178">
        <f>C40*F40</f>
        <v>873014814</v>
      </c>
      <c r="L40" s="178">
        <f>+K40-I40</f>
        <v>86115336.533849001</v>
      </c>
      <c r="M40" s="178">
        <f>+K40-J40</f>
        <v>1427854.2000000477</v>
      </c>
      <c r="N40" s="226">
        <f>+K40/$O$2*100</f>
        <v>6.0209110232129843</v>
      </c>
      <c r="O40" s="226">
        <f>+K40/$K$77*100</f>
        <v>6.1138726096726526</v>
      </c>
      <c r="P40" s="252">
        <f t="shared" si="36"/>
        <v>0.12436152157287714</v>
      </c>
      <c r="R40" s="261"/>
      <c r="S40" s="318">
        <f>43009.284</f>
        <v>43009.284</v>
      </c>
      <c r="T40" s="228">
        <v>1000000</v>
      </c>
      <c r="U40" s="228">
        <f t="shared" si="37"/>
        <v>43009284000</v>
      </c>
    </row>
    <row r="41" spans="1:21" ht="12" customHeight="1" x14ac:dyDescent="0.2">
      <c r="A41" s="254" t="s">
        <v>117</v>
      </c>
      <c r="B41" s="254" t="s">
        <v>118</v>
      </c>
      <c r="C41" s="225">
        <f>90750+147500+483950</f>
        <v>722200</v>
      </c>
      <c r="D41" s="226">
        <f>I41/C41</f>
        <v>587.0256286833129</v>
      </c>
      <c r="E41" s="226">
        <f>+J41/C41</f>
        <v>586.13843117629256</v>
      </c>
      <c r="F41" s="431">
        <f>VLOOKUP(A41,[9]Rates!B:H,7,FALSE)</f>
        <v>624.51</v>
      </c>
      <c r="G41" s="226">
        <v>594.26</v>
      </c>
      <c r="H41" s="226">
        <f>+F41-G41</f>
        <v>30.25</v>
      </c>
      <c r="I41" s="227">
        <f>54569829.0395702+83879720.6065574+285500359.388961</f>
        <v>423949909.0350886</v>
      </c>
      <c r="J41" s="227">
        <f>53929095+83879720.6065574+285500359.388961</f>
        <v>423309174.99551845</v>
      </c>
      <c r="K41" s="227">
        <f>C41*F41</f>
        <v>451021122</v>
      </c>
      <c r="L41" s="227">
        <f>+K41-I41</f>
        <v>27071212.964911401</v>
      </c>
      <c r="M41" s="227">
        <f>+K41-J41</f>
        <v>27711947.004481554</v>
      </c>
      <c r="N41" s="226">
        <f>+K41/$O$2*100</f>
        <v>3.110552079534</v>
      </c>
      <c r="O41" s="226">
        <f>+K41/$K$77*100</f>
        <v>3.1585783424972078</v>
      </c>
      <c r="P41" s="295">
        <f t="shared" si="36"/>
        <v>0.30531072404975101</v>
      </c>
      <c r="R41" s="261"/>
      <c r="S41" s="446">
        <f>2365.459</f>
        <v>2365.4589999999998</v>
      </c>
      <c r="T41" s="228">
        <v>1000000</v>
      </c>
      <c r="U41" s="228">
        <f t="shared" si="37"/>
        <v>2365459000</v>
      </c>
    </row>
    <row r="42" spans="1:21" ht="12" customHeight="1" x14ac:dyDescent="0.2">
      <c r="A42" s="224" t="s">
        <v>119</v>
      </c>
      <c r="B42" s="224" t="s">
        <v>120</v>
      </c>
      <c r="C42" s="229">
        <v>2802400</v>
      </c>
      <c r="D42" s="230">
        <f>I42/C42</f>
        <v>167.27675887274484</v>
      </c>
      <c r="E42" s="230">
        <f>+J42/C42</f>
        <v>205.91</v>
      </c>
      <c r="F42" s="180">
        <f>VLOOKUP(A42,[9]Rates!B:H,7,FALSE)</f>
        <v>203.91</v>
      </c>
      <c r="G42" s="230">
        <v>205.91</v>
      </c>
      <c r="H42" s="230">
        <f>+F42-G42</f>
        <v>-2</v>
      </c>
      <c r="I42" s="231">
        <v>468776389.06498009</v>
      </c>
      <c r="J42" s="231">
        <v>577042184</v>
      </c>
      <c r="K42" s="231">
        <f>C42*F42</f>
        <v>571437384</v>
      </c>
      <c r="L42" s="231">
        <f>+K42-I42</f>
        <v>102660994.93501991</v>
      </c>
      <c r="M42" s="231">
        <f>+K42-J42</f>
        <v>-5604800</v>
      </c>
      <c r="N42" s="230">
        <f>+K42/$O$2*100</f>
        <v>3.9410255006298107</v>
      </c>
      <c r="O42" s="230">
        <f>+K42/$K$77*100</f>
        <v>4.0018740966984252</v>
      </c>
      <c r="P42" s="260">
        <f t="shared" si="36"/>
        <v>0.14213003132906185</v>
      </c>
      <c r="R42" s="261"/>
      <c r="S42" s="318">
        <f>19717.156</f>
        <v>19717.155999999999</v>
      </c>
      <c r="T42" s="228">
        <v>1000000</v>
      </c>
      <c r="U42" s="228">
        <f t="shared" si="37"/>
        <v>19717156000</v>
      </c>
    </row>
    <row r="43" spans="1:21" ht="12" customHeight="1" x14ac:dyDescent="0.2">
      <c r="B43" s="166" t="s">
        <v>111</v>
      </c>
      <c r="C43" s="194">
        <f>SUM(C39:C42)</f>
        <v>9151805</v>
      </c>
      <c r="D43" s="177"/>
      <c r="E43" s="177"/>
      <c r="F43" s="177"/>
      <c r="G43" s="177"/>
      <c r="H43" s="177"/>
      <c r="I43" s="194">
        <f t="shared" ref="I43:P43" si="38">SUM(I39:I42)</f>
        <v>2076978912.369581</v>
      </c>
      <c r="J43" s="194">
        <f t="shared" si="38"/>
        <v>2276012868.1455183</v>
      </c>
      <c r="K43" s="194">
        <f t="shared" si="38"/>
        <v>2305402044.4499998</v>
      </c>
      <c r="L43" s="194">
        <f t="shared" si="38"/>
        <v>228423132.080419</v>
      </c>
      <c r="M43" s="194">
        <f>SUM(M39:M42)</f>
        <v>29389176.304481685</v>
      </c>
      <c r="N43" s="255">
        <f t="shared" si="38"/>
        <v>15.899639226931557</v>
      </c>
      <c r="O43" s="255">
        <f t="shared" si="38"/>
        <v>16.145126277142637</v>
      </c>
      <c r="P43" s="255">
        <f t="shared" si="38"/>
        <v>0.82441452184964925</v>
      </c>
    </row>
    <row r="44" spans="1:21" ht="12" customHeight="1" x14ac:dyDescent="0.2">
      <c r="C44" s="178"/>
      <c r="D44" s="177"/>
      <c r="E44" s="177"/>
      <c r="F44" s="177"/>
      <c r="G44" s="177"/>
      <c r="H44" s="177"/>
      <c r="I44" s="178"/>
      <c r="J44" s="178"/>
      <c r="K44" s="178"/>
      <c r="L44" s="178"/>
      <c r="M44" s="178"/>
      <c r="N44" s="177"/>
      <c r="O44" s="177"/>
      <c r="P44" s="253"/>
    </row>
    <row r="45" spans="1:21" ht="12" customHeight="1" x14ac:dyDescent="0.2">
      <c r="A45" s="239" t="s">
        <v>278</v>
      </c>
      <c r="C45" s="178"/>
      <c r="D45" s="177"/>
      <c r="E45" s="177"/>
      <c r="F45" s="177"/>
      <c r="G45" s="177"/>
      <c r="H45" s="177"/>
      <c r="I45" s="178"/>
      <c r="J45" s="178"/>
      <c r="K45" s="178"/>
      <c r="L45" s="178"/>
      <c r="M45" s="178"/>
      <c r="N45" s="177"/>
      <c r="O45" s="177"/>
      <c r="P45" s="253"/>
    </row>
    <row r="46" spans="1:21" ht="12" customHeight="1" x14ac:dyDescent="0.2">
      <c r="A46" s="224" t="s">
        <v>163</v>
      </c>
      <c r="C46" s="233">
        <f>2470200-502700-8700</f>
        <v>1958800</v>
      </c>
      <c r="D46" s="234">
        <f t="shared" ref="D46:D48" si="39">I46/C46</f>
        <v>180.74797482792243</v>
      </c>
      <c r="E46" s="234">
        <f t="shared" ref="E46:E48" si="40">+J46/C46</f>
        <v>127.31</v>
      </c>
      <c r="F46" s="174">
        <f>VLOOKUP(A46,[9]Rates!B:H,7,FALSE)</f>
        <v>134.93</v>
      </c>
      <c r="G46" s="234">
        <v>127.31</v>
      </c>
      <c r="H46" s="234">
        <f t="shared" ref="H46:H48" si="41">+F46-G46</f>
        <v>7.6200000000000045</v>
      </c>
      <c r="I46" s="235">
        <f>446483647.419934-90862006.9459966-1572507.38100293</f>
        <v>354049133.09293449</v>
      </c>
      <c r="J46" s="235">
        <f>314481162-63998737-1107597</f>
        <v>249374828</v>
      </c>
      <c r="K46" s="235">
        <f t="shared" ref="K46:K48" si="42">C46*F46</f>
        <v>264300884</v>
      </c>
      <c r="L46" s="235">
        <f t="shared" ref="L46:L48" si="43">+K46-I46</f>
        <v>-89748249.092934489</v>
      </c>
      <c r="M46" s="235">
        <f t="shared" ref="M46:M48" si="44">+K46-J46</f>
        <v>14926056</v>
      </c>
      <c r="N46" s="234">
        <f>+K46/$O$2*100</f>
        <v>1.8228008052112346</v>
      </c>
      <c r="O46" s="234">
        <f>+K46/$K$77*100</f>
        <v>1.8509444622091704</v>
      </c>
      <c r="P46" s="259">
        <f t="shared" ref="P46:P48" si="45">(C46*10)/U46*100</f>
        <v>2.5231733142347781</v>
      </c>
      <c r="R46" s="261"/>
      <c r="S46" s="318">
        <v>776.32399999999996</v>
      </c>
      <c r="T46" s="228">
        <v>1000000</v>
      </c>
      <c r="U46" s="228">
        <f t="shared" ref="U46:U48" si="46">S46*T46</f>
        <v>776324000</v>
      </c>
    </row>
    <row r="47" spans="1:21" ht="12" customHeight="1" x14ac:dyDescent="0.2">
      <c r="A47" s="224" t="s">
        <v>309</v>
      </c>
      <c r="C47" s="225">
        <f>15746500+6253500</f>
        <v>22000000</v>
      </c>
      <c r="D47" s="226">
        <f t="shared" si="39"/>
        <v>19.765274640866497</v>
      </c>
      <c r="E47" s="226">
        <f t="shared" si="40"/>
        <v>18.198144090909089</v>
      </c>
      <c r="F47" s="177">
        <f>VLOOKUP(A47,[9]Rates!B:H,7,FALSE)</f>
        <v>20.8</v>
      </c>
      <c r="G47" s="226">
        <v>17.739999999999998</v>
      </c>
      <c r="H47" s="226">
        <f t="shared" si="41"/>
        <v>3.0600000000000023</v>
      </c>
      <c r="I47" s="227">
        <f>313819782.099063+121016260</f>
        <v>434836042.09906298</v>
      </c>
      <c r="J47" s="227">
        <f>279342910+121016260</f>
        <v>400359170</v>
      </c>
      <c r="K47" s="227">
        <f t="shared" si="42"/>
        <v>457600000</v>
      </c>
      <c r="L47" s="227">
        <f t="shared" si="43"/>
        <v>22763957.900937021</v>
      </c>
      <c r="M47" s="227">
        <f t="shared" si="44"/>
        <v>57240830</v>
      </c>
      <c r="N47" s="226">
        <f>+K47/$O$2*100</f>
        <v>3.1559245502359383</v>
      </c>
      <c r="O47" s="226">
        <f>+K47/$K$77*100</f>
        <v>3.2046513545029098</v>
      </c>
      <c r="P47" s="295">
        <f t="shared" si="45"/>
        <v>2.6437801826563692</v>
      </c>
      <c r="R47" s="261"/>
      <c r="S47" s="318">
        <v>8321.4179999999997</v>
      </c>
      <c r="T47" s="228">
        <v>1000000</v>
      </c>
      <c r="U47" s="228">
        <f t="shared" si="46"/>
        <v>8321418000</v>
      </c>
    </row>
    <row r="48" spans="1:21" ht="12" customHeight="1" x14ac:dyDescent="0.2">
      <c r="A48" s="224" t="s">
        <v>183</v>
      </c>
      <c r="B48" s="224"/>
      <c r="C48" s="229">
        <v>4241000</v>
      </c>
      <c r="D48" s="230">
        <f t="shared" si="39"/>
        <v>66.877151027139462</v>
      </c>
      <c r="E48" s="230">
        <f t="shared" si="40"/>
        <v>92.66</v>
      </c>
      <c r="F48" s="180">
        <f>VLOOKUP(A48,[9]Rates!B:H,7,FALSE)</f>
        <v>92.17</v>
      </c>
      <c r="G48" s="230">
        <v>92.66</v>
      </c>
      <c r="H48" s="230">
        <f t="shared" si="41"/>
        <v>-0.48999999999999488</v>
      </c>
      <c r="I48" s="231">
        <v>283625997.50609845</v>
      </c>
      <c r="J48" s="231">
        <v>392971060</v>
      </c>
      <c r="K48" s="231">
        <f t="shared" si="42"/>
        <v>390892970</v>
      </c>
      <c r="L48" s="231">
        <f t="shared" si="43"/>
        <v>107266972.49390155</v>
      </c>
      <c r="M48" s="231">
        <f t="shared" si="44"/>
        <v>-2078090</v>
      </c>
      <c r="N48" s="230">
        <f>+K48/$O$2*100</f>
        <v>2.6958669592168709</v>
      </c>
      <c r="O48" s="230">
        <f>+K48/$K$77*100</f>
        <v>2.7374905720632983</v>
      </c>
      <c r="P48" s="260">
        <f t="shared" si="45"/>
        <v>1.4278913199964716</v>
      </c>
      <c r="R48" s="261"/>
      <c r="S48" s="318">
        <v>2970.114</v>
      </c>
      <c r="T48" s="228">
        <v>1000000</v>
      </c>
      <c r="U48" s="228">
        <f t="shared" si="46"/>
        <v>2970114000</v>
      </c>
    </row>
    <row r="49" spans="1:21" ht="12" customHeight="1" x14ac:dyDescent="0.2">
      <c r="C49" s="194">
        <f>SUM(C46:C48)</f>
        <v>28199800</v>
      </c>
      <c r="D49" s="177"/>
      <c r="E49" s="177"/>
      <c r="F49" s="177"/>
      <c r="G49" s="177"/>
      <c r="H49" s="177"/>
      <c r="I49" s="194">
        <f t="shared" ref="I49:P49" si="47">SUM(I46:I48)</f>
        <v>1072511172.698096</v>
      </c>
      <c r="J49" s="194">
        <f t="shared" si="47"/>
        <v>1042705058</v>
      </c>
      <c r="K49" s="194">
        <f t="shared" si="47"/>
        <v>1112793854</v>
      </c>
      <c r="L49" s="194">
        <f t="shared" si="47"/>
        <v>40282681.301904082</v>
      </c>
      <c r="M49" s="194">
        <f t="shared" si="47"/>
        <v>70088796</v>
      </c>
      <c r="N49" s="255">
        <f t="shared" si="47"/>
        <v>7.6745923146640438</v>
      </c>
      <c r="O49" s="255">
        <f t="shared" si="47"/>
        <v>7.7930863887753787</v>
      </c>
      <c r="P49" s="255">
        <f t="shared" si="47"/>
        <v>6.594844816887619</v>
      </c>
    </row>
    <row r="50" spans="1:21" ht="12" customHeight="1" x14ac:dyDescent="0.2">
      <c r="C50" s="178"/>
      <c r="D50" s="177"/>
      <c r="E50" s="177"/>
      <c r="F50" s="177"/>
      <c r="G50" s="177"/>
      <c r="H50" s="177"/>
      <c r="I50" s="178"/>
      <c r="J50" s="178"/>
      <c r="K50" s="178"/>
      <c r="L50" s="178"/>
      <c r="M50" s="178"/>
      <c r="N50" s="177"/>
      <c r="O50" s="177"/>
      <c r="P50" s="253"/>
    </row>
    <row r="51" spans="1:21" ht="12" customHeight="1" x14ac:dyDescent="0.2">
      <c r="A51" s="239" t="s">
        <v>129</v>
      </c>
      <c r="B51" s="168" t="s">
        <v>129</v>
      </c>
      <c r="C51" s="178"/>
      <c r="D51" s="177"/>
      <c r="E51" s="177"/>
      <c r="F51" s="177"/>
      <c r="G51" s="177"/>
      <c r="H51" s="177"/>
      <c r="I51" s="178"/>
      <c r="J51" s="178"/>
      <c r="K51" s="178"/>
      <c r="L51" s="178"/>
      <c r="M51" s="178"/>
      <c r="N51" s="177"/>
      <c r="O51" s="177"/>
      <c r="P51" s="253"/>
    </row>
    <row r="52" spans="1:21" ht="12" customHeight="1" x14ac:dyDescent="0.2">
      <c r="A52" s="159" t="s">
        <v>165</v>
      </c>
      <c r="C52" s="173">
        <v>274350</v>
      </c>
      <c r="D52" s="174">
        <f t="shared" ref="D52:D53" si="48">I52/C52</f>
        <v>937.36881007107706</v>
      </c>
      <c r="E52" s="174">
        <f t="shared" ref="E52:E53" si="49">+J52/C52</f>
        <v>552.08000000000004</v>
      </c>
      <c r="F52" s="174">
        <f>VLOOKUP(A52,[9]Rates!B:H,7,FALSE)</f>
        <v>788.79</v>
      </c>
      <c r="G52" s="174">
        <v>552.08000000000004</v>
      </c>
      <c r="H52" s="174">
        <f t="shared" ref="H52:H53" si="50">+F52-G52</f>
        <v>236.70999999999992</v>
      </c>
      <c r="I52" s="491">
        <v>257167133.04299998</v>
      </c>
      <c r="J52" s="491">
        <v>151463148</v>
      </c>
      <c r="K52" s="175">
        <f t="shared" ref="K52:K53" si="51">C52*F52</f>
        <v>216404536.5</v>
      </c>
      <c r="L52" s="175">
        <f t="shared" ref="L52:L53" si="52">+K52-I52</f>
        <v>-40762596.542999983</v>
      </c>
      <c r="M52" s="175">
        <f t="shared" ref="M52:M53" si="53">+K52-J52</f>
        <v>64941388.5</v>
      </c>
      <c r="N52" s="234">
        <f>+K52/$O$2*100</f>
        <v>1.492474627453626</v>
      </c>
      <c r="O52" s="234">
        <f>+K52/$K$77*100</f>
        <v>1.51551811847749</v>
      </c>
      <c r="P52" s="259">
        <f t="shared" ref="P52:P53" si="54">(C52*10)/U52*100</f>
        <v>1.2877621524192184</v>
      </c>
      <c r="R52" s="261"/>
      <c r="S52" s="318">
        <v>213.04400000000001</v>
      </c>
      <c r="T52" s="228">
        <v>1000000</v>
      </c>
      <c r="U52" s="228">
        <f t="shared" ref="U52:U53" si="55">S52*T52</f>
        <v>213044000</v>
      </c>
    </row>
    <row r="53" spans="1:21" ht="12" customHeight="1" x14ac:dyDescent="0.2">
      <c r="A53" s="159" t="s">
        <v>130</v>
      </c>
      <c r="B53" s="159" t="s">
        <v>131</v>
      </c>
      <c r="C53" s="179">
        <f>385623+18400</f>
        <v>404023</v>
      </c>
      <c r="D53" s="180">
        <f t="shared" si="48"/>
        <v>480.83632974147514</v>
      </c>
      <c r="E53" s="180">
        <f t="shared" si="49"/>
        <v>1175.9308833655509</v>
      </c>
      <c r="F53" s="180">
        <f>VLOOKUP(A53,[9]Rates!B:H,7,FALSE)</f>
        <v>1375.2</v>
      </c>
      <c r="G53" s="180">
        <v>1171.6300000000001</v>
      </c>
      <c r="H53" s="180">
        <f t="shared" si="50"/>
        <v>203.56999999999994</v>
      </c>
      <c r="I53" s="181">
        <f>170973288.65114+23295647.8</f>
        <v>194268936.45114002</v>
      </c>
      <c r="J53" s="181">
        <f>451807475.49+23295647.8</f>
        <v>475103123.29000002</v>
      </c>
      <c r="K53" s="181">
        <f t="shared" si="51"/>
        <v>555612429.60000002</v>
      </c>
      <c r="L53" s="181">
        <f t="shared" si="52"/>
        <v>361343493.14885998</v>
      </c>
      <c r="M53" s="181">
        <f t="shared" si="53"/>
        <v>80509306.310000002</v>
      </c>
      <c r="N53" s="230">
        <f>+K53/$O$2*100</f>
        <v>3.8318857233192243</v>
      </c>
      <c r="O53" s="230">
        <f>+K53/$K$77*100</f>
        <v>3.8910492244237163</v>
      </c>
      <c r="P53" s="260">
        <f t="shared" si="54"/>
        <v>0.91217023198058367</v>
      </c>
      <c r="R53" s="261"/>
      <c r="S53" s="318">
        <f>442.925</f>
        <v>442.92500000000001</v>
      </c>
      <c r="T53" s="228">
        <v>1000000</v>
      </c>
      <c r="U53" s="228">
        <f t="shared" si="55"/>
        <v>442925000</v>
      </c>
    </row>
    <row r="54" spans="1:21" ht="12" customHeight="1" x14ac:dyDescent="0.2">
      <c r="A54" s="166"/>
      <c r="B54" s="166" t="s">
        <v>111</v>
      </c>
      <c r="C54" s="194">
        <f>SUM(C52:C53)</f>
        <v>678373</v>
      </c>
      <c r="D54" s="255"/>
      <c r="E54" s="255"/>
      <c r="F54" s="255"/>
      <c r="G54" s="255"/>
      <c r="H54" s="255"/>
      <c r="I54" s="194">
        <f t="shared" ref="I54:P54" si="56">SUM(I52:I53)</f>
        <v>451436069.49414003</v>
      </c>
      <c r="J54" s="194">
        <f t="shared" si="56"/>
        <v>626566271.28999996</v>
      </c>
      <c r="K54" s="194">
        <f t="shared" si="56"/>
        <v>772016966.10000002</v>
      </c>
      <c r="L54" s="194">
        <f t="shared" si="56"/>
        <v>320580896.60585999</v>
      </c>
      <c r="M54" s="194">
        <f t="shared" si="56"/>
        <v>145450694.81</v>
      </c>
      <c r="N54" s="255">
        <f t="shared" si="56"/>
        <v>5.3243603507728503</v>
      </c>
      <c r="O54" s="255">
        <f t="shared" si="56"/>
        <v>5.406567342901206</v>
      </c>
      <c r="P54" s="165">
        <f t="shared" si="56"/>
        <v>2.1999323843998022</v>
      </c>
      <c r="R54" s="261"/>
    </row>
    <row r="55" spans="1:21" ht="12" customHeight="1" x14ac:dyDescent="0.2">
      <c r="C55" s="178"/>
      <c r="D55" s="177"/>
      <c r="E55" s="177"/>
      <c r="F55" s="177"/>
      <c r="G55" s="177"/>
      <c r="H55" s="177"/>
      <c r="I55" s="178"/>
      <c r="J55" s="178"/>
      <c r="K55" s="178"/>
      <c r="L55" s="178"/>
      <c r="M55" s="178"/>
      <c r="N55" s="177"/>
      <c r="O55" s="177"/>
      <c r="P55" s="253"/>
    </row>
    <row r="56" spans="1:21" ht="12" customHeight="1" x14ac:dyDescent="0.2">
      <c r="A56" s="239" t="s">
        <v>279</v>
      </c>
      <c r="C56" s="178"/>
      <c r="D56" s="177"/>
      <c r="E56" s="177"/>
      <c r="F56" s="177"/>
      <c r="G56" s="177"/>
      <c r="H56" s="177"/>
      <c r="I56" s="178"/>
      <c r="J56" s="178"/>
      <c r="K56" s="178"/>
      <c r="L56" s="178"/>
      <c r="M56" s="178"/>
      <c r="N56" s="177"/>
      <c r="O56" s="177"/>
      <c r="P56" s="253"/>
    </row>
    <row r="57" spans="1:21" ht="12" customHeight="1" x14ac:dyDescent="0.2">
      <c r="A57" s="159" t="s">
        <v>148</v>
      </c>
      <c r="B57" s="159" t="s">
        <v>149</v>
      </c>
      <c r="C57" s="182">
        <f>898200+41800</f>
        <v>940000</v>
      </c>
      <c r="D57" s="183">
        <f>I57/C57</f>
        <v>240.71438909234044</v>
      </c>
      <c r="E57" s="183">
        <f>+J57/C57</f>
        <v>513.31608138297872</v>
      </c>
      <c r="F57" s="492">
        <f>VLOOKUP(A57,[9]Rates!B:H,7,FALSE)</f>
        <v>484.98</v>
      </c>
      <c r="G57" s="183">
        <v>510.9</v>
      </c>
      <c r="H57" s="183">
        <f>+F57-G57</f>
        <v>-25.919999999999959</v>
      </c>
      <c r="I57" s="184">
        <f>202644789.2468+23626736.5</f>
        <v>226271525.74680001</v>
      </c>
      <c r="J57" s="184">
        <f>458890380+23626736.5</f>
        <v>482517116.5</v>
      </c>
      <c r="K57" s="184">
        <f>C57*F57</f>
        <v>455881200</v>
      </c>
      <c r="L57" s="184">
        <f>+K57-I57</f>
        <v>229609674.25319999</v>
      </c>
      <c r="M57" s="184">
        <f>+K57-J57</f>
        <v>-26635916.5</v>
      </c>
      <c r="N57" s="189">
        <f>+K57/$O$2*100</f>
        <v>3.1440705224454106</v>
      </c>
      <c r="O57" s="189">
        <f>+K57/$K$77*100</f>
        <v>3.1926143030428582</v>
      </c>
      <c r="P57" s="257">
        <f>(C57*5)/U57*100</f>
        <v>1.1600641737628039</v>
      </c>
      <c r="R57" s="261"/>
      <c r="S57" s="318">
        <v>405.15</v>
      </c>
      <c r="T57" s="228">
        <v>1000000</v>
      </c>
      <c r="U57" s="228">
        <f t="shared" ref="U57" si="57">S57*T57</f>
        <v>405150000</v>
      </c>
    </row>
    <row r="58" spans="1:21" ht="12" customHeight="1" x14ac:dyDescent="0.2">
      <c r="C58" s="194">
        <f>SUM(C57:C57)</f>
        <v>940000</v>
      </c>
      <c r="D58" s="177"/>
      <c r="E58" s="177"/>
      <c r="F58" s="177"/>
      <c r="G58" s="177"/>
      <c r="H58" s="177"/>
      <c r="I58" s="194">
        <f t="shared" ref="I58:P58" si="58">SUM(I57:I57)</f>
        <v>226271525.74680001</v>
      </c>
      <c r="J58" s="194">
        <f t="shared" si="58"/>
        <v>482517116.5</v>
      </c>
      <c r="K58" s="194">
        <f t="shared" si="58"/>
        <v>455881200</v>
      </c>
      <c r="L58" s="194">
        <f t="shared" si="58"/>
        <v>229609674.25319999</v>
      </c>
      <c r="M58" s="194">
        <f t="shared" si="58"/>
        <v>-26635916.5</v>
      </c>
      <c r="N58" s="296">
        <f t="shared" si="58"/>
        <v>3.1440705224454106</v>
      </c>
      <c r="O58" s="296">
        <f t="shared" si="58"/>
        <v>3.1926143030428582</v>
      </c>
      <c r="P58" s="296">
        <f t="shared" si="58"/>
        <v>1.1600641737628039</v>
      </c>
    </row>
    <row r="59" spans="1:21" ht="12" customHeight="1" x14ac:dyDescent="0.2">
      <c r="C59" s="178"/>
      <c r="D59" s="177"/>
      <c r="E59" s="177"/>
      <c r="F59" s="177"/>
      <c r="G59" s="177"/>
      <c r="H59" s="177"/>
      <c r="I59" s="178"/>
      <c r="J59" s="178"/>
      <c r="K59" s="178"/>
      <c r="L59" s="178"/>
      <c r="M59" s="178"/>
      <c r="N59" s="177"/>
      <c r="O59" s="177"/>
      <c r="P59" s="253"/>
    </row>
    <row r="60" spans="1:21" ht="12" customHeight="1" x14ac:dyDescent="0.2">
      <c r="A60" s="239" t="s">
        <v>280</v>
      </c>
      <c r="C60" s="178"/>
      <c r="D60" s="177"/>
      <c r="E60" s="177"/>
      <c r="F60" s="177"/>
      <c r="G60" s="177"/>
      <c r="H60" s="177"/>
      <c r="I60" s="178"/>
      <c r="J60" s="178"/>
      <c r="K60" s="178"/>
      <c r="L60" s="178"/>
      <c r="M60" s="178"/>
      <c r="N60" s="177"/>
      <c r="O60" s="177"/>
      <c r="P60" s="253"/>
    </row>
    <row r="61" spans="1:21" s="224" customFormat="1" ht="12" customHeight="1" x14ac:dyDescent="0.2">
      <c r="A61" s="159" t="s">
        <v>140</v>
      </c>
      <c r="B61" s="159" t="s">
        <v>141</v>
      </c>
      <c r="C61" s="173">
        <f>1337500+1442500</f>
        <v>2780000</v>
      </c>
      <c r="D61" s="174">
        <f>+I61/C61</f>
        <v>66.565441153134643</v>
      </c>
      <c r="E61" s="174">
        <f>+J61/C61</f>
        <v>67.843670606372044</v>
      </c>
      <c r="F61" s="174">
        <f>VLOOKUP(A61,[9]Rates!B:H,7,FALSE)</f>
        <v>69.180000000000007</v>
      </c>
      <c r="G61" s="174">
        <v>67.72</v>
      </c>
      <c r="H61" s="174">
        <f>+F61-G61</f>
        <v>1.460000000000008</v>
      </c>
      <c r="I61" s="175">
        <f>87022022.12+98029904.2857143</f>
        <v>185051926.4057143</v>
      </c>
      <c r="J61" s="175">
        <f>90575500+98029904.2857143</f>
        <v>188605404.2857143</v>
      </c>
      <c r="K61" s="175">
        <f>C61*F61</f>
        <v>192320400.00000003</v>
      </c>
      <c r="L61" s="175">
        <f>+K61-I61</f>
        <v>7268473.5942857265</v>
      </c>
      <c r="M61" s="175">
        <f>+K61-J61</f>
        <v>3714995.7142857313</v>
      </c>
      <c r="N61" s="234">
        <f>+K61/$O$2*100</f>
        <v>1.3263738458723686</v>
      </c>
      <c r="O61" s="234">
        <f>+K61/$K$77*100</f>
        <v>1.3468527761331763</v>
      </c>
      <c r="P61" s="259">
        <f t="shared" ref="P61:P63" si="59">(C61*10)/U61*100</f>
        <v>0.20819302459006758</v>
      </c>
      <c r="Q61" s="278"/>
      <c r="R61" s="261"/>
      <c r="S61" s="318">
        <v>13352.993</v>
      </c>
      <c r="T61" s="228">
        <v>1000000</v>
      </c>
      <c r="U61" s="228">
        <f t="shared" ref="U61:U63" si="60">S61*T61</f>
        <v>13352993000</v>
      </c>
    </row>
    <row r="62" spans="1:21" ht="12" customHeight="1" x14ac:dyDescent="0.2">
      <c r="A62" s="159" t="s">
        <v>136</v>
      </c>
      <c r="B62" s="159" t="s">
        <v>137</v>
      </c>
      <c r="C62" s="176">
        <f>1714500+325000</f>
        <v>2039500</v>
      </c>
      <c r="D62" s="177">
        <f t="shared" ref="D62:D63" si="61">+I62/C62</f>
        <v>330.05494030793659</v>
      </c>
      <c r="E62" s="177">
        <f t="shared" ref="E62:E63" si="62">+J62/C62</f>
        <v>277.74071643376647</v>
      </c>
      <c r="F62" s="177">
        <f>VLOOKUP(A62,[9]Rates!B:H,7,FALSE)</f>
        <v>300.64999999999998</v>
      </c>
      <c r="G62" s="177">
        <v>274.75</v>
      </c>
      <c r="H62" s="177">
        <f>+F62-G62</f>
        <v>25.899999999999977</v>
      </c>
      <c r="I62" s="178">
        <f>577753734.59137+95393316.1666667</f>
        <v>673147050.75803673</v>
      </c>
      <c r="J62" s="178">
        <f>471058875+95393316.1666667</f>
        <v>566452191.16666675</v>
      </c>
      <c r="K62" s="178">
        <f>C62*F62</f>
        <v>613175675</v>
      </c>
      <c r="L62" s="178">
        <f>+K62-I62</f>
        <v>-59971375.758036733</v>
      </c>
      <c r="M62" s="178">
        <f>+K62-J62</f>
        <v>46723483.833333254</v>
      </c>
      <c r="N62" s="226">
        <f>+K62/$O$2*100</f>
        <v>4.228881482386349</v>
      </c>
      <c r="O62" s="226">
        <f>+K62/$K$77*100</f>
        <v>4.2941745136297778</v>
      </c>
      <c r="P62" s="493">
        <f t="shared" si="59"/>
        <v>0.38937754386487428</v>
      </c>
      <c r="R62" s="261"/>
      <c r="S62" s="67">
        <f>5237.847</f>
        <v>5237.8469999999998</v>
      </c>
      <c r="T62" s="228">
        <v>1000000</v>
      </c>
      <c r="U62" s="228">
        <f t="shared" si="60"/>
        <v>5237847000</v>
      </c>
    </row>
    <row r="63" spans="1:21" ht="12" customHeight="1" x14ac:dyDescent="0.2">
      <c r="A63" s="159" t="s">
        <v>138</v>
      </c>
      <c r="B63" s="159" t="s">
        <v>139</v>
      </c>
      <c r="C63" s="179">
        <v>1433500</v>
      </c>
      <c r="D63" s="180">
        <f t="shared" si="61"/>
        <v>52.899139748866411</v>
      </c>
      <c r="E63" s="180">
        <f t="shared" si="62"/>
        <v>35.54</v>
      </c>
      <c r="F63" s="185">
        <f>VLOOKUP(A63,[9]Rates!B:H,7,FALSE)</f>
        <v>36.35</v>
      </c>
      <c r="G63" s="180">
        <v>35.54</v>
      </c>
      <c r="H63" s="180">
        <f>+F63-G63</f>
        <v>0.81000000000000227</v>
      </c>
      <c r="I63" s="181">
        <v>75830916.829999998</v>
      </c>
      <c r="J63" s="181">
        <v>50946590</v>
      </c>
      <c r="K63" s="181">
        <f>C63*F63</f>
        <v>52107725</v>
      </c>
      <c r="L63" s="181">
        <f>+K63-I63</f>
        <v>-23723191.829999998</v>
      </c>
      <c r="M63" s="181">
        <f>+K63-J63</f>
        <v>1161135</v>
      </c>
      <c r="N63" s="230">
        <f>+K63/$O$2*100</f>
        <v>0.35937073554292603</v>
      </c>
      <c r="O63" s="230">
        <f>+K63/$K$77*100</f>
        <v>0.36491934331581105</v>
      </c>
      <c r="P63" s="260">
        <f t="shared" si="59"/>
        <v>0.1534615837535194</v>
      </c>
      <c r="S63" s="447">
        <f>9341.1</f>
        <v>9341.1</v>
      </c>
      <c r="T63" s="228">
        <v>1000000</v>
      </c>
      <c r="U63" s="228">
        <f t="shared" si="60"/>
        <v>9341100000</v>
      </c>
    </row>
    <row r="64" spans="1:21" ht="12" customHeight="1" x14ac:dyDescent="0.2">
      <c r="B64" s="159" t="s">
        <v>111</v>
      </c>
      <c r="C64" s="194">
        <f>SUM(C61:C63)</f>
        <v>6253000</v>
      </c>
      <c r="D64" s="177"/>
      <c r="E64" s="177"/>
      <c r="F64" s="177"/>
      <c r="G64" s="177"/>
      <c r="H64" s="177"/>
      <c r="I64" s="194">
        <f t="shared" ref="I64:P64" si="63">SUM(I61:I63)</f>
        <v>934029893.99375105</v>
      </c>
      <c r="J64" s="194">
        <f t="shared" si="63"/>
        <v>806004185.45238101</v>
      </c>
      <c r="K64" s="194">
        <f t="shared" si="63"/>
        <v>857603800</v>
      </c>
      <c r="L64" s="194">
        <f t="shared" si="63"/>
        <v>-76426093.993751004</v>
      </c>
      <c r="M64" s="194">
        <f t="shared" si="63"/>
        <v>51599614.547618985</v>
      </c>
      <c r="N64" s="296">
        <f t="shared" si="63"/>
        <v>5.9146260638016441</v>
      </c>
      <c r="O64" s="296">
        <f t="shared" si="63"/>
        <v>6.0059466330787652</v>
      </c>
      <c r="P64" s="296">
        <f t="shared" si="63"/>
        <v>0.7510321522084612</v>
      </c>
    </row>
    <row r="65" spans="1:21" ht="12" customHeight="1" x14ac:dyDescent="0.2">
      <c r="C65" s="178"/>
      <c r="D65" s="177"/>
      <c r="E65" s="177"/>
      <c r="F65" s="177"/>
      <c r="G65" s="177"/>
      <c r="H65" s="177"/>
      <c r="I65" s="178"/>
      <c r="J65" s="178"/>
      <c r="K65" s="178"/>
      <c r="L65" s="178"/>
      <c r="M65" s="178"/>
      <c r="N65" s="177"/>
      <c r="O65" s="177"/>
      <c r="P65" s="253"/>
    </row>
    <row r="66" spans="1:21" s="161" customFormat="1" ht="12" customHeight="1" x14ac:dyDescent="0.2">
      <c r="A66" s="239" t="s">
        <v>150</v>
      </c>
      <c r="B66" s="168" t="s">
        <v>150</v>
      </c>
      <c r="C66" s="178"/>
      <c r="D66" s="177"/>
      <c r="E66" s="177"/>
      <c r="F66" s="177"/>
      <c r="G66" s="177"/>
      <c r="H66" s="177"/>
      <c r="I66" s="178"/>
      <c r="J66" s="178"/>
      <c r="K66" s="178"/>
      <c r="L66" s="178"/>
      <c r="M66" s="178"/>
      <c r="N66" s="177"/>
      <c r="O66" s="258"/>
      <c r="P66" s="256"/>
      <c r="Q66" s="280"/>
      <c r="S66" s="67"/>
    </row>
    <row r="67" spans="1:21" s="67" customFormat="1" ht="12" customHeight="1" x14ac:dyDescent="0.2">
      <c r="A67" s="159" t="s">
        <v>153</v>
      </c>
      <c r="B67" s="159" t="s">
        <v>154</v>
      </c>
      <c r="C67" s="173">
        <v>836110</v>
      </c>
      <c r="D67" s="174">
        <f>I67/C67</f>
        <v>349.16938006038009</v>
      </c>
      <c r="E67" s="174">
        <f>+J67/C67</f>
        <v>426.77999999999992</v>
      </c>
      <c r="F67" s="188">
        <f>VLOOKUP(A67,[9]Rates!B:H,7,FALSE)</f>
        <v>459</v>
      </c>
      <c r="G67" s="174">
        <v>426.78</v>
      </c>
      <c r="H67" s="174">
        <f>+F67-G67</f>
        <v>32.220000000000027</v>
      </c>
      <c r="I67" s="175">
        <v>291944010.36228442</v>
      </c>
      <c r="J67" s="175">
        <v>356835025.79999995</v>
      </c>
      <c r="K67" s="175">
        <f>C67*F67</f>
        <v>383774490</v>
      </c>
      <c r="L67" s="175">
        <f>+K67-I67</f>
        <v>91830479.637715578</v>
      </c>
      <c r="M67" s="175">
        <f>+K67-J67</f>
        <v>26939464.200000048</v>
      </c>
      <c r="N67" s="234">
        <f>+K67/$O$2*100</f>
        <v>2.6467730217335594</v>
      </c>
      <c r="O67" s="234">
        <f>+K67/$K$77*100</f>
        <v>2.6876386346201127</v>
      </c>
      <c r="P67" s="444">
        <f t="shared" ref="P67:P69" si="64">(C67*10)/U67*100</f>
        <v>3.2734326979167885</v>
      </c>
      <c r="Q67" s="162"/>
      <c r="R67" s="261"/>
      <c r="S67" s="318">
        <v>255.423</v>
      </c>
      <c r="T67" s="228">
        <v>1000000</v>
      </c>
      <c r="U67" s="228">
        <f t="shared" ref="U67:U69" si="65">S67*T67</f>
        <v>255423000</v>
      </c>
    </row>
    <row r="68" spans="1:21" s="67" customFormat="1" ht="12" customHeight="1" x14ac:dyDescent="0.2">
      <c r="A68" s="159" t="s">
        <v>343</v>
      </c>
      <c r="B68" s="159" t="s">
        <v>154</v>
      </c>
      <c r="C68" s="238">
        <v>391926</v>
      </c>
      <c r="D68" s="185">
        <f>I68/C68</f>
        <v>959.87221698097994</v>
      </c>
      <c r="E68" s="185">
        <f>+J68/C68</f>
        <v>697.61</v>
      </c>
      <c r="F68" s="185">
        <f>VLOOKUP(A68,[9]Rates!B:H,7,FALSE)</f>
        <v>652.59</v>
      </c>
      <c r="G68" s="185">
        <v>697.61</v>
      </c>
      <c r="H68" s="185">
        <f>+F68-G68</f>
        <v>-45.019999999999982</v>
      </c>
      <c r="I68" s="186">
        <v>376198878.51248753</v>
      </c>
      <c r="J68" s="186">
        <v>273411496.86000001</v>
      </c>
      <c r="K68" s="186">
        <f>C68*F68</f>
        <v>255766988.34</v>
      </c>
      <c r="L68" s="186">
        <f>+K68-I68</f>
        <v>-120431890.17248753</v>
      </c>
      <c r="M68" s="186">
        <f>+K68-J68</f>
        <v>-17644508.520000011</v>
      </c>
      <c r="N68" s="230">
        <f>+K68/$O$2*100</f>
        <v>1.7639451871549714</v>
      </c>
      <c r="O68" s="230">
        <f>+K68/$K$77*100</f>
        <v>1.791180125919823</v>
      </c>
      <c r="P68" s="260">
        <f t="shared" si="64"/>
        <v>0.40033176609264737</v>
      </c>
      <c r="Q68" s="162"/>
      <c r="R68" s="261"/>
      <c r="S68" s="318">
        <v>979.00300000000004</v>
      </c>
      <c r="T68" s="228">
        <v>1000000</v>
      </c>
      <c r="U68" s="228">
        <f t="shared" si="65"/>
        <v>979003000</v>
      </c>
    </row>
    <row r="69" spans="1:21" ht="12" hidden="1" customHeight="1" x14ac:dyDescent="0.2">
      <c r="A69" s="67" t="s">
        <v>151</v>
      </c>
      <c r="B69" s="67" t="s">
        <v>152</v>
      </c>
      <c r="C69" s="238">
        <f>236262-236262</f>
        <v>0</v>
      </c>
      <c r="D69" s="185" t="e">
        <f>I69/C69</f>
        <v>#DIV/0!</v>
      </c>
      <c r="E69" s="185" t="e">
        <f>+J69/C69</f>
        <v>#DIV/0!</v>
      </c>
      <c r="F69" s="185">
        <f>VLOOKUP(A69,[8]Rates!$B$1:$H$484,7,0)</f>
        <v>314.86</v>
      </c>
      <c r="G69" s="185">
        <v>314.86</v>
      </c>
      <c r="H69" s="185">
        <f>+F69-G69</f>
        <v>0</v>
      </c>
      <c r="I69" s="186">
        <f>59824066.7172612-59824066.7172612</f>
        <v>0</v>
      </c>
      <c r="J69" s="186">
        <f>74389453.32-74389453.32</f>
        <v>0</v>
      </c>
      <c r="K69" s="186">
        <f>C69*F69</f>
        <v>0</v>
      </c>
      <c r="L69" s="186">
        <f>+K69-I69</f>
        <v>0</v>
      </c>
      <c r="M69" s="186">
        <f>+K69-J69</f>
        <v>0</v>
      </c>
      <c r="N69" s="230">
        <f>+K69/$O$2*100</f>
        <v>0</v>
      </c>
      <c r="O69" s="230">
        <f>+K69/$K$77*100</f>
        <v>0</v>
      </c>
      <c r="P69" s="260">
        <f t="shared" si="64"/>
        <v>0</v>
      </c>
      <c r="R69" s="261"/>
      <c r="S69" s="318">
        <v>1539.3130000000001</v>
      </c>
      <c r="T69" s="228">
        <v>1000000</v>
      </c>
      <c r="U69" s="228">
        <f t="shared" si="65"/>
        <v>1539313000</v>
      </c>
    </row>
    <row r="70" spans="1:21" ht="12" customHeight="1" x14ac:dyDescent="0.2">
      <c r="B70" s="166" t="s">
        <v>111</v>
      </c>
      <c r="C70" s="194">
        <f>SUM(C67:C69)</f>
        <v>1228036</v>
      </c>
      <c r="D70" s="177"/>
      <c r="E70" s="177"/>
      <c r="F70" s="177"/>
      <c r="G70" s="177"/>
      <c r="H70" s="177"/>
      <c r="I70" s="194">
        <f t="shared" ref="I70:P70" si="66">SUM(I67:I69)</f>
        <v>668142888.87477195</v>
      </c>
      <c r="J70" s="194">
        <f t="shared" si="66"/>
        <v>630246522.65999997</v>
      </c>
      <c r="K70" s="194">
        <f t="shared" si="66"/>
        <v>639541478.34000003</v>
      </c>
      <c r="L70" s="194">
        <f t="shared" si="66"/>
        <v>-28601410.534771949</v>
      </c>
      <c r="M70" s="194">
        <f t="shared" si="66"/>
        <v>9294955.680000037</v>
      </c>
      <c r="N70" s="255">
        <f t="shared" si="66"/>
        <v>4.4107182088885306</v>
      </c>
      <c r="O70" s="255">
        <f t="shared" si="66"/>
        <v>4.4788187605399354</v>
      </c>
      <c r="P70" s="165">
        <f t="shared" si="66"/>
        <v>3.673764464009436</v>
      </c>
    </row>
    <row r="71" spans="1:21" ht="12" customHeight="1" x14ac:dyDescent="0.2">
      <c r="C71" s="178"/>
      <c r="D71" s="177"/>
      <c r="E71" s="177"/>
      <c r="F71" s="177"/>
      <c r="G71" s="177"/>
      <c r="H71" s="177"/>
      <c r="I71" s="178"/>
      <c r="J71" s="178"/>
      <c r="K71" s="178"/>
      <c r="L71" s="178"/>
      <c r="M71" s="178"/>
      <c r="N71" s="177"/>
      <c r="O71" s="177"/>
      <c r="P71" s="253"/>
    </row>
    <row r="72" spans="1:21" ht="12" customHeight="1" x14ac:dyDescent="0.2">
      <c r="A72" s="239" t="s">
        <v>132</v>
      </c>
      <c r="C72" s="178"/>
      <c r="D72" s="177"/>
      <c r="E72" s="177"/>
      <c r="F72" s="177"/>
      <c r="G72" s="177"/>
      <c r="H72" s="177"/>
      <c r="I72" s="178"/>
      <c r="J72" s="178"/>
      <c r="K72" s="178"/>
      <c r="L72" s="178"/>
      <c r="M72" s="178"/>
      <c r="N72" s="177"/>
      <c r="O72" s="177"/>
      <c r="P72" s="253"/>
    </row>
    <row r="73" spans="1:21" ht="12" customHeight="1" x14ac:dyDescent="0.2">
      <c r="A73" s="174" t="s">
        <v>134</v>
      </c>
      <c r="B73" s="174" t="s">
        <v>135</v>
      </c>
      <c r="C73" s="174">
        <f>126070-126070</f>
        <v>0</v>
      </c>
      <c r="D73" s="174" t="e">
        <f>I73/C73</f>
        <v>#DIV/0!</v>
      </c>
      <c r="E73" s="175" t="e">
        <f>+J73/C73</f>
        <v>#DIV/0!</v>
      </c>
      <c r="F73" s="444">
        <f>VLOOKUP(A73,[9]Rates!B:H,7,FALSE)</f>
        <v>295.14</v>
      </c>
      <c r="G73" s="444">
        <v>216.5</v>
      </c>
      <c r="H73" s="444">
        <f>+F73-G73</f>
        <v>78.639999999999986</v>
      </c>
      <c r="I73" s="175">
        <f>22129234.1807229-22129234.1807229</f>
        <v>0</v>
      </c>
      <c r="J73" s="234">
        <f>27294155-27294155</f>
        <v>0</v>
      </c>
      <c r="K73" s="234">
        <f>C73*F73</f>
        <v>0</v>
      </c>
      <c r="L73" s="676">
        <f>+K73-I73</f>
        <v>0</v>
      </c>
      <c r="M73" s="234">
        <f>+K73-J73</f>
        <v>0</v>
      </c>
      <c r="N73" s="676">
        <f>+K73/$O$2*100</f>
        <v>0</v>
      </c>
      <c r="O73" s="234">
        <f>+K73/$K$77*100</f>
        <v>0</v>
      </c>
      <c r="P73" s="259">
        <f t="shared" ref="P73:P74" si="67">(C73*10)/U73*100</f>
        <v>0</v>
      </c>
      <c r="R73" s="261"/>
      <c r="S73" s="318">
        <v>220</v>
      </c>
      <c r="T73" s="228">
        <v>1000000</v>
      </c>
      <c r="U73" s="228">
        <f t="shared" ref="U73:U74" si="68">S73*T73</f>
        <v>220000000</v>
      </c>
    </row>
    <row r="74" spans="1:21" ht="12" customHeight="1" x14ac:dyDescent="0.2">
      <c r="A74" s="677" t="s">
        <v>179</v>
      </c>
      <c r="B74" s="678" t="s">
        <v>135</v>
      </c>
      <c r="C74" s="181">
        <f>3447000+636369-4083369</f>
        <v>0</v>
      </c>
      <c r="D74" s="180" t="e">
        <f>I74/C74</f>
        <v>#DIV/0!</v>
      </c>
      <c r="E74" s="180" t="e">
        <f>+J74/C74</f>
        <v>#DIV/0!</v>
      </c>
      <c r="F74" s="185">
        <f>VLOOKUP(A74,[9]Rates!B:H,7,FALSE)</f>
        <v>32.729999999999997</v>
      </c>
      <c r="G74" s="180">
        <v>26.08</v>
      </c>
      <c r="H74" s="180">
        <f>+F74-G74</f>
        <v>6.6499999999999986</v>
      </c>
      <c r="I74" s="181">
        <f>147502514.990108+15909224.4262218-163411748.777544+9</f>
        <v>-0.36121419072151184</v>
      </c>
      <c r="J74" s="181">
        <f>89897760+16596497.4193638-106494263.52+6</f>
        <v>-0.10063619911670685</v>
      </c>
      <c r="K74" s="181">
        <f>C74*F74</f>
        <v>0</v>
      </c>
      <c r="L74" s="181">
        <f>+K74-I74</f>
        <v>0.36121419072151184</v>
      </c>
      <c r="M74" s="181">
        <f>+K74-J74</f>
        <v>0.10063619911670685</v>
      </c>
      <c r="N74" s="230">
        <f>+K74/$O$2*100</f>
        <v>0</v>
      </c>
      <c r="O74" s="230">
        <f>+K74/$K$77*100</f>
        <v>0</v>
      </c>
      <c r="P74" s="260">
        <f t="shared" si="67"/>
        <v>0</v>
      </c>
      <c r="R74" s="261"/>
      <c r="S74" s="318">
        <v>770</v>
      </c>
      <c r="T74" s="228">
        <v>1000000</v>
      </c>
      <c r="U74" s="228">
        <f t="shared" si="68"/>
        <v>770000000</v>
      </c>
    </row>
    <row r="75" spans="1:21" ht="12" customHeight="1" x14ac:dyDescent="0.2">
      <c r="C75" s="194">
        <f>SUM(C73:C74)</f>
        <v>0</v>
      </c>
      <c r="D75" s="177"/>
      <c r="E75" s="177"/>
      <c r="F75" s="258"/>
      <c r="G75" s="177"/>
      <c r="H75" s="177"/>
      <c r="I75" s="194">
        <f t="shared" ref="I75:P75" si="69">SUM(I73:I74)</f>
        <v>-0.36121419072151184</v>
      </c>
      <c r="J75" s="194">
        <f t="shared" si="69"/>
        <v>-0.10063619911670685</v>
      </c>
      <c r="K75" s="194">
        <f t="shared" si="69"/>
        <v>0</v>
      </c>
      <c r="L75" s="194">
        <f t="shared" si="69"/>
        <v>0.36121419072151184</v>
      </c>
      <c r="M75" s="194">
        <f t="shared" si="69"/>
        <v>0.10063619911670685</v>
      </c>
      <c r="N75" s="296">
        <f t="shared" si="69"/>
        <v>0</v>
      </c>
      <c r="O75" s="296">
        <f t="shared" si="69"/>
        <v>0</v>
      </c>
      <c r="P75" s="296">
        <f t="shared" si="69"/>
        <v>0</v>
      </c>
    </row>
    <row r="76" spans="1:21" ht="12" customHeight="1" x14ac:dyDescent="0.2"/>
    <row r="77" spans="1:21" ht="12" customHeight="1" thickBot="1" x14ac:dyDescent="0.25">
      <c r="A77" s="166" t="s">
        <v>281</v>
      </c>
      <c r="B77" s="166"/>
      <c r="C77" s="190">
        <f>SUM(C7:C76)/2</f>
        <v>115144410</v>
      </c>
      <c r="I77" s="190">
        <f t="shared" ref="I77:P77" si="70">SUM(I7:I76)/2</f>
        <v>13664702462.682913</v>
      </c>
      <c r="J77" s="190">
        <f t="shared" si="70"/>
        <v>13458891435.933672</v>
      </c>
      <c r="K77" s="190">
        <f t="shared" si="70"/>
        <v>14279244428.789999</v>
      </c>
      <c r="L77" s="270">
        <f t="shared" si="70"/>
        <v>614541966.10709333</v>
      </c>
      <c r="M77" s="270">
        <f t="shared" si="70"/>
        <v>820352992.85632944</v>
      </c>
      <c r="N77" s="270">
        <f t="shared" si="70"/>
        <v>98.479497490467935</v>
      </c>
      <c r="O77" s="190">
        <f t="shared" si="70"/>
        <v>100</v>
      </c>
      <c r="P77" s="270" t="e">
        <f t="shared" si="70"/>
        <v>#DIV/0!</v>
      </c>
      <c r="Q77" s="319"/>
      <c r="R77" s="320"/>
    </row>
    <row r="78" spans="1:21" ht="12" customHeight="1" thickTop="1" x14ac:dyDescent="0.2">
      <c r="A78" s="166"/>
      <c r="B78" s="166"/>
      <c r="C78" s="194"/>
      <c r="I78" s="194"/>
      <c r="J78" s="194"/>
      <c r="K78" s="194"/>
      <c r="L78" s="194"/>
      <c r="M78" s="194"/>
    </row>
    <row r="79" spans="1:21" ht="12" customHeight="1" thickBot="1" x14ac:dyDescent="0.25">
      <c r="A79" s="166"/>
      <c r="B79" s="166"/>
      <c r="C79" s="194"/>
      <c r="I79" s="194" t="s">
        <v>194</v>
      </c>
      <c r="J79" s="194"/>
      <c r="K79" s="194"/>
      <c r="L79" s="194"/>
      <c r="M79" s="190">
        <v>0</v>
      </c>
    </row>
    <row r="80" spans="1:21" ht="12" customHeight="1" thickTop="1" thickBot="1" x14ac:dyDescent="0.25">
      <c r="A80" s="166"/>
      <c r="B80" s="166"/>
      <c r="C80" s="194"/>
      <c r="I80" s="194" t="s">
        <v>270</v>
      </c>
      <c r="J80" s="194"/>
      <c r="K80" s="194"/>
      <c r="L80" s="194"/>
      <c r="M80" s="190">
        <f>+M77-M79</f>
        <v>820352992.85632944</v>
      </c>
    </row>
    <row r="81" spans="1:19" ht="12" customHeight="1" thickTop="1" x14ac:dyDescent="0.2">
      <c r="A81" s="166"/>
      <c r="B81" s="166"/>
      <c r="C81" s="194"/>
      <c r="I81" s="194"/>
      <c r="J81" s="194"/>
      <c r="K81" s="194"/>
      <c r="L81" s="194"/>
      <c r="M81" s="194"/>
    </row>
    <row r="82" spans="1:19" ht="12" customHeight="1" x14ac:dyDescent="0.2">
      <c r="A82" s="224"/>
      <c r="B82" s="284"/>
      <c r="C82" s="1329" t="s">
        <v>334</v>
      </c>
      <c r="D82" s="1330"/>
      <c r="E82" s="1329" t="s">
        <v>335</v>
      </c>
      <c r="F82" s="1330"/>
      <c r="I82" s="194"/>
      <c r="J82" s="194"/>
      <c r="K82" s="194"/>
      <c r="L82" s="194"/>
      <c r="M82" s="194"/>
    </row>
    <row r="83" spans="1:19" ht="12" customHeight="1" x14ac:dyDescent="0.2">
      <c r="A83" s="224" t="s">
        <v>336</v>
      </c>
      <c r="B83" s="284"/>
      <c r="C83" s="1331">
        <v>-4289121.8657537363</v>
      </c>
      <c r="D83" s="1331"/>
      <c r="E83" s="1332">
        <v>27626774.551779941</v>
      </c>
      <c r="F83" s="1332"/>
      <c r="I83" s="194"/>
      <c r="J83" s="194"/>
      <c r="K83" s="194"/>
      <c r="L83" s="194"/>
      <c r="M83" s="194"/>
    </row>
    <row r="84" spans="1:19" ht="12" customHeight="1" x14ac:dyDescent="0.2">
      <c r="A84" s="224" t="s">
        <v>337</v>
      </c>
      <c r="B84" s="284"/>
      <c r="C84" s="1333">
        <v>0</v>
      </c>
      <c r="D84" s="1333"/>
      <c r="E84" s="1333">
        <v>0</v>
      </c>
      <c r="F84" s="1333"/>
      <c r="I84" s="194"/>
      <c r="J84" s="194"/>
      <c r="K84" s="194"/>
      <c r="L84" s="194"/>
      <c r="M84" s="194"/>
    </row>
    <row r="85" spans="1:19" ht="12" customHeight="1" thickBot="1" x14ac:dyDescent="0.25">
      <c r="A85" s="284" t="s">
        <v>338</v>
      </c>
      <c r="B85" s="284"/>
      <c r="C85" s="1327">
        <f>SUM(C83:D84)</f>
        <v>-4289121.8657537363</v>
      </c>
      <c r="D85" s="1327"/>
      <c r="E85" s="1327">
        <f>SUM(E83:F84)</f>
        <v>27626774.551779941</v>
      </c>
      <c r="F85" s="1327"/>
      <c r="I85" s="194"/>
      <c r="J85" s="194"/>
      <c r="K85" s="194"/>
      <c r="L85" s="194"/>
      <c r="M85" s="194"/>
    </row>
    <row r="86" spans="1:19" ht="12" customHeight="1" thickTop="1" x14ac:dyDescent="0.2"/>
    <row r="87" spans="1:19" ht="12" customHeight="1" thickBot="1" x14ac:dyDescent="0.25"/>
    <row r="88" spans="1:19" ht="12" customHeight="1" x14ac:dyDescent="0.2">
      <c r="K88" s="321">
        <v>-308352206.51073253</v>
      </c>
      <c r="L88" s="322">
        <f>-C85</f>
        <v>4289121.8657537363</v>
      </c>
      <c r="M88" s="323" t="s">
        <v>349</v>
      </c>
      <c r="N88" s="324"/>
      <c r="O88" s="325"/>
    </row>
    <row r="89" spans="1:19" x14ac:dyDescent="0.2">
      <c r="K89" s="326">
        <f>+L77-K88</f>
        <v>922894172.61782587</v>
      </c>
      <c r="L89" s="232">
        <f>+L88+M77</f>
        <v>824642114.72208321</v>
      </c>
      <c r="M89" s="154" t="s">
        <v>350</v>
      </c>
      <c r="N89" s="327"/>
      <c r="O89" s="328"/>
    </row>
    <row r="90" spans="1:19" x14ac:dyDescent="0.2">
      <c r="K90" s="329"/>
      <c r="L90" s="154">
        <f>-E85</f>
        <v>-27626774.551779941</v>
      </c>
      <c r="M90" s="154" t="s">
        <v>351</v>
      </c>
      <c r="N90" s="327"/>
      <c r="O90" s="328"/>
    </row>
    <row r="91" spans="1:19" ht="12" thickBot="1" x14ac:dyDescent="0.25">
      <c r="K91" s="330"/>
      <c r="L91" s="331">
        <f>+L89-L90</f>
        <v>852268889.2738632</v>
      </c>
      <c r="M91" s="332" t="s">
        <v>352</v>
      </c>
      <c r="N91" s="333"/>
      <c r="O91" s="334"/>
    </row>
    <row r="92" spans="1:19" ht="12" x14ac:dyDescent="0.2">
      <c r="K92"/>
      <c r="L92" s="335">
        <f>+L91-K89</f>
        <v>-70625283.343962669</v>
      </c>
      <c r="M92"/>
      <c r="N92"/>
      <c r="O92"/>
    </row>
    <row r="95" spans="1:19" s="166" customFormat="1" x14ac:dyDescent="0.2">
      <c r="C95" s="164"/>
      <c r="D95" s="165"/>
      <c r="E95" s="165"/>
      <c r="F95" s="165"/>
      <c r="G95" s="165"/>
      <c r="H95" s="165"/>
      <c r="I95" s="164"/>
      <c r="J95" s="164"/>
      <c r="K95" s="164"/>
      <c r="L95" s="164"/>
      <c r="M95" s="164"/>
      <c r="N95" s="164"/>
      <c r="Q95" s="165"/>
      <c r="S95" s="146"/>
    </row>
  </sheetData>
  <mergeCells count="9">
    <mergeCell ref="C85:D85"/>
    <mergeCell ref="E85:F85"/>
    <mergeCell ref="O2:P2"/>
    <mergeCell ref="C82:D82"/>
    <mergeCell ref="E82:F82"/>
    <mergeCell ref="C83:D83"/>
    <mergeCell ref="E83:F83"/>
    <mergeCell ref="C84:D84"/>
    <mergeCell ref="E84:F84"/>
  </mergeCells>
  <pageMargins left="0.39370078740157483" right="0.19685039370078741" top="0.19685039370078741" bottom="0.19685039370078741" header="0.19685039370078741" footer="0.19685039370078741"/>
  <pageSetup paperSize="9" scale="86" fitToHeight="0" orientation="landscape" r:id="rId1"/>
  <rowBreaks count="2" manualBreakCount="2">
    <brk id="38" max="15" man="1"/>
    <brk id="77" max="1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view="pageBreakPreview" zoomScaleSheetLayoutView="100" workbookViewId="0">
      <selection activeCell="G18" sqref="G18"/>
    </sheetView>
  </sheetViews>
  <sheetFormatPr defaultColWidth="9" defaultRowHeight="10.5" x14ac:dyDescent="0.15"/>
  <cols>
    <col min="1" max="1" width="2.5" style="410" customWidth="1"/>
    <col min="2" max="2" width="7" style="410" customWidth="1"/>
    <col min="3" max="3" width="9.5" style="410" customWidth="1"/>
    <col min="4" max="4" width="19.875" style="410" hidden="1" customWidth="1"/>
    <col min="5" max="5" width="9.75" style="410" bestFit="1" customWidth="1"/>
    <col min="6" max="6" width="14" style="428" bestFit="1" customWidth="1"/>
    <col min="7" max="7" width="14.75" style="410" bestFit="1" customWidth="1"/>
    <col min="8" max="8" width="12.375" style="410" customWidth="1"/>
    <col min="9" max="16384" width="9" style="410"/>
  </cols>
  <sheetData>
    <row r="1" spans="2:12" ht="11.25" x14ac:dyDescent="0.2">
      <c r="B1" s="1382" t="s">
        <v>170</v>
      </c>
      <c r="C1" s="1382"/>
      <c r="D1" s="1382"/>
      <c r="E1" s="1382"/>
      <c r="F1" s="1382"/>
      <c r="G1" s="1382"/>
      <c r="H1" s="159"/>
    </row>
    <row r="2" spans="2:12" ht="11.25" x14ac:dyDescent="0.2">
      <c r="B2" s="1382" t="s">
        <v>386</v>
      </c>
      <c r="C2" s="1382"/>
      <c r="D2" s="68"/>
      <c r="E2" s="150"/>
      <c r="F2" s="411"/>
      <c r="G2" s="411"/>
      <c r="H2" s="159"/>
    </row>
    <row r="3" spans="2:12" ht="11.25" x14ac:dyDescent="0.2">
      <c r="B3" s="166" t="s">
        <v>171</v>
      </c>
      <c r="C3" s="266">
        <v>42829</v>
      </c>
      <c r="D3" s="159"/>
      <c r="E3" s="160"/>
      <c r="F3" s="169"/>
      <c r="G3" s="169"/>
      <c r="H3" s="159"/>
    </row>
    <row r="4" spans="2:12" ht="11.25" x14ac:dyDescent="0.2">
      <c r="B4" s="159"/>
      <c r="C4" s="269"/>
      <c r="D4" s="159"/>
      <c r="E4" s="160"/>
      <c r="F4" s="169"/>
      <c r="G4" s="169"/>
      <c r="H4" s="159"/>
    </row>
    <row r="5" spans="2:12" s="68" customFormat="1" ht="12" customHeight="1" x14ac:dyDescent="0.2">
      <c r="B5" s="58" t="s">
        <v>395</v>
      </c>
      <c r="C5" s="143"/>
      <c r="E5" s="150"/>
      <c r="F5" s="412"/>
      <c r="G5" s="411"/>
    </row>
    <row r="6" spans="2:12" s="68" customFormat="1" ht="12" customHeight="1" x14ac:dyDescent="0.2">
      <c r="B6" s="65"/>
      <c r="C6" s="287"/>
      <c r="D6" s="59"/>
      <c r="E6" s="60"/>
      <c r="F6" s="413"/>
      <c r="G6" s="414"/>
      <c r="H6" s="59"/>
      <c r="L6" s="150"/>
    </row>
    <row r="7" spans="2:12" s="68" customFormat="1" ht="12" customHeight="1" x14ac:dyDescent="0.2">
      <c r="B7" s="59" t="s">
        <v>387</v>
      </c>
      <c r="C7" s="415"/>
      <c r="D7" s="59"/>
      <c r="E7" s="60"/>
      <c r="G7" s="60">
        <v>1715500</v>
      </c>
      <c r="H7" s="59"/>
      <c r="L7" s="150"/>
    </row>
    <row r="8" spans="2:12" s="58" customFormat="1" ht="12" customHeight="1" x14ac:dyDescent="0.2">
      <c r="B8" s="65"/>
      <c r="C8" s="416"/>
      <c r="D8" s="65"/>
      <c r="E8" s="154"/>
      <c r="F8" s="417"/>
      <c r="G8" s="418"/>
      <c r="H8" s="65"/>
      <c r="L8" s="150"/>
    </row>
    <row r="9" spans="2:12" s="58" customFormat="1" ht="12" customHeight="1" x14ac:dyDescent="0.2">
      <c r="B9" s="1387" t="s">
        <v>396</v>
      </c>
      <c r="C9" s="1387"/>
      <c r="D9" s="1387"/>
      <c r="E9" s="1387"/>
      <c r="F9" s="1387"/>
      <c r="G9" s="154">
        <f>+ROUND((G7/100)*100,0)</f>
        <v>1715500</v>
      </c>
      <c r="H9" s="154">
        <f>+G7*100%</f>
        <v>1715500</v>
      </c>
    </row>
    <row r="10" spans="2:12" s="58" customFormat="1" ht="12" customHeight="1" x14ac:dyDescent="0.2">
      <c r="B10" s="1387"/>
      <c r="C10" s="1387"/>
      <c r="D10" s="1387"/>
      <c r="E10" s="1387"/>
      <c r="F10" s="1387"/>
      <c r="G10" s="418"/>
      <c r="H10" s="65"/>
    </row>
    <row r="11" spans="2:12" s="58" customFormat="1" ht="12" customHeight="1" x14ac:dyDescent="0.2">
      <c r="B11" s="65" t="s">
        <v>388</v>
      </c>
      <c r="C11" s="416"/>
      <c r="D11" s="65"/>
      <c r="E11" s="154"/>
      <c r="F11" s="417"/>
      <c r="G11" s="154">
        <f>+G7+G9</f>
        <v>3431000</v>
      </c>
      <c r="H11" s="65"/>
    </row>
    <row r="12" spans="2:12" s="68" customFormat="1" ht="12" customHeight="1" x14ac:dyDescent="0.2">
      <c r="B12" s="59"/>
      <c r="C12" s="132"/>
      <c r="D12" s="59"/>
      <c r="E12" s="60"/>
      <c r="F12" s="413"/>
      <c r="G12" s="414"/>
      <c r="H12" s="59"/>
    </row>
    <row r="13" spans="2:12" s="58" customFormat="1" ht="12" customHeight="1" x14ac:dyDescent="0.2">
      <c r="B13" s="65"/>
      <c r="C13" s="416"/>
      <c r="D13" s="65"/>
      <c r="E13" s="154"/>
      <c r="F13" s="417"/>
      <c r="G13" s="418"/>
      <c r="H13" s="65"/>
    </row>
    <row r="14" spans="2:12" s="58" customFormat="1" ht="12" customHeight="1" x14ac:dyDescent="0.2">
      <c r="B14" s="65"/>
      <c r="C14" s="416"/>
      <c r="D14" s="65"/>
      <c r="E14" s="154"/>
      <c r="F14" s="417"/>
      <c r="G14" s="154"/>
      <c r="H14" s="65"/>
    </row>
    <row r="15" spans="2:12" s="58" customFormat="1" ht="12" customHeight="1" x14ac:dyDescent="0.2">
      <c r="B15" s="65"/>
      <c r="C15" s="416"/>
      <c r="D15" s="65"/>
      <c r="E15" s="154"/>
      <c r="F15" s="417"/>
      <c r="G15" s="418"/>
      <c r="H15" s="65"/>
    </row>
    <row r="16" spans="2:12" s="58" customFormat="1" ht="12" customHeight="1" x14ac:dyDescent="0.2">
      <c r="B16" s="65" t="s">
        <v>389</v>
      </c>
      <c r="C16" s="416"/>
      <c r="D16" s="65"/>
      <c r="E16" s="154"/>
      <c r="F16" s="417"/>
      <c r="G16" s="418"/>
      <c r="H16" s="65"/>
    </row>
    <row r="17" spans="1:8" s="68" customFormat="1" ht="12" customHeight="1" x14ac:dyDescent="0.2">
      <c r="B17" s="59"/>
      <c r="C17" s="132"/>
      <c r="D17" s="59"/>
      <c r="E17" s="60"/>
      <c r="F17" s="419"/>
      <c r="G17" s="414"/>
      <c r="H17" s="59"/>
    </row>
    <row r="18" spans="1:8" s="58" customFormat="1" ht="12" customHeight="1" x14ac:dyDescent="0.2">
      <c r="A18" s="420"/>
      <c r="B18" s="65" t="s">
        <v>390</v>
      </c>
      <c r="C18" s="416"/>
      <c r="D18" s="65"/>
      <c r="E18" s="154"/>
      <c r="F18" s="418">
        <v>140.41999999999999</v>
      </c>
      <c r="G18" s="421">
        <f>+G7*F18</f>
        <v>240890509.99999997</v>
      </c>
      <c r="H18" s="65"/>
    </row>
    <row r="19" spans="1:8" s="58" customFormat="1" ht="12" customHeight="1" x14ac:dyDescent="0.2">
      <c r="A19" s="420"/>
      <c r="B19" s="65"/>
      <c r="C19" s="416"/>
      <c r="D19" s="65"/>
      <c r="E19" s="154"/>
      <c r="F19" s="422"/>
      <c r="G19" s="154"/>
      <c r="H19" s="65"/>
    </row>
    <row r="20" spans="1:8" s="58" customFormat="1" ht="12" customHeight="1" x14ac:dyDescent="0.2">
      <c r="A20" s="420"/>
      <c r="B20" s="65" t="s">
        <v>397</v>
      </c>
      <c r="C20" s="416"/>
      <c r="D20" s="65"/>
      <c r="E20" s="154"/>
      <c r="F20" s="154">
        <v>10</v>
      </c>
      <c r="G20" s="418">
        <f>+G9*F20</f>
        <v>17155000</v>
      </c>
      <c r="H20" s="65"/>
    </row>
    <row r="21" spans="1:8" s="68" customFormat="1" ht="12" customHeight="1" x14ac:dyDescent="0.2">
      <c r="B21" s="59"/>
      <c r="C21" s="132"/>
      <c r="D21" s="59"/>
      <c r="E21" s="60"/>
      <c r="F21" s="423"/>
      <c r="G21" s="414"/>
      <c r="H21" s="59"/>
    </row>
    <row r="22" spans="1:8" s="68" customFormat="1" ht="12" customHeight="1" x14ac:dyDescent="0.2">
      <c r="B22" s="59"/>
      <c r="C22" s="132"/>
      <c r="D22" s="59"/>
      <c r="E22" s="60"/>
      <c r="F22" s="423"/>
      <c r="G22" s="418">
        <f>SUM(G18:G20)</f>
        <v>258045509.99999997</v>
      </c>
      <c r="H22" s="59"/>
    </row>
    <row r="23" spans="1:8" s="68" customFormat="1" ht="12" customHeight="1" x14ac:dyDescent="0.2">
      <c r="B23" s="59"/>
      <c r="C23" s="132"/>
      <c r="D23" s="59"/>
      <c r="E23" s="60"/>
      <c r="F23" s="423"/>
      <c r="G23" s="414"/>
      <c r="H23" s="59"/>
    </row>
    <row r="24" spans="1:8" s="68" customFormat="1" ht="12" customHeight="1" x14ac:dyDescent="0.2">
      <c r="B24" s="59" t="s">
        <v>391</v>
      </c>
      <c r="C24" s="132"/>
      <c r="D24" s="59"/>
      <c r="E24" s="60"/>
      <c r="F24" s="423"/>
      <c r="G24" s="414">
        <f>+G11</f>
        <v>3431000</v>
      </c>
      <c r="H24" s="59"/>
    </row>
    <row r="25" spans="1:8" s="424" customFormat="1" ht="11.25" x14ac:dyDescent="0.2">
      <c r="B25" s="59"/>
      <c r="C25" s="132"/>
      <c r="D25" s="59"/>
      <c r="E25" s="60"/>
      <c r="F25" s="413"/>
      <c r="G25" s="414"/>
      <c r="H25" s="59"/>
    </row>
    <row r="26" spans="1:8" ht="11.25" thickBot="1" x14ac:dyDescent="0.2">
      <c r="B26" s="425" t="s">
        <v>392</v>
      </c>
      <c r="C26" s="425"/>
      <c r="D26" s="425"/>
      <c r="E26" s="425"/>
      <c r="F26" s="426"/>
      <c r="G26" s="427">
        <f>+G22/G24</f>
        <v>75.209999999999994</v>
      </c>
    </row>
    <row r="27" spans="1:8" ht="12" thickTop="1" x14ac:dyDescent="0.2">
      <c r="B27" s="425"/>
      <c r="C27" s="425"/>
      <c r="D27" s="425"/>
      <c r="E27" s="154"/>
      <c r="F27" s="417"/>
      <c r="G27" s="154"/>
      <c r="H27" s="425"/>
    </row>
    <row r="28" spans="1:8" x14ac:dyDescent="0.15">
      <c r="B28" s="425"/>
      <c r="C28" s="425"/>
      <c r="D28" s="425"/>
      <c r="E28" s="425"/>
      <c r="F28" s="426"/>
      <c r="G28" s="429">
        <v>75.209999999999994</v>
      </c>
    </row>
    <row r="29" spans="1:8" x14ac:dyDescent="0.15">
      <c r="B29" s="425"/>
      <c r="C29" s="425"/>
      <c r="D29" s="425"/>
      <c r="E29" s="425"/>
      <c r="F29" s="426"/>
      <c r="G29" s="425"/>
      <c r="H29" s="425"/>
    </row>
    <row r="30" spans="1:8" x14ac:dyDescent="0.15">
      <c r="B30" s="425"/>
      <c r="C30" s="425"/>
      <c r="D30" s="425"/>
      <c r="E30" s="425"/>
      <c r="F30" s="426" t="s">
        <v>25</v>
      </c>
      <c r="G30" s="430">
        <f>+G28-G26</f>
        <v>0</v>
      </c>
    </row>
    <row r="31" spans="1:8" x14ac:dyDescent="0.15">
      <c r="B31" s="425"/>
      <c r="C31" s="425"/>
      <c r="D31" s="425"/>
      <c r="E31" s="425"/>
      <c r="F31" s="426"/>
      <c r="G31" s="425"/>
      <c r="H31" s="425"/>
    </row>
    <row r="32" spans="1:8" x14ac:dyDescent="0.15">
      <c r="F32" s="426" t="s">
        <v>25</v>
      </c>
      <c r="G32" s="435">
        <f>+G30*G11</f>
        <v>0</v>
      </c>
    </row>
  </sheetData>
  <mergeCells count="3">
    <mergeCell ref="B1:G1"/>
    <mergeCell ref="B2:C2"/>
    <mergeCell ref="B9:F10"/>
  </mergeCells>
  <pageMargins left="0.70866141732283472" right="0.19685039370078741" top="0.19685039370078741" bottom="0.19685039370078741" header="0.19685039370078741" footer="0.19685039370078741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view="pageBreakPreview" zoomScaleSheetLayoutView="100" workbookViewId="0">
      <selection activeCell="G18" sqref="G18"/>
    </sheetView>
  </sheetViews>
  <sheetFormatPr defaultColWidth="9" defaultRowHeight="10.5" x14ac:dyDescent="0.15"/>
  <cols>
    <col min="1" max="1" width="2.5" style="410" customWidth="1"/>
    <col min="2" max="2" width="7" style="410" customWidth="1"/>
    <col min="3" max="3" width="9.5" style="410" customWidth="1"/>
    <col min="4" max="4" width="19.875" style="410" hidden="1" customWidth="1"/>
    <col min="5" max="5" width="9.75" style="410" bestFit="1" customWidth="1"/>
    <col min="6" max="6" width="14" style="428" bestFit="1" customWidth="1"/>
    <col min="7" max="7" width="14.75" style="410" bestFit="1" customWidth="1"/>
    <col min="8" max="8" width="12.375" style="410" customWidth="1"/>
    <col min="9" max="11" width="9" style="410"/>
    <col min="12" max="12" width="10.5" style="410" bestFit="1" customWidth="1"/>
    <col min="13" max="16384" width="9" style="410"/>
  </cols>
  <sheetData>
    <row r="1" spans="2:14" ht="11.25" x14ac:dyDescent="0.2">
      <c r="B1" s="1382" t="s">
        <v>170</v>
      </c>
      <c r="C1" s="1382"/>
      <c r="D1" s="1382"/>
      <c r="E1" s="1382"/>
      <c r="F1" s="1382"/>
      <c r="G1" s="1382"/>
      <c r="H1" s="159"/>
    </row>
    <row r="2" spans="2:14" ht="11.25" x14ac:dyDescent="0.2">
      <c r="B2" s="1382" t="s">
        <v>386</v>
      </c>
      <c r="C2" s="1382"/>
      <c r="D2" s="68"/>
      <c r="E2" s="150"/>
      <c r="F2" s="411"/>
      <c r="G2" s="411"/>
      <c r="H2" s="159"/>
    </row>
    <row r="3" spans="2:14" ht="11.25" x14ac:dyDescent="0.2">
      <c r="B3" s="166" t="s">
        <v>171</v>
      </c>
      <c r="C3" s="266">
        <v>42810</v>
      </c>
      <c r="D3" s="159"/>
      <c r="E3" s="160"/>
      <c r="F3" s="169"/>
      <c r="G3" s="169"/>
      <c r="H3" s="159"/>
    </row>
    <row r="4" spans="2:14" ht="11.25" x14ac:dyDescent="0.2">
      <c r="B4" s="159"/>
      <c r="C4" s="269"/>
      <c r="D4" s="159"/>
      <c r="E4" s="160"/>
      <c r="F4" s="169"/>
      <c r="G4" s="169"/>
      <c r="H4" s="159"/>
    </row>
    <row r="5" spans="2:14" s="68" customFormat="1" ht="12" customHeight="1" x14ac:dyDescent="0.2">
      <c r="B5" s="58" t="s">
        <v>179</v>
      </c>
      <c r="C5" s="143"/>
      <c r="E5" s="150"/>
      <c r="F5" s="412"/>
      <c r="G5" s="411"/>
    </row>
    <row r="6" spans="2:14" s="68" customFormat="1" ht="12" customHeight="1" x14ac:dyDescent="0.2">
      <c r="B6" s="65"/>
      <c r="C6" s="287"/>
      <c r="D6" s="59"/>
      <c r="E6" s="60"/>
      <c r="F6" s="413"/>
      <c r="G6" s="414"/>
      <c r="H6" s="59"/>
      <c r="K6" s="68">
        <v>636385</v>
      </c>
      <c r="L6" s="150">
        <f>+K6/$K$9*18</f>
        <v>16.23392010113135</v>
      </c>
    </row>
    <row r="7" spans="2:14" s="68" customFormat="1" ht="12" customHeight="1" x14ac:dyDescent="0.2">
      <c r="B7" s="59" t="s">
        <v>387</v>
      </c>
      <c r="C7" s="415"/>
      <c r="D7" s="59"/>
      <c r="E7" s="60"/>
      <c r="G7" s="60">
        <v>3447000</v>
      </c>
      <c r="H7" s="59"/>
      <c r="K7" s="68">
        <v>25662</v>
      </c>
      <c r="L7" s="150">
        <f t="shared" ref="L7:L8" si="0">+K7/$K$9*18</f>
        <v>0.65462708523179003</v>
      </c>
    </row>
    <row r="8" spans="2:14" s="58" customFormat="1" ht="12" customHeight="1" x14ac:dyDescent="0.2">
      <c r="B8" s="65"/>
      <c r="C8" s="416"/>
      <c r="D8" s="65"/>
      <c r="E8" s="154"/>
      <c r="F8" s="417"/>
      <c r="G8" s="418"/>
      <c r="H8" s="65"/>
      <c r="K8" s="58">
        <v>43570</v>
      </c>
      <c r="L8" s="150">
        <f t="shared" si="0"/>
        <v>1.1114528136368595</v>
      </c>
    </row>
    <row r="9" spans="2:14" s="58" customFormat="1" ht="12" customHeight="1" x14ac:dyDescent="0.2">
      <c r="B9" s="1387" t="s">
        <v>394</v>
      </c>
      <c r="C9" s="1387"/>
      <c r="D9" s="1387"/>
      <c r="E9" s="1387"/>
      <c r="F9" s="1387"/>
      <c r="G9" s="154">
        <f>+ROUND((G7/100)*18.462,0)-16</f>
        <v>636369</v>
      </c>
      <c r="H9" s="154">
        <f>+G7*18.642%</f>
        <v>642589.74</v>
      </c>
      <c r="K9" s="58">
        <f>SUM(K6:K8)</f>
        <v>705617</v>
      </c>
    </row>
    <row r="10" spans="2:14" s="58" customFormat="1" ht="12" customHeight="1" x14ac:dyDescent="0.2">
      <c r="B10" s="1387"/>
      <c r="C10" s="1387"/>
      <c r="D10" s="1387"/>
      <c r="E10" s="1387"/>
      <c r="F10" s="1387"/>
      <c r="G10" s="418"/>
      <c r="H10" s="65"/>
    </row>
    <row r="11" spans="2:14" s="58" customFormat="1" ht="12" customHeight="1" x14ac:dyDescent="0.2">
      <c r="B11" s="65" t="s">
        <v>388</v>
      </c>
      <c r="C11" s="416"/>
      <c r="D11" s="65"/>
      <c r="E11" s="154"/>
      <c r="F11" s="417"/>
      <c r="G11" s="154">
        <f>+G7+G9</f>
        <v>4083369</v>
      </c>
      <c r="H11" s="65"/>
    </row>
    <row r="12" spans="2:14" s="68" customFormat="1" ht="12" customHeight="1" x14ac:dyDescent="0.2">
      <c r="B12" s="59"/>
      <c r="C12" s="132"/>
      <c r="D12" s="59"/>
      <c r="E12" s="60"/>
      <c r="F12" s="413"/>
      <c r="G12" s="414"/>
      <c r="H12" s="59"/>
      <c r="M12" s="150"/>
    </row>
    <row r="13" spans="2:14" s="58" customFormat="1" ht="12" customHeight="1" x14ac:dyDescent="0.2">
      <c r="B13" s="65"/>
      <c r="C13" s="416"/>
      <c r="D13" s="65"/>
      <c r="E13" s="154"/>
      <c r="F13" s="417"/>
      <c r="G13" s="418"/>
      <c r="H13" s="65"/>
      <c r="L13" s="150">
        <f>+M13/$M$16*$L$16</f>
        <v>15909224.426221764</v>
      </c>
      <c r="M13" s="150">
        <v>636368.76607989904</v>
      </c>
      <c r="N13" s="58" t="s">
        <v>353</v>
      </c>
    </row>
    <row r="14" spans="2:14" s="58" customFormat="1" ht="12" customHeight="1" x14ac:dyDescent="0.2">
      <c r="B14" s="65"/>
      <c r="C14" s="416"/>
      <c r="D14" s="65"/>
      <c r="E14" s="154"/>
      <c r="F14" s="417"/>
      <c r="G14" s="154"/>
      <c r="H14" s="65"/>
      <c r="L14" s="150">
        <f>+M14/$M$16*$L$16</f>
        <v>641525.21267836611</v>
      </c>
      <c r="M14" s="150">
        <v>25661</v>
      </c>
      <c r="N14" s="58" t="s">
        <v>400</v>
      </c>
    </row>
    <row r="15" spans="2:14" s="58" customFormat="1" ht="12" customHeight="1" x14ac:dyDescent="0.2">
      <c r="B15" s="65"/>
      <c r="C15" s="416"/>
      <c r="D15" s="65"/>
      <c r="E15" s="154"/>
      <c r="F15" s="417"/>
      <c r="G15" s="418"/>
      <c r="H15" s="65"/>
      <c r="L15" s="150">
        <f>+M15/$M$16*$L$16</f>
        <v>1089225.361099869</v>
      </c>
      <c r="M15" s="150">
        <v>43569</v>
      </c>
      <c r="N15" s="58" t="s">
        <v>401</v>
      </c>
    </row>
    <row r="16" spans="2:14" s="58" customFormat="1" ht="12" customHeight="1" x14ac:dyDescent="0.2">
      <c r="B16" s="65" t="s">
        <v>389</v>
      </c>
      <c r="C16" s="416"/>
      <c r="D16" s="65"/>
      <c r="E16" s="154"/>
      <c r="F16" s="417"/>
      <c r="G16" s="418"/>
      <c r="H16" s="65"/>
      <c r="L16" s="420">
        <v>17639975</v>
      </c>
      <c r="M16" s="439">
        <f>SUM(M13:M15)</f>
        <v>705598.76607989904</v>
      </c>
    </row>
    <row r="17" spans="1:9" s="68" customFormat="1" ht="12" customHeight="1" x14ac:dyDescent="0.2">
      <c r="B17" s="59"/>
      <c r="C17" s="132"/>
      <c r="D17" s="59"/>
      <c r="E17" s="60"/>
      <c r="F17" s="419"/>
      <c r="G17" s="414"/>
      <c r="H17" s="59"/>
    </row>
    <row r="18" spans="1:9" s="58" customFormat="1" ht="12" customHeight="1" x14ac:dyDescent="0.2">
      <c r="A18" s="420"/>
      <c r="B18" s="65" t="s">
        <v>390</v>
      </c>
      <c r="C18" s="416"/>
      <c r="D18" s="65"/>
      <c r="E18" s="154"/>
      <c r="F18" s="418">
        <v>39.99</v>
      </c>
      <c r="G18" s="421">
        <f>+G7*F18</f>
        <v>137845530</v>
      </c>
      <c r="H18" s="65"/>
      <c r="I18" s="58" t="e">
        <f>+G18=#REF!</f>
        <v>#REF!</v>
      </c>
    </row>
    <row r="19" spans="1:9" s="58" customFormat="1" ht="12" customHeight="1" x14ac:dyDescent="0.2">
      <c r="A19" s="420"/>
      <c r="B19" s="65"/>
      <c r="C19" s="416"/>
      <c r="D19" s="65"/>
      <c r="E19" s="154"/>
      <c r="F19" s="422"/>
      <c r="G19" s="154"/>
      <c r="H19" s="65"/>
    </row>
    <row r="20" spans="1:9" s="58" customFormat="1" ht="12" customHeight="1" x14ac:dyDescent="0.2">
      <c r="A20" s="420"/>
      <c r="B20" s="65" t="s">
        <v>393</v>
      </c>
      <c r="C20" s="416"/>
      <c r="D20" s="65"/>
      <c r="E20" s="154"/>
      <c r="F20" s="154">
        <f>+G9</f>
        <v>636369</v>
      </c>
      <c r="G20" s="418">
        <f>+F20*25</f>
        <v>15909225</v>
      </c>
      <c r="H20" s="65"/>
    </row>
    <row r="21" spans="1:9" s="68" customFormat="1" ht="12" customHeight="1" x14ac:dyDescent="0.2">
      <c r="B21" s="59"/>
      <c r="C21" s="132"/>
      <c r="D21" s="59"/>
      <c r="E21" s="60"/>
      <c r="F21" s="423"/>
      <c r="G21" s="414"/>
      <c r="H21" s="59"/>
    </row>
    <row r="22" spans="1:9" s="68" customFormat="1" ht="12" customHeight="1" x14ac:dyDescent="0.2">
      <c r="B22" s="59"/>
      <c r="C22" s="132"/>
      <c r="D22" s="59"/>
      <c r="E22" s="60"/>
      <c r="F22" s="423"/>
      <c r="G22" s="418">
        <f>SUM(G18:G20)</f>
        <v>153754755</v>
      </c>
      <c r="H22" s="59"/>
    </row>
    <row r="23" spans="1:9" s="68" customFormat="1" ht="12" customHeight="1" x14ac:dyDescent="0.2">
      <c r="B23" s="59"/>
      <c r="C23" s="132"/>
      <c r="D23" s="59"/>
      <c r="E23" s="60"/>
      <c r="F23" s="423"/>
      <c r="G23" s="414"/>
      <c r="H23" s="59"/>
    </row>
    <row r="24" spans="1:9" s="68" customFormat="1" ht="12" customHeight="1" x14ac:dyDescent="0.2">
      <c r="B24" s="59" t="s">
        <v>391</v>
      </c>
      <c r="C24" s="132"/>
      <c r="D24" s="59"/>
      <c r="E24" s="60"/>
      <c r="F24" s="423"/>
      <c r="G24" s="414">
        <f>+G11</f>
        <v>4083369</v>
      </c>
      <c r="H24" s="59"/>
    </row>
    <row r="25" spans="1:9" s="424" customFormat="1" ht="11.25" x14ac:dyDescent="0.2">
      <c r="B25" s="59"/>
      <c r="C25" s="132"/>
      <c r="D25" s="59"/>
      <c r="E25" s="60"/>
      <c r="F25" s="413"/>
      <c r="G25" s="414"/>
      <c r="H25" s="59"/>
    </row>
    <row r="26" spans="1:9" ht="11.25" thickBot="1" x14ac:dyDescent="0.2">
      <c r="B26" s="425" t="s">
        <v>392</v>
      </c>
      <c r="C26" s="425"/>
      <c r="D26" s="425"/>
      <c r="E26" s="425"/>
      <c r="F26" s="426"/>
      <c r="G26" s="427">
        <f>+G22/G24</f>
        <v>37.6538968190237</v>
      </c>
    </row>
    <row r="27" spans="1:9" ht="12" thickTop="1" x14ac:dyDescent="0.2">
      <c r="B27" s="425"/>
      <c r="C27" s="425"/>
      <c r="D27" s="425"/>
      <c r="E27" s="154"/>
      <c r="F27" s="417"/>
      <c r="G27" s="154"/>
      <c r="H27" s="425"/>
    </row>
    <row r="28" spans="1:9" x14ac:dyDescent="0.15">
      <c r="B28" s="425"/>
      <c r="C28" s="425"/>
      <c r="D28" s="425"/>
      <c r="E28" s="425"/>
      <c r="F28" s="426"/>
      <c r="G28" s="429">
        <v>37.65</v>
      </c>
    </row>
    <row r="29" spans="1:9" x14ac:dyDescent="0.15">
      <c r="B29" s="425"/>
      <c r="C29" s="425"/>
      <c r="D29" s="425"/>
      <c r="E29" s="425"/>
      <c r="F29" s="426"/>
      <c r="G29" s="425"/>
      <c r="H29" s="425"/>
    </row>
    <row r="30" spans="1:9" x14ac:dyDescent="0.15">
      <c r="B30" s="425"/>
      <c r="C30" s="425"/>
      <c r="D30" s="425"/>
      <c r="E30" s="425"/>
      <c r="F30" s="426" t="s">
        <v>25</v>
      </c>
      <c r="G30" s="430">
        <f>+G28-G26</f>
        <v>-3.8968190237014255E-3</v>
      </c>
    </row>
    <row r="31" spans="1:9" x14ac:dyDescent="0.15">
      <c r="B31" s="425"/>
      <c r="C31" s="425"/>
      <c r="D31" s="425"/>
      <c r="E31" s="425"/>
      <c r="F31" s="426"/>
      <c r="G31" s="425"/>
      <c r="H31" s="425"/>
    </row>
    <row r="32" spans="1:9" x14ac:dyDescent="0.15">
      <c r="F32" s="426" t="s">
        <v>25</v>
      </c>
      <c r="G32" s="435">
        <f>+G30*G11</f>
        <v>-15912.149999992665</v>
      </c>
    </row>
  </sheetData>
  <mergeCells count="3">
    <mergeCell ref="B1:G1"/>
    <mergeCell ref="B2:C2"/>
    <mergeCell ref="B9:F10"/>
  </mergeCells>
  <pageMargins left="0.70866141732283472" right="0.19685039370078741" top="0.19685039370078741" bottom="0.19685039370078741" header="0.19685039370078741" footer="0.19685039370078741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view="pageBreakPreview" zoomScaleSheetLayoutView="100" workbookViewId="0">
      <selection activeCell="G18" sqref="G18"/>
    </sheetView>
  </sheetViews>
  <sheetFormatPr defaultColWidth="9" defaultRowHeight="10.5" x14ac:dyDescent="0.15"/>
  <cols>
    <col min="1" max="1" width="2.5" style="410" customWidth="1"/>
    <col min="2" max="2" width="7" style="410" customWidth="1"/>
    <col min="3" max="3" width="9.5" style="410" customWidth="1"/>
    <col min="4" max="4" width="19.875" style="410" hidden="1" customWidth="1"/>
    <col min="5" max="5" width="9.75" style="410" bestFit="1" customWidth="1"/>
    <col min="6" max="6" width="14" style="428" bestFit="1" customWidth="1"/>
    <col min="7" max="7" width="14.75" style="410" bestFit="1" customWidth="1"/>
    <col min="8" max="8" width="12.375" style="410" customWidth="1"/>
    <col min="9" max="9" width="9" style="410"/>
    <col min="10" max="10" width="7.375" style="410" bestFit="1" customWidth="1"/>
    <col min="11" max="11" width="7.875" style="410" bestFit="1" customWidth="1"/>
    <col min="12" max="12" width="8.625" style="410" bestFit="1" customWidth="1"/>
    <col min="13" max="13" width="41.125" style="410" bestFit="1" customWidth="1"/>
    <col min="14" max="16384" width="9" style="410"/>
  </cols>
  <sheetData>
    <row r="1" spans="2:13" ht="11.25" x14ac:dyDescent="0.2">
      <c r="B1" s="1382" t="s">
        <v>170</v>
      </c>
      <c r="C1" s="1382"/>
      <c r="D1" s="1382"/>
      <c r="E1" s="1382"/>
      <c r="F1" s="1382"/>
      <c r="G1" s="1382"/>
      <c r="H1" s="159"/>
    </row>
    <row r="2" spans="2:13" ht="11.25" x14ac:dyDescent="0.2">
      <c r="B2" s="1382" t="str">
        <f>+'NAV 22.07.2022'!A2</f>
        <v>CAPITAL GROWTH FUND</v>
      </c>
      <c r="C2" s="1382"/>
      <c r="D2" s="68"/>
      <c r="E2" s="150"/>
      <c r="F2" s="411"/>
      <c r="G2" s="411"/>
      <c r="H2" s="159"/>
    </row>
    <row r="3" spans="2:13" ht="11.25" x14ac:dyDescent="0.2">
      <c r="B3" s="166" t="s">
        <v>171</v>
      </c>
      <c r="C3" s="266">
        <v>43014</v>
      </c>
      <c r="D3" s="159"/>
      <c r="E3" s="160"/>
      <c r="F3" s="169"/>
      <c r="G3" s="169"/>
      <c r="H3" s="159"/>
    </row>
    <row r="4" spans="2:13" ht="11.25" x14ac:dyDescent="0.2">
      <c r="B4" s="159"/>
      <c r="C4" s="269"/>
      <c r="D4" s="159"/>
      <c r="E4" s="160"/>
      <c r="F4" s="169"/>
      <c r="G4" s="169"/>
      <c r="H4" s="159"/>
    </row>
    <row r="5" spans="2:13" s="68" customFormat="1" ht="12" customHeight="1" x14ac:dyDescent="0.2">
      <c r="B5" s="58" t="s">
        <v>126</v>
      </c>
      <c r="C5" s="143"/>
      <c r="E5" s="150"/>
      <c r="F5" s="412"/>
      <c r="G5" s="411"/>
    </row>
    <row r="6" spans="2:13" s="68" customFormat="1" ht="12" customHeight="1" thickBot="1" x14ac:dyDescent="0.25">
      <c r="B6" s="65"/>
      <c r="C6" s="287"/>
      <c r="D6" s="59"/>
      <c r="E6" s="60"/>
      <c r="F6" s="413"/>
      <c r="G6" s="414"/>
      <c r="H6" s="59"/>
      <c r="J6" s="68" t="s">
        <v>305</v>
      </c>
      <c r="K6" s="68" t="s">
        <v>407</v>
      </c>
      <c r="L6" s="150" t="s">
        <v>408</v>
      </c>
    </row>
    <row r="7" spans="2:13" s="68" customFormat="1" ht="12" customHeight="1" x14ac:dyDescent="0.2">
      <c r="B7" s="59" t="s">
        <v>387</v>
      </c>
      <c r="C7" s="415"/>
      <c r="D7" s="59"/>
      <c r="E7" s="60"/>
      <c r="G7" s="466">
        <v>1361940</v>
      </c>
      <c r="H7" s="59"/>
      <c r="J7" s="467" t="s">
        <v>409</v>
      </c>
      <c r="K7" s="468">
        <v>2556700</v>
      </c>
      <c r="L7" s="150">
        <f t="shared" ref="L7:L12" si="0">ROUNDDOWN(+K7/100*20,0)</f>
        <v>511340</v>
      </c>
      <c r="M7" s="150">
        <f t="shared" ref="M7:M13" si="1">+L7*165</f>
        <v>84371100</v>
      </c>
    </row>
    <row r="8" spans="2:13" s="58" customFormat="1" ht="12" customHeight="1" x14ac:dyDescent="0.2">
      <c r="B8" s="65"/>
      <c r="C8" s="416"/>
      <c r="D8" s="65"/>
      <c r="E8" s="154"/>
      <c r="F8" s="417"/>
      <c r="G8" s="469"/>
      <c r="H8" s="65"/>
      <c r="J8" s="470" t="s">
        <v>353</v>
      </c>
      <c r="K8" s="471">
        <v>1361940</v>
      </c>
      <c r="L8" s="150">
        <f t="shared" si="0"/>
        <v>272388</v>
      </c>
      <c r="M8" s="150">
        <f t="shared" si="1"/>
        <v>44944020</v>
      </c>
    </row>
    <row r="9" spans="2:13" s="58" customFormat="1" ht="12" customHeight="1" x14ac:dyDescent="0.2">
      <c r="B9" s="1387" t="s">
        <v>410</v>
      </c>
      <c r="C9" s="1387"/>
      <c r="D9" s="1387"/>
      <c r="E9" s="1387"/>
      <c r="F9" s="1387"/>
      <c r="G9" s="469">
        <f>+ROUNDDOWN((G7/100)*20,0)</f>
        <v>272388</v>
      </c>
      <c r="H9" s="472"/>
      <c r="J9" s="470" t="s">
        <v>411</v>
      </c>
      <c r="K9" s="471">
        <v>399600</v>
      </c>
      <c r="L9" s="150">
        <f t="shared" si="0"/>
        <v>79920</v>
      </c>
      <c r="M9" s="150">
        <f t="shared" si="1"/>
        <v>13186800</v>
      </c>
    </row>
    <row r="10" spans="2:13" s="58" customFormat="1" ht="12" customHeight="1" x14ac:dyDescent="0.2">
      <c r="B10" s="1387"/>
      <c r="C10" s="1387"/>
      <c r="D10" s="1387"/>
      <c r="E10" s="1387"/>
      <c r="F10" s="1387"/>
      <c r="G10" s="472"/>
      <c r="H10" s="65"/>
      <c r="J10" s="470" t="s">
        <v>321</v>
      </c>
      <c r="K10" s="471">
        <v>170100</v>
      </c>
      <c r="L10" s="150">
        <f t="shared" si="0"/>
        <v>34020</v>
      </c>
      <c r="M10" s="150">
        <f t="shared" si="1"/>
        <v>5613300</v>
      </c>
    </row>
    <row r="11" spans="2:13" s="58" customFormat="1" ht="12" customHeight="1" x14ac:dyDescent="0.2">
      <c r="B11" s="59" t="s">
        <v>388</v>
      </c>
      <c r="C11" s="132"/>
      <c r="D11" s="59"/>
      <c r="E11" s="60"/>
      <c r="F11" s="413"/>
      <c r="G11" s="469">
        <f>+G7+G9</f>
        <v>1634328</v>
      </c>
      <c r="H11" s="65"/>
      <c r="J11" s="470" t="s">
        <v>412</v>
      </c>
      <c r="K11" s="471">
        <v>44700</v>
      </c>
      <c r="L11" s="150">
        <f t="shared" si="0"/>
        <v>8940</v>
      </c>
      <c r="M11" s="150">
        <f t="shared" si="1"/>
        <v>1475100</v>
      </c>
    </row>
    <row r="12" spans="2:13" s="68" customFormat="1" ht="12" customHeight="1" x14ac:dyDescent="0.2">
      <c r="B12" s="59"/>
      <c r="C12" s="132"/>
      <c r="D12" s="59"/>
      <c r="E12" s="60"/>
      <c r="F12" s="413"/>
      <c r="G12" s="414"/>
      <c r="H12" s="59"/>
      <c r="J12" s="470" t="s">
        <v>401</v>
      </c>
      <c r="K12" s="471">
        <v>152100</v>
      </c>
      <c r="L12" s="150">
        <f t="shared" si="0"/>
        <v>30420</v>
      </c>
      <c r="M12" s="150">
        <f t="shared" si="1"/>
        <v>5019300</v>
      </c>
    </row>
    <row r="13" spans="2:13" s="58" customFormat="1" ht="12" customHeight="1" thickBot="1" x14ac:dyDescent="0.25">
      <c r="B13" s="65"/>
      <c r="C13" s="416"/>
      <c r="D13" s="65"/>
      <c r="E13" s="154"/>
      <c r="F13" s="417"/>
      <c r="G13" s="418"/>
      <c r="H13" s="65"/>
      <c r="J13" s="473"/>
      <c r="K13" s="474">
        <f>SUM(K7:K12)</f>
        <v>4685140</v>
      </c>
      <c r="L13" s="475">
        <f>SUM(L7:L12)</f>
        <v>937028</v>
      </c>
      <c r="M13" s="476">
        <f t="shared" si="1"/>
        <v>154609620</v>
      </c>
    </row>
    <row r="14" spans="2:13" s="58" customFormat="1" ht="12" customHeight="1" x14ac:dyDescent="0.2">
      <c r="B14" s="65"/>
      <c r="C14" s="416"/>
      <c r="D14" s="65"/>
      <c r="E14" s="154"/>
      <c r="F14" s="417"/>
      <c r="G14" s="154"/>
      <c r="H14" s="65"/>
      <c r="K14" s="58" t="b">
        <f>K13=G7</f>
        <v>0</v>
      </c>
      <c r="L14" s="421">
        <f>+L13-G9</f>
        <v>664640</v>
      </c>
      <c r="M14" s="439">
        <f>SUM(M7:M12)</f>
        <v>154609620</v>
      </c>
    </row>
    <row r="15" spans="2:13" s="58" customFormat="1" ht="12" customHeight="1" x14ac:dyDescent="0.2">
      <c r="B15" s="65"/>
      <c r="C15" s="416"/>
      <c r="D15" s="65"/>
      <c r="E15" s="154"/>
      <c r="F15" s="417"/>
      <c r="G15" s="418"/>
      <c r="H15" s="65"/>
      <c r="M15" s="439">
        <f>+M13-M14</f>
        <v>0</v>
      </c>
    </row>
    <row r="16" spans="2:13" s="58" customFormat="1" ht="12" customHeight="1" x14ac:dyDescent="0.2">
      <c r="B16" s="65" t="s">
        <v>389</v>
      </c>
      <c r="C16" s="416"/>
      <c r="D16" s="65"/>
      <c r="E16" s="154"/>
      <c r="F16" s="417"/>
      <c r="G16" s="418"/>
      <c r="H16" s="65"/>
      <c r="J16" s="58" t="s">
        <v>413</v>
      </c>
    </row>
    <row r="17" spans="1:13" s="68" customFormat="1" ht="12" customHeight="1" x14ac:dyDescent="0.2">
      <c r="B17" s="59"/>
      <c r="C17" s="132"/>
      <c r="D17" s="59"/>
      <c r="E17" s="60"/>
      <c r="F17" s="419"/>
      <c r="G17" s="414"/>
      <c r="H17" s="59"/>
      <c r="J17" s="58"/>
      <c r="K17" s="58"/>
      <c r="L17" s="58"/>
      <c r="M17" s="58"/>
    </row>
    <row r="18" spans="1:13" s="58" customFormat="1" ht="12" customHeight="1" x14ac:dyDescent="0.2">
      <c r="A18" s="420"/>
      <c r="B18" s="59" t="s">
        <v>390</v>
      </c>
      <c r="C18" s="132"/>
      <c r="D18" s="59"/>
      <c r="E18" s="60"/>
      <c r="F18" s="414">
        <v>272.75</v>
      </c>
      <c r="G18" s="477">
        <f>+G7*F18</f>
        <v>371469135</v>
      </c>
      <c r="H18" s="478"/>
      <c r="J18" s="479" t="s">
        <v>31</v>
      </c>
      <c r="K18" s="479" t="s">
        <v>32</v>
      </c>
      <c r="L18" s="480" t="s">
        <v>414</v>
      </c>
      <c r="M18" s="481" t="s">
        <v>355</v>
      </c>
    </row>
    <row r="19" spans="1:13" s="58" customFormat="1" ht="12" customHeight="1" x14ac:dyDescent="0.2">
      <c r="A19" s="420"/>
      <c r="B19" s="59"/>
      <c r="C19" s="132"/>
      <c r="D19" s="59"/>
      <c r="E19" s="60"/>
      <c r="F19" s="414"/>
      <c r="G19" s="477"/>
      <c r="H19" s="478"/>
      <c r="J19" s="482"/>
      <c r="K19" s="482" t="s">
        <v>415</v>
      </c>
      <c r="L19" s="483"/>
      <c r="M19" s="484" t="s">
        <v>416</v>
      </c>
    </row>
    <row r="20" spans="1:13" s="58" customFormat="1" ht="12" customHeight="1" x14ac:dyDescent="0.2">
      <c r="A20" s="420"/>
      <c r="B20" s="59" t="s">
        <v>417</v>
      </c>
      <c r="C20" s="132"/>
      <c r="D20" s="59"/>
      <c r="E20" s="60"/>
      <c r="F20" s="414">
        <v>0</v>
      </c>
      <c r="G20" s="477">
        <f>-F20*G7</f>
        <v>0</v>
      </c>
      <c r="H20" s="478"/>
      <c r="J20" s="482"/>
      <c r="K20" s="482" t="s">
        <v>415</v>
      </c>
      <c r="L20" s="483"/>
      <c r="M20" s="484" t="s">
        <v>416</v>
      </c>
    </row>
    <row r="21" spans="1:13" s="58" customFormat="1" ht="12" customHeight="1" x14ac:dyDescent="0.2">
      <c r="A21" s="420"/>
      <c r="B21" s="59"/>
      <c r="C21" s="132"/>
      <c r="D21" s="59"/>
      <c r="E21" s="60"/>
      <c r="F21" s="485"/>
      <c r="G21" s="60"/>
      <c r="H21" s="65"/>
      <c r="J21" s="482"/>
      <c r="K21" s="482" t="s">
        <v>415</v>
      </c>
      <c r="L21" s="483"/>
      <c r="M21" s="484" t="s">
        <v>416</v>
      </c>
    </row>
    <row r="22" spans="1:13" s="58" customFormat="1" ht="12" customHeight="1" x14ac:dyDescent="0.2">
      <c r="A22" s="420"/>
      <c r="B22" s="59" t="s">
        <v>418</v>
      </c>
      <c r="C22" s="132"/>
      <c r="D22" s="59"/>
      <c r="E22" s="60"/>
      <c r="F22" s="60">
        <v>165</v>
      </c>
      <c r="G22" s="414">
        <f>+G9*F22</f>
        <v>44944020</v>
      </c>
      <c r="H22" s="478"/>
      <c r="J22" s="482"/>
      <c r="K22" s="482" t="s">
        <v>415</v>
      </c>
      <c r="L22" s="483"/>
      <c r="M22" s="484" t="s">
        <v>416</v>
      </c>
    </row>
    <row r="23" spans="1:13" s="68" customFormat="1" ht="12" customHeight="1" x14ac:dyDescent="0.2">
      <c r="B23" s="59"/>
      <c r="C23" s="132"/>
      <c r="D23" s="59"/>
      <c r="E23" s="60"/>
      <c r="F23" s="423"/>
      <c r="G23" s="414"/>
      <c r="H23" s="59"/>
    </row>
    <row r="24" spans="1:13" s="68" customFormat="1" ht="12" customHeight="1" x14ac:dyDescent="0.2">
      <c r="B24" s="59"/>
      <c r="C24" s="132"/>
      <c r="D24" s="59"/>
      <c r="E24" s="60"/>
      <c r="F24" s="423"/>
      <c r="G24" s="414">
        <f>SUM(G18:G22)</f>
        <v>416413155</v>
      </c>
      <c r="H24" s="486"/>
    </row>
    <row r="25" spans="1:13" s="68" customFormat="1" ht="12" customHeight="1" x14ac:dyDescent="0.2">
      <c r="B25" s="59"/>
      <c r="C25" s="132"/>
      <c r="D25" s="59"/>
      <c r="E25" s="60"/>
      <c r="F25" s="423"/>
      <c r="G25" s="414"/>
      <c r="H25" s="59"/>
    </row>
    <row r="26" spans="1:13" s="68" customFormat="1" ht="12" customHeight="1" x14ac:dyDescent="0.2">
      <c r="B26" s="59" t="s">
        <v>391</v>
      </c>
      <c r="C26" s="132"/>
      <c r="D26" s="59"/>
      <c r="E26" s="60"/>
      <c r="F26" s="423"/>
      <c r="G26" s="414">
        <f>+G11</f>
        <v>1634328</v>
      </c>
      <c r="H26" s="443"/>
      <c r="J26" s="424"/>
      <c r="K26" s="424"/>
      <c r="L26" s="424"/>
      <c r="M26" s="424"/>
    </row>
    <row r="27" spans="1:13" s="68" customFormat="1" ht="12" customHeight="1" x14ac:dyDescent="0.2">
      <c r="B27" s="59"/>
      <c r="C27" s="132"/>
      <c r="D27" s="59"/>
      <c r="E27" s="60"/>
      <c r="F27" s="423"/>
      <c r="G27" s="414"/>
      <c r="H27" s="59"/>
      <c r="J27" s="410"/>
      <c r="K27" s="410"/>
      <c r="L27" s="410"/>
      <c r="M27" s="410"/>
    </row>
    <row r="28" spans="1:13" s="424" customFormat="1" ht="11.25" x14ac:dyDescent="0.2">
      <c r="B28" s="59"/>
      <c r="C28" s="132"/>
      <c r="D28" s="59"/>
      <c r="E28" s="60"/>
      <c r="F28" s="413"/>
      <c r="G28" s="414"/>
      <c r="H28" s="59"/>
      <c r="J28" s="410"/>
      <c r="K28" s="410"/>
      <c r="L28" s="410"/>
      <c r="M28" s="410"/>
    </row>
    <row r="29" spans="1:13" ht="11.25" thickBot="1" x14ac:dyDescent="0.2">
      <c r="B29" s="425" t="s">
        <v>392</v>
      </c>
      <c r="C29" s="425"/>
      <c r="D29" s="425"/>
      <c r="E29" s="425"/>
      <c r="F29" s="426"/>
      <c r="G29" s="427">
        <f>ROUND(+G24/G26,2)</f>
        <v>254.79</v>
      </c>
      <c r="H29" s="427"/>
    </row>
    <row r="30" spans="1:13" ht="12" thickTop="1" x14ac:dyDescent="0.2">
      <c r="B30" s="425"/>
      <c r="C30" s="425"/>
      <c r="D30" s="425"/>
      <c r="E30" s="154"/>
      <c r="F30" s="417"/>
      <c r="G30" s="154"/>
      <c r="H30" s="425"/>
    </row>
    <row r="31" spans="1:13" x14ac:dyDescent="0.15">
      <c r="B31" s="425"/>
      <c r="C31" s="425"/>
      <c r="D31" s="425"/>
      <c r="E31" s="425"/>
      <c r="F31" s="426"/>
      <c r="G31" s="429">
        <v>254.79</v>
      </c>
    </row>
    <row r="32" spans="1:13" x14ac:dyDescent="0.15">
      <c r="B32" s="425"/>
      <c r="C32" s="425"/>
      <c r="D32" s="425"/>
      <c r="E32" s="425"/>
      <c r="F32" s="426"/>
      <c r="G32" s="425"/>
      <c r="H32" s="425"/>
    </row>
    <row r="33" spans="2:8" x14ac:dyDescent="0.15">
      <c r="B33" s="425"/>
      <c r="C33" s="425"/>
      <c r="D33" s="425"/>
      <c r="E33" s="425"/>
      <c r="F33" s="426" t="s">
        <v>25</v>
      </c>
      <c r="G33" s="487">
        <f>+G31-G29</f>
        <v>0</v>
      </c>
    </row>
    <row r="34" spans="2:8" x14ac:dyDescent="0.15">
      <c r="B34" s="425"/>
      <c r="C34" s="425"/>
      <c r="D34" s="425"/>
      <c r="E34" s="425"/>
      <c r="F34" s="426"/>
      <c r="G34" s="425"/>
      <c r="H34" s="425"/>
    </row>
    <row r="35" spans="2:8" x14ac:dyDescent="0.15">
      <c r="F35" s="426" t="s">
        <v>25</v>
      </c>
      <c r="G35" s="435">
        <f>+G33*G11</f>
        <v>0</v>
      </c>
    </row>
  </sheetData>
  <mergeCells count="3">
    <mergeCell ref="B1:G1"/>
    <mergeCell ref="B2:C2"/>
    <mergeCell ref="B9:F10"/>
  </mergeCells>
  <pageMargins left="0.70866141732283472" right="0.19685039370078741" top="0.19685039370078741" bottom="0.19685039370078741" header="0.19685039370078741" footer="0.19685039370078741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8"/>
  <sheetViews>
    <sheetView showGridLines="0" view="pageBreakPreview" zoomScaleSheetLayoutView="100" workbookViewId="0">
      <pane ySplit="5" topLeftCell="A6" activePane="bottomLeft" state="frozen"/>
      <selection activeCell="N28" sqref="N28"/>
      <selection pane="bottomLeft" activeCell="F2" sqref="F2"/>
    </sheetView>
  </sheetViews>
  <sheetFormatPr defaultColWidth="9" defaultRowHeight="11.25" x14ac:dyDescent="0.2"/>
  <cols>
    <col min="1" max="1" width="14.625" style="159" customWidth="1"/>
    <col min="2" max="2" width="14.625" style="1105" customWidth="1"/>
    <col min="3" max="3" width="12.625" style="160" customWidth="1"/>
    <col min="4" max="8" width="8.625" style="169" customWidth="1"/>
    <col min="9" max="9" width="12.625" style="160" customWidth="1"/>
    <col min="10" max="10" width="14.75" style="160" customWidth="1"/>
    <col min="11" max="11" width="12.625" style="160" customWidth="1"/>
    <col min="12" max="12" width="15.75" style="160" bestFit="1" customWidth="1"/>
    <col min="13" max="13" width="12.625" style="160" customWidth="1"/>
    <col min="14" max="14" width="8.625" style="160" customWidth="1"/>
    <col min="15" max="15" width="13.625" style="159" bestFit="1" customWidth="1"/>
    <col min="16" max="16" width="8.625" style="159" hidden="1" customWidth="1"/>
    <col min="17" max="17" width="2.375" style="169" customWidth="1"/>
    <col min="18" max="18" width="9" style="159"/>
    <col min="19" max="19" width="12.125" style="160" bestFit="1" customWidth="1"/>
    <col min="20" max="20" width="9" style="159"/>
    <col min="21" max="21" width="10.375" style="1105" customWidth="1"/>
    <col min="22" max="23" width="9" style="159"/>
    <col min="24" max="24" width="25.125" style="1105" bestFit="1" customWidth="1"/>
    <col min="25" max="25" width="9" style="1213"/>
    <col min="26" max="26" width="10.375" style="169" bestFit="1" customWidth="1"/>
    <col min="27" max="16384" width="9" style="159"/>
  </cols>
  <sheetData>
    <row r="1" spans="1:27" ht="15" customHeight="1" x14ac:dyDescent="0.25">
      <c r="A1" s="672" t="s">
        <v>420</v>
      </c>
      <c r="B1" s="672"/>
      <c r="C1" s="170"/>
      <c r="D1" s="171"/>
      <c r="E1" s="165"/>
      <c r="F1" s="159"/>
      <c r="G1" s="165"/>
      <c r="H1" s="165"/>
    </row>
    <row r="2" spans="1:27" ht="15" customHeight="1" thickBot="1" x14ac:dyDescent="0.3">
      <c r="A2" s="672" t="s">
        <v>421</v>
      </c>
      <c r="B2" s="672"/>
      <c r="C2" s="170"/>
      <c r="D2" s="171"/>
      <c r="E2" s="165"/>
      <c r="F2" s="167"/>
      <c r="G2" s="165">
        <v>0</v>
      </c>
      <c r="H2" s="165"/>
      <c r="K2" s="249" t="str">
        <f>"Fund size as at "&amp;TEXT(C3,"mmmm dd, yyyy")</f>
        <v>Fund size as at July 22, 2022</v>
      </c>
      <c r="L2" s="250"/>
      <c r="M2" s="251"/>
      <c r="N2" s="251"/>
      <c r="O2" s="1032">
        <f>+'NAV 22.07.2022'!E71</f>
        <v>24187302770.54335</v>
      </c>
      <c r="P2" s="1032"/>
      <c r="X2" s="166"/>
    </row>
    <row r="3" spans="1:27" ht="15" customHeight="1" thickTop="1" x14ac:dyDescent="0.25">
      <c r="A3" s="673" t="s">
        <v>422</v>
      </c>
      <c r="B3" s="673"/>
      <c r="C3" s="674">
        <f>+'NAV 22.07.2022'!B6</f>
        <v>44764</v>
      </c>
      <c r="D3" s="171"/>
      <c r="E3" s="165"/>
      <c r="F3" s="167"/>
      <c r="G3" s="165"/>
      <c r="H3" s="165"/>
      <c r="X3" s="166"/>
    </row>
    <row r="4" spans="1:27" ht="15" customHeight="1" x14ac:dyDescent="0.2">
      <c r="X4" s="166"/>
    </row>
    <row r="5" spans="1:27" s="18" customFormat="1" ht="45" customHeight="1" x14ac:dyDescent="0.2">
      <c r="A5" s="442" t="s">
        <v>99</v>
      </c>
      <c r="B5" s="442" t="s">
        <v>100</v>
      </c>
      <c r="C5" s="671" t="s">
        <v>423</v>
      </c>
      <c r="D5" s="671" t="s">
        <v>184</v>
      </c>
      <c r="E5" s="671" t="s">
        <v>424</v>
      </c>
      <c r="F5" s="671" t="s">
        <v>185</v>
      </c>
      <c r="G5" s="671" t="s">
        <v>186</v>
      </c>
      <c r="H5" s="671" t="s">
        <v>187</v>
      </c>
      <c r="I5" s="675" t="s">
        <v>188</v>
      </c>
      <c r="J5" s="675" t="s">
        <v>189</v>
      </c>
      <c r="K5" s="675" t="s">
        <v>217</v>
      </c>
      <c r="L5" s="675" t="s">
        <v>190</v>
      </c>
      <c r="M5" s="670" t="s">
        <v>191</v>
      </c>
      <c r="N5" s="670" t="s">
        <v>292</v>
      </c>
      <c r="O5" s="670" t="s">
        <v>293</v>
      </c>
      <c r="P5" s="670" t="s">
        <v>294</v>
      </c>
      <c r="Q5" s="279"/>
      <c r="S5" s="1234" t="s">
        <v>838</v>
      </c>
      <c r="X5" s="166"/>
      <c r="Y5" s="1292"/>
      <c r="Z5" s="279"/>
    </row>
    <row r="6" spans="1:27" ht="12" customHeigh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X6" s="166"/>
    </row>
    <row r="7" spans="1:27" s="1105" customFormat="1" ht="12" customHeight="1" x14ac:dyDescent="0.2">
      <c r="A7" s="239" t="s">
        <v>1304</v>
      </c>
      <c r="B7" s="239"/>
      <c r="C7" s="178"/>
      <c r="D7" s="177"/>
      <c r="E7" s="177"/>
      <c r="F7" s="177"/>
      <c r="G7" s="177"/>
      <c r="H7" s="177"/>
      <c r="I7" s="178"/>
      <c r="J7" s="178"/>
      <c r="K7" s="227"/>
      <c r="L7" s="178"/>
      <c r="M7" s="178"/>
      <c r="N7" s="177"/>
      <c r="O7" s="177"/>
      <c r="P7" s="253"/>
      <c r="Q7" s="169"/>
      <c r="S7" s="160"/>
      <c r="X7" s="166" t="s">
        <v>280</v>
      </c>
      <c r="Y7" s="1213">
        <f>+AVERAGE(SUMIF(U:U,X7,R:R))</f>
        <v>7.4791793051323094E-2</v>
      </c>
      <c r="Z7" s="169">
        <f>+SUMIF(U:U,X7,V:V)</f>
        <v>14708851.199999977</v>
      </c>
    </row>
    <row r="8" spans="1:27" s="224" customFormat="1" ht="12" customHeight="1" x14ac:dyDescent="0.2">
      <c r="A8" s="1105" t="s">
        <v>1302</v>
      </c>
      <c r="B8" s="1105" t="s">
        <v>1303</v>
      </c>
      <c r="C8" s="173">
        <f>VLOOKUP('Equity - CIAP MA'!A8,'Equity Portfolio Movement'!$A$6:$M$64,11,FALSE)</f>
        <v>14820992.0579</v>
      </c>
      <c r="D8" s="174">
        <f t="shared" ref="D8" si="0">I8/C8</f>
        <v>101.20780000016654</v>
      </c>
      <c r="E8" s="174">
        <f t="shared" ref="E8" si="1">+J8/C8</f>
        <v>101.20780000016654</v>
      </c>
      <c r="F8" s="174">
        <v>102.1918</v>
      </c>
      <c r="G8" s="174">
        <v>102.15649999999999</v>
      </c>
      <c r="H8" s="174">
        <f>+F8-G8</f>
        <v>3.5300000000006548E-2</v>
      </c>
      <c r="I8" s="175">
        <f>VLOOKUP('Equity - CIAP MA'!A8,'Equity Portfolio Movement'!$A$6:$M$64,12,FALSE)</f>
        <v>1500000000</v>
      </c>
      <c r="J8" s="175">
        <f>VLOOKUP('Equity - CIAP MA'!A8,'Equity Portfolio Movement'!$A$6:$M$64,13,FALSE)</f>
        <v>1500000000</v>
      </c>
      <c r="K8" s="235">
        <f t="shared" ref="K8" si="2">C8*F8</f>
        <v>1514583856.1825054</v>
      </c>
      <c r="L8" s="175">
        <f t="shared" ref="L8" si="3">+K8-I8</f>
        <v>14583856.182505369</v>
      </c>
      <c r="M8" s="175">
        <f t="shared" ref="M8" si="4">+K8-J8</f>
        <v>14583856.182505369</v>
      </c>
      <c r="N8" s="234">
        <f>+K8/$O$2*100</f>
        <v>6.2618964609276322</v>
      </c>
      <c r="O8" s="1226">
        <f>+K8/$K$145*100</f>
        <v>7.2978068143118442</v>
      </c>
      <c r="P8" s="257" t="e">
        <f>(C8*10)/#REF!*100</f>
        <v>#REF!</v>
      </c>
      <c r="Q8" s="278"/>
      <c r="R8" s="1213">
        <f t="shared" ref="R8" si="5">+H8/G8</f>
        <v>3.455482519468321E-4</v>
      </c>
      <c r="S8" s="160">
        <v>12971544000</v>
      </c>
      <c r="U8" s="166" t="s">
        <v>275</v>
      </c>
      <c r="V8" s="320">
        <f t="shared" ref="V8" si="6">+C8*H8</f>
        <v>523181.01964396704</v>
      </c>
      <c r="X8" s="166" t="s">
        <v>150</v>
      </c>
      <c r="Y8" s="1213">
        <f>+AVERAGE(SUMIF(U:U,X8,R:R))</f>
        <v>1.80578255534098E-2</v>
      </c>
      <c r="Z8" s="169">
        <f>+SUMIF(U:U,X8,V:V)</f>
        <v>3051993.4499999192</v>
      </c>
    </row>
    <row r="9" spans="1:27" s="224" customFormat="1" ht="12" customHeight="1" x14ac:dyDescent="0.2">
      <c r="A9" s="1105"/>
      <c r="B9" s="1105"/>
      <c r="C9" s="179"/>
      <c r="D9" s="180"/>
      <c r="E9" s="180"/>
      <c r="F9" s="180"/>
      <c r="G9" s="180"/>
      <c r="H9" s="180"/>
      <c r="I9" s="181"/>
      <c r="J9" s="181"/>
      <c r="K9" s="231"/>
      <c r="L9" s="181"/>
      <c r="M9" s="181"/>
      <c r="N9" s="230"/>
      <c r="O9" s="1228"/>
      <c r="P9" s="295"/>
      <c r="Q9" s="278"/>
      <c r="R9" s="1213"/>
      <c r="S9" s="1111"/>
      <c r="X9" s="1290" t="s">
        <v>485</v>
      </c>
      <c r="Y9" s="1213">
        <f>+AVERAGE(SUMIF(U:U,X9,R:R))</f>
        <v>2.1939079542431586E-2</v>
      </c>
      <c r="Z9" s="169">
        <f>+SUMIF(U:U,X9,V:V)</f>
        <v>3761916.8100000285</v>
      </c>
    </row>
    <row r="10" spans="1:27" s="1105" customFormat="1" ht="12" customHeight="1" x14ac:dyDescent="0.2">
      <c r="B10" s="166" t="s">
        <v>111</v>
      </c>
      <c r="C10" s="194">
        <f>SUM(C8:C9)</f>
        <v>14820992.0579</v>
      </c>
      <c r="D10" s="177"/>
      <c r="E10" s="177"/>
      <c r="F10" s="177"/>
      <c r="G10" s="177"/>
      <c r="H10" s="177"/>
      <c r="I10" s="194">
        <f t="shared" ref="I10:O10" si="7">SUM(I8:I9)</f>
        <v>1500000000</v>
      </c>
      <c r="J10" s="194">
        <f t="shared" si="7"/>
        <v>1500000000</v>
      </c>
      <c r="K10" s="194">
        <f t="shared" si="7"/>
        <v>1514583856.1825054</v>
      </c>
      <c r="L10" s="194">
        <f t="shared" si="7"/>
        <v>14583856.182505369</v>
      </c>
      <c r="M10" s="194">
        <f t="shared" si="7"/>
        <v>14583856.182505369</v>
      </c>
      <c r="N10" s="194">
        <f t="shared" si="7"/>
        <v>6.2618964609276322</v>
      </c>
      <c r="O10" s="194">
        <f t="shared" si="7"/>
        <v>7.2978068143118442</v>
      </c>
      <c r="P10" s="194" t="e">
        <f>SUM(P8:P8)</f>
        <v>#REF!</v>
      </c>
      <c r="Q10" s="169"/>
      <c r="S10" s="160"/>
      <c r="X10" s="1291" t="s">
        <v>660</v>
      </c>
      <c r="Y10" s="1213">
        <f>+AVERAGE(SUMIF(U:U,X10,R:R))</f>
        <v>8.1676340628023286E-2</v>
      </c>
      <c r="Z10" s="169">
        <f>+SUMIF(U:U,X10,V:V)</f>
        <v>14688085.450000018</v>
      </c>
    </row>
    <row r="11" spans="1:27" s="1105" customFormat="1" ht="12" customHeigh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S11" s="160"/>
      <c r="X11" s="166"/>
      <c r="Y11" s="1213"/>
      <c r="Z11" s="169"/>
    </row>
    <row r="12" spans="1:27" s="224" customFormat="1" ht="12" customHeight="1" x14ac:dyDescent="0.2">
      <c r="A12" s="239" t="s">
        <v>101</v>
      </c>
      <c r="B12" s="239"/>
      <c r="C12" s="178"/>
      <c r="D12" s="177"/>
      <c r="E12" s="177"/>
      <c r="F12" s="177"/>
      <c r="G12" s="177"/>
      <c r="H12" s="177"/>
      <c r="I12" s="178"/>
      <c r="J12" s="178"/>
      <c r="K12" s="178"/>
      <c r="L12" s="178"/>
      <c r="M12" s="178"/>
      <c r="N12" s="226"/>
      <c r="O12" s="226"/>
      <c r="P12" s="254"/>
      <c r="Q12" s="278"/>
      <c r="S12" s="1111"/>
      <c r="X12" s="18" t="s">
        <v>861</v>
      </c>
      <c r="Y12" s="1295" t="s">
        <v>860</v>
      </c>
      <c r="Z12" s="1296" t="s">
        <v>859</v>
      </c>
      <c r="AA12" s="1297"/>
    </row>
    <row r="13" spans="1:27" ht="12" customHeight="1" x14ac:dyDescent="0.2">
      <c r="A13" s="159" t="s">
        <v>107</v>
      </c>
      <c r="B13" s="1105" t="s">
        <v>830</v>
      </c>
      <c r="C13" s="173">
        <f>VLOOKUP('Equity - CIAP MA'!A13,'Equity Portfolio Movement'!$A$6:$M$64,11,FALSE)</f>
        <v>6050000</v>
      </c>
      <c r="D13" s="174">
        <f t="shared" ref="D13:D18" si="8">I13/C13</f>
        <v>43.219974659944882</v>
      </c>
      <c r="E13" s="174">
        <f t="shared" ref="E13:E18" si="9">+J13/C13</f>
        <v>34.6</v>
      </c>
      <c r="F13" s="174">
        <f>VLOOKUP(A13,Rates!B:J,7,FALSE)</f>
        <v>30.63</v>
      </c>
      <c r="G13" s="174">
        <v>31.07</v>
      </c>
      <c r="H13" s="174">
        <f>+F13-G13</f>
        <v>-0.44000000000000128</v>
      </c>
      <c r="I13" s="175">
        <f>VLOOKUP('Equity - CIAP MA'!A13,'Equity Portfolio Movement'!$A$6:$M$64,12,FALSE)</f>
        <v>261480846.69266653</v>
      </c>
      <c r="J13" s="175">
        <f>VLOOKUP('Equity - CIAP MA'!A13,'Equity Portfolio Movement'!$A$6:$M$64,13,FALSE)</f>
        <v>209330000</v>
      </c>
      <c r="K13" s="175">
        <f t="shared" ref="K13:K18" si="10">C13*F13</f>
        <v>185311500</v>
      </c>
      <c r="L13" s="175">
        <f t="shared" ref="L13:L18" si="11">+K13-I13</f>
        <v>-76169346.692666531</v>
      </c>
      <c r="M13" s="175">
        <f t="shared" ref="M13:M18" si="12">+K13-J13</f>
        <v>-24018500</v>
      </c>
      <c r="N13" s="234">
        <f t="shared" ref="N13:N18" si="13">+K13/$O$2*100</f>
        <v>0.76615198378251048</v>
      </c>
      <c r="O13" s="1226">
        <f t="shared" ref="O13:O18" si="14">+K13/$K$145*100</f>
        <v>0.89289709642025317</v>
      </c>
      <c r="P13" s="259" t="e">
        <f>(C13*10)/#REF!*100</f>
        <v>#REF!</v>
      </c>
      <c r="Q13" s="160"/>
      <c r="R13" s="1213">
        <f>+H13/G13</f>
        <v>-1.4161570646926337E-2</v>
      </c>
      <c r="S13" s="160">
        <v>17771651000</v>
      </c>
      <c r="U13" s="166" t="s">
        <v>101</v>
      </c>
      <c r="V13" s="320">
        <f>+C13*H13</f>
        <v>-2662000.0000000079</v>
      </c>
      <c r="X13" s="166" t="s">
        <v>101</v>
      </c>
      <c r="Y13" s="1213">
        <f>+AVERAGE(SUMIF(U:U,X13,R:R))</f>
        <v>-5.3610825931348693E-2</v>
      </c>
      <c r="Z13" s="169">
        <f>+SUMIF(U:U,X13,V:V)</f>
        <v>-42534182.1300001</v>
      </c>
    </row>
    <row r="14" spans="1:27" ht="12" customHeight="1" x14ac:dyDescent="0.2">
      <c r="A14" s="159" t="s">
        <v>102</v>
      </c>
      <c r="B14" s="1105" t="s">
        <v>830</v>
      </c>
      <c r="C14" s="176">
        <f>VLOOKUP('Equity - CIAP MA'!A14,'Equity Portfolio Movement'!$A$6:$M$64,11,FALSE)</f>
        <v>11027016</v>
      </c>
      <c r="D14" s="177">
        <f t="shared" si="8"/>
        <v>70.434592404627281</v>
      </c>
      <c r="E14" s="177">
        <f t="shared" si="9"/>
        <v>69.010000000000005</v>
      </c>
      <c r="F14" s="177">
        <f>VLOOKUP(A14,Rates!B:J,7,FALSE)</f>
        <v>57.85</v>
      </c>
      <c r="G14" s="177">
        <v>58.23</v>
      </c>
      <c r="H14" s="177">
        <f t="shared" ref="H14:H18" si="15">+F14-G14</f>
        <v>-0.37999999999999545</v>
      </c>
      <c r="I14" s="178">
        <f>VLOOKUP('Equity - CIAP MA'!A14,'Equity Portfolio Movement'!$A$6:$M$64,12,FALSE)</f>
        <v>776683377.39930344</v>
      </c>
      <c r="J14" s="178">
        <f>VLOOKUP('Equity - CIAP MA'!A14,'Equity Portfolio Movement'!$A$6:$M$64,13,FALSE)</f>
        <v>760974374.16000009</v>
      </c>
      <c r="K14" s="178">
        <f t="shared" si="10"/>
        <v>637912875.60000002</v>
      </c>
      <c r="L14" s="178">
        <f t="shared" si="11"/>
        <v>-138770501.79930341</v>
      </c>
      <c r="M14" s="178">
        <f t="shared" si="12"/>
        <v>-123061498.56000006</v>
      </c>
      <c r="N14" s="226">
        <f t="shared" si="13"/>
        <v>2.6373873997099251</v>
      </c>
      <c r="O14" s="1227">
        <f t="shared" si="14"/>
        <v>3.0736924281133886</v>
      </c>
      <c r="P14" s="252" t="e">
        <f>(C14*10)/#REF!*100</f>
        <v>#REF!</v>
      </c>
      <c r="Q14" s="160"/>
      <c r="R14" s="1213">
        <f t="shared" ref="R14:R17" si="16">+H14/G14</f>
        <v>-6.5258457839600806E-3</v>
      </c>
      <c r="S14" s="160">
        <v>11114254000</v>
      </c>
      <c r="U14" s="166" t="s">
        <v>101</v>
      </c>
      <c r="V14" s="320">
        <f t="shared" ref="V14:V17" si="17">+C14*H14</f>
        <v>-4190266.0799999498</v>
      </c>
      <c r="X14" s="166" t="s">
        <v>275</v>
      </c>
      <c r="Y14" s="1213">
        <f>+AVERAGE(SUMIF(U:U,X14,R:R))</f>
        <v>-1.5241642869088601E-4</v>
      </c>
      <c r="Z14" s="169">
        <f>+SUMIF(U:U,X14,V:V)</f>
        <v>2877182.2196439388</v>
      </c>
    </row>
    <row r="15" spans="1:27" ht="12" customHeight="1" x14ac:dyDescent="0.2">
      <c r="A15" s="224" t="s">
        <v>83</v>
      </c>
      <c r="B15" s="1105" t="s">
        <v>830</v>
      </c>
      <c r="C15" s="225">
        <f>VLOOKUP('Equity - CIAP MA'!A15,'Equity Portfolio Movement'!$A$6:$M$64,11,FALSE)</f>
        <v>14487163</v>
      </c>
      <c r="D15" s="226">
        <f t="shared" si="8"/>
        <v>144.84525788781195</v>
      </c>
      <c r="E15" s="226">
        <f t="shared" si="9"/>
        <v>116.62000000000002</v>
      </c>
      <c r="F15" s="226">
        <f>VLOOKUP(A15,Rates!B:J,7,FALSE)</f>
        <v>84.64</v>
      </c>
      <c r="G15" s="226">
        <v>86.53</v>
      </c>
      <c r="H15" s="226">
        <f t="shared" si="15"/>
        <v>-1.8900000000000006</v>
      </c>
      <c r="I15" s="227">
        <f>VLOOKUP('Equity - CIAP MA'!A15,'Equity Portfolio Movement'!$A$6:$M$64,12,FALSE)</f>
        <v>2098396860.7977676</v>
      </c>
      <c r="J15" s="227">
        <f>VLOOKUP('Equity - CIAP MA'!A15,'Equity Portfolio Movement'!$A$6:$M$64,13,FALSE)</f>
        <v>1689492949.0600002</v>
      </c>
      <c r="K15" s="227">
        <f t="shared" si="10"/>
        <v>1226193476.3199999</v>
      </c>
      <c r="L15" s="227">
        <f t="shared" si="11"/>
        <v>-872203384.47776771</v>
      </c>
      <c r="M15" s="227">
        <f t="shared" si="12"/>
        <v>-463299472.74000025</v>
      </c>
      <c r="N15" s="226">
        <f t="shared" si="13"/>
        <v>5.0695750905029682</v>
      </c>
      <c r="O15" s="1227">
        <f t="shared" si="14"/>
        <v>5.9082388014536846</v>
      </c>
      <c r="P15" s="252" t="e">
        <f>(C15*10)/#REF!*100</f>
        <v>#REF!</v>
      </c>
      <c r="Q15" s="160"/>
      <c r="R15" s="1213">
        <f t="shared" si="16"/>
        <v>-2.1842135675488275E-2</v>
      </c>
      <c r="S15" s="160">
        <v>14668525000</v>
      </c>
      <c r="U15" s="166" t="s">
        <v>101</v>
      </c>
      <c r="V15" s="320">
        <f t="shared" si="17"/>
        <v>-27380738.070000008</v>
      </c>
      <c r="X15" s="166" t="s">
        <v>403</v>
      </c>
      <c r="Y15" s="1213">
        <f>+AVERAGE(SUMIF(U:U,X15,R:R))</f>
        <v>-2.3226185042278342E-3</v>
      </c>
      <c r="Z15" s="169">
        <f>+SUMIF(U:U,X15,V:V)</f>
        <v>-6203941.5099999709</v>
      </c>
    </row>
    <row r="16" spans="1:27" s="168" customFormat="1" ht="11.25" customHeight="1" x14ac:dyDescent="0.2">
      <c r="A16" s="159" t="s">
        <v>158</v>
      </c>
      <c r="B16" s="1105" t="s">
        <v>830</v>
      </c>
      <c r="C16" s="176">
        <f>VLOOKUP('Equity - CIAP MA'!A16,'Equity Portfolio Movement'!$A$6:$M$64,11,FALSE)</f>
        <v>11111764</v>
      </c>
      <c r="D16" s="177">
        <f t="shared" si="8"/>
        <v>193.94995361368541</v>
      </c>
      <c r="E16" s="177">
        <f t="shared" si="9"/>
        <v>153.4569143684117</v>
      </c>
      <c r="F16" s="226">
        <f>VLOOKUP(A16,Rates!B:J,7,FALSE)</f>
        <v>119.46</v>
      </c>
      <c r="G16" s="177">
        <v>119.23</v>
      </c>
      <c r="H16" s="177">
        <f t="shared" si="15"/>
        <v>0.22999999999998977</v>
      </c>
      <c r="I16" s="178">
        <f>VLOOKUP('Equity - CIAP MA'!A16,'Equity Portfolio Movement'!$A$6:$M$64,12,FALSE)</f>
        <v>2155126112.3662195</v>
      </c>
      <c r="J16" s="178">
        <f>VLOOKUP('Equity - CIAP MA'!A16,'Equity Portfolio Movement'!$A$6:$M$64,13,FALSE)</f>
        <v>1705177016.6299999</v>
      </c>
      <c r="K16" s="178">
        <f t="shared" si="10"/>
        <v>1327411327.4399998</v>
      </c>
      <c r="L16" s="178">
        <f t="shared" si="11"/>
        <v>-827714784.9262197</v>
      </c>
      <c r="M16" s="178">
        <f t="shared" si="12"/>
        <v>-377765689.19000006</v>
      </c>
      <c r="N16" s="226">
        <f t="shared" si="13"/>
        <v>5.4880502387252355</v>
      </c>
      <c r="O16" s="1227">
        <f t="shared" si="14"/>
        <v>6.3959426156851018</v>
      </c>
      <c r="P16" s="252" t="e">
        <f>(C16*10)/#REF!*100</f>
        <v>#REF!</v>
      </c>
      <c r="Q16" s="160"/>
      <c r="R16" s="1213">
        <f t="shared" si="16"/>
        <v>1.9290447035141304E-3</v>
      </c>
      <c r="S16" s="160">
        <v>11850600000</v>
      </c>
      <c r="U16" s="166" t="s">
        <v>101</v>
      </c>
      <c r="V16" s="320">
        <f t="shared" si="17"/>
        <v>2555705.7199998861</v>
      </c>
      <c r="X16" s="166" t="s">
        <v>276</v>
      </c>
      <c r="Y16" s="1213">
        <f>+AVERAGE(SUMIF(U:U,X16,R:R))</f>
        <v>2.0706933857329496E-2</v>
      </c>
      <c r="Z16" s="169">
        <f>+SUMIF(U:U,X16,V:V)</f>
        <v>1668187.1000000676</v>
      </c>
    </row>
    <row r="17" spans="1:26" ht="12" customHeight="1" x14ac:dyDescent="0.2">
      <c r="A17" s="159" t="s">
        <v>105</v>
      </c>
      <c r="B17" s="1105" t="s">
        <v>830</v>
      </c>
      <c r="C17" s="176">
        <f>VLOOKUP('Equity - CIAP MA'!A17,'Equity Portfolio Movement'!$A$6:$M$64,11,FALSE)</f>
        <v>7487506</v>
      </c>
      <c r="D17" s="177">
        <f t="shared" si="8"/>
        <v>148.53626071495424</v>
      </c>
      <c r="E17" s="177">
        <f t="shared" si="9"/>
        <v>136.58000000000001</v>
      </c>
      <c r="F17" s="177">
        <f>VLOOKUP(A17,Rates!B:J,7,FALSE)</f>
        <v>110</v>
      </c>
      <c r="G17" s="177">
        <v>111.45</v>
      </c>
      <c r="H17" s="177">
        <f t="shared" si="15"/>
        <v>-1.4500000000000028</v>
      </c>
      <c r="I17" s="178">
        <f>VLOOKUP('Equity - CIAP MA'!A17,'Equity Portfolio Movement'!$A$6:$M$64,12,FALSE)</f>
        <v>1112166143.3207841</v>
      </c>
      <c r="J17" s="178">
        <f>VLOOKUP('Equity - CIAP MA'!A17,'Equity Portfolio Movement'!$A$6:$M$64,13,FALSE)</f>
        <v>1022643569.4800001</v>
      </c>
      <c r="K17" s="178">
        <f t="shared" si="10"/>
        <v>823625660</v>
      </c>
      <c r="L17" s="178">
        <f t="shared" si="11"/>
        <v>-288540483.32078409</v>
      </c>
      <c r="M17" s="178">
        <f t="shared" si="12"/>
        <v>-199017909.48000014</v>
      </c>
      <c r="N17" s="226">
        <f t="shared" si="13"/>
        <v>3.4051984539717153</v>
      </c>
      <c r="O17" s="1227">
        <f t="shared" si="14"/>
        <v>3.9685230563198433</v>
      </c>
      <c r="P17" s="252" t="e">
        <f>(C17*10)/#REF!*100</f>
        <v>#REF!</v>
      </c>
      <c r="Q17" s="160"/>
      <c r="R17" s="1213">
        <f t="shared" si="16"/>
        <v>-1.3010318528488137E-2</v>
      </c>
      <c r="S17" s="160">
        <v>12241797000</v>
      </c>
      <c r="U17" s="166" t="s">
        <v>101</v>
      </c>
      <c r="V17" s="320">
        <f t="shared" si="17"/>
        <v>-10856883.700000022</v>
      </c>
      <c r="X17" s="166" t="s">
        <v>277</v>
      </c>
      <c r="Y17" s="1213">
        <f>+AVERAGE(SUMIF(U:U,X17,R:R))</f>
        <v>2.1573143933900467E-2</v>
      </c>
      <c r="Z17" s="169">
        <f>+SUMIF(U:U,X17,V:V)</f>
        <v>15152655.059999987</v>
      </c>
    </row>
    <row r="18" spans="1:26" s="1105" customFormat="1" ht="12" customHeight="1" x14ac:dyDescent="0.2">
      <c r="A18" s="1105" t="s">
        <v>540</v>
      </c>
      <c r="B18" s="1105" t="s">
        <v>830</v>
      </c>
      <c r="C18" s="176">
        <f>VLOOKUP('Equity - CIAP MA'!A18,'Equity Portfolio Movement'!$A$6:$M$64,11,FALSE)</f>
        <v>1550000</v>
      </c>
      <c r="D18" s="177">
        <f t="shared" si="8"/>
        <v>138.21524258907388</v>
      </c>
      <c r="E18" s="177">
        <f t="shared" si="9"/>
        <v>138.21524258907388</v>
      </c>
      <c r="F18" s="177">
        <f>VLOOKUP(A18,Rates!B:J,7,FALSE)</f>
        <v>116.57</v>
      </c>
      <c r="G18" s="177">
        <v>116.62</v>
      </c>
      <c r="H18" s="177">
        <f t="shared" si="15"/>
        <v>-5.0000000000011369E-2</v>
      </c>
      <c r="I18" s="178">
        <f>VLOOKUP('Equity - CIAP MA'!A18,'Equity Portfolio Movement'!$A$6:$M$64,12,FALSE)</f>
        <v>214233626.0130645</v>
      </c>
      <c r="J18" s="178">
        <f>VLOOKUP('Equity - CIAP MA'!A18,'Equity Portfolio Movement'!$A$6:$M$64,13,FALSE)</f>
        <v>214233626.0130645</v>
      </c>
      <c r="K18" s="178">
        <f t="shared" si="10"/>
        <v>180683500</v>
      </c>
      <c r="L18" s="178">
        <f t="shared" si="11"/>
        <v>-33550126.013064504</v>
      </c>
      <c r="M18" s="178">
        <f t="shared" si="12"/>
        <v>-33550126.013064504</v>
      </c>
      <c r="N18" s="226">
        <f t="shared" si="13"/>
        <v>0.74701797763100097</v>
      </c>
      <c r="O18" s="1227">
        <f t="shared" si="14"/>
        <v>0.87059773689732589</v>
      </c>
      <c r="P18" s="295"/>
      <c r="Q18" s="160"/>
      <c r="R18" s="1213"/>
      <c r="S18" s="160"/>
      <c r="U18" s="166"/>
      <c r="V18" s="320"/>
      <c r="X18" s="166"/>
      <c r="Y18" s="1213"/>
      <c r="Z18" s="169"/>
    </row>
    <row r="19" spans="1:26" s="1105" customFormat="1" ht="12" customHeight="1" x14ac:dyDescent="0.2">
      <c r="C19" s="179"/>
      <c r="D19" s="180"/>
      <c r="E19" s="180"/>
      <c r="F19" s="180"/>
      <c r="G19" s="180"/>
      <c r="H19" s="180"/>
      <c r="I19" s="181"/>
      <c r="J19" s="181"/>
      <c r="K19" s="181"/>
      <c r="L19" s="181"/>
      <c r="M19" s="181"/>
      <c r="N19" s="230"/>
      <c r="O19" s="1228"/>
      <c r="P19" s="295"/>
      <c r="Q19" s="160"/>
      <c r="S19" s="160"/>
      <c r="X19" s="166" t="s">
        <v>278</v>
      </c>
      <c r="Y19" s="1213">
        <f t="shared" ref="Y19:Y32" si="18">+AVERAGE(SUMIF(U:U,X19,R:R))</f>
        <v>4.2295650244889807E-2</v>
      </c>
      <c r="Z19" s="169">
        <f t="shared" ref="Z19:Z32" si="19">+SUMIF(U:U,X19,V:V)</f>
        <v>3055572.3600000059</v>
      </c>
    </row>
    <row r="20" spans="1:26" ht="12" customHeight="1" x14ac:dyDescent="0.2">
      <c r="B20" s="166" t="s">
        <v>111</v>
      </c>
      <c r="C20" s="194">
        <f>SUM(C13:C19)</f>
        <v>51713449</v>
      </c>
      <c r="D20" s="177"/>
      <c r="E20" s="177"/>
      <c r="F20" s="177"/>
      <c r="G20" s="177"/>
      <c r="H20" s="177"/>
      <c r="I20" s="194">
        <f t="shared" ref="I20:O20" si="20">SUM(I13:I19)</f>
        <v>6618086966.5898046</v>
      </c>
      <c r="J20" s="194">
        <f t="shared" si="20"/>
        <v>5601851535.3430653</v>
      </c>
      <c r="K20" s="194">
        <f t="shared" si="20"/>
        <v>4381138339.3599997</v>
      </c>
      <c r="L20" s="194">
        <f t="shared" si="20"/>
        <v>-2236948627.2298059</v>
      </c>
      <c r="M20" s="194">
        <f t="shared" si="20"/>
        <v>-1220713195.9830651</v>
      </c>
      <c r="N20" s="194">
        <f t="shared" si="20"/>
        <v>18.113381144323352</v>
      </c>
      <c r="O20" s="194">
        <f t="shared" si="20"/>
        <v>21.109891734889597</v>
      </c>
      <c r="P20" s="194" t="e">
        <f>SUM(P13:P17)</f>
        <v>#REF!</v>
      </c>
      <c r="X20" s="166" t="s">
        <v>142</v>
      </c>
      <c r="Y20" s="1213">
        <f t="shared" si="18"/>
        <v>8.4879477812723009E-2</v>
      </c>
      <c r="Z20" s="169">
        <f t="shared" si="19"/>
        <v>15213082.019999959</v>
      </c>
    </row>
    <row r="21" spans="1:26" ht="12" customHeight="1" x14ac:dyDescent="0.2">
      <c r="C21" s="178"/>
      <c r="D21" s="177"/>
      <c r="E21" s="177"/>
      <c r="F21" s="177"/>
      <c r="G21" s="177"/>
      <c r="H21" s="177"/>
      <c r="I21" s="178"/>
      <c r="J21" s="178"/>
      <c r="K21" s="227"/>
      <c r="L21" s="178"/>
      <c r="M21" s="178"/>
      <c r="N21" s="177"/>
      <c r="O21" s="177"/>
      <c r="P21" s="253"/>
      <c r="X21" s="166" t="s">
        <v>279</v>
      </c>
      <c r="Y21" s="1213">
        <f t="shared" si="18"/>
        <v>2.6545926769705155E-2</v>
      </c>
      <c r="Z21" s="169">
        <f t="shared" si="19"/>
        <v>16686964.599999987</v>
      </c>
    </row>
    <row r="22" spans="1:26" ht="12" customHeight="1" x14ac:dyDescent="0.2">
      <c r="A22" s="239" t="s">
        <v>275</v>
      </c>
      <c r="B22" s="239"/>
      <c r="C22" s="178"/>
      <c r="D22" s="177"/>
      <c r="E22" s="177"/>
      <c r="F22" s="177"/>
      <c r="G22" s="177"/>
      <c r="H22" s="177"/>
      <c r="I22" s="178"/>
      <c r="J22" s="178"/>
      <c r="K22" s="227"/>
      <c r="L22" s="178"/>
      <c r="M22" s="178"/>
      <c r="N22" s="177"/>
      <c r="O22" s="177"/>
      <c r="P22" s="253"/>
      <c r="X22" s="166" t="s">
        <v>280</v>
      </c>
      <c r="Y22" s="1213">
        <f t="shared" si="18"/>
        <v>7.4791793051323094E-2</v>
      </c>
      <c r="Z22" s="169">
        <f t="shared" si="19"/>
        <v>14708851.199999977</v>
      </c>
    </row>
    <row r="23" spans="1:26" s="224" customFormat="1" ht="12" customHeight="1" x14ac:dyDescent="0.2">
      <c r="A23" s="159" t="s">
        <v>113</v>
      </c>
      <c r="B23" s="1105" t="s">
        <v>830</v>
      </c>
      <c r="C23" s="173">
        <f>VLOOKUP('Equity - CIAP MA'!A23,'Equity Portfolio Movement'!$A$6:$M$64,11,FALSE)</f>
        <v>12389480</v>
      </c>
      <c r="D23" s="174">
        <f t="shared" ref="D23" si="21">I23/C23</f>
        <v>92.786112472484135</v>
      </c>
      <c r="E23" s="174">
        <f t="shared" ref="E23" si="22">+J23/C23</f>
        <v>71.34</v>
      </c>
      <c r="F23" s="174">
        <f>VLOOKUP(A23,Rates!B:J,7,FALSE)</f>
        <v>65.37</v>
      </c>
      <c r="G23" s="174">
        <v>65.180000000000007</v>
      </c>
      <c r="H23" s="174">
        <f t="shared" ref="H23" si="23">+F23-G23</f>
        <v>0.18999999999999773</v>
      </c>
      <c r="I23" s="175">
        <f>VLOOKUP('Equity - CIAP MA'!A23,'Equity Portfolio Movement'!$A$6:$M$64,12,FALSE)</f>
        <v>1149571684.7555928</v>
      </c>
      <c r="J23" s="175">
        <f>VLOOKUP('Equity - CIAP MA'!A23,'Equity Portfolio Movement'!$A$6:$M$64,13,FALSE)</f>
        <v>883865503.20000005</v>
      </c>
      <c r="K23" s="235">
        <f t="shared" ref="K23" si="24">C23*F23</f>
        <v>809900307.60000002</v>
      </c>
      <c r="L23" s="175">
        <f t="shared" ref="L23" si="25">+K23-I23</f>
        <v>-339671377.1555928</v>
      </c>
      <c r="M23" s="175">
        <f t="shared" ref="M23" si="26">+K23-J23</f>
        <v>-73965195.600000024</v>
      </c>
      <c r="N23" s="234">
        <f>+K23/$O$2*100</f>
        <v>3.3484523482558046</v>
      </c>
      <c r="O23" s="1226">
        <f>+K23/$K$145*100</f>
        <v>3.9023893986391016</v>
      </c>
      <c r="P23" s="257" t="e">
        <f>(C23*10)/#REF!*100</f>
        <v>#REF!</v>
      </c>
      <c r="Q23" s="278"/>
      <c r="R23" s="1213">
        <f t="shared" ref="R23:R24" si="27">+H23/G23</f>
        <v>2.9150046026388109E-3</v>
      </c>
      <c r="S23" s="160">
        <v>12971544000</v>
      </c>
      <c r="U23" s="166" t="s">
        <v>275</v>
      </c>
      <c r="V23" s="320">
        <f t="shared" ref="V23:V24" si="28">+C23*H23</f>
        <v>2354001.1999999718</v>
      </c>
      <c r="X23" s="166" t="s">
        <v>150</v>
      </c>
      <c r="Y23" s="1213">
        <f t="shared" si="18"/>
        <v>1.80578255534098E-2</v>
      </c>
      <c r="Z23" s="169">
        <f t="shared" si="19"/>
        <v>3051993.4499999192</v>
      </c>
    </row>
    <row r="24" spans="1:26" s="224" customFormat="1" ht="12" customHeight="1" x14ac:dyDescent="0.2">
      <c r="A24" s="1105" t="s">
        <v>115</v>
      </c>
      <c r="B24" s="1105" t="s">
        <v>830</v>
      </c>
      <c r="C24" s="176">
        <f>VLOOKUP('Equity - CIAP MA'!A24,'Equity Portfolio Movement'!$A$6:$M$64,11,FALSE)</f>
        <v>0</v>
      </c>
      <c r="D24" s="177" t="e">
        <f t="shared" ref="D24" si="29">I24/C24</f>
        <v>#DIV/0!</v>
      </c>
      <c r="E24" s="177" t="e">
        <f t="shared" ref="E24" si="30">+J24/C24</f>
        <v>#DIV/0!</v>
      </c>
      <c r="F24" s="177">
        <f>VLOOKUP(A24,Rates!B:J,7,FALSE)</f>
        <v>2.92</v>
      </c>
      <c r="G24" s="177">
        <v>2.93</v>
      </c>
      <c r="H24" s="177">
        <f t="shared" ref="H24" si="31">+F24-G24</f>
        <v>-1.0000000000000231E-2</v>
      </c>
      <c r="I24" s="178">
        <f>VLOOKUP('Equity - CIAP MA'!A24,'Equity Portfolio Movement'!$A$6:$M$64,12,FALSE)</f>
        <v>0</v>
      </c>
      <c r="J24" s="178">
        <f>VLOOKUP('Equity - CIAP MA'!A24,'Equity Portfolio Movement'!$A$6:$M$64,13,FALSE)</f>
        <v>0</v>
      </c>
      <c r="K24" s="227">
        <f t="shared" ref="K24" si="32">C24*F24</f>
        <v>0</v>
      </c>
      <c r="L24" s="178">
        <f t="shared" ref="L24" si="33">+K24-I24</f>
        <v>0</v>
      </c>
      <c r="M24" s="178">
        <f t="shared" ref="M24" si="34">+K24-J24</f>
        <v>0</v>
      </c>
      <c r="N24" s="226">
        <f>+K24/$O$2*100</f>
        <v>0</v>
      </c>
      <c r="O24" s="1227">
        <f>+K24/$K$145*100</f>
        <v>0</v>
      </c>
      <c r="P24" s="295"/>
      <c r="Q24" s="278"/>
      <c r="R24" s="1213">
        <f t="shared" si="27"/>
        <v>-3.412969283276529E-3</v>
      </c>
      <c r="S24" s="160">
        <v>96653179000</v>
      </c>
      <c r="U24" s="166" t="s">
        <v>275</v>
      </c>
      <c r="V24" s="320">
        <f t="shared" si="28"/>
        <v>0</v>
      </c>
      <c r="X24" s="166" t="s">
        <v>132</v>
      </c>
      <c r="Y24" s="1213">
        <f t="shared" si="18"/>
        <v>5.1779254304985103E-2</v>
      </c>
      <c r="Z24" s="169">
        <f t="shared" si="19"/>
        <v>35824968.999999896</v>
      </c>
    </row>
    <row r="25" spans="1:26" s="224" customFormat="1" ht="12" customHeight="1" x14ac:dyDescent="0.2">
      <c r="A25" s="1105"/>
      <c r="B25" s="1105"/>
      <c r="C25" s="179"/>
      <c r="D25" s="180"/>
      <c r="E25" s="180"/>
      <c r="F25" s="180"/>
      <c r="G25" s="180"/>
      <c r="H25" s="180"/>
      <c r="I25" s="181"/>
      <c r="J25" s="181"/>
      <c r="K25" s="231"/>
      <c r="L25" s="181"/>
      <c r="M25" s="181"/>
      <c r="N25" s="230"/>
      <c r="O25" s="1228"/>
      <c r="P25" s="295"/>
      <c r="Q25" s="278"/>
      <c r="R25" s="1213"/>
      <c r="S25" s="1111"/>
      <c r="X25" s="1290" t="s">
        <v>485</v>
      </c>
      <c r="Y25" s="1213">
        <f t="shared" si="18"/>
        <v>2.1939079542431586E-2</v>
      </c>
      <c r="Z25" s="169">
        <f t="shared" si="19"/>
        <v>3761916.8100000285</v>
      </c>
    </row>
    <row r="26" spans="1:26" ht="12" customHeight="1" x14ac:dyDescent="0.2">
      <c r="B26" s="166" t="s">
        <v>111</v>
      </c>
      <c r="C26" s="194">
        <f>SUM(C23:C25)</f>
        <v>12389480</v>
      </c>
      <c r="D26" s="177"/>
      <c r="E26" s="177"/>
      <c r="F26" s="177"/>
      <c r="G26" s="177"/>
      <c r="H26" s="177"/>
      <c r="I26" s="194">
        <f t="shared" ref="I26:O26" si="35">SUM(I23:I25)</f>
        <v>1149571684.7555928</v>
      </c>
      <c r="J26" s="194">
        <f t="shared" si="35"/>
        <v>883865503.20000005</v>
      </c>
      <c r="K26" s="194">
        <f t="shared" si="35"/>
        <v>809900307.60000002</v>
      </c>
      <c r="L26" s="194">
        <f t="shared" si="35"/>
        <v>-339671377.1555928</v>
      </c>
      <c r="M26" s="194">
        <f t="shared" si="35"/>
        <v>-73965195.600000024</v>
      </c>
      <c r="N26" s="194">
        <f>SUM(N23:N25)</f>
        <v>3.3484523482558046</v>
      </c>
      <c r="O26" s="194">
        <f t="shared" si="35"/>
        <v>3.9023893986391016</v>
      </c>
      <c r="P26" s="194" t="e">
        <f t="shared" ref="P26" si="36">SUM(P23:P23)</f>
        <v>#REF!</v>
      </c>
      <c r="X26" s="1291" t="s">
        <v>660</v>
      </c>
      <c r="Y26" s="1213">
        <f t="shared" si="18"/>
        <v>8.1676340628023286E-2</v>
      </c>
      <c r="Z26" s="169">
        <f t="shared" si="19"/>
        <v>14688085.450000018</v>
      </c>
    </row>
    <row r="27" spans="1:26" ht="12" customHeight="1" x14ac:dyDescent="0.2">
      <c r="C27" s="194"/>
      <c r="D27" s="177"/>
      <c r="E27" s="177"/>
      <c r="F27" s="177"/>
      <c r="G27" s="177"/>
      <c r="H27" s="177"/>
      <c r="I27" s="194"/>
      <c r="J27" s="194"/>
      <c r="K27" s="862"/>
      <c r="L27" s="194"/>
      <c r="M27" s="194"/>
      <c r="N27" s="255"/>
      <c r="O27" s="255"/>
      <c r="P27" s="255"/>
      <c r="X27" s="1290" t="s">
        <v>527</v>
      </c>
      <c r="Y27" s="1213">
        <f t="shared" si="18"/>
        <v>1.9953952417498064E-2</v>
      </c>
      <c r="Z27" s="169">
        <f t="shared" si="19"/>
        <v>0</v>
      </c>
    </row>
    <row r="28" spans="1:26" ht="12" customHeight="1" x14ac:dyDescent="0.2">
      <c r="A28" s="239" t="s">
        <v>403</v>
      </c>
      <c r="B28" s="239"/>
      <c r="C28" s="178"/>
      <c r="D28" s="177"/>
      <c r="E28" s="177"/>
      <c r="F28" s="177"/>
      <c r="G28" s="177"/>
      <c r="H28" s="177"/>
      <c r="I28" s="178"/>
      <c r="J28" s="178"/>
      <c r="K28" s="227"/>
      <c r="L28" s="178"/>
      <c r="M28" s="178"/>
      <c r="N28" s="177"/>
      <c r="O28" s="177"/>
      <c r="P28" s="253"/>
      <c r="X28" s="1290" t="s">
        <v>528</v>
      </c>
      <c r="Y28" s="1213" t="e">
        <f t="shared" si="18"/>
        <v>#DIV/0!</v>
      </c>
      <c r="Z28" s="169">
        <f t="shared" si="19"/>
        <v>1264952.0000000077</v>
      </c>
    </row>
    <row r="29" spans="1:26" s="166" customFormat="1" ht="12" customHeight="1" x14ac:dyDescent="0.2">
      <c r="A29" s="224" t="s">
        <v>437</v>
      </c>
      <c r="B29" s="224" t="s">
        <v>830</v>
      </c>
      <c r="C29" s="233">
        <f>VLOOKUP('Equity - CIAP MA'!A29,'Equity Portfolio Movement'!$A$6:$M$64,11,FALSE)</f>
        <v>6196869</v>
      </c>
      <c r="D29" s="234">
        <f>I29/C29</f>
        <v>50.998313213606217</v>
      </c>
      <c r="E29" s="234">
        <f>+J29/C29</f>
        <v>72.69</v>
      </c>
      <c r="F29" s="174">
        <f>VLOOKUP(A29,Rates!B:J,7,FALSE)</f>
        <v>59.67</v>
      </c>
      <c r="G29" s="234">
        <v>60.86</v>
      </c>
      <c r="H29" s="234">
        <f>+F29-G29</f>
        <v>-1.1899999999999977</v>
      </c>
      <c r="I29" s="235">
        <f>VLOOKUP('Equity - CIAP MA'!A29,'Equity Portfolio Movement'!$A$6:$M$64,12,FALSE)</f>
        <v>316029866.20568675</v>
      </c>
      <c r="J29" s="235">
        <f>VLOOKUP('Equity - CIAP MA'!A29,'Equity Portfolio Movement'!$A$6:$M$64,13,FALSE)</f>
        <v>450450407.61000001</v>
      </c>
      <c r="K29" s="235">
        <f>C29*F29</f>
        <v>369767173.23000002</v>
      </c>
      <c r="L29" s="235">
        <f>+K29-I29</f>
        <v>53737307.024313271</v>
      </c>
      <c r="M29" s="235">
        <f>+K29-J29</f>
        <v>-80683234.379999995</v>
      </c>
      <c r="N29" s="234">
        <f>+K29/$O$2*100</f>
        <v>1.5287656368213292</v>
      </c>
      <c r="O29" s="1226">
        <f>+K29/$K$145*100</f>
        <v>1.7816705133172617</v>
      </c>
      <c r="P29" s="257" t="e">
        <f>(C29*10)/#REF!*100</f>
        <v>#REF!</v>
      </c>
      <c r="Q29" s="165"/>
      <c r="R29" s="1213">
        <f t="shared" ref="R29:R32" si="37">+H29/G29</f>
        <v>-1.9553072625698286E-2</v>
      </c>
      <c r="S29" s="160">
        <v>8983633000</v>
      </c>
      <c r="U29" s="166" t="s">
        <v>403</v>
      </c>
      <c r="V29" s="320">
        <f t="shared" ref="V29:V32" si="38">+C29*H29</f>
        <v>-7374274.1099999864</v>
      </c>
      <c r="X29" s="1291" t="s">
        <v>717</v>
      </c>
      <c r="Y29" s="1213">
        <f t="shared" si="18"/>
        <v>0.22128557087370071</v>
      </c>
      <c r="Z29" s="169">
        <f t="shared" si="19"/>
        <v>12044484.260000004</v>
      </c>
    </row>
    <row r="30" spans="1:26" s="166" customFormat="1" ht="12" customHeight="1" x14ac:dyDescent="0.2">
      <c r="A30" s="224" t="s">
        <v>160</v>
      </c>
      <c r="B30" s="224" t="s">
        <v>830</v>
      </c>
      <c r="C30" s="225">
        <f>VLOOKUP('Equity - CIAP MA'!A30,'Equity Portfolio Movement'!$A$6:$M$64,11,FALSE)</f>
        <v>1386513</v>
      </c>
      <c r="D30" s="226">
        <f>I30/C30</f>
        <v>95.281908523741691</v>
      </c>
      <c r="E30" s="226">
        <f>+J30/C30</f>
        <v>79.580000000000013</v>
      </c>
      <c r="F30" s="177">
        <f>VLOOKUP(A30,Rates!B:J,7,FALSE)</f>
        <v>67.12</v>
      </c>
      <c r="G30" s="226">
        <v>66.3</v>
      </c>
      <c r="H30" s="226">
        <f>+F30-G30</f>
        <v>0.82000000000000739</v>
      </c>
      <c r="I30" s="227">
        <f>VLOOKUP('Equity - CIAP MA'!A30,'Equity Portfolio Movement'!$A$6:$M$64,12,FALSE)</f>
        <v>132109604.83297867</v>
      </c>
      <c r="J30" s="227">
        <f>VLOOKUP('Equity - CIAP MA'!A30,'Equity Portfolio Movement'!$A$6:$M$64,13,FALSE)</f>
        <v>110338704.54000002</v>
      </c>
      <c r="K30" s="227">
        <f>C30*F30</f>
        <v>93062752.560000002</v>
      </c>
      <c r="L30" s="227">
        <f>+K30-I30</f>
        <v>-39046852.272978663</v>
      </c>
      <c r="M30" s="227">
        <f>+K30-J30</f>
        <v>-17275951.980000019</v>
      </c>
      <c r="N30" s="226">
        <f>+K30/$O$2*100</f>
        <v>0.38475870353488534</v>
      </c>
      <c r="O30" s="1227">
        <f>+K30/$K$145*100</f>
        <v>0.44840963213670215</v>
      </c>
      <c r="P30" s="295"/>
      <c r="Q30" s="165"/>
      <c r="R30" s="1213">
        <f t="shared" si="37"/>
        <v>1.2368024132730127E-2</v>
      </c>
      <c r="S30" s="160">
        <v>3515998000</v>
      </c>
      <c r="U30" s="166" t="s">
        <v>403</v>
      </c>
      <c r="V30" s="320">
        <f t="shared" si="38"/>
        <v>1136940.6600000102</v>
      </c>
      <c r="X30" s="1291" t="s">
        <v>719</v>
      </c>
      <c r="Y30" s="1213">
        <f t="shared" si="18"/>
        <v>5.5175354430162526E-2</v>
      </c>
      <c r="Z30" s="169">
        <f t="shared" si="19"/>
        <v>1188901.2499999942</v>
      </c>
    </row>
    <row r="31" spans="1:26" ht="12" customHeight="1" x14ac:dyDescent="0.2">
      <c r="A31" s="224" t="s">
        <v>554</v>
      </c>
      <c r="B31" s="224" t="s">
        <v>830</v>
      </c>
      <c r="C31" s="225">
        <f>VLOOKUP('Equity - CIAP MA'!A31,'Equity Portfolio Movement'!$A$6:$M$64,11,FALSE)</f>
        <v>3339194</v>
      </c>
      <c r="D31" s="226">
        <f>I31/C31</f>
        <v>44.183891039535503</v>
      </c>
      <c r="E31" s="226">
        <f>+J31/C31</f>
        <v>47.06</v>
      </c>
      <c r="F31" s="177">
        <f>VLOOKUP(A31,Rates!B:J,7,FALSE)</f>
        <v>30</v>
      </c>
      <c r="G31" s="226">
        <v>29.99</v>
      </c>
      <c r="H31" s="226">
        <f>+F31-G31</f>
        <v>1.0000000000001563E-2</v>
      </c>
      <c r="I31" s="227">
        <f>VLOOKUP('Equity - CIAP MA'!A31,'Equity Portfolio Movement'!$A$6:$M$64,12,FALSE)</f>
        <v>147538583.85587072</v>
      </c>
      <c r="J31" s="227">
        <f>VLOOKUP('Equity - CIAP MA'!A31,'Equity Portfolio Movement'!$A$6:$M$64,13,FALSE)</f>
        <v>157142469.64000002</v>
      </c>
      <c r="K31" s="227">
        <f>C31*F31</f>
        <v>100175820</v>
      </c>
      <c r="L31" s="227">
        <f>+K31-I31</f>
        <v>-47362763.855870724</v>
      </c>
      <c r="M31" s="227">
        <f>+K31-J31</f>
        <v>-56966649.640000015</v>
      </c>
      <c r="N31" s="226">
        <f>+K31/$O$2*100</f>
        <v>0.41416697409518405</v>
      </c>
      <c r="O31" s="1227">
        <f>+K31/$K$145*100</f>
        <v>0.48268293554106423</v>
      </c>
      <c r="P31" s="194" t="e">
        <f t="shared" ref="P31" si="39">SUM(P29:P29)</f>
        <v>#REF!</v>
      </c>
      <c r="R31" s="1213">
        <f t="shared" si="37"/>
        <v>3.3344448149388341E-4</v>
      </c>
      <c r="S31" s="160">
        <v>5133535000</v>
      </c>
      <c r="U31" s="166" t="s">
        <v>403</v>
      </c>
      <c r="V31" s="320">
        <f t="shared" si="38"/>
        <v>33391.940000005219</v>
      </c>
      <c r="X31" s="1291" t="s">
        <v>724</v>
      </c>
      <c r="Y31" s="1213">
        <f t="shared" si="18"/>
        <v>3.57249001213365E-2</v>
      </c>
      <c r="Z31" s="169">
        <f t="shared" si="19"/>
        <v>2879346.8999999929</v>
      </c>
    </row>
    <row r="32" spans="1:26" s="1105" customFormat="1" ht="12" customHeight="1" x14ac:dyDescent="0.2">
      <c r="A32" s="224" t="s">
        <v>159</v>
      </c>
      <c r="B32" s="224" t="s">
        <v>830</v>
      </c>
      <c r="C32" s="225">
        <f>VLOOKUP('Equity - CIAP MA'!A32,'Equity Portfolio Movement'!$A$6:$M$64,11,FALSE)</f>
        <v>0</v>
      </c>
      <c r="D32" s="226" t="e">
        <f>I32/C32</f>
        <v>#DIV/0!</v>
      </c>
      <c r="E32" s="226" t="e">
        <f>+J32/C32</f>
        <v>#DIV/0!</v>
      </c>
      <c r="F32" s="177">
        <f>VLOOKUP(A32,Rates!B:J,7,FALSE)</f>
        <v>44.36</v>
      </c>
      <c r="G32" s="226">
        <v>44.16</v>
      </c>
      <c r="H32" s="226">
        <f>+F32-G32</f>
        <v>0.20000000000000284</v>
      </c>
      <c r="I32" s="227">
        <f>VLOOKUP('Equity - CIAP MA'!A32,'Equity Portfolio Movement'!$A$6:$M$64,12,FALSE)</f>
        <v>0</v>
      </c>
      <c r="J32" s="227">
        <f>VLOOKUP('Equity - CIAP MA'!A32,'Equity Portfolio Movement'!$A$6:$M$64,13,FALSE)</f>
        <v>0</v>
      </c>
      <c r="K32" s="227">
        <f>C32*F32</f>
        <v>0</v>
      </c>
      <c r="L32" s="227">
        <f>+K32-I32</f>
        <v>0</v>
      </c>
      <c r="M32" s="227">
        <f>+K32-J32</f>
        <v>0</v>
      </c>
      <c r="N32" s="226">
        <f>+K32/$O$2*100</f>
        <v>0</v>
      </c>
      <c r="O32" s="1227">
        <f>+K32/$K$145*100</f>
        <v>0</v>
      </c>
      <c r="P32" s="194"/>
      <c r="Q32" s="169"/>
      <c r="R32" s="1213">
        <f t="shared" si="37"/>
        <v>4.5289855072464412E-3</v>
      </c>
      <c r="S32" s="160">
        <v>2401190000</v>
      </c>
      <c r="U32" s="166" t="s">
        <v>403</v>
      </c>
      <c r="V32" s="320">
        <f t="shared" si="38"/>
        <v>0</v>
      </c>
      <c r="X32" s="1291" t="s">
        <v>775</v>
      </c>
      <c r="Y32" s="1213">
        <f t="shared" si="18"/>
        <v>1.4440433212996403E-2</v>
      </c>
      <c r="Z32" s="169">
        <f t="shared" si="19"/>
        <v>1920.0000000000018</v>
      </c>
    </row>
    <row r="33" spans="1:26" s="1105" customFormat="1" ht="12" customHeight="1" x14ac:dyDescent="0.2">
      <c r="A33" s="224"/>
      <c r="B33" s="224"/>
      <c r="C33" s="229"/>
      <c r="D33" s="230"/>
      <c r="E33" s="230"/>
      <c r="F33" s="180"/>
      <c r="G33" s="230"/>
      <c r="H33" s="230"/>
      <c r="I33" s="231"/>
      <c r="J33" s="231"/>
      <c r="K33" s="231"/>
      <c r="L33" s="231"/>
      <c r="M33" s="231"/>
      <c r="N33" s="230"/>
      <c r="O33" s="1228"/>
      <c r="P33" s="194"/>
      <c r="Q33" s="169"/>
      <c r="R33" s="1213"/>
      <c r="S33" s="149"/>
      <c r="X33"/>
      <c r="Y33" s="1213"/>
      <c r="Z33" s="169"/>
    </row>
    <row r="34" spans="1:26" ht="12" customHeight="1" x14ac:dyDescent="0.2">
      <c r="B34" s="166" t="s">
        <v>111</v>
      </c>
      <c r="C34" s="194">
        <f>SUM(C29:C33)</f>
        <v>10922576</v>
      </c>
      <c r="D34" s="177"/>
      <c r="E34" s="177"/>
      <c r="F34" s="177"/>
      <c r="G34" s="177"/>
      <c r="H34" s="177"/>
      <c r="I34" s="194">
        <f t="shared" ref="I34:O34" si="40">SUM(I29:I33)</f>
        <v>595678054.89453614</v>
      </c>
      <c r="J34" s="194">
        <f t="shared" si="40"/>
        <v>717931581.79000008</v>
      </c>
      <c r="K34" s="194">
        <f t="shared" si="40"/>
        <v>563005745.78999996</v>
      </c>
      <c r="L34" s="194">
        <f t="shared" si="40"/>
        <v>-32672309.104536116</v>
      </c>
      <c r="M34" s="194">
        <f t="shared" si="40"/>
        <v>-154925836.00000003</v>
      </c>
      <c r="N34" s="194">
        <f t="shared" si="40"/>
        <v>2.3276913144513984</v>
      </c>
      <c r="O34" s="194">
        <f t="shared" si="40"/>
        <v>2.7127630809950278</v>
      </c>
      <c r="P34" s="255"/>
      <c r="X34" s="1291" t="s">
        <v>402</v>
      </c>
      <c r="Y34" s="1298"/>
      <c r="Z34" s="165">
        <f>+SUM(Z13:Z33)</f>
        <v>95330940.03964372</v>
      </c>
    </row>
    <row r="35" spans="1:26" ht="12" customHeight="1" x14ac:dyDescent="0.2">
      <c r="C35" s="194"/>
      <c r="D35" s="177"/>
      <c r="E35" s="177"/>
      <c r="F35" s="177"/>
      <c r="G35" s="177"/>
      <c r="H35" s="177"/>
      <c r="I35" s="194"/>
      <c r="J35" s="194"/>
      <c r="K35" s="862"/>
      <c r="L35" s="194"/>
      <c r="M35" s="194"/>
      <c r="N35" s="255"/>
      <c r="O35" s="255"/>
      <c r="P35" s="253"/>
      <c r="X35"/>
    </row>
    <row r="36" spans="1:26" ht="12" customHeight="1" x14ac:dyDescent="0.2">
      <c r="A36" s="239" t="s">
        <v>276</v>
      </c>
      <c r="B36" s="239"/>
      <c r="C36" s="178"/>
      <c r="D36" s="177"/>
      <c r="E36" s="177"/>
      <c r="F36" s="177"/>
      <c r="G36" s="177"/>
      <c r="H36" s="177"/>
      <c r="I36" s="178"/>
      <c r="J36" s="178"/>
      <c r="K36" s="227"/>
      <c r="L36" s="178"/>
      <c r="M36" s="178"/>
      <c r="N36" s="177"/>
      <c r="O36" s="177"/>
      <c r="P36" s="259" t="e">
        <f>(#REF!*10)/#REF!*100</f>
        <v>#REF!</v>
      </c>
      <c r="X36"/>
      <c r="Z36" s="169">
        <f>+Z34-M148</f>
        <v>-11311427.730000541</v>
      </c>
    </row>
    <row r="37" spans="1:26" s="1105" customFormat="1" ht="12" customHeight="1" x14ac:dyDescent="0.2">
      <c r="A37" s="1105" t="s">
        <v>589</v>
      </c>
      <c r="B37" s="1105" t="s">
        <v>830</v>
      </c>
      <c r="C37" s="173">
        <f>VLOOKUP('Equity - CIAP MA'!A37,'Equity Portfolio Movement'!$A$6:$M$64,11,FALSE)</f>
        <v>1462400</v>
      </c>
      <c r="D37" s="174">
        <f>I37/C37</f>
        <v>53.612283522877533</v>
      </c>
      <c r="E37" s="174">
        <f>+J37/C37</f>
        <v>44.376788548003177</v>
      </c>
      <c r="F37" s="174">
        <f>VLOOKUP(A37,Rates!B:J,7,FALSE)</f>
        <v>36.42</v>
      </c>
      <c r="G37" s="174">
        <v>35.71</v>
      </c>
      <c r="H37" s="174">
        <f>+F37-G37</f>
        <v>0.71000000000000085</v>
      </c>
      <c r="I37" s="175">
        <f>VLOOKUP('Equity - CIAP MA'!A37,'Equity Portfolio Movement'!$A$6:$M$64,12,FALSE)</f>
        <v>78402603.423856109</v>
      </c>
      <c r="J37" s="175">
        <f>VLOOKUP('Equity - CIAP MA'!A37,'Equity Portfolio Movement'!$A$6:$M$64,13,FALSE)</f>
        <v>64896615.572599843</v>
      </c>
      <c r="K37" s="235">
        <f>C37*F37</f>
        <v>53260608</v>
      </c>
      <c r="L37" s="175">
        <f t="shared" ref="L37" si="41">+K37-I37</f>
        <v>-25141995.423856109</v>
      </c>
      <c r="M37" s="175">
        <f>+K37-J37</f>
        <v>-11636007.572599843</v>
      </c>
      <c r="N37" s="234">
        <f>+K37/$O$2*100</f>
        <v>0.22020069168218187</v>
      </c>
      <c r="O37" s="1226">
        <f>+K37/$K$145*100</f>
        <v>0.25662866166847337</v>
      </c>
      <c r="P37" s="295"/>
      <c r="Q37" s="169"/>
      <c r="R37" s="1213">
        <f t="shared" ref="R37:R38" si="42">+H37/G37</f>
        <v>1.9882385886306381E-2</v>
      </c>
      <c r="S37" s="160">
        <v>1392048000</v>
      </c>
      <c r="U37" s="166" t="s">
        <v>276</v>
      </c>
      <c r="V37" s="320">
        <f t="shared" ref="V37:V38" si="43">+C37*H37</f>
        <v>1038304.0000000013</v>
      </c>
      <c r="X37"/>
      <c r="Y37" s="1213"/>
      <c r="Z37" s="169"/>
    </row>
    <row r="38" spans="1:26" ht="12" customHeight="1" x14ac:dyDescent="0.2">
      <c r="A38" s="159" t="s">
        <v>162</v>
      </c>
      <c r="B38" s="1105" t="s">
        <v>830</v>
      </c>
      <c r="C38" s="176">
        <f>VLOOKUP('Equity - CIAP MA'!A38,'Equity Portfolio Movement'!$A$6:$M$64,11,FALSE)</f>
        <v>4499165</v>
      </c>
      <c r="D38" s="177">
        <f>I38/C38</f>
        <v>221.67652079954544</v>
      </c>
      <c r="E38" s="177">
        <f>+J38/C38</f>
        <v>182.0218177518947</v>
      </c>
      <c r="F38" s="177">
        <f>VLOOKUP(A38,Rates!B:J,7,FALSE)</f>
        <v>169.93</v>
      </c>
      <c r="G38" s="177">
        <v>169.79</v>
      </c>
      <c r="H38" s="177">
        <f>+F38-G38</f>
        <v>0.14000000000001478</v>
      </c>
      <c r="I38" s="178">
        <f>VLOOKUP('Equity - CIAP MA'!A38,'Equity Portfolio Movement'!$A$6:$M$64,12,FALSE)</f>
        <v>997359243.70308685</v>
      </c>
      <c r="J38" s="178">
        <f>VLOOKUP('Equity - CIAP MA'!A38,'Equity Portfolio Movement'!$A$6:$M$64,13,FALSE)</f>
        <v>818946191.6657033</v>
      </c>
      <c r="K38" s="227">
        <f>C38*F38</f>
        <v>764543108.45000005</v>
      </c>
      <c r="L38" s="178">
        <f t="shared" ref="L38" si="44">+K38-I38</f>
        <v>-232816135.25308681</v>
      </c>
      <c r="M38" s="178">
        <f>+K38-J38</f>
        <v>-54403083.215703249</v>
      </c>
      <c r="N38" s="226">
        <f>+K38/$O$2*100</f>
        <v>3.1609275151634657</v>
      </c>
      <c r="O38" s="1227">
        <f>+K38/$K$145*100</f>
        <v>3.6838421880084065</v>
      </c>
      <c r="P38" s="255" t="e">
        <f>SUM(P36:P36)</f>
        <v>#REF!</v>
      </c>
      <c r="R38" s="1213">
        <f t="shared" si="42"/>
        <v>8.2454797102311556E-4</v>
      </c>
      <c r="S38" s="160">
        <v>4694733000</v>
      </c>
      <c r="U38" s="166" t="s">
        <v>276</v>
      </c>
      <c r="V38" s="320">
        <f t="shared" si="43"/>
        <v>629883.10000006645</v>
      </c>
      <c r="X38"/>
    </row>
    <row r="39" spans="1:26" s="1105" customFormat="1" ht="12" customHeight="1" x14ac:dyDescent="0.2">
      <c r="C39" s="179"/>
      <c r="D39" s="180"/>
      <c r="E39" s="180"/>
      <c r="F39" s="180"/>
      <c r="G39" s="180"/>
      <c r="H39" s="180"/>
      <c r="I39" s="181"/>
      <c r="J39" s="181"/>
      <c r="K39" s="231"/>
      <c r="L39" s="181"/>
      <c r="M39" s="181"/>
      <c r="N39" s="230"/>
      <c r="O39" s="1228"/>
      <c r="P39" s="255"/>
      <c r="Q39" s="169"/>
      <c r="R39" s="1213"/>
      <c r="S39" s="160"/>
      <c r="X39"/>
      <c r="Y39" s="1213"/>
      <c r="Z39" s="169"/>
    </row>
    <row r="40" spans="1:26" ht="12" customHeight="1" x14ac:dyDescent="0.2">
      <c r="B40" s="166" t="s">
        <v>111</v>
      </c>
      <c r="C40" s="194">
        <f>SUM(C37:C39)</f>
        <v>5961565</v>
      </c>
      <c r="D40" s="177"/>
      <c r="E40" s="177"/>
      <c r="F40" s="177"/>
      <c r="G40" s="177"/>
      <c r="H40" s="177"/>
      <c r="I40" s="194">
        <f t="shared" ref="I40:O40" si="45">SUM(I37:I39)</f>
        <v>1075761847.1269429</v>
      </c>
      <c r="J40" s="194">
        <f t="shared" si="45"/>
        <v>883842807.23830318</v>
      </c>
      <c r="K40" s="194">
        <f t="shared" si="45"/>
        <v>817803716.45000005</v>
      </c>
      <c r="L40" s="194">
        <f t="shared" si="45"/>
        <v>-257958130.67694291</v>
      </c>
      <c r="M40" s="194">
        <f t="shared" si="45"/>
        <v>-66039090.788303092</v>
      </c>
      <c r="N40" s="194">
        <f t="shared" si="45"/>
        <v>3.3811282068456476</v>
      </c>
      <c r="O40" s="194">
        <f t="shared" si="45"/>
        <v>3.9404708496768799</v>
      </c>
      <c r="P40" s="253"/>
      <c r="X40"/>
    </row>
    <row r="41" spans="1:26" ht="12" customHeight="1" x14ac:dyDescent="0.2">
      <c r="C41" s="178"/>
      <c r="D41" s="177"/>
      <c r="E41" s="177"/>
      <c r="F41" s="177"/>
      <c r="G41" s="177"/>
      <c r="H41" s="177"/>
      <c r="I41" s="178"/>
      <c r="J41" s="178"/>
      <c r="K41" s="227"/>
      <c r="L41" s="178"/>
      <c r="M41" s="178"/>
      <c r="N41" s="177"/>
      <c r="O41" s="177"/>
      <c r="P41" s="253"/>
      <c r="X41"/>
    </row>
    <row r="42" spans="1:26" ht="12" customHeight="1" x14ac:dyDescent="0.2">
      <c r="A42" s="239" t="s">
        <v>277</v>
      </c>
      <c r="B42" s="239"/>
      <c r="C42" s="178"/>
      <c r="D42" s="177"/>
      <c r="E42" s="177"/>
      <c r="F42" s="177"/>
      <c r="G42" s="177"/>
      <c r="H42" s="177"/>
      <c r="I42" s="178"/>
      <c r="J42" s="178"/>
      <c r="K42" s="227"/>
      <c r="L42" s="178"/>
      <c r="M42" s="178"/>
      <c r="N42" s="177"/>
      <c r="O42" s="177"/>
      <c r="P42" s="259" t="e">
        <f>(C43*10)/#REF!*100</f>
        <v>#REF!</v>
      </c>
      <c r="X42"/>
    </row>
    <row r="43" spans="1:26" ht="12" customHeight="1" x14ac:dyDescent="0.2">
      <c r="A43" s="159" t="s">
        <v>123</v>
      </c>
      <c r="B43" s="1105" t="s">
        <v>830</v>
      </c>
      <c r="C43" s="173">
        <f>VLOOKUP('Equity - CIAP MA'!A43,'Equity Portfolio Movement'!$A$6:$M$64,11,FALSE)</f>
        <v>982228</v>
      </c>
      <c r="D43" s="174">
        <f>I43/C43</f>
        <v>1215.9442495345384</v>
      </c>
      <c r="E43" s="174">
        <f>+J43/C43</f>
        <v>1654.23</v>
      </c>
      <c r="F43" s="174">
        <f>VLOOKUP(A43,Rates!B:J,7,FALSE)</f>
        <v>1689.97</v>
      </c>
      <c r="G43" s="174">
        <v>1700.46</v>
      </c>
      <c r="H43" s="174">
        <f>+F43-G43</f>
        <v>-10.490000000000009</v>
      </c>
      <c r="I43" s="175">
        <f>VLOOKUP('Equity - CIAP MA'!A43,'Equity Portfolio Movement'!$A$6:$M$64,12,FALSE)</f>
        <v>1194334488.3318105</v>
      </c>
      <c r="J43" s="175">
        <f>VLOOKUP('Equity - CIAP MA'!A43,'Equity Portfolio Movement'!$A$6:$M$64,13,FALSE)</f>
        <v>1624831024.4400001</v>
      </c>
      <c r="K43" s="235">
        <f>C43*F43</f>
        <v>1659935853.1600001</v>
      </c>
      <c r="L43" s="175">
        <f>+K43-I43</f>
        <v>465601364.82818961</v>
      </c>
      <c r="M43" s="175">
        <f>+K43-J43</f>
        <v>35104828.720000029</v>
      </c>
      <c r="N43" s="234">
        <f>+K43/$O$2*100</f>
        <v>6.8628398499297028</v>
      </c>
      <c r="O43" s="1226">
        <f>+K43/$K$145*100</f>
        <v>7.9981647309014274</v>
      </c>
      <c r="P43" s="252" t="e">
        <f>(C44*10)/#REF!*100</f>
        <v>#REF!</v>
      </c>
      <c r="R43" s="1213">
        <f t="shared" ref="R43:R46" si="46">+H43/G43</f>
        <v>-6.1689189983886762E-3</v>
      </c>
      <c r="S43" s="160">
        <v>1334025000</v>
      </c>
      <c r="U43" s="166" t="s">
        <v>277</v>
      </c>
      <c r="V43" s="320">
        <f t="shared" ref="V43:V46" si="47">+C43*H43</f>
        <v>-10303571.720000008</v>
      </c>
      <c r="X43"/>
    </row>
    <row r="44" spans="1:26" ht="12" customHeight="1" x14ac:dyDescent="0.2">
      <c r="A44" s="159" t="s">
        <v>116</v>
      </c>
      <c r="B44" s="1105" t="s">
        <v>830</v>
      </c>
      <c r="C44" s="176">
        <f>VLOOKUP('Equity - CIAP MA'!A44,'Equity Portfolio Movement'!$A$6:$M$64,11,FALSE)</f>
        <v>13028343</v>
      </c>
      <c r="D44" s="177">
        <f>I44/C44</f>
        <v>135.98647549926991</v>
      </c>
      <c r="E44" s="177">
        <f>+J44/C44</f>
        <v>86.200000000000017</v>
      </c>
      <c r="F44" s="177">
        <f>VLOOKUP(A44,Rates!B:J,7,FALSE)</f>
        <v>80.099999999999994</v>
      </c>
      <c r="G44" s="177">
        <v>78.77</v>
      </c>
      <c r="H44" s="177">
        <f>+F44-G44</f>
        <v>1.3299999999999983</v>
      </c>
      <c r="I44" s="178">
        <f>VLOOKUP('Equity - CIAP MA'!A44,'Equity Portfolio Movement'!$A$6:$M$64,12,FALSE)</f>
        <v>1771678446.1655848</v>
      </c>
      <c r="J44" s="178">
        <f>VLOOKUP('Equity - CIAP MA'!A44,'Equity Portfolio Movement'!$A$6:$M$64,13,FALSE)</f>
        <v>1123043166.6000001</v>
      </c>
      <c r="K44" s="227">
        <f>C44*F44</f>
        <v>1043570274.3</v>
      </c>
      <c r="L44" s="178">
        <f>+K44-I44</f>
        <v>-728108171.86558485</v>
      </c>
      <c r="M44" s="178">
        <f>+K44-J44</f>
        <v>-79472892.300000191</v>
      </c>
      <c r="N44" s="226">
        <f>+K44/$O$2*100</f>
        <v>4.314537607603433</v>
      </c>
      <c r="O44" s="1227">
        <f>+K44/$K$145*100</f>
        <v>5.0282948863559849</v>
      </c>
      <c r="P44" s="295" t="e">
        <f>(C45*10)/#REF!*100</f>
        <v>#REF!</v>
      </c>
      <c r="R44" s="1213">
        <f t="shared" si="46"/>
        <v>1.6884600736320914E-2</v>
      </c>
      <c r="S44" s="160">
        <v>43009284000</v>
      </c>
      <c r="U44" s="166" t="s">
        <v>277</v>
      </c>
      <c r="V44" s="320">
        <f t="shared" si="47"/>
        <v>17327696.189999979</v>
      </c>
      <c r="X44"/>
    </row>
    <row r="45" spans="1:26" ht="12" customHeight="1" x14ac:dyDescent="0.2">
      <c r="A45" s="254" t="s">
        <v>117</v>
      </c>
      <c r="B45" s="254" t="s">
        <v>830</v>
      </c>
      <c r="C45" s="225">
        <f>VLOOKUP('Equity - CIAP MA'!A45,'Equity Portfolio Movement'!$A$6:$M$64,11,FALSE)</f>
        <v>1941299</v>
      </c>
      <c r="D45" s="226">
        <f>I45/C45</f>
        <v>464.48030911550336</v>
      </c>
      <c r="E45" s="226">
        <f>+J45/C45</f>
        <v>357.62</v>
      </c>
      <c r="F45" s="431">
        <f>VLOOKUP(A45,Rates!B:J,7,FALSE)</f>
        <v>376.19</v>
      </c>
      <c r="G45" s="226">
        <v>373.78</v>
      </c>
      <c r="H45" s="226">
        <f>+F45-G45</f>
        <v>2.410000000000025</v>
      </c>
      <c r="I45" s="227">
        <f>VLOOKUP('Equity - CIAP MA'!A45,'Equity Portfolio Movement'!$A$6:$M$64,12,FALSE)</f>
        <v>901695159.60561752</v>
      </c>
      <c r="J45" s="227">
        <f>VLOOKUP('Equity - CIAP MA'!A45,'Equity Portfolio Movement'!$A$6:$M$64,13,FALSE)</f>
        <v>694247348.38</v>
      </c>
      <c r="K45" s="227">
        <f>C45*F45</f>
        <v>730297270.80999994</v>
      </c>
      <c r="L45" s="227">
        <f>+K45-I45</f>
        <v>-171397888.79561758</v>
      </c>
      <c r="M45" s="227">
        <f>+K45-J45</f>
        <v>36049922.429999948</v>
      </c>
      <c r="N45" s="226">
        <f>+K45/$O$2*100</f>
        <v>3.0193415021843477</v>
      </c>
      <c r="O45" s="1227">
        <f>+K45/$K$145*100</f>
        <v>3.518833491876566</v>
      </c>
      <c r="P45" s="260" t="e">
        <f>(C46*10)/#REF!*100</f>
        <v>#REF!</v>
      </c>
      <c r="R45" s="1213">
        <f t="shared" si="46"/>
        <v>6.4476429985553677E-3</v>
      </c>
      <c r="S45" s="160">
        <v>2838551000</v>
      </c>
      <c r="U45" s="166" t="s">
        <v>277</v>
      </c>
      <c r="V45" s="320">
        <f t="shared" si="47"/>
        <v>4678530.5900000483</v>
      </c>
      <c r="X45"/>
    </row>
    <row r="46" spans="1:26" ht="12" customHeight="1" x14ac:dyDescent="0.2">
      <c r="A46" s="224" t="s">
        <v>119</v>
      </c>
      <c r="B46" s="224" t="s">
        <v>830</v>
      </c>
      <c r="C46" s="225">
        <f>VLOOKUP('Equity - CIAP MA'!A46,'Equity Portfolio Movement'!$A$6:$M$64,11,FALSE)</f>
        <v>11500000</v>
      </c>
      <c r="D46" s="226">
        <f>I46/C46</f>
        <v>126.49766730805074</v>
      </c>
      <c r="E46" s="226">
        <f>+J46/C46</f>
        <v>79.040000000000006</v>
      </c>
      <c r="F46" s="177">
        <f>VLOOKUP(A46,Rates!B:J,7,FALSE)</f>
        <v>68.33</v>
      </c>
      <c r="G46" s="226">
        <v>68.03</v>
      </c>
      <c r="H46" s="226">
        <f>+F46-G46</f>
        <v>0.29999999999999716</v>
      </c>
      <c r="I46" s="227">
        <f>VLOOKUP('Equity - CIAP MA'!A46,'Equity Portfolio Movement'!$A$6:$M$64,12,FALSE)</f>
        <v>1454723174.0425835</v>
      </c>
      <c r="J46" s="227">
        <f>VLOOKUP('Equity - CIAP MA'!A46,'Equity Portfolio Movement'!$A$6:$M$64,13,FALSE)</f>
        <v>908960000.00000012</v>
      </c>
      <c r="K46" s="227">
        <f>C46*F46</f>
        <v>785795000</v>
      </c>
      <c r="L46" s="227">
        <f>+K46-I46</f>
        <v>-668928174.04258347</v>
      </c>
      <c r="M46" s="227">
        <f>+K46-J46</f>
        <v>-123165000.00000012</v>
      </c>
      <c r="N46" s="226">
        <f>+K46/$O$2*100</f>
        <v>3.2487913491411913</v>
      </c>
      <c r="O46" s="1227">
        <f>+K46/$K$145*100</f>
        <v>3.7862414036989223</v>
      </c>
      <c r="P46" s="255" t="e">
        <f t="shared" ref="P46" si="48">SUM(P42:P45)</f>
        <v>#REF!</v>
      </c>
      <c r="R46" s="1213">
        <f t="shared" si="46"/>
        <v>4.4098191974128644E-3</v>
      </c>
      <c r="S46" s="160">
        <v>27209675000</v>
      </c>
      <c r="U46" s="166" t="s">
        <v>277</v>
      </c>
      <c r="V46" s="320">
        <f t="shared" si="47"/>
        <v>3449999.9999999674</v>
      </c>
      <c r="X46"/>
    </row>
    <row r="47" spans="1:26" s="1105" customFormat="1" ht="12" customHeight="1" x14ac:dyDescent="0.2">
      <c r="A47" s="224"/>
      <c r="B47" s="224"/>
      <c r="C47" s="229"/>
      <c r="D47" s="230"/>
      <c r="E47" s="230"/>
      <c r="F47" s="180"/>
      <c r="G47" s="230"/>
      <c r="H47" s="230"/>
      <c r="I47" s="231"/>
      <c r="J47" s="231"/>
      <c r="K47" s="231"/>
      <c r="L47" s="231"/>
      <c r="M47" s="231"/>
      <c r="N47" s="230"/>
      <c r="O47" s="1228"/>
      <c r="P47" s="255"/>
      <c r="Q47" s="169"/>
      <c r="R47" s="1213"/>
      <c r="S47" s="160"/>
      <c r="X47"/>
      <c r="Y47" s="1213"/>
      <c r="Z47" s="169"/>
    </row>
    <row r="48" spans="1:26" ht="12" customHeight="1" x14ac:dyDescent="0.2">
      <c r="B48" s="166" t="s">
        <v>111</v>
      </c>
      <c r="C48" s="194">
        <f>SUM(C43:C47)</f>
        <v>27451870</v>
      </c>
      <c r="D48" s="177"/>
      <c r="E48" s="177"/>
      <c r="F48" s="177"/>
      <c r="G48" s="177"/>
      <c r="H48" s="177"/>
      <c r="I48" s="194">
        <f t="shared" ref="I48:O48" si="49">SUM(I43:I47)</f>
        <v>5322431268.1455965</v>
      </c>
      <c r="J48" s="194">
        <f t="shared" si="49"/>
        <v>4351081539.4200001</v>
      </c>
      <c r="K48" s="194">
        <f t="shared" si="49"/>
        <v>4219598398.27</v>
      </c>
      <c r="L48" s="194">
        <f t="shared" si="49"/>
        <v>-1102832869.8755963</v>
      </c>
      <c r="M48" s="194">
        <f t="shared" si="49"/>
        <v>-131483141.15000033</v>
      </c>
      <c r="N48" s="194">
        <f t="shared" si="49"/>
        <v>17.445510308858676</v>
      </c>
      <c r="O48" s="194">
        <f t="shared" si="49"/>
        <v>20.331534512832903</v>
      </c>
      <c r="P48" s="253"/>
      <c r="X48"/>
    </row>
    <row r="49" spans="1:26" ht="12" customHeight="1" x14ac:dyDescent="0.2">
      <c r="C49" s="178"/>
      <c r="D49" s="177"/>
      <c r="E49" s="177"/>
      <c r="F49" s="177"/>
      <c r="G49" s="177"/>
      <c r="H49" s="177"/>
      <c r="I49" s="178"/>
      <c r="J49" s="178"/>
      <c r="K49" s="227"/>
      <c r="L49" s="178"/>
      <c r="M49" s="178"/>
      <c r="N49" s="177"/>
      <c r="O49" s="177"/>
      <c r="P49" s="253"/>
      <c r="X49"/>
    </row>
    <row r="50" spans="1:26" ht="12" customHeight="1" x14ac:dyDescent="0.2">
      <c r="A50" s="239" t="s">
        <v>278</v>
      </c>
      <c r="B50" s="239"/>
      <c r="C50" s="178"/>
      <c r="D50" s="177"/>
      <c r="E50" s="177"/>
      <c r="F50" s="177"/>
      <c r="G50" s="177"/>
      <c r="H50" s="177"/>
      <c r="I50" s="178"/>
      <c r="J50" s="178"/>
      <c r="K50" s="227"/>
      <c r="L50" s="178"/>
      <c r="M50" s="178"/>
      <c r="N50" s="177"/>
      <c r="O50" s="177"/>
      <c r="P50" s="257" t="e">
        <f>(C51*10)/#REF!*100</f>
        <v>#REF!</v>
      </c>
      <c r="X50"/>
    </row>
    <row r="51" spans="1:26" s="1105" customFormat="1" ht="12" customHeight="1" x14ac:dyDescent="0.2">
      <c r="A51" s="224" t="s">
        <v>164</v>
      </c>
      <c r="B51" s="224" t="s">
        <v>830</v>
      </c>
      <c r="C51" s="233">
        <f>VLOOKUP('Equity - CIAP MA'!A51,'Equity Portfolio Movement'!$A$6:$M$64,11,FALSE)</f>
        <v>1841004</v>
      </c>
      <c r="D51" s="234">
        <f t="shared" ref="D51:D52" si="50">I51/C51</f>
        <v>80.616277123601208</v>
      </c>
      <c r="E51" s="234">
        <f t="shared" ref="E51:E52" si="51">+J51/C51</f>
        <v>104.11</v>
      </c>
      <c r="F51" s="174">
        <f>VLOOKUP(A51,Rates!B:J,7,FALSE)</f>
        <v>53.56</v>
      </c>
      <c r="G51" s="234">
        <v>52.97</v>
      </c>
      <c r="H51" s="234">
        <f t="shared" ref="H51:H52" si="52">+F51-G51</f>
        <v>0.59000000000000341</v>
      </c>
      <c r="I51" s="235">
        <f>VLOOKUP('Equity - CIAP MA'!A51,'Equity Portfolio Movement'!$A$6:$M$64,12,FALSE)</f>
        <v>148414888.64965832</v>
      </c>
      <c r="J51" s="235">
        <f>VLOOKUP('Equity - CIAP MA'!A51,'Equity Portfolio Movement'!$A$6:$M$64,13,FALSE)</f>
        <v>191666926.44</v>
      </c>
      <c r="K51" s="235">
        <f t="shared" ref="K51" si="53">C51*F51</f>
        <v>98604174.24000001</v>
      </c>
      <c r="L51" s="235">
        <f t="shared" ref="L51" si="54">+K51-I51</f>
        <v>-49810714.409658313</v>
      </c>
      <c r="M51" s="235">
        <f t="shared" ref="M51" si="55">+K51-J51</f>
        <v>-93062752.199999988</v>
      </c>
      <c r="N51" s="234">
        <f>+K51/$O$2*100</f>
        <v>0.40766916086272209</v>
      </c>
      <c r="O51" s="1226">
        <f>+K51/$K$145*100</f>
        <v>0.47511018406204003</v>
      </c>
      <c r="P51" s="295"/>
      <c r="Q51" s="169"/>
      <c r="R51" s="1213">
        <f t="shared" ref="R51:R52" si="56">+H51/G51</f>
        <v>1.1138380215216225E-2</v>
      </c>
      <c r="S51" s="160">
        <v>3356339000</v>
      </c>
      <c r="U51" s="166" t="s">
        <v>278</v>
      </c>
      <c r="V51" s="320">
        <f t="shared" ref="V51:V52" si="57">+C51*H51</f>
        <v>1086192.3600000064</v>
      </c>
      <c r="X51"/>
      <c r="Y51" s="1213"/>
      <c r="Z51" s="169"/>
    </row>
    <row r="52" spans="1:26" s="1105" customFormat="1" ht="12" customHeight="1" x14ac:dyDescent="0.2">
      <c r="A52" s="224" t="s">
        <v>656</v>
      </c>
      <c r="B52" s="224" t="s">
        <v>830</v>
      </c>
      <c r="C52" s="225">
        <f>VLOOKUP('Equity - CIAP MA'!A52,'Equity Portfolio Movement'!$A$6:$M$64,11,FALSE)</f>
        <v>4689000</v>
      </c>
      <c r="D52" s="226">
        <f t="shared" si="50"/>
        <v>27.858650351887395</v>
      </c>
      <c r="E52" s="226">
        <f t="shared" si="51"/>
        <v>26.180124333546601</v>
      </c>
      <c r="F52" s="177">
        <f>VLOOKUP(A52,Rates!B:J,7,FALSE)</f>
        <v>13.9</v>
      </c>
      <c r="G52" s="226">
        <v>13.48</v>
      </c>
      <c r="H52" s="226">
        <f t="shared" si="52"/>
        <v>0.41999999999999993</v>
      </c>
      <c r="I52" s="227">
        <f>VLOOKUP('Equity - CIAP MA'!A52,'Equity Portfolio Movement'!$A$6:$M$64,12,FALSE)</f>
        <v>130629211.5</v>
      </c>
      <c r="J52" s="227">
        <f>VLOOKUP('Equity - CIAP MA'!A52,'Equity Portfolio Movement'!$A$6:$M$64,13,FALSE)</f>
        <v>122758603.00000001</v>
      </c>
      <c r="K52" s="227">
        <f t="shared" ref="K52" si="58">C52*F52</f>
        <v>65177100</v>
      </c>
      <c r="L52" s="227">
        <f t="shared" ref="L52" si="59">+K52-I52</f>
        <v>-65452111.5</v>
      </c>
      <c r="M52" s="227">
        <f t="shared" ref="M52" si="60">+K52-J52</f>
        <v>-57581503.000000015</v>
      </c>
      <c r="N52" s="226">
        <f>+K52/$O$2*100</f>
        <v>0.26946824380673118</v>
      </c>
      <c r="O52" s="1227">
        <f>+K52/$K$145*100</f>
        <v>0.31404658287851794</v>
      </c>
      <c r="P52" s="295"/>
      <c r="Q52" s="169"/>
      <c r="R52" s="1213">
        <f t="shared" si="56"/>
        <v>3.1157270029673584E-2</v>
      </c>
      <c r="S52" s="160">
        <v>6048790000</v>
      </c>
      <c r="U52" s="166" t="s">
        <v>278</v>
      </c>
      <c r="V52" s="320">
        <f t="shared" si="57"/>
        <v>1969379.9999999998</v>
      </c>
      <c r="X52"/>
      <c r="Y52" s="1213"/>
      <c r="Z52" s="169"/>
    </row>
    <row r="53" spans="1:26" s="1105" customFormat="1" ht="12" customHeight="1" x14ac:dyDescent="0.2">
      <c r="A53" s="224"/>
      <c r="B53" s="224"/>
      <c r="C53" s="229"/>
      <c r="D53" s="230"/>
      <c r="E53" s="230"/>
      <c r="F53" s="180"/>
      <c r="G53" s="230"/>
      <c r="H53" s="230"/>
      <c r="I53" s="231"/>
      <c r="J53" s="231"/>
      <c r="K53" s="231"/>
      <c r="L53" s="231"/>
      <c r="M53" s="231"/>
      <c r="N53" s="230"/>
      <c r="O53" s="1228"/>
      <c r="P53" s="295"/>
      <c r="Q53" s="169"/>
      <c r="R53" s="1213"/>
      <c r="S53" s="160"/>
      <c r="X53"/>
      <c r="Y53" s="1213"/>
      <c r="Z53" s="169"/>
    </row>
    <row r="54" spans="1:26" ht="12" customHeight="1" x14ac:dyDescent="0.2">
      <c r="B54" s="166" t="s">
        <v>111</v>
      </c>
      <c r="C54" s="194">
        <f>SUM(C51:C53)</f>
        <v>6530004</v>
      </c>
      <c r="D54" s="177"/>
      <c r="E54" s="177"/>
      <c r="F54" s="177"/>
      <c r="G54" s="177"/>
      <c r="H54" s="177"/>
      <c r="I54" s="194">
        <f t="shared" ref="I54:O54" si="61">SUM(I51:I53)</f>
        <v>279044100.14965832</v>
      </c>
      <c r="J54" s="194">
        <f t="shared" si="61"/>
        <v>314425529.44</v>
      </c>
      <c r="K54" s="194">
        <f t="shared" si="61"/>
        <v>163781274.24000001</v>
      </c>
      <c r="L54" s="194">
        <f t="shared" si="61"/>
        <v>-115262825.90965831</v>
      </c>
      <c r="M54" s="194">
        <f t="shared" si="61"/>
        <v>-150644255.19999999</v>
      </c>
      <c r="N54" s="194">
        <f t="shared" si="61"/>
        <v>0.67713740466945327</v>
      </c>
      <c r="O54" s="194">
        <f t="shared" si="61"/>
        <v>0.78915676694055792</v>
      </c>
      <c r="P54" s="194" t="e">
        <f t="shared" ref="P54" si="62">SUM(P50:P50)</f>
        <v>#REF!</v>
      </c>
      <c r="X54"/>
    </row>
    <row r="55" spans="1:26" ht="12" customHeight="1" x14ac:dyDescent="0.2">
      <c r="C55" s="194"/>
      <c r="D55" s="177"/>
      <c r="E55" s="177"/>
      <c r="F55" s="177"/>
      <c r="G55" s="178"/>
      <c r="H55" s="178"/>
      <c r="I55" s="194"/>
      <c r="J55" s="194"/>
      <c r="K55" s="862"/>
      <c r="L55" s="194"/>
      <c r="M55" s="194"/>
      <c r="N55" s="255"/>
      <c r="O55" s="255"/>
      <c r="P55" s="255"/>
      <c r="X55"/>
    </row>
    <row r="56" spans="1:26" ht="12" customHeight="1" x14ac:dyDescent="0.2">
      <c r="A56" s="239" t="s">
        <v>142</v>
      </c>
      <c r="B56" s="239"/>
      <c r="C56" s="178"/>
      <c r="D56" s="177"/>
      <c r="E56" s="177"/>
      <c r="F56" s="177"/>
      <c r="G56" s="177"/>
      <c r="H56" s="177"/>
      <c r="I56" s="178"/>
      <c r="J56" s="178"/>
      <c r="K56" s="227"/>
      <c r="L56" s="178"/>
      <c r="M56" s="178"/>
      <c r="N56" s="177"/>
      <c r="O56" s="177"/>
      <c r="P56" s="253"/>
      <c r="X56"/>
    </row>
    <row r="57" spans="1:26" ht="12" customHeight="1" x14ac:dyDescent="0.2">
      <c r="A57" s="224" t="s">
        <v>145</v>
      </c>
      <c r="B57" s="224" t="s">
        <v>830</v>
      </c>
      <c r="C57" s="233">
        <f>VLOOKUP('Equity - CIAP MA'!A57,'Equity Portfolio Movement'!$A$6:$M$64,11,FALSE)</f>
        <v>2824558</v>
      </c>
      <c r="D57" s="234">
        <f t="shared" ref="D57" si="63">I57/C57</f>
        <v>705.60920322867628</v>
      </c>
      <c r="E57" s="234">
        <f t="shared" ref="E57" si="64">+J57/C57</f>
        <v>679.28</v>
      </c>
      <c r="F57" s="174">
        <f>VLOOKUP(A57,Rates!B:J,7,FALSE)</f>
        <v>418.96</v>
      </c>
      <c r="G57" s="234">
        <v>423.2</v>
      </c>
      <c r="H57" s="234">
        <f t="shared" ref="H57" si="65">+F57-G57</f>
        <v>-4.2400000000000091</v>
      </c>
      <c r="I57" s="235">
        <f>VLOOKUP('Equity - CIAP MA'!A57,'Equity Portfolio Movement'!$A$6:$M$64,12,FALSE)</f>
        <v>1993034119.8531835</v>
      </c>
      <c r="J57" s="235">
        <f>VLOOKUP('Equity - CIAP MA'!A57,'Equity Portfolio Movement'!$A$6:$M$64,13,FALSE)</f>
        <v>1918665758.24</v>
      </c>
      <c r="K57" s="235">
        <f t="shared" ref="K57" si="66">C57*F57</f>
        <v>1183376819.6799998</v>
      </c>
      <c r="L57" s="235">
        <f t="shared" ref="L57" si="67">+K57-I57</f>
        <v>-809657300.17318368</v>
      </c>
      <c r="M57" s="235">
        <f t="shared" ref="M57" si="68">+K57-J57</f>
        <v>-735288938.56000018</v>
      </c>
      <c r="N57" s="234">
        <f t="shared" ref="N57:N62" si="69">+K57/$O$2*100</f>
        <v>4.8925538779842057</v>
      </c>
      <c r="O57" s="1226">
        <f t="shared" ref="O57:O62" si="70">+K57/$K$145*100</f>
        <v>5.7019328334361621</v>
      </c>
      <c r="P57" s="259" t="e">
        <f>(C57*10)/#REF!*100</f>
        <v>#REF!</v>
      </c>
      <c r="R57" s="1213">
        <f t="shared" ref="R57:R62" si="71">+H57/G57</f>
        <v>-1.0018903591682442E-2</v>
      </c>
      <c r="S57" s="160">
        <v>3233750000</v>
      </c>
      <c r="U57" s="166" t="s">
        <v>142</v>
      </c>
      <c r="V57" s="320">
        <f t="shared" ref="V57:V60" si="72">+C57*H57</f>
        <v>-11976125.920000026</v>
      </c>
      <c r="X57"/>
    </row>
    <row r="58" spans="1:26" ht="12" customHeight="1" x14ac:dyDescent="0.2">
      <c r="A58" s="224" t="s">
        <v>143</v>
      </c>
      <c r="B58" s="224" t="s">
        <v>830</v>
      </c>
      <c r="C58" s="225">
        <f>VLOOKUP('Equity - CIAP MA'!A58,'Equity Portfolio Movement'!$A$6:$M$64,11,FALSE)</f>
        <v>6219785</v>
      </c>
      <c r="D58" s="226">
        <f t="shared" ref="D58" si="73">I58/C58</f>
        <v>108.78177628813377</v>
      </c>
      <c r="E58" s="226">
        <f t="shared" ref="E58" si="74">+J58/C58</f>
        <v>82.94</v>
      </c>
      <c r="F58" s="177">
        <f>VLOOKUP(A58,Rates!B:J,7,FALSE)</f>
        <v>55.36</v>
      </c>
      <c r="G58" s="226">
        <v>54</v>
      </c>
      <c r="H58" s="226">
        <f t="shared" ref="H58" si="75">+F58-G58</f>
        <v>1.3599999999999994</v>
      </c>
      <c r="I58" s="227">
        <f>VLOOKUP('Equity - CIAP MA'!A58,'Equity Portfolio Movement'!$A$6:$M$64,12,FALSE)</f>
        <v>676599260.4302901</v>
      </c>
      <c r="J58" s="227">
        <f>VLOOKUP('Equity - CIAP MA'!A58,'Equity Portfolio Movement'!$A$6:$M$64,13,FALSE)</f>
        <v>515868967.89999998</v>
      </c>
      <c r="K58" s="227">
        <f t="shared" ref="K58" si="76">C58*F58</f>
        <v>344327297.60000002</v>
      </c>
      <c r="L58" s="227">
        <f t="shared" ref="L58" si="77">+K58-I58</f>
        <v>-332271962.83029008</v>
      </c>
      <c r="M58" s="227">
        <f t="shared" ref="M58" si="78">+K58-J58</f>
        <v>-171541670.29999995</v>
      </c>
      <c r="N58" s="226">
        <f t="shared" si="69"/>
        <v>1.4235869987923624</v>
      </c>
      <c r="O58" s="1227">
        <f t="shared" si="70"/>
        <v>1.6590920922083758</v>
      </c>
      <c r="P58" s="252" t="e">
        <f>(C58*10)/#REF!*100</f>
        <v>#REF!</v>
      </c>
      <c r="R58" s="1213">
        <f t="shared" si="71"/>
        <v>2.5185185185185175E-2</v>
      </c>
      <c r="S58" s="160">
        <v>4381191000</v>
      </c>
      <c r="U58" s="166" t="s">
        <v>142</v>
      </c>
      <c r="V58" s="320">
        <f t="shared" si="72"/>
        <v>8458907.5999999959</v>
      </c>
      <c r="X58"/>
    </row>
    <row r="59" spans="1:26" ht="12" customHeight="1" x14ac:dyDescent="0.2">
      <c r="A59" s="224" t="s">
        <v>161</v>
      </c>
      <c r="B59" s="224" t="s">
        <v>830</v>
      </c>
      <c r="C59" s="225">
        <f>VLOOKUP('Equity - CIAP MA'!A59,'Equity Portfolio Movement'!$A$6:$M$64,11,FALSE)</f>
        <v>21779419</v>
      </c>
      <c r="D59" s="226">
        <f t="shared" ref="D59:D62" si="79">I59/C59</f>
        <v>44.676912742611954</v>
      </c>
      <c r="E59" s="226">
        <f t="shared" ref="E59:E62" si="80">+J59/C59</f>
        <v>35.950000000000003</v>
      </c>
      <c r="F59" s="177">
        <f>VLOOKUP(A59,Rates!B:J,7,FALSE)</f>
        <v>24.08</v>
      </c>
      <c r="G59" s="226">
        <v>23.22</v>
      </c>
      <c r="H59" s="226">
        <f t="shared" ref="H59:H62" si="81">+F59-G59</f>
        <v>0.85999999999999943</v>
      </c>
      <c r="I59" s="227">
        <f>VLOOKUP('Equity - CIAP MA'!A59,'Equity Portfolio Movement'!$A$6:$M$64,12,FALSE)</f>
        <v>973037202.24778485</v>
      </c>
      <c r="J59" s="227">
        <f>VLOOKUP('Equity - CIAP MA'!A59,'Equity Portfolio Movement'!$A$6:$M$64,13,FALSE)</f>
        <v>782970113.05000007</v>
      </c>
      <c r="K59" s="227">
        <f t="shared" ref="K59:K62" si="82">C59*F59</f>
        <v>524448409.51999998</v>
      </c>
      <c r="L59" s="227">
        <f t="shared" ref="L59:L62" si="83">+K59-I59</f>
        <v>-448588792.72778487</v>
      </c>
      <c r="M59" s="227">
        <f t="shared" ref="M59:M62" si="84">+K59-J59</f>
        <v>-258521703.53000009</v>
      </c>
      <c r="N59" s="226">
        <f t="shared" si="69"/>
        <v>2.1682798387867481</v>
      </c>
      <c r="O59" s="1227">
        <f t="shared" si="70"/>
        <v>2.5269800421594333</v>
      </c>
      <c r="P59" s="260" t="e">
        <f>(C59*10)/#REF!*100</f>
        <v>#REF!</v>
      </c>
      <c r="R59" s="1213">
        <f t="shared" si="71"/>
        <v>3.7037037037037014E-2</v>
      </c>
      <c r="S59" s="160">
        <v>10983462000</v>
      </c>
      <c r="U59" s="166" t="s">
        <v>142</v>
      </c>
      <c r="V59" s="320">
        <f t="shared" si="72"/>
        <v>18730300.339999989</v>
      </c>
      <c r="X59"/>
    </row>
    <row r="60" spans="1:26" s="1105" customFormat="1" ht="12" customHeight="1" x14ac:dyDescent="0.2">
      <c r="A60" s="224" t="s">
        <v>572</v>
      </c>
      <c r="B60" s="224" t="s">
        <v>830</v>
      </c>
      <c r="C60" s="225">
        <f>VLOOKUP('Equity - CIAP MA'!A60,'Equity Portfolio Movement'!$A$6:$M$64,11,FALSE)</f>
        <v>0</v>
      </c>
      <c r="D60" s="226" t="e">
        <f t="shared" si="79"/>
        <v>#DIV/0!</v>
      </c>
      <c r="E60" s="226" t="e">
        <f t="shared" si="80"/>
        <v>#DIV/0!</v>
      </c>
      <c r="F60" s="177">
        <f>VLOOKUP(A60,Rates!B:J,7,FALSE)</f>
        <v>56.57</v>
      </c>
      <c r="G60" s="226">
        <v>54.78</v>
      </c>
      <c r="H60" s="226">
        <f t="shared" si="81"/>
        <v>1.7899999999999991</v>
      </c>
      <c r="I60" s="227">
        <f>VLOOKUP('Equity - CIAP MA'!A60,'Equity Portfolio Movement'!$A$6:$M$64,12,FALSE)</f>
        <v>0</v>
      </c>
      <c r="J60" s="227">
        <f>VLOOKUP('Equity - CIAP MA'!A60,'Equity Portfolio Movement'!$A$6:$M$64,13,FALSE)</f>
        <v>0</v>
      </c>
      <c r="K60" s="227">
        <f t="shared" si="82"/>
        <v>0</v>
      </c>
      <c r="L60" s="227">
        <f t="shared" si="83"/>
        <v>0</v>
      </c>
      <c r="M60" s="227">
        <f t="shared" si="84"/>
        <v>0</v>
      </c>
      <c r="N60" s="226">
        <f t="shared" si="69"/>
        <v>0</v>
      </c>
      <c r="O60" s="1227">
        <f t="shared" si="70"/>
        <v>0</v>
      </c>
      <c r="P60" s="295"/>
      <c r="Q60" s="169"/>
      <c r="R60" s="1213">
        <f t="shared" si="71"/>
        <v>3.2676159182183265E-2</v>
      </c>
      <c r="S60" s="160">
        <v>2271488000</v>
      </c>
      <c r="U60" s="166" t="s">
        <v>142</v>
      </c>
      <c r="V60" s="320">
        <f t="shared" si="72"/>
        <v>0</v>
      </c>
      <c r="X60"/>
      <c r="Y60" s="1213"/>
      <c r="Z60" s="169"/>
    </row>
    <row r="61" spans="1:26" s="1105" customFormat="1" ht="12" customHeight="1" x14ac:dyDescent="0.2">
      <c r="A61" s="224" t="s">
        <v>561</v>
      </c>
      <c r="B61" s="224" t="s">
        <v>830</v>
      </c>
      <c r="C61" s="225">
        <f>VLOOKUP('Equity - CIAP MA'!A61,'Equity Portfolio Movement'!$A$6:$M$64,11,FALSE)</f>
        <v>987545</v>
      </c>
      <c r="D61" s="226">
        <f t="shared" si="79"/>
        <v>151.6079594</v>
      </c>
      <c r="E61" s="226">
        <f t="shared" si="80"/>
        <v>151.2137864</v>
      </c>
      <c r="F61" s="177">
        <f>VLOOKUP(A61,Rates!B:J,7,FALSE)</f>
        <v>79.760000000000005</v>
      </c>
      <c r="G61" s="226">
        <v>76.319999999999993</v>
      </c>
      <c r="H61" s="226">
        <f t="shared" si="81"/>
        <v>3.4400000000000119</v>
      </c>
      <c r="I61" s="227">
        <f>VLOOKUP('Equity - CIAP MA'!A61,'Equity Portfolio Movement'!$A$6:$M$64,12,FALSE)</f>
        <v>149719682.26567301</v>
      </c>
      <c r="J61" s="227">
        <f>VLOOKUP('Equity - CIAP MA'!A61,'Equity Portfolio Movement'!$A$6:$M$64,13,FALSE)</f>
        <v>149330418.69038799</v>
      </c>
      <c r="K61" s="227">
        <f t="shared" si="82"/>
        <v>78766589.200000003</v>
      </c>
      <c r="L61" s="227">
        <f t="shared" si="83"/>
        <v>-70953093.065673009</v>
      </c>
      <c r="M61" s="227">
        <f t="shared" si="84"/>
        <v>-70563829.490387991</v>
      </c>
      <c r="N61" s="226">
        <f t="shared" si="69"/>
        <v>0.32565263662191535</v>
      </c>
      <c r="O61" s="1227">
        <f t="shared" si="70"/>
        <v>0.37952560306082933</v>
      </c>
      <c r="P61" s="295"/>
      <c r="Q61" s="169"/>
      <c r="R61" s="1213"/>
      <c r="S61" s="160"/>
      <c r="X61"/>
      <c r="Y61" s="1213"/>
      <c r="Z61" s="169"/>
    </row>
    <row r="62" spans="1:26" s="1105" customFormat="1" ht="12" customHeight="1" x14ac:dyDescent="0.2">
      <c r="A62" s="224" t="s">
        <v>147</v>
      </c>
      <c r="B62" s="224" t="s">
        <v>830</v>
      </c>
      <c r="C62" s="225">
        <f>VLOOKUP('Equity - CIAP MA'!A62,'Equity Portfolio Movement'!$A$6:$M$64,11,FALSE)</f>
        <v>659154</v>
      </c>
      <c r="D62" s="226">
        <f t="shared" si="79"/>
        <v>23.36277678191167</v>
      </c>
      <c r="E62" s="226">
        <f t="shared" si="80"/>
        <v>18.370000000000029</v>
      </c>
      <c r="F62" s="177">
        <f>VLOOKUP(A62,Rates!B:J,7,FALSE)</f>
        <v>12.93</v>
      </c>
      <c r="G62" s="226">
        <v>12.73</v>
      </c>
      <c r="H62" s="226">
        <f t="shared" si="81"/>
        <v>0.19999999999999929</v>
      </c>
      <c r="I62" s="227">
        <f>VLOOKUP('Equity - CIAP MA'!A62,'Equity Portfolio Movement'!$A$6:$M$64,12,FALSE)</f>
        <v>15399667.766904205</v>
      </c>
      <c r="J62" s="227">
        <f>VLOOKUP('Equity - CIAP MA'!A62,'Equity Portfolio Movement'!$A$6:$M$64,13,FALSE)</f>
        <v>12108658.980000019</v>
      </c>
      <c r="K62" s="227">
        <f t="shared" si="82"/>
        <v>8522861.2200000007</v>
      </c>
      <c r="L62" s="227">
        <f t="shared" si="83"/>
        <v>-6876806.5469042044</v>
      </c>
      <c r="M62" s="227">
        <f t="shared" si="84"/>
        <v>-3585797.7600000184</v>
      </c>
      <c r="N62" s="226">
        <f t="shared" si="69"/>
        <v>3.5236922863427403E-2</v>
      </c>
      <c r="O62" s="1227">
        <f t="shared" si="70"/>
        <v>4.1066194146239049E-2</v>
      </c>
      <c r="P62" s="295"/>
      <c r="Q62" s="169"/>
      <c r="R62" s="1213">
        <f t="shared" si="71"/>
        <v>1.5710919088766637E-2</v>
      </c>
      <c r="S62" s="160">
        <v>13798150000</v>
      </c>
      <c r="X62"/>
      <c r="Y62" s="1213"/>
      <c r="Z62" s="169"/>
    </row>
    <row r="63" spans="1:26" s="1105" customFormat="1" ht="12" customHeight="1" x14ac:dyDescent="0.2">
      <c r="A63" s="224"/>
      <c r="B63" s="224"/>
      <c r="C63" s="229"/>
      <c r="D63" s="230"/>
      <c r="E63" s="230"/>
      <c r="F63" s="180"/>
      <c r="G63" s="230"/>
      <c r="H63" s="230"/>
      <c r="I63" s="231"/>
      <c r="J63" s="231"/>
      <c r="K63" s="231"/>
      <c r="L63" s="231"/>
      <c r="M63" s="231"/>
      <c r="N63" s="230"/>
      <c r="O63" s="1228"/>
      <c r="P63" s="295"/>
      <c r="Q63" s="169"/>
      <c r="R63" s="1213"/>
      <c r="S63" s="160"/>
      <c r="X63"/>
      <c r="Y63" s="1213"/>
      <c r="Z63" s="169"/>
    </row>
    <row r="64" spans="1:26" ht="12" customHeight="1" x14ac:dyDescent="0.2">
      <c r="B64" s="166" t="s">
        <v>111</v>
      </c>
      <c r="C64" s="194">
        <f>SUM(C57:C63)</f>
        <v>32470461</v>
      </c>
      <c r="D64" s="177"/>
      <c r="E64" s="177"/>
      <c r="F64" s="177"/>
      <c r="G64" s="177"/>
      <c r="H64" s="177"/>
      <c r="I64" s="194">
        <f t="shared" ref="I64:O64" si="85">SUM(I57:I63)</f>
        <v>3807789932.5638361</v>
      </c>
      <c r="J64" s="194">
        <f t="shared" si="85"/>
        <v>3378943916.8603883</v>
      </c>
      <c r="K64" s="194">
        <f t="shared" si="85"/>
        <v>2139441977.2199998</v>
      </c>
      <c r="L64" s="194">
        <f t="shared" si="85"/>
        <v>-1668347955.3438358</v>
      </c>
      <c r="M64" s="194">
        <f t="shared" si="85"/>
        <v>-1239501939.6403883</v>
      </c>
      <c r="N64" s="194">
        <f t="shared" si="85"/>
        <v>8.8453102750486607</v>
      </c>
      <c r="O64" s="194">
        <f t="shared" si="85"/>
        <v>10.308596765011039</v>
      </c>
      <c r="P64" s="194" t="e">
        <f>SUM(P57:P59)</f>
        <v>#REF!</v>
      </c>
      <c r="X64"/>
    </row>
    <row r="65" spans="1:26" ht="12" customHeight="1" x14ac:dyDescent="0.2">
      <c r="C65" s="178"/>
      <c r="D65" s="177"/>
      <c r="E65" s="177"/>
      <c r="F65" s="177"/>
      <c r="G65" s="177"/>
      <c r="H65" s="177"/>
      <c r="I65" s="178"/>
      <c r="J65" s="178"/>
      <c r="K65" s="227"/>
      <c r="L65" s="178"/>
      <c r="M65" s="178"/>
      <c r="N65" s="177"/>
      <c r="O65" s="177"/>
      <c r="P65" s="253"/>
      <c r="X65"/>
    </row>
    <row r="66" spans="1:26" ht="12" customHeight="1" x14ac:dyDescent="0.2">
      <c r="A66" s="239" t="s">
        <v>279</v>
      </c>
      <c r="B66" s="239"/>
      <c r="C66" s="178"/>
      <c r="D66" s="177"/>
      <c r="E66" s="177"/>
      <c r="F66" s="177"/>
      <c r="G66" s="177"/>
      <c r="H66" s="177"/>
      <c r="I66" s="178"/>
      <c r="J66" s="178"/>
      <c r="K66" s="227"/>
      <c r="L66" s="178"/>
      <c r="M66" s="178"/>
      <c r="N66" s="177"/>
      <c r="O66" s="177"/>
      <c r="P66" s="253"/>
      <c r="X66"/>
    </row>
    <row r="67" spans="1:26" ht="12" customHeight="1" x14ac:dyDescent="0.2">
      <c r="A67" s="159" t="s">
        <v>148</v>
      </c>
      <c r="B67" s="1105" t="s">
        <v>830</v>
      </c>
      <c r="C67" s="173">
        <f>VLOOKUP('Equity - CIAP MA'!A67,'Equity Portfolio Movement'!$A$6:$M$64,11,FALSE)</f>
        <v>2801650</v>
      </c>
      <c r="D67" s="174">
        <f>I67/C67</f>
        <v>358.05896265162653</v>
      </c>
      <c r="E67" s="174">
        <f>+J67/C67</f>
        <v>380.62575118663858</v>
      </c>
      <c r="F67" s="174">
        <f>VLOOKUP(A67,Rates!B:J,7,FALSE)</f>
        <v>255.29</v>
      </c>
      <c r="G67" s="174">
        <v>249.47</v>
      </c>
      <c r="H67" s="174">
        <f>+F67-G67</f>
        <v>5.8199999999999932</v>
      </c>
      <c r="I67" s="175">
        <f>VLOOKUP('Equity - CIAP MA'!A67,'Equity Portfolio Movement'!$A$6:$M$64,12,FALSE)</f>
        <v>1003155892.7129295</v>
      </c>
      <c r="J67" s="175">
        <f>VLOOKUP('Equity - CIAP MA'!A67,'Equity Portfolio Movement'!$A$6:$M$64,13,FALSE)</f>
        <v>1066380135.8120459</v>
      </c>
      <c r="K67" s="235">
        <f>C67*F67</f>
        <v>715233228.5</v>
      </c>
      <c r="L67" s="175">
        <f>+K67-I67</f>
        <v>-287922664.21292949</v>
      </c>
      <c r="M67" s="175">
        <f>+K67-J67</f>
        <v>-351146907.31204593</v>
      </c>
      <c r="N67" s="234">
        <f>+K67/$O$2*100</f>
        <v>2.9570607160507829</v>
      </c>
      <c r="O67" s="1226">
        <f>+K67/$K$145*100</f>
        <v>3.4462495473348036</v>
      </c>
      <c r="P67" s="257" t="e">
        <f>(C67*5)/#REF!*100</f>
        <v>#REF!</v>
      </c>
      <c r="R67" s="1213">
        <f t="shared" ref="R67:R68" si="86">+H67/G67</f>
        <v>2.3329458451918039E-2</v>
      </c>
      <c r="S67" s="160">
        <v>405150000</v>
      </c>
      <c r="U67" s="166" t="s">
        <v>279</v>
      </c>
      <c r="V67" s="320">
        <f t="shared" ref="V67:V68" si="87">+C67*H67</f>
        <v>16305602.999999981</v>
      </c>
      <c r="X67"/>
    </row>
    <row r="68" spans="1:26" s="1105" customFormat="1" ht="12" customHeight="1" x14ac:dyDescent="0.2">
      <c r="A68" s="1105" t="s">
        <v>723</v>
      </c>
      <c r="B68" s="1105" t="s">
        <v>830</v>
      </c>
      <c r="C68" s="176">
        <f>VLOOKUP('Equity - CIAP MA'!A68,'Equity Portfolio Movement'!$A$6:$M$64,11,FALSE)</f>
        <v>3813616</v>
      </c>
      <c r="D68" s="177">
        <f>I68/C68</f>
        <v>55.59506151287632</v>
      </c>
      <c r="E68" s="177">
        <f>+J68/C68</f>
        <v>41.76</v>
      </c>
      <c r="F68" s="177">
        <f>VLOOKUP(A68,Rates!B:J,7,FALSE)</f>
        <v>31.19</v>
      </c>
      <c r="G68" s="177">
        <v>31.09</v>
      </c>
      <c r="H68" s="177">
        <f>+F68-G68</f>
        <v>0.10000000000000142</v>
      </c>
      <c r="I68" s="178">
        <f>VLOOKUP('Equity - CIAP MA'!A68,'Equity Portfolio Movement'!$A$6:$M$64,12,FALSE)</f>
        <v>212018216.10648933</v>
      </c>
      <c r="J68" s="178">
        <f>VLOOKUP('Equity - CIAP MA'!A68,'Equity Portfolio Movement'!$A$6:$M$64,13,FALSE)</f>
        <v>159256604.16</v>
      </c>
      <c r="K68" s="227">
        <f>C68*F68</f>
        <v>118946683.04000001</v>
      </c>
      <c r="L68" s="178">
        <f>+K68-I68</f>
        <v>-93071533.066489324</v>
      </c>
      <c r="M68" s="178">
        <f>+K68-J68</f>
        <v>-40309921.11999999</v>
      </c>
      <c r="N68" s="226">
        <f>+K68/$O$2*100</f>
        <v>0.49177324221888818</v>
      </c>
      <c r="O68" s="1227">
        <f>+K68/$K$145*100</f>
        <v>0.5731276683596872</v>
      </c>
      <c r="P68" s="295"/>
      <c r="Q68" s="169"/>
      <c r="R68" s="1213">
        <f t="shared" si="86"/>
        <v>3.2164683177871157E-3</v>
      </c>
      <c r="S68" s="160">
        <v>1680000000</v>
      </c>
      <c r="U68" s="166" t="s">
        <v>279</v>
      </c>
      <c r="V68" s="320">
        <f t="shared" si="87"/>
        <v>381361.60000000545</v>
      </c>
      <c r="X68"/>
      <c r="Y68" s="1213"/>
      <c r="Z68" s="169"/>
    </row>
    <row r="69" spans="1:26" s="1105" customFormat="1" ht="12" customHeight="1" x14ac:dyDescent="0.2">
      <c r="C69" s="179"/>
      <c r="D69" s="180"/>
      <c r="E69" s="180"/>
      <c r="F69" s="180"/>
      <c r="G69" s="180"/>
      <c r="H69" s="180"/>
      <c r="I69" s="181"/>
      <c r="J69" s="181"/>
      <c r="K69" s="231"/>
      <c r="L69" s="181"/>
      <c r="M69" s="181"/>
      <c r="N69" s="230"/>
      <c r="O69" s="1228"/>
      <c r="P69" s="295"/>
      <c r="Q69" s="169"/>
      <c r="R69" s="1213"/>
      <c r="S69" s="160"/>
      <c r="X69"/>
      <c r="Y69" s="1213"/>
      <c r="Z69" s="169"/>
    </row>
    <row r="70" spans="1:26" ht="12" customHeight="1" x14ac:dyDescent="0.2">
      <c r="B70" s="166" t="s">
        <v>111</v>
      </c>
      <c r="C70" s="194">
        <f>SUM(C67:C69)</f>
        <v>6615266</v>
      </c>
      <c r="D70" s="177"/>
      <c r="E70" s="177"/>
      <c r="F70" s="177"/>
      <c r="G70" s="177"/>
      <c r="H70" s="177"/>
      <c r="I70" s="194">
        <f t="shared" ref="I70:O70" si="88">SUM(I67:I69)</f>
        <v>1215174108.8194189</v>
      </c>
      <c r="J70" s="194">
        <f t="shared" si="88"/>
        <v>1225636739.9720459</v>
      </c>
      <c r="K70" s="194">
        <f t="shared" si="88"/>
        <v>834179911.53999996</v>
      </c>
      <c r="L70" s="194">
        <f t="shared" si="88"/>
        <v>-380994197.27941883</v>
      </c>
      <c r="M70" s="194">
        <f t="shared" si="88"/>
        <v>-391456828.43204594</v>
      </c>
      <c r="N70" s="194">
        <f t="shared" si="88"/>
        <v>3.4488339582696712</v>
      </c>
      <c r="O70" s="194">
        <f t="shared" si="88"/>
        <v>4.0193772156944911</v>
      </c>
      <c r="P70" s="296" t="e">
        <f t="shared" ref="P70" si="89">SUM(P67:P67)</f>
        <v>#REF!</v>
      </c>
      <c r="X70"/>
    </row>
    <row r="71" spans="1:26" ht="12" customHeight="1" x14ac:dyDescent="0.2">
      <c r="C71" s="194"/>
      <c r="D71" s="177"/>
      <c r="E71" s="177"/>
      <c r="F71" s="177"/>
      <c r="G71" s="177"/>
      <c r="H71" s="177"/>
      <c r="I71" s="194"/>
      <c r="J71" s="194"/>
      <c r="K71" s="862"/>
      <c r="L71" s="194"/>
      <c r="M71" s="194"/>
      <c r="N71" s="296"/>
      <c r="O71" s="296"/>
      <c r="P71" s="296"/>
      <c r="X71"/>
    </row>
    <row r="72" spans="1:26" ht="12" customHeight="1" x14ac:dyDescent="0.2">
      <c r="A72" s="239" t="s">
        <v>280</v>
      </c>
      <c r="B72" s="239"/>
      <c r="C72" s="178"/>
      <c r="D72" s="177"/>
      <c r="E72" s="177"/>
      <c r="F72" s="177"/>
      <c r="G72" s="177"/>
      <c r="H72" s="177"/>
      <c r="I72" s="178"/>
      <c r="J72" s="178"/>
      <c r="K72" s="227"/>
      <c r="L72" s="178"/>
      <c r="M72" s="178"/>
      <c r="N72" s="177"/>
      <c r="O72" s="177"/>
      <c r="P72" s="253"/>
      <c r="X72"/>
    </row>
    <row r="73" spans="1:26" ht="12" customHeight="1" x14ac:dyDescent="0.2">
      <c r="A73" s="159" t="s">
        <v>136</v>
      </c>
      <c r="B73" s="1105" t="s">
        <v>830</v>
      </c>
      <c r="C73" s="173">
        <f>VLOOKUP('Equity - CIAP MA'!A73,'Equity Portfolio Movement'!$A$6:$M$64,11,FALSE)</f>
        <v>4085792</v>
      </c>
      <c r="D73" s="174">
        <f t="shared" ref="D73" si="90">+I73/C73</f>
        <v>294.92610512360994</v>
      </c>
      <c r="E73" s="174">
        <f t="shared" ref="E73" si="91">+J73/C73</f>
        <v>272.42</v>
      </c>
      <c r="F73" s="174">
        <f>VLOOKUP(A73,Rates!B:J,7,FALSE)</f>
        <v>245.17</v>
      </c>
      <c r="G73" s="174">
        <v>241.57</v>
      </c>
      <c r="H73" s="174">
        <f>+F73-G73</f>
        <v>3.5999999999999943</v>
      </c>
      <c r="I73" s="175">
        <f>VLOOKUP('Equity - CIAP MA'!A73,'Equity Portfolio Movement'!$A$6:$M$64,12,FALSE)</f>
        <v>1205006720.9052045</v>
      </c>
      <c r="J73" s="175">
        <f>VLOOKUP('Equity - CIAP MA'!A73,'Equity Portfolio Movement'!$A$6:$M$64,13,FALSE)</f>
        <v>1113051456.6400001</v>
      </c>
      <c r="K73" s="235">
        <f>C73*F73</f>
        <v>1001713624.64</v>
      </c>
      <c r="L73" s="175">
        <f>+K73-I73</f>
        <v>-203293096.26520455</v>
      </c>
      <c r="M73" s="175">
        <f>+K73-J73</f>
        <v>-111337832.00000012</v>
      </c>
      <c r="N73" s="234">
        <f>+K73/$O$2*100</f>
        <v>4.1414854485550281</v>
      </c>
      <c r="O73" s="1226">
        <f>+K73/$K$145*100</f>
        <v>4.8266145753807148</v>
      </c>
      <c r="P73" s="1023" t="e">
        <f>(C73*10)/#REF!*100</f>
        <v>#REF!</v>
      </c>
      <c r="R73" s="1213">
        <f t="shared" ref="R73:R74" si="92">+H73/G73</f>
        <v>1.49025127292296E-2</v>
      </c>
      <c r="S73" s="160">
        <v>5761632000</v>
      </c>
      <c r="U73" s="166" t="s">
        <v>280</v>
      </c>
      <c r="V73" s="320">
        <f t="shared" ref="V73:V74" si="93">+C73*H73</f>
        <v>14708851.199999977</v>
      </c>
      <c r="X73"/>
    </row>
    <row r="74" spans="1:26" s="1105" customFormat="1" ht="12" customHeight="1" x14ac:dyDescent="0.2">
      <c r="A74" s="1105" t="s">
        <v>138</v>
      </c>
      <c r="B74" s="1105" t="s">
        <v>830</v>
      </c>
      <c r="C74" s="176">
        <f>VLOOKUP('Equity - CIAP MA'!A74,'Equity Portfolio Movement'!$A$6:$M$64,11,FALSE)</f>
        <v>0</v>
      </c>
      <c r="D74" s="177" t="e">
        <f t="shared" ref="D74" si="94">+I74/C74</f>
        <v>#DIV/0!</v>
      </c>
      <c r="E74" s="177" t="e">
        <f t="shared" ref="E74" si="95">+J74/C74</f>
        <v>#DIV/0!</v>
      </c>
      <c r="F74" s="177">
        <f>VLOOKUP(A74,Rates!B:J,7,FALSE)</f>
        <v>21.06</v>
      </c>
      <c r="G74" s="177">
        <v>19.87</v>
      </c>
      <c r="H74" s="177">
        <f>+F74-G74</f>
        <v>1.1899999999999977</v>
      </c>
      <c r="I74" s="178">
        <f>VLOOKUP('Equity - CIAP MA'!A74,'Equity Portfolio Movement'!$A$6:$M$64,12,FALSE)</f>
        <v>0</v>
      </c>
      <c r="J74" s="178">
        <f>VLOOKUP('Equity - CIAP MA'!A74,'Equity Portfolio Movement'!$A$6:$M$64,13,FALSE)</f>
        <v>0</v>
      </c>
      <c r="K74" s="227">
        <f>C74*F74</f>
        <v>0</v>
      </c>
      <c r="L74" s="178">
        <f>+K74-I74</f>
        <v>0</v>
      </c>
      <c r="M74" s="178">
        <f>+K74-J74</f>
        <v>0</v>
      </c>
      <c r="N74" s="226">
        <f>+K74/$O$2*100</f>
        <v>0</v>
      </c>
      <c r="O74" s="1227">
        <f>+K74/$K$145*100</f>
        <v>0</v>
      </c>
      <c r="P74" s="178"/>
      <c r="Q74" s="169"/>
      <c r="R74" s="1213">
        <f t="shared" si="92"/>
        <v>5.9889280322093494E-2</v>
      </c>
      <c r="S74" s="160">
        <v>12912528000</v>
      </c>
      <c r="U74" s="166" t="s">
        <v>280</v>
      </c>
      <c r="V74" s="320">
        <f t="shared" si="93"/>
        <v>0</v>
      </c>
      <c r="X74"/>
      <c r="Y74" s="1213"/>
      <c r="Z74" s="169"/>
    </row>
    <row r="75" spans="1:26" s="1105" customFormat="1" ht="12" customHeight="1" x14ac:dyDescent="0.2">
      <c r="C75" s="179"/>
      <c r="D75" s="180"/>
      <c r="E75" s="180"/>
      <c r="F75" s="180"/>
      <c r="G75" s="180"/>
      <c r="H75" s="180"/>
      <c r="I75" s="181"/>
      <c r="J75" s="181"/>
      <c r="K75" s="231"/>
      <c r="L75" s="181"/>
      <c r="M75" s="181"/>
      <c r="N75" s="230"/>
      <c r="O75" s="1228"/>
      <c r="P75" s="178"/>
      <c r="Q75" s="169"/>
      <c r="R75" s="1213"/>
      <c r="S75" s="160"/>
      <c r="X75"/>
      <c r="Y75" s="1213"/>
      <c r="Z75" s="169"/>
    </row>
    <row r="76" spans="1:26" ht="12" customHeight="1" x14ac:dyDescent="0.2">
      <c r="B76" s="166" t="s">
        <v>111</v>
      </c>
      <c r="C76" s="194">
        <f>SUM(C73:C75)</f>
        <v>4085792</v>
      </c>
      <c r="D76" s="177"/>
      <c r="E76" s="177"/>
      <c r="F76" s="177"/>
      <c r="G76" s="177"/>
      <c r="H76" s="177"/>
      <c r="I76" s="194">
        <f t="shared" ref="I76:O76" si="96">SUM(I73:I75)</f>
        <v>1205006720.9052045</v>
      </c>
      <c r="J76" s="194">
        <f t="shared" si="96"/>
        <v>1113051456.6400001</v>
      </c>
      <c r="K76" s="194">
        <f t="shared" si="96"/>
        <v>1001713624.64</v>
      </c>
      <c r="L76" s="194">
        <f t="shared" si="96"/>
        <v>-203293096.26520455</v>
      </c>
      <c r="M76" s="194">
        <f t="shared" si="96"/>
        <v>-111337832.00000012</v>
      </c>
      <c r="N76" s="194">
        <f t="shared" si="96"/>
        <v>4.1414854485550281</v>
      </c>
      <c r="O76" s="194">
        <f t="shared" si="96"/>
        <v>4.8266145753807148</v>
      </c>
      <c r="P76" s="194" t="e">
        <f>SUM(P73:P73)</f>
        <v>#REF!</v>
      </c>
      <c r="X76"/>
    </row>
    <row r="77" spans="1:26" ht="12" customHeight="1" x14ac:dyDescent="0.2">
      <c r="C77" s="178"/>
      <c r="D77" s="177"/>
      <c r="E77" s="177"/>
      <c r="F77" s="177"/>
      <c r="G77" s="177"/>
      <c r="H77" s="177"/>
      <c r="I77" s="178"/>
      <c r="J77" s="178"/>
      <c r="K77" s="227"/>
      <c r="L77" s="178"/>
      <c r="M77" s="178"/>
      <c r="N77" s="177"/>
      <c r="O77" s="177"/>
      <c r="P77" s="253"/>
      <c r="X77"/>
    </row>
    <row r="78" spans="1:26" s="161" customFormat="1" ht="14.25" customHeight="1" x14ac:dyDescent="0.2">
      <c r="A78" s="239" t="s">
        <v>150</v>
      </c>
      <c r="B78" s="239"/>
      <c r="C78" s="178"/>
      <c r="D78" s="177"/>
      <c r="E78" s="177"/>
      <c r="F78" s="177"/>
      <c r="G78" s="177"/>
      <c r="H78" s="177"/>
      <c r="I78" s="178"/>
      <c r="J78" s="178"/>
      <c r="K78" s="227"/>
      <c r="L78" s="178"/>
      <c r="M78" s="178"/>
      <c r="N78" s="177"/>
      <c r="O78" s="258"/>
      <c r="P78" s="256"/>
      <c r="Q78" s="280"/>
      <c r="S78" s="1235"/>
      <c r="X78"/>
      <c r="Y78" s="1293"/>
      <c r="Z78" s="280"/>
    </row>
    <row r="79" spans="1:26" s="67" customFormat="1" ht="12" customHeight="1" x14ac:dyDescent="0.2">
      <c r="A79" s="159" t="s">
        <v>153</v>
      </c>
      <c r="B79" s="1105" t="s">
        <v>830</v>
      </c>
      <c r="C79" s="173">
        <f>VLOOKUP('Equity - CIAP MA'!A79,'Equity Portfolio Movement'!$A$6:$M$64,11,FALSE)</f>
        <v>1139105</v>
      </c>
      <c r="D79" s="174">
        <f t="shared" ref="D79:D82" si="97">I79/C79</f>
        <v>275.00353151283275</v>
      </c>
      <c r="E79" s="174">
        <f t="shared" ref="E79:E82" si="98">+J79/C79</f>
        <v>566.30990924892797</v>
      </c>
      <c r="F79" s="174">
        <f>VLOOKUP(A79,Rates!B:J,7,FALSE)</f>
        <v>547.30999999999995</v>
      </c>
      <c r="G79" s="174">
        <v>543.6</v>
      </c>
      <c r="H79" s="174">
        <f t="shared" ref="H79:H82" si="99">+F79-G79</f>
        <v>3.7099999999999227</v>
      </c>
      <c r="I79" s="175">
        <f>VLOOKUP('Equity - CIAP MA'!A79,'Equity Portfolio Movement'!$A$6:$M$64,12,FALSE)</f>
        <v>313257897.76392537</v>
      </c>
      <c r="J79" s="175">
        <f>VLOOKUP('Equity - CIAP MA'!A79,'Equity Portfolio Movement'!$A$6:$M$64,13,FALSE)</f>
        <v>645086449.17500007</v>
      </c>
      <c r="K79" s="235">
        <f t="shared" ref="K79:K82" si="100">C79*F79</f>
        <v>623443557.54999995</v>
      </c>
      <c r="L79" s="175">
        <f t="shared" ref="L79:L82" si="101">+K79-I79</f>
        <v>310185659.78607458</v>
      </c>
      <c r="M79" s="175">
        <f t="shared" ref="M79:M82" si="102">+K79-J79</f>
        <v>-21642891.625000119</v>
      </c>
      <c r="N79" s="234">
        <f t="shared" ref="N79:N82" si="103">+K79/$O$2*100</f>
        <v>2.5775654419361897</v>
      </c>
      <c r="O79" s="1226">
        <f>+K79/$K$145*100</f>
        <v>3.0039740778003954</v>
      </c>
      <c r="P79" s="757" t="e">
        <f>(C79*10)/#REF!*100</f>
        <v>#REF!</v>
      </c>
      <c r="Q79" s="162"/>
      <c r="R79" s="1213">
        <f t="shared" ref="R79:R82" si="104">+H79/G79</f>
        <v>6.8248712288445966E-3</v>
      </c>
      <c r="S79" s="160">
        <v>380764000</v>
      </c>
      <c r="U79" s="166" t="s">
        <v>150</v>
      </c>
      <c r="V79" s="320">
        <f t="shared" ref="V79:V82" si="105">+C79*H79</f>
        <v>4226079.5499999123</v>
      </c>
      <c r="X79"/>
      <c r="Y79" s="1294"/>
      <c r="Z79" s="162"/>
    </row>
    <row r="80" spans="1:26" s="67" customFormat="1" ht="12" customHeight="1" x14ac:dyDescent="0.2">
      <c r="A80" s="159" t="s">
        <v>343</v>
      </c>
      <c r="B80" s="1105" t="s">
        <v>830</v>
      </c>
      <c r="C80" s="176">
        <f>VLOOKUP('Equity - CIAP MA'!A80,'Equity Portfolio Movement'!$A$6:$M$64,11,FALSE)</f>
        <v>961200</v>
      </c>
      <c r="D80" s="177">
        <f t="shared" si="97"/>
        <v>702.24839289610793</v>
      </c>
      <c r="E80" s="177">
        <f t="shared" si="98"/>
        <v>709.19995792238865</v>
      </c>
      <c r="F80" s="177">
        <f>VLOOKUP(A80,Rates!B:J,7,FALSE)</f>
        <v>626.66</v>
      </c>
      <c r="G80" s="177">
        <v>632.87</v>
      </c>
      <c r="H80" s="177">
        <f t="shared" si="99"/>
        <v>-6.2100000000000364</v>
      </c>
      <c r="I80" s="178">
        <f>VLOOKUP('Equity - CIAP MA'!A80,'Equity Portfolio Movement'!$A$6:$M$64,12,FALSE)</f>
        <v>675001155.25173891</v>
      </c>
      <c r="J80" s="178">
        <f>VLOOKUP('Equity - CIAP MA'!A80,'Equity Portfolio Movement'!$A$6:$M$64,13,FALSE)</f>
        <v>681682999.55499995</v>
      </c>
      <c r="K80" s="227">
        <f t="shared" si="100"/>
        <v>602345592</v>
      </c>
      <c r="L80" s="178">
        <f t="shared" si="101"/>
        <v>-72655563.251738906</v>
      </c>
      <c r="M80" s="178">
        <f t="shared" si="102"/>
        <v>-79337407.554999948</v>
      </c>
      <c r="N80" s="226">
        <f t="shared" si="103"/>
        <v>2.4903379997110306</v>
      </c>
      <c r="O80" s="1227">
        <f>+K80/$K$145*100</f>
        <v>2.9023165326401137</v>
      </c>
      <c r="P80" s="848" t="e">
        <f>(C80*10)/#REF!*100</f>
        <v>#REF!</v>
      </c>
      <c r="Q80" s="162"/>
      <c r="R80" s="1213">
        <f t="shared" si="104"/>
        <v>-9.8124417336894407E-3</v>
      </c>
      <c r="S80" s="160">
        <v>979003000</v>
      </c>
      <c r="U80" s="166" t="s">
        <v>150</v>
      </c>
      <c r="V80" s="320">
        <f t="shared" si="105"/>
        <v>-5969052.0000000354</v>
      </c>
      <c r="X80"/>
      <c r="Y80" s="1294"/>
      <c r="Z80" s="162"/>
    </row>
    <row r="81" spans="1:26" s="67" customFormat="1" ht="12" customHeight="1" x14ac:dyDescent="0.2">
      <c r="A81" s="1105" t="s">
        <v>151</v>
      </c>
      <c r="B81" s="1105" t="s">
        <v>830</v>
      </c>
      <c r="C81" s="176">
        <f>VLOOKUP('Equity - CIAP MA'!A81,'Equity Portfolio Movement'!$A$6:$M$64,11,FALSE)</f>
        <v>1282014</v>
      </c>
      <c r="D81" s="177">
        <f t="shared" si="97"/>
        <v>165.21775624381786</v>
      </c>
      <c r="E81" s="177">
        <f t="shared" si="98"/>
        <v>143.72</v>
      </c>
      <c r="F81" s="177">
        <f>VLOOKUP(A81,Rates!B:J,7,FALSE)</f>
        <v>98.48</v>
      </c>
      <c r="G81" s="177">
        <v>97.63</v>
      </c>
      <c r="H81" s="177">
        <f t="shared" si="99"/>
        <v>0.85000000000000853</v>
      </c>
      <c r="I81" s="178">
        <f>VLOOKUP('Equity - CIAP MA'!A81,'Equity Portfolio Movement'!$A$6:$M$64,12,FALSE)</f>
        <v>211811476.55316192</v>
      </c>
      <c r="J81" s="178">
        <f>VLOOKUP('Equity - CIAP MA'!A81,'Equity Portfolio Movement'!$A$6:$M$64,13,FALSE)</f>
        <v>184251052.08000001</v>
      </c>
      <c r="K81" s="227">
        <f t="shared" si="100"/>
        <v>126252738.72</v>
      </c>
      <c r="L81" s="178">
        <f t="shared" si="101"/>
        <v>-85558737.83316192</v>
      </c>
      <c r="M81" s="178">
        <f t="shared" si="102"/>
        <v>-57998313.360000014</v>
      </c>
      <c r="N81" s="226">
        <f t="shared" si="103"/>
        <v>0.52197940348172112</v>
      </c>
      <c r="O81" s="1227">
        <f>+K81/$K$145*100</f>
        <v>0.60833085813990428</v>
      </c>
      <c r="P81" s="1169"/>
      <c r="Q81" s="162"/>
      <c r="R81" s="1213">
        <f t="shared" si="104"/>
        <v>8.7063402642631217E-3</v>
      </c>
      <c r="S81" s="160">
        <v>3120526000</v>
      </c>
      <c r="U81" s="166" t="s">
        <v>150</v>
      </c>
      <c r="V81" s="320">
        <f t="shared" si="105"/>
        <v>1089711.9000000108</v>
      </c>
      <c r="X81"/>
      <c r="Y81" s="1294"/>
      <c r="Z81" s="162"/>
    </row>
    <row r="82" spans="1:26" s="67" customFormat="1" ht="12" customHeight="1" x14ac:dyDescent="0.2">
      <c r="A82" s="1105" t="s">
        <v>167</v>
      </c>
      <c r="B82" s="1105" t="s">
        <v>830</v>
      </c>
      <c r="C82" s="176">
        <f>VLOOKUP('Equity - CIAP MA'!A82,'Equity Portfolio Movement'!$A$6:$M$64,11,FALSE)</f>
        <v>1150700</v>
      </c>
      <c r="D82" s="177">
        <f t="shared" si="97"/>
        <v>353.81963504823153</v>
      </c>
      <c r="E82" s="177">
        <f t="shared" si="98"/>
        <v>320.59830103415311</v>
      </c>
      <c r="F82" s="177">
        <f>VLOOKUP(A82,Rates!B:J,7,FALSE)</f>
        <v>264.18</v>
      </c>
      <c r="G82" s="177">
        <v>260.95999999999998</v>
      </c>
      <c r="H82" s="177">
        <f t="shared" si="99"/>
        <v>3.2200000000000273</v>
      </c>
      <c r="I82" s="178">
        <f>VLOOKUP('Equity - CIAP MA'!A82,'Equity Portfolio Movement'!$A$6:$M$64,12,FALSE)</f>
        <v>407140254.05000001</v>
      </c>
      <c r="J82" s="178">
        <f>VLOOKUP('Equity - CIAP MA'!A82,'Equity Portfolio Movement'!$A$6:$M$64,13,FALSE)</f>
        <v>368912465</v>
      </c>
      <c r="K82" s="227">
        <f t="shared" si="100"/>
        <v>303991926</v>
      </c>
      <c r="L82" s="178">
        <f t="shared" si="101"/>
        <v>-103148328.05000001</v>
      </c>
      <c r="M82" s="178">
        <f t="shared" si="102"/>
        <v>-64920539</v>
      </c>
      <c r="N82" s="226">
        <f t="shared" si="103"/>
        <v>1.2568244127254171</v>
      </c>
      <c r="O82" s="1227">
        <f>+K82/$K$145*100</f>
        <v>1.464741843116053</v>
      </c>
      <c r="P82" s="1169"/>
      <c r="Q82" s="162"/>
      <c r="R82" s="1213">
        <f t="shared" si="104"/>
        <v>1.2339055793991522E-2</v>
      </c>
      <c r="S82" s="160">
        <v>362242000</v>
      </c>
      <c r="U82" s="166" t="s">
        <v>150</v>
      </c>
      <c r="V82" s="320">
        <f t="shared" si="105"/>
        <v>3705254.0000000312</v>
      </c>
      <c r="X82"/>
      <c r="Y82" s="1294"/>
      <c r="Z82" s="162"/>
    </row>
    <row r="83" spans="1:26" s="67" customFormat="1" ht="12" customHeight="1" x14ac:dyDescent="0.2">
      <c r="A83" s="1105"/>
      <c r="B83" s="1105"/>
      <c r="C83" s="179"/>
      <c r="D83" s="180"/>
      <c r="E83" s="180"/>
      <c r="F83" s="1009"/>
      <c r="G83" s="180"/>
      <c r="H83" s="180"/>
      <c r="I83" s="181"/>
      <c r="J83" s="181"/>
      <c r="K83" s="231"/>
      <c r="L83" s="181"/>
      <c r="M83" s="181"/>
      <c r="N83" s="230"/>
      <c r="O83" s="1228"/>
      <c r="P83" s="1169"/>
      <c r="Q83" s="162"/>
      <c r="R83" s="1213"/>
      <c r="S83" s="149"/>
      <c r="X83"/>
      <c r="Y83" s="1294"/>
      <c r="Z83" s="162"/>
    </row>
    <row r="84" spans="1:26" ht="12" customHeight="1" x14ac:dyDescent="0.2">
      <c r="B84" s="166" t="s">
        <v>111</v>
      </c>
      <c r="C84" s="194">
        <f>SUM(C79:C83)</f>
        <v>4533019</v>
      </c>
      <c r="D84" s="177"/>
      <c r="E84" s="177"/>
      <c r="F84" s="177"/>
      <c r="G84" s="177"/>
      <c r="H84" s="177"/>
      <c r="I84" s="194">
        <f t="shared" ref="I84:O84" si="106">SUM(I79:I83)</f>
        <v>1607210783.6188262</v>
      </c>
      <c r="J84" s="194">
        <f t="shared" si="106"/>
        <v>1879932965.8099999</v>
      </c>
      <c r="K84" s="194">
        <f t="shared" si="106"/>
        <v>1656033814.27</v>
      </c>
      <c r="L84" s="194">
        <f t="shared" si="106"/>
        <v>48823030.651173741</v>
      </c>
      <c r="M84" s="194">
        <f t="shared" si="106"/>
        <v>-223899151.54000008</v>
      </c>
      <c r="N84" s="194">
        <f t="shared" si="106"/>
        <v>6.8467072578543586</v>
      </c>
      <c r="O84" s="194">
        <f t="shared" si="106"/>
        <v>7.9793633116964671</v>
      </c>
      <c r="P84" s="165" t="e">
        <f t="shared" ref="P84" si="107">SUM(P79:P80)</f>
        <v>#REF!</v>
      </c>
      <c r="X84"/>
    </row>
    <row r="85" spans="1:26" ht="12" customHeight="1" x14ac:dyDescent="0.2">
      <c r="C85" s="178"/>
      <c r="D85" s="177"/>
      <c r="E85" s="177"/>
      <c r="F85" s="177"/>
      <c r="G85" s="177"/>
      <c r="H85" s="177"/>
      <c r="I85" s="178"/>
      <c r="J85" s="178"/>
      <c r="K85" s="227"/>
      <c r="L85" s="178"/>
      <c r="M85" s="178"/>
      <c r="N85" s="177"/>
      <c r="O85" s="177"/>
      <c r="P85" s="253"/>
      <c r="X85"/>
    </row>
    <row r="86" spans="1:26" ht="12" customHeight="1" x14ac:dyDescent="0.2">
      <c r="A86" s="239" t="s">
        <v>132</v>
      </c>
      <c r="B86" s="239"/>
      <c r="C86" s="178"/>
      <c r="D86" s="177"/>
      <c r="E86" s="177"/>
      <c r="F86" s="177"/>
      <c r="G86" s="177"/>
      <c r="H86" s="177"/>
      <c r="I86" s="178"/>
      <c r="J86" s="178"/>
      <c r="K86" s="227"/>
      <c r="L86" s="178"/>
      <c r="M86" s="178"/>
      <c r="N86" s="177"/>
      <c r="O86" s="177"/>
      <c r="P86" s="678"/>
      <c r="X86"/>
    </row>
    <row r="87" spans="1:26" ht="12" customHeight="1" x14ac:dyDescent="0.2">
      <c r="A87" s="177" t="s">
        <v>440</v>
      </c>
      <c r="B87" s="177" t="s">
        <v>830</v>
      </c>
      <c r="C87" s="1229">
        <f>VLOOKUP('Equity - CIAP MA'!A87,'Equity Portfolio Movement'!$A$6:$M$64,11,FALSE)</f>
        <v>1310350</v>
      </c>
      <c r="D87" s="174">
        <f>I87/C87</f>
        <v>769.06991404332177</v>
      </c>
      <c r="E87" s="175">
        <f>+J87/C87</f>
        <v>759.90585030716989</v>
      </c>
      <c r="F87" s="174">
        <f>VLOOKUP(A87,Rates!B:J,7,FALSE)</f>
        <v>769.05</v>
      </c>
      <c r="G87" s="444">
        <v>741.71</v>
      </c>
      <c r="H87" s="444">
        <f>+F87-G87</f>
        <v>27.339999999999918</v>
      </c>
      <c r="I87" s="175">
        <f>VLOOKUP('Equity - CIAP MA'!A87,'Equity Portfolio Movement'!$A$6:$M$64,12,FALSE)</f>
        <v>1007750761.8666667</v>
      </c>
      <c r="J87" s="234">
        <f>VLOOKUP('Equity - CIAP MA'!A87,'Equity Portfolio Movement'!$A$6:$M$64,13,FALSE)</f>
        <v>995742630.95000005</v>
      </c>
      <c r="K87" s="234">
        <f>C87*F87</f>
        <v>1007724667.5</v>
      </c>
      <c r="L87" s="235">
        <f>+K87-I87</f>
        <v>-26094.366666674614</v>
      </c>
      <c r="M87" s="234">
        <f>+K87-J87</f>
        <v>11982036.549999952</v>
      </c>
      <c r="N87" s="676">
        <f>+K87/$O$2*100</f>
        <v>4.166337507988958</v>
      </c>
      <c r="O87" s="1226">
        <f>+K87/$K$145*100</f>
        <v>4.8555779301436504</v>
      </c>
      <c r="P87" s="260" t="e">
        <f>(C87*10)/#REF!*100</f>
        <v>#REF!</v>
      </c>
      <c r="R87" s="1213">
        <f t="shared" ref="R87:R88" si="108">+H87/G87</f>
        <v>3.686076768548343E-2</v>
      </c>
      <c r="S87" s="160">
        <v>923590000</v>
      </c>
      <c r="U87" s="166" t="s">
        <v>132</v>
      </c>
      <c r="V87" s="320">
        <f t="shared" ref="V87:V88" si="109">+C87*H87</f>
        <v>35824968.999999896</v>
      </c>
      <c r="X87"/>
    </row>
    <row r="88" spans="1:26" ht="12" customHeight="1" x14ac:dyDescent="0.2">
      <c r="A88" s="177" t="s">
        <v>168</v>
      </c>
      <c r="B88" s="177" t="s">
        <v>830</v>
      </c>
      <c r="C88" s="1230">
        <f>VLOOKUP('Equity - CIAP MA'!A88,'Equity Portfolio Movement'!$A$6:$M$64,11,FALSE)</f>
        <v>0</v>
      </c>
      <c r="D88" s="177" t="e">
        <f>I88/C88</f>
        <v>#DIV/0!</v>
      </c>
      <c r="E88" s="178" t="e">
        <f>+J88/C88</f>
        <v>#DIV/0!</v>
      </c>
      <c r="F88" s="1169">
        <f>VLOOKUP(A88,Rates!B:J,7,FALSE)</f>
        <v>65.989999999999995</v>
      </c>
      <c r="G88" s="1169">
        <v>65.02</v>
      </c>
      <c r="H88" s="1169">
        <f>+F88-G88</f>
        <v>0.96999999999999886</v>
      </c>
      <c r="I88" s="178">
        <f>VLOOKUP('Equity - CIAP MA'!A88,'Equity Portfolio Movement'!$A$6:$M$64,12,FALSE)</f>
        <v>0</v>
      </c>
      <c r="J88" s="226">
        <f>VLOOKUP('Equity - CIAP MA'!A88,'Equity Portfolio Movement'!$A$6:$M$64,13,FALSE)</f>
        <v>0</v>
      </c>
      <c r="K88" s="226">
        <f>C88*F88</f>
        <v>0</v>
      </c>
      <c r="L88" s="227">
        <f>+K88-I88</f>
        <v>0</v>
      </c>
      <c r="M88" s="226">
        <f>+K88-J88</f>
        <v>0</v>
      </c>
      <c r="N88" s="295">
        <f>+K88/$O$2*100</f>
        <v>0</v>
      </c>
      <c r="O88" s="1227">
        <f>+K88/$K$145*100</f>
        <v>0</v>
      </c>
      <c r="P88" s="194" t="e">
        <f t="shared" ref="P88" si="110">SUM(P87:P87)</f>
        <v>#REF!</v>
      </c>
      <c r="R88" s="1213">
        <f t="shared" si="108"/>
        <v>1.4918486619501676E-2</v>
      </c>
      <c r="S88" s="160">
        <v>9089233000</v>
      </c>
      <c r="U88" s="166" t="s">
        <v>132</v>
      </c>
      <c r="V88" s="320">
        <f t="shared" si="109"/>
        <v>0</v>
      </c>
      <c r="X88"/>
    </row>
    <row r="89" spans="1:26" s="1105" customFormat="1" ht="12" customHeight="1" x14ac:dyDescent="0.2">
      <c r="A89" s="177"/>
      <c r="B89" s="177"/>
      <c r="C89" s="1231"/>
      <c r="D89" s="180"/>
      <c r="E89" s="181"/>
      <c r="F89" s="1009"/>
      <c r="G89" s="1009"/>
      <c r="H89" s="1009"/>
      <c r="I89" s="181"/>
      <c r="J89" s="230"/>
      <c r="K89" s="230"/>
      <c r="L89" s="231"/>
      <c r="M89" s="230"/>
      <c r="N89" s="894"/>
      <c r="O89" s="1228"/>
      <c r="P89" s="194"/>
      <c r="Q89" s="169"/>
      <c r="R89" s="1213"/>
      <c r="S89" s="160"/>
      <c r="X89"/>
      <c r="Y89" s="1213"/>
      <c r="Z89" s="169"/>
    </row>
    <row r="90" spans="1:26" s="1105" customFormat="1" ht="12" customHeight="1" x14ac:dyDescent="0.2">
      <c r="A90" s="159"/>
      <c r="B90" s="166" t="s">
        <v>111</v>
      </c>
      <c r="C90" s="194">
        <f>SUM(C87:C89)</f>
        <v>1310350</v>
      </c>
      <c r="D90" s="177"/>
      <c r="E90" s="177"/>
      <c r="F90" s="258"/>
      <c r="G90" s="177"/>
      <c r="H90" s="177"/>
      <c r="I90" s="194">
        <f t="shared" ref="I90:O90" si="111">SUM(I87:I89)</f>
        <v>1007750761.8666667</v>
      </c>
      <c r="J90" s="194">
        <f t="shared" si="111"/>
        <v>995742630.95000005</v>
      </c>
      <c r="K90" s="194">
        <f t="shared" si="111"/>
        <v>1007724667.5</v>
      </c>
      <c r="L90" s="194">
        <f t="shared" si="111"/>
        <v>-26094.366666674614</v>
      </c>
      <c r="M90" s="194">
        <f t="shared" si="111"/>
        <v>11982036.549999952</v>
      </c>
      <c r="N90" s="194">
        <f t="shared" si="111"/>
        <v>4.166337507988958</v>
      </c>
      <c r="O90" s="194">
        <f t="shared" si="111"/>
        <v>4.8555779301436504</v>
      </c>
      <c r="P90" s="194"/>
      <c r="Q90" s="169"/>
      <c r="S90" s="160"/>
      <c r="X90"/>
      <c r="Y90" s="1213"/>
      <c r="Z90" s="169"/>
    </row>
    <row r="91" spans="1:26" ht="12" customHeight="1" x14ac:dyDescent="0.2">
      <c r="C91" s="194"/>
      <c r="D91" s="177"/>
      <c r="E91" s="177"/>
      <c r="F91" s="258"/>
      <c r="G91" s="177"/>
      <c r="H91" s="177"/>
      <c r="I91" s="194"/>
      <c r="J91" s="194"/>
      <c r="K91" s="862"/>
      <c r="L91" s="194"/>
      <c r="M91" s="194"/>
      <c r="N91" s="194"/>
      <c r="O91" s="194"/>
      <c r="P91" s="194"/>
      <c r="X91"/>
    </row>
    <row r="92" spans="1:26" ht="12" customHeight="1" x14ac:dyDescent="0.2">
      <c r="A92" s="847" t="s">
        <v>485</v>
      </c>
      <c r="B92" s="847"/>
      <c r="C92" s="194"/>
      <c r="D92" s="177"/>
      <c r="E92" s="177"/>
      <c r="F92" s="258"/>
      <c r="G92" s="177"/>
      <c r="H92" s="177"/>
      <c r="I92" s="194"/>
      <c r="J92" s="194"/>
      <c r="K92" s="862"/>
      <c r="L92" s="194"/>
      <c r="M92" s="194"/>
      <c r="N92" s="194"/>
      <c r="O92" s="194"/>
      <c r="P92" s="194"/>
      <c r="X92"/>
    </row>
    <row r="93" spans="1:26" ht="12" customHeight="1" x14ac:dyDescent="0.2">
      <c r="A93" s="448" t="s">
        <v>483</v>
      </c>
      <c r="B93" s="448" t="s">
        <v>830</v>
      </c>
      <c r="C93" s="1232">
        <f>VLOOKUP('Equity - CIAP MA'!A93,'Equity Portfolio Movement'!$A$6:$M$64,11,FALSE)</f>
        <v>2081088</v>
      </c>
      <c r="D93" s="188">
        <f>I93/C93</f>
        <v>254.70966269049208</v>
      </c>
      <c r="E93" s="188">
        <f>+J93/C93</f>
        <v>189.45388439087191</v>
      </c>
      <c r="F93" s="444">
        <f>VLOOKUP(A93,Rates!B:J,7,FALSE)</f>
        <v>175</v>
      </c>
      <c r="G93" s="188">
        <v>175.42</v>
      </c>
      <c r="H93" s="174">
        <f>+F93-G93</f>
        <v>-0.41999999999998749</v>
      </c>
      <c r="I93" s="1207">
        <f>VLOOKUP('Equity - CIAP MA'!A93,'Equity Portfolio Movement'!$A$6:$M$64,12,FALSE)</f>
        <v>530073222.50923079</v>
      </c>
      <c r="J93" s="1207">
        <f>VLOOKUP('Equity - CIAP MA'!A93,'Equity Portfolio Movement'!$A$6:$M$64,13,FALSE)</f>
        <v>394270205.35923082</v>
      </c>
      <c r="K93" s="1208">
        <f>C93*F93</f>
        <v>364190400</v>
      </c>
      <c r="L93" s="1207">
        <f>+K93-I93</f>
        <v>-165882822.50923079</v>
      </c>
      <c r="M93" s="1207">
        <f>+K93-J93</f>
        <v>-30079805.359230816</v>
      </c>
      <c r="N93" s="234">
        <f>+K93/$O$2*100</f>
        <v>1.5057090220226268</v>
      </c>
      <c r="O93" s="1226">
        <f>+K93/$K$145*100</f>
        <v>1.7547996249781075</v>
      </c>
      <c r="P93" s="257" t="e">
        <f>(C93*10)/#REF!*100</f>
        <v>#REF!</v>
      </c>
      <c r="R93" s="1213">
        <f t="shared" ref="R93:R94" si="112">+H93/G93</f>
        <v>-2.3942537909017645E-3</v>
      </c>
      <c r="S93" s="160">
        <v>632143000</v>
      </c>
      <c r="U93" s="1290" t="s">
        <v>485</v>
      </c>
      <c r="V93" s="320">
        <f t="shared" ref="V93:V94" si="113">+C93*H93</f>
        <v>-874056.959999974</v>
      </c>
      <c r="X93"/>
    </row>
    <row r="94" spans="1:26" s="1105" customFormat="1" ht="12" customHeight="1" x14ac:dyDescent="0.2">
      <c r="A94" s="448" t="s">
        <v>781</v>
      </c>
      <c r="B94" s="448" t="s">
        <v>830</v>
      </c>
      <c r="C94" s="1233">
        <f>VLOOKUP('Equity - CIAP MA'!A94,'Equity Portfolio Movement'!$A$6:$M$64,11,FALSE)</f>
        <v>6350649</v>
      </c>
      <c r="D94" s="431">
        <f>I94/C94</f>
        <v>46.231739649479174</v>
      </c>
      <c r="E94" s="431">
        <f>+J94/C94</f>
        <v>34.217448671257998</v>
      </c>
      <c r="F94" s="1169">
        <f>VLOOKUP(A94,Rates!B:J,7,FALSE)</f>
        <v>30.73</v>
      </c>
      <c r="G94" s="431">
        <v>30</v>
      </c>
      <c r="H94" s="177">
        <f>+F94-G94</f>
        <v>0.73000000000000043</v>
      </c>
      <c r="I94" s="187">
        <f>VLOOKUP('Equity - CIAP MA'!A94,'Equity Portfolio Movement'!$A$6:$M$64,12,FALSE)</f>
        <v>293601551.17322528</v>
      </c>
      <c r="J94" s="187">
        <f>VLOOKUP('Equity - CIAP MA'!A94,'Equity Portfolio Movement'!$A$6:$M$64,13,FALSE)</f>
        <v>217303006.18667594</v>
      </c>
      <c r="K94" s="60">
        <f>C94*F94</f>
        <v>195155443.77000001</v>
      </c>
      <c r="L94" s="187">
        <f>+K94-I94</f>
        <v>-98446107.403225273</v>
      </c>
      <c r="M94" s="187">
        <f>+K94-J94</f>
        <v>-22147562.416675925</v>
      </c>
      <c r="N94" s="226">
        <f>+K94/$O$2*100</f>
        <v>0.80685079118317915</v>
      </c>
      <c r="O94" s="1227">
        <f>+K94/$K$145*100</f>
        <v>0.94032873886854829</v>
      </c>
      <c r="P94" s="295"/>
      <c r="Q94" s="169"/>
      <c r="R94" s="1213">
        <f t="shared" si="112"/>
        <v>2.4333333333333349E-2</v>
      </c>
      <c r="S94" s="160">
        <v>3611082000</v>
      </c>
      <c r="U94" s="1290" t="s">
        <v>485</v>
      </c>
      <c r="V94" s="320">
        <f t="shared" si="113"/>
        <v>4635973.7700000023</v>
      </c>
      <c r="X94"/>
      <c r="Y94" s="1213"/>
      <c r="Z94" s="169"/>
    </row>
    <row r="95" spans="1:26" s="1105" customFormat="1" ht="12" customHeight="1" x14ac:dyDescent="0.2">
      <c r="A95" s="448"/>
      <c r="B95" s="448"/>
      <c r="C95" s="238"/>
      <c r="D95" s="185"/>
      <c r="E95" s="185"/>
      <c r="F95" s="1009"/>
      <c r="G95" s="185"/>
      <c r="H95" s="180"/>
      <c r="I95" s="186"/>
      <c r="J95" s="186"/>
      <c r="K95" s="1209"/>
      <c r="L95" s="186"/>
      <c r="M95" s="186"/>
      <c r="N95" s="230"/>
      <c r="O95" s="1228"/>
      <c r="P95" s="295"/>
      <c r="Q95" s="169"/>
      <c r="R95" s="1213"/>
      <c r="S95" s="160"/>
      <c r="X95"/>
      <c r="Y95" s="1213"/>
      <c r="Z95" s="169"/>
    </row>
    <row r="96" spans="1:26" ht="12" customHeight="1" x14ac:dyDescent="0.2">
      <c r="B96" s="166" t="s">
        <v>111</v>
      </c>
      <c r="C96" s="194">
        <f>SUM(C93:C95)</f>
        <v>8431737</v>
      </c>
      <c r="D96" s="177"/>
      <c r="E96" s="177"/>
      <c r="F96" s="177"/>
      <c r="G96" s="177"/>
      <c r="H96" s="177"/>
      <c r="I96" s="194">
        <f t="shared" ref="I96:O96" si="114">SUM(I93:I95)</f>
        <v>823674773.68245602</v>
      </c>
      <c r="J96" s="194">
        <f t="shared" si="114"/>
        <v>611573211.54590678</v>
      </c>
      <c r="K96" s="194">
        <f t="shared" si="114"/>
        <v>559345843.76999998</v>
      </c>
      <c r="L96" s="194">
        <f t="shared" si="114"/>
        <v>-264328929.91245607</v>
      </c>
      <c r="M96" s="194">
        <f t="shared" si="114"/>
        <v>-52227367.775906742</v>
      </c>
      <c r="N96" s="194">
        <f t="shared" si="114"/>
        <v>2.3125598132058061</v>
      </c>
      <c r="O96" s="194">
        <f t="shared" si="114"/>
        <v>2.6951283638466559</v>
      </c>
      <c r="P96" s="165" t="e">
        <f t="shared" ref="P96" si="115">SUM(P91:P93)</f>
        <v>#REF!</v>
      </c>
      <c r="X96"/>
    </row>
    <row r="97" spans="1:26" ht="12" customHeight="1" x14ac:dyDescent="0.2">
      <c r="C97" s="194"/>
      <c r="D97" s="177"/>
      <c r="E97" s="177"/>
      <c r="F97" s="177"/>
      <c r="G97" s="177"/>
      <c r="H97" s="177"/>
      <c r="I97" s="194"/>
      <c r="J97" s="194"/>
      <c r="K97" s="862"/>
      <c r="L97" s="194"/>
      <c r="M97" s="194"/>
      <c r="N97" s="255"/>
      <c r="O97" s="255"/>
      <c r="P97" s="165"/>
      <c r="X97"/>
    </row>
    <row r="98" spans="1:26" ht="12" customHeight="1" x14ac:dyDescent="0.2">
      <c r="A98" s="1022" t="s">
        <v>660</v>
      </c>
      <c r="B98" s="1022"/>
      <c r="C98" s="194"/>
      <c r="D98" s="177"/>
      <c r="E98" s="177"/>
      <c r="F98" s="258"/>
      <c r="G98" s="177"/>
      <c r="H98" s="177"/>
      <c r="I98" s="194"/>
      <c r="J98" s="194"/>
      <c r="K98" s="862"/>
      <c r="L98" s="194"/>
      <c r="M98" s="194"/>
      <c r="N98" s="194"/>
      <c r="O98" s="194"/>
      <c r="P98" s="194"/>
      <c r="X98"/>
    </row>
    <row r="99" spans="1:26" s="1105" customFormat="1" ht="12" customHeight="1" x14ac:dyDescent="0.2">
      <c r="A99" s="448" t="s">
        <v>550</v>
      </c>
      <c r="B99" s="448" t="s">
        <v>830</v>
      </c>
      <c r="C99" s="1232">
        <f>VLOOKUP('Equity - CIAP MA'!A99,'Equity Portfolio Movement'!$A$6:$M$64,11,FALSE)</f>
        <v>12619929</v>
      </c>
      <c r="D99" s="188">
        <f>I99/C99</f>
        <v>43.772278229955504</v>
      </c>
      <c r="E99" s="188">
        <f>+J99/C99</f>
        <v>26.47</v>
      </c>
      <c r="F99" s="444">
        <f>VLOOKUP(A99,Rates!B:J,7,FALSE)</f>
        <v>17.77</v>
      </c>
      <c r="G99" s="188">
        <v>16.72</v>
      </c>
      <c r="H99" s="174">
        <f>+F99-G99</f>
        <v>1.0500000000000007</v>
      </c>
      <c r="I99" s="1207">
        <f>VLOOKUP('Equity - CIAP MA'!A99,'Equity Portfolio Movement'!$A$6:$M$64,12,FALSE)</f>
        <v>552403043.43028414</v>
      </c>
      <c r="J99" s="1207">
        <f>VLOOKUP('Equity - CIAP MA'!A99,'Equity Portfolio Movement'!$A$6:$M$64,13,FALSE)</f>
        <v>334049520.63</v>
      </c>
      <c r="K99" s="1208">
        <f>C99*F99</f>
        <v>224256138.32999998</v>
      </c>
      <c r="L99" s="1207">
        <f t="shared" ref="L99:L102" si="116">+K99-I99</f>
        <v>-328146905.10028416</v>
      </c>
      <c r="M99" s="1207">
        <f t="shared" ref="M99:M102" si="117">+K99-J99</f>
        <v>-109793382.30000001</v>
      </c>
      <c r="N99" s="234">
        <f t="shared" ref="N99:N102" si="118">+K99/$O$2*100</f>
        <v>0.92716472133102679</v>
      </c>
      <c r="O99" s="1226">
        <f>+K99/$K$145*100</f>
        <v>1.0805462951261828</v>
      </c>
      <c r="P99" s="295"/>
      <c r="Q99" s="169"/>
      <c r="R99" s="1213">
        <f t="shared" ref="R99:R102" si="119">+H99/G99</f>
        <v>6.2799043062201007E-2</v>
      </c>
      <c r="S99" s="160">
        <v>9940500000</v>
      </c>
      <c r="U99" s="1291" t="s">
        <v>660</v>
      </c>
      <c r="V99" s="320">
        <f t="shared" ref="V99:V102" si="120">+C99*H99</f>
        <v>13250925.450000009</v>
      </c>
      <c r="X99"/>
      <c r="Y99" s="1213"/>
      <c r="Z99" s="169"/>
    </row>
    <row r="100" spans="1:26" s="1105" customFormat="1" ht="12" customHeight="1" x14ac:dyDescent="0.2">
      <c r="A100" s="448" t="s">
        <v>839</v>
      </c>
      <c r="B100" s="448" t="s">
        <v>830</v>
      </c>
      <c r="C100" s="1233">
        <f>VLOOKUP('Equity - CIAP MA'!A100,'Equity Portfolio Movement'!$A$6:$M$64,11,FALSE)</f>
        <v>0</v>
      </c>
      <c r="D100" s="431">
        <v>0</v>
      </c>
      <c r="E100" s="431">
        <v>0</v>
      </c>
      <c r="F100" s="1169">
        <v>0</v>
      </c>
      <c r="G100" s="431">
        <v>0</v>
      </c>
      <c r="H100" s="177">
        <f>+F100-G100</f>
        <v>0</v>
      </c>
      <c r="I100" s="187">
        <f>VLOOKUP('Equity - CIAP MA'!A100,'Equity Portfolio Movement'!$A$6:$M$64,12,FALSE)</f>
        <v>0</v>
      </c>
      <c r="J100" s="187">
        <f>VLOOKUP('Equity - CIAP MA'!A100,'Equity Portfolio Movement'!$A$6:$M$64,13,FALSE)</f>
        <v>0</v>
      </c>
      <c r="K100" s="60">
        <f>C100*F100</f>
        <v>0</v>
      </c>
      <c r="L100" s="187">
        <f t="shared" ref="L100" si="121">+K100-I100</f>
        <v>0</v>
      </c>
      <c r="M100" s="187">
        <f t="shared" ref="M100" si="122">+K100-J100</f>
        <v>0</v>
      </c>
      <c r="N100" s="226">
        <f t="shared" ref="N100" si="123">+K100/$O$2*100</f>
        <v>0</v>
      </c>
      <c r="O100" s="1227">
        <f>+K100/$K$145*100</f>
        <v>0</v>
      </c>
      <c r="P100" s="295"/>
      <c r="Q100" s="169"/>
      <c r="R100" s="1213">
        <v>0</v>
      </c>
      <c r="S100" s="160">
        <v>0</v>
      </c>
      <c r="U100" s="1291" t="s">
        <v>660</v>
      </c>
      <c r="V100" s="320">
        <f t="shared" si="120"/>
        <v>0</v>
      </c>
      <c r="X100"/>
      <c r="Y100" s="1213"/>
      <c r="Z100" s="169"/>
    </row>
    <row r="101" spans="1:26" s="1105" customFormat="1" ht="12" customHeight="1" x14ac:dyDescent="0.2">
      <c r="A101" s="448" t="s">
        <v>644</v>
      </c>
      <c r="B101" s="448" t="s">
        <v>830</v>
      </c>
      <c r="C101" s="1233">
        <f>VLOOKUP('Equity - CIAP MA'!A101,'Equity Portfolio Movement'!$A$6:$M$64,11,FALSE)</f>
        <v>3782000</v>
      </c>
      <c r="D101" s="431">
        <f>I101/C101</f>
        <v>32.385723295192456</v>
      </c>
      <c r="E101" s="431">
        <f>+J101/C101</f>
        <v>31.770167900581704</v>
      </c>
      <c r="F101" s="1169">
        <f>VLOOKUP(A101,Rates!B:J,7,FALSE)</f>
        <v>20.51</v>
      </c>
      <c r="G101" s="431">
        <v>20.13</v>
      </c>
      <c r="H101" s="177">
        <f>+F101-G101</f>
        <v>0.38000000000000256</v>
      </c>
      <c r="I101" s="187">
        <f>VLOOKUP('Equity - CIAP MA'!A101,'Equity Portfolio Movement'!$A$6:$M$64,12,FALSE)</f>
        <v>122482805.50241786</v>
      </c>
      <c r="J101" s="187">
        <f>VLOOKUP('Equity - CIAP MA'!A101,'Equity Portfolio Movement'!$A$6:$M$64,13,FALSE)</f>
        <v>120154775</v>
      </c>
      <c r="K101" s="60">
        <f>C101*F101</f>
        <v>77568820</v>
      </c>
      <c r="L101" s="187">
        <f t="shared" si="116"/>
        <v>-44913985.502417862</v>
      </c>
      <c r="M101" s="187">
        <f t="shared" si="117"/>
        <v>-42585955</v>
      </c>
      <c r="N101" s="226">
        <f t="shared" si="118"/>
        <v>0.32070057887755737</v>
      </c>
      <c r="O101" s="1227">
        <f>+K101/$K$145*100</f>
        <v>0.37375432259058539</v>
      </c>
      <c r="P101" s="295"/>
      <c r="Q101" s="169"/>
      <c r="R101" s="1213">
        <f t="shared" si="119"/>
        <v>1.8877297565822283E-2</v>
      </c>
      <c r="S101" s="160">
        <v>1229995000</v>
      </c>
      <c r="U101" s="1291" t="s">
        <v>660</v>
      </c>
      <c r="V101" s="320">
        <f t="shared" si="120"/>
        <v>1437160.0000000098</v>
      </c>
      <c r="X101"/>
      <c r="Y101" s="1213"/>
      <c r="Z101" s="169"/>
    </row>
    <row r="102" spans="1:26" s="1105" customFormat="1" ht="12" customHeight="1" x14ac:dyDescent="0.2">
      <c r="A102" s="448" t="s">
        <v>641</v>
      </c>
      <c r="B102" s="448" t="s">
        <v>830</v>
      </c>
      <c r="C102" s="1233">
        <f>VLOOKUP('Equity - CIAP MA'!A102,'Equity Portfolio Movement'!$A$6:$M$64,11,FALSE)</f>
        <v>24778257</v>
      </c>
      <c r="D102" s="431">
        <f>I102/C102</f>
        <v>12.482083150122762</v>
      </c>
      <c r="E102" s="431">
        <f>+J102/C102</f>
        <v>9.19</v>
      </c>
      <c r="F102" s="1169">
        <f>VLOOKUP(A102,Rates!B:J,7,FALSE)</f>
        <v>6.29</v>
      </c>
      <c r="G102" s="431">
        <v>6.29</v>
      </c>
      <c r="H102" s="177">
        <f>+F102-G102</f>
        <v>0</v>
      </c>
      <c r="I102" s="187">
        <f>VLOOKUP('Equity - CIAP MA'!A102,'Equity Portfolio Movement'!$A$6:$M$64,12,FALSE)</f>
        <v>309284264.18911135</v>
      </c>
      <c r="J102" s="187">
        <f>VLOOKUP('Equity - CIAP MA'!A102,'Equity Portfolio Movement'!$A$6:$M$64,13,FALSE)</f>
        <v>227712181.82999998</v>
      </c>
      <c r="K102" s="60">
        <f>C102*F102</f>
        <v>155855236.53</v>
      </c>
      <c r="L102" s="187">
        <f t="shared" si="116"/>
        <v>-153429027.65911135</v>
      </c>
      <c r="M102" s="187">
        <f t="shared" si="117"/>
        <v>-71856945.299999982</v>
      </c>
      <c r="N102" s="226">
        <f t="shared" si="118"/>
        <v>0.64436798930639438</v>
      </c>
      <c r="O102" s="1227">
        <f>+K102/$K$145*100</f>
        <v>0.75096628196053006</v>
      </c>
      <c r="P102" s="295"/>
      <c r="Q102" s="169"/>
      <c r="R102" s="1213">
        <f t="shared" si="119"/>
        <v>0</v>
      </c>
      <c r="S102" s="160">
        <v>8032935000</v>
      </c>
      <c r="U102" s="1291" t="s">
        <v>660</v>
      </c>
      <c r="V102" s="320">
        <f t="shared" si="120"/>
        <v>0</v>
      </c>
      <c r="X102"/>
      <c r="Y102" s="1213"/>
      <c r="Z102" s="169"/>
    </row>
    <row r="103" spans="1:26" s="1105" customFormat="1" ht="12" customHeight="1" x14ac:dyDescent="0.2">
      <c r="A103" s="448"/>
      <c r="B103" s="448"/>
      <c r="C103" s="238"/>
      <c r="D103" s="185"/>
      <c r="E103" s="185"/>
      <c r="F103" s="1009"/>
      <c r="G103" s="185"/>
      <c r="H103" s="180"/>
      <c r="I103" s="186"/>
      <c r="J103" s="186"/>
      <c r="K103" s="1209"/>
      <c r="L103" s="186"/>
      <c r="M103" s="186"/>
      <c r="N103" s="230"/>
      <c r="O103" s="1228"/>
      <c r="P103" s="295"/>
      <c r="Q103" s="169"/>
      <c r="R103" s="1213"/>
      <c r="S103" s="160"/>
      <c r="X103"/>
      <c r="Y103" s="1213"/>
      <c r="Z103" s="169"/>
    </row>
    <row r="104" spans="1:26" ht="12" customHeight="1" x14ac:dyDescent="0.2">
      <c r="B104" s="166" t="s">
        <v>111</v>
      </c>
      <c r="C104" s="194">
        <f>SUM(C99:C103)</f>
        <v>41180186</v>
      </c>
      <c r="D104" s="177"/>
      <c r="E104" s="177"/>
      <c r="F104" s="177"/>
      <c r="G104" s="177"/>
      <c r="H104" s="177"/>
      <c r="I104" s="194">
        <f t="shared" ref="I104:O104" si="124">SUM(I99:I103)</f>
        <v>984170113.12181342</v>
      </c>
      <c r="J104" s="194">
        <f t="shared" si="124"/>
        <v>681916477.46000004</v>
      </c>
      <c r="K104" s="194">
        <f t="shared" si="124"/>
        <v>457680194.86000001</v>
      </c>
      <c r="L104" s="194">
        <f t="shared" si="124"/>
        <v>-526489918.2618134</v>
      </c>
      <c r="M104" s="194">
        <f t="shared" si="124"/>
        <v>-224236282.59999999</v>
      </c>
      <c r="N104" s="194">
        <f t="shared" si="124"/>
        <v>1.8922332895149787</v>
      </c>
      <c r="O104" s="194">
        <f t="shared" si="124"/>
        <v>2.2052668996772984</v>
      </c>
      <c r="P104" s="165">
        <f>SUM(P97:P98)</f>
        <v>0</v>
      </c>
      <c r="X104"/>
    </row>
    <row r="105" spans="1:26" ht="12" customHeight="1" x14ac:dyDescent="0.2">
      <c r="C105" s="194"/>
      <c r="D105" s="177"/>
      <c r="E105" s="177"/>
      <c r="F105" s="177"/>
      <c r="G105" s="177"/>
      <c r="H105" s="177"/>
      <c r="I105" s="194"/>
      <c r="J105" s="194"/>
      <c r="K105" s="862"/>
      <c r="L105" s="194"/>
      <c r="M105" s="194"/>
      <c r="N105" s="255"/>
      <c r="O105" s="255"/>
      <c r="P105" s="165"/>
      <c r="X105"/>
    </row>
    <row r="106" spans="1:26" ht="12" customHeight="1" x14ac:dyDescent="0.2">
      <c r="A106" s="847" t="s">
        <v>527</v>
      </c>
      <c r="B106" s="847"/>
      <c r="C106" s="194"/>
      <c r="D106" s="177"/>
      <c r="E106" s="177"/>
      <c r="F106" s="258"/>
      <c r="G106" s="177"/>
      <c r="H106" s="177"/>
      <c r="I106" s="194"/>
      <c r="J106" s="194"/>
      <c r="K106" s="862"/>
      <c r="L106" s="194"/>
      <c r="M106" s="194"/>
      <c r="N106" s="194"/>
      <c r="O106" s="194"/>
      <c r="P106" s="194"/>
      <c r="X106"/>
    </row>
    <row r="107" spans="1:26" ht="12" customHeight="1" x14ac:dyDescent="0.2">
      <c r="A107" s="448" t="s">
        <v>650</v>
      </c>
      <c r="B107" s="448" t="s">
        <v>830</v>
      </c>
      <c r="C107" s="1232">
        <f>VLOOKUP('Equity - CIAP MA'!A107,'Equity Portfolio Movement'!$A$6:$M$64,11,FALSE)</f>
        <v>0</v>
      </c>
      <c r="D107" s="188" t="e">
        <f>I107/C107</f>
        <v>#DIV/0!</v>
      </c>
      <c r="E107" s="188" t="e">
        <f>+J107/C107</f>
        <v>#DIV/0!</v>
      </c>
      <c r="F107" s="444">
        <f>VLOOKUP(A107,Rates!B:J,7,FALSE)</f>
        <v>13.29</v>
      </c>
      <c r="G107" s="188">
        <v>13.03</v>
      </c>
      <c r="H107" s="174">
        <f>+F107-G107</f>
        <v>0.25999999999999979</v>
      </c>
      <c r="I107" s="1207">
        <f>VLOOKUP('Equity - CIAP MA'!A107,'Equity Portfolio Movement'!$A$6:$M$64,12,FALSE)</f>
        <v>0</v>
      </c>
      <c r="J107" s="1207">
        <f>VLOOKUP('Equity - CIAP MA'!A107,'Equity Portfolio Movement'!$A$6:$M$64,13,FALSE)</f>
        <v>0</v>
      </c>
      <c r="K107" s="1208">
        <f>C107*F107</f>
        <v>0</v>
      </c>
      <c r="L107" s="1207">
        <f>+K107-I107</f>
        <v>0</v>
      </c>
      <c r="M107" s="1207">
        <f>+K107-J107</f>
        <v>0</v>
      </c>
      <c r="N107" s="234">
        <f>+K107/$O$2*100</f>
        <v>0</v>
      </c>
      <c r="O107" s="1226">
        <f>+K107/$K$145*100</f>
        <v>0</v>
      </c>
      <c r="P107" s="257" t="e">
        <f>(C107*10)/#REF!*100</f>
        <v>#REF!</v>
      </c>
      <c r="R107" s="1213">
        <f t="shared" ref="R107" si="125">+H107/G107</f>
        <v>1.9953952417498064E-2</v>
      </c>
      <c r="S107" s="160">
        <v>1196600000</v>
      </c>
      <c r="U107" s="1290" t="s">
        <v>527</v>
      </c>
      <c r="V107" s="320">
        <f t="shared" ref="V107" si="126">+C107*H107</f>
        <v>0</v>
      </c>
      <c r="X107"/>
    </row>
    <row r="108" spans="1:26" s="1105" customFormat="1" ht="12" customHeight="1" x14ac:dyDescent="0.2">
      <c r="A108" s="448"/>
      <c r="B108" s="448"/>
      <c r="C108" s="238"/>
      <c r="D108" s="185"/>
      <c r="E108" s="185"/>
      <c r="F108" s="1009"/>
      <c r="G108" s="185"/>
      <c r="H108" s="180"/>
      <c r="I108" s="186"/>
      <c r="J108" s="186"/>
      <c r="K108" s="1209"/>
      <c r="L108" s="186"/>
      <c r="M108" s="186"/>
      <c r="N108" s="230"/>
      <c r="O108" s="1228"/>
      <c r="P108" s="295"/>
      <c r="Q108" s="169"/>
      <c r="S108" s="160"/>
      <c r="X108"/>
      <c r="Y108" s="1213"/>
      <c r="Z108" s="169"/>
    </row>
    <row r="109" spans="1:26" ht="12" customHeight="1" x14ac:dyDescent="0.2">
      <c r="B109" s="166" t="s">
        <v>111</v>
      </c>
      <c r="C109" s="194">
        <f>SUM(C107:C108)</f>
        <v>0</v>
      </c>
      <c r="D109" s="177"/>
      <c r="E109" s="177"/>
      <c r="F109" s="177"/>
      <c r="G109" s="177"/>
      <c r="H109" s="177"/>
      <c r="I109" s="194">
        <f t="shared" ref="I109:O109" si="127">SUM(I107:I108)</f>
        <v>0</v>
      </c>
      <c r="J109" s="194">
        <f t="shared" si="127"/>
        <v>0</v>
      </c>
      <c r="K109" s="194">
        <f t="shared" si="127"/>
        <v>0</v>
      </c>
      <c r="L109" s="194">
        <f t="shared" si="127"/>
        <v>0</v>
      </c>
      <c r="M109" s="194">
        <f t="shared" si="127"/>
        <v>0</v>
      </c>
      <c r="N109" s="194">
        <f t="shared" si="127"/>
        <v>0</v>
      </c>
      <c r="O109" s="194">
        <f t="shared" si="127"/>
        <v>0</v>
      </c>
      <c r="P109" s="194" t="e">
        <f t="shared" ref="P109" si="128">SUM(P106:P107)</f>
        <v>#REF!</v>
      </c>
      <c r="X109"/>
    </row>
    <row r="110" spans="1:26" ht="12" customHeight="1" x14ac:dyDescent="0.2">
      <c r="C110" s="194"/>
      <c r="D110" s="177"/>
      <c r="E110" s="177"/>
      <c r="F110" s="258"/>
      <c r="G110" s="177"/>
      <c r="H110" s="177"/>
      <c r="I110" s="194"/>
      <c r="J110" s="194"/>
      <c r="K110" s="194"/>
      <c r="L110" s="194"/>
      <c r="M110" s="194"/>
      <c r="N110" s="194"/>
      <c r="O110" s="194"/>
      <c r="P110" s="194"/>
      <c r="X110"/>
    </row>
    <row r="111" spans="1:26" ht="12" customHeight="1" x14ac:dyDescent="0.2">
      <c r="A111" s="847" t="s">
        <v>528</v>
      </c>
      <c r="B111" s="847"/>
      <c r="C111" s="194"/>
      <c r="D111" s="177"/>
      <c r="E111" s="177"/>
      <c r="F111" s="258"/>
      <c r="G111" s="177"/>
      <c r="H111" s="177"/>
      <c r="I111" s="194"/>
      <c r="J111" s="194"/>
      <c r="K111" s="862"/>
      <c r="L111" s="194"/>
      <c r="M111" s="194"/>
      <c r="N111" s="194"/>
      <c r="O111" s="194"/>
      <c r="P111" s="194"/>
      <c r="X111"/>
    </row>
    <row r="112" spans="1:26" ht="12" customHeight="1" x14ac:dyDescent="0.2">
      <c r="A112" s="448" t="s">
        <v>169</v>
      </c>
      <c r="B112" s="448" t="s">
        <v>830</v>
      </c>
      <c r="C112" s="1232">
        <f>VLOOKUP('Equity - CIAP MA'!A112,'Equity Portfolio Movement'!$A$6:$M$64,11,FALSE)</f>
        <v>1216300</v>
      </c>
      <c r="D112" s="188">
        <f>I112/C112</f>
        <v>186.12326945341687</v>
      </c>
      <c r="E112" s="188">
        <f>+J112/C112</f>
        <v>138.6343381667464</v>
      </c>
      <c r="F112" s="444">
        <f>VLOOKUP(A112,Rates!B:J,7,FALSE)</f>
        <v>112.2</v>
      </c>
      <c r="G112" s="188">
        <v>111.16</v>
      </c>
      <c r="H112" s="174">
        <f>+F112-G112</f>
        <v>1.0400000000000063</v>
      </c>
      <c r="I112" s="1207">
        <f>VLOOKUP('Equity - CIAP MA'!A112,'Equity Portfolio Movement'!$A$6:$M$64,12,FALSE)</f>
        <v>226381732.63619095</v>
      </c>
      <c r="J112" s="1207">
        <f>VLOOKUP('Equity - CIAP MA'!A112,'Equity Portfolio Movement'!$A$6:$M$64,13,FALSE)</f>
        <v>168620945.51221365</v>
      </c>
      <c r="K112" s="1208">
        <f>C112*F112</f>
        <v>136468860</v>
      </c>
      <c r="L112" s="1207">
        <f>+K112-I112</f>
        <v>-89912872.636190951</v>
      </c>
      <c r="M112" s="1207">
        <f>+K112-J112</f>
        <v>-32152085.512213647</v>
      </c>
      <c r="N112" s="234">
        <f>+K112/$O$2*100</f>
        <v>0.56421694181709015</v>
      </c>
      <c r="O112" s="1226">
        <f>+K112/$K$145*100</f>
        <v>0.65755578496629741</v>
      </c>
      <c r="P112" s="257" t="e">
        <f>(C112*10)/#REF!*100</f>
        <v>#REF!</v>
      </c>
      <c r="R112" s="1213">
        <f t="shared" ref="R112:R113" si="129">+H112/G112</f>
        <v>9.3558834112990857E-3</v>
      </c>
      <c r="S112" s="160">
        <v>425068000</v>
      </c>
      <c r="U112" s="1290" t="s">
        <v>528</v>
      </c>
      <c r="V112" s="320">
        <f t="shared" ref="V112:V113" si="130">+C112*H112</f>
        <v>1264952.0000000077</v>
      </c>
      <c r="X112"/>
    </row>
    <row r="113" spans="1:26" s="1105" customFormat="1" ht="12" customHeight="1" x14ac:dyDescent="0.2">
      <c r="A113" s="448" t="s">
        <v>634</v>
      </c>
      <c r="B113" s="448" t="s">
        <v>830</v>
      </c>
      <c r="C113" s="1233">
        <f>VLOOKUP('Equity - CIAP MA'!A113,'Equity Portfolio Movement'!$A$6:$M$64,11,FALSE)</f>
        <v>0</v>
      </c>
      <c r="D113" s="431" t="e">
        <f>I113/C113</f>
        <v>#DIV/0!</v>
      </c>
      <c r="E113" s="431" t="e">
        <f>+J113/C113</f>
        <v>#DIV/0!</v>
      </c>
      <c r="F113" s="1169">
        <v>0</v>
      </c>
      <c r="G113" s="431">
        <v>0</v>
      </c>
      <c r="H113" s="177">
        <f>+F113-G113</f>
        <v>0</v>
      </c>
      <c r="I113" s="187">
        <f>VLOOKUP('Equity - CIAP MA'!A113,'Equity Portfolio Movement'!$A$6:$M$64,12,FALSE)</f>
        <v>0</v>
      </c>
      <c r="J113" s="187">
        <f>VLOOKUP('Equity - CIAP MA'!A113,'Equity Portfolio Movement'!$A$6:$M$64,13,FALSE)</f>
        <v>0</v>
      </c>
      <c r="K113" s="60">
        <f>C113*F113</f>
        <v>0</v>
      </c>
      <c r="L113" s="187">
        <f>+K113-I113</f>
        <v>0</v>
      </c>
      <c r="M113" s="187">
        <f>+K113-J113</f>
        <v>0</v>
      </c>
      <c r="N113" s="226">
        <f>+K113/$O$2*100</f>
        <v>0</v>
      </c>
      <c r="O113" s="1227">
        <f>+K113/$K$145*100</f>
        <v>0</v>
      </c>
      <c r="P113" s="295"/>
      <c r="Q113" s="169"/>
      <c r="R113" s="1213" t="e">
        <f t="shared" si="129"/>
        <v>#DIV/0!</v>
      </c>
      <c r="S113" s="160">
        <v>2028853000</v>
      </c>
      <c r="U113" s="1290" t="s">
        <v>528</v>
      </c>
      <c r="V113" s="320">
        <f t="shared" si="130"/>
        <v>0</v>
      </c>
      <c r="X113"/>
      <c r="Y113" s="1213"/>
      <c r="Z113" s="169"/>
    </row>
    <row r="114" spans="1:26" s="1105" customFormat="1" ht="12" customHeight="1" x14ac:dyDescent="0.2">
      <c r="A114" s="448"/>
      <c r="B114" s="448"/>
      <c r="C114" s="238"/>
      <c r="D114" s="185"/>
      <c r="E114" s="185"/>
      <c r="F114" s="1009"/>
      <c r="G114" s="185"/>
      <c r="H114" s="180"/>
      <c r="I114" s="186"/>
      <c r="J114" s="186"/>
      <c r="K114" s="1209"/>
      <c r="L114" s="186"/>
      <c r="M114" s="186"/>
      <c r="N114" s="230"/>
      <c r="O114" s="1228"/>
      <c r="P114" s="295"/>
      <c r="Q114" s="169"/>
      <c r="R114" s="1213"/>
      <c r="S114" s="160"/>
      <c r="X114"/>
      <c r="Y114" s="1213"/>
      <c r="Z114" s="169"/>
    </row>
    <row r="115" spans="1:26" ht="12" customHeight="1" x14ac:dyDescent="0.2">
      <c r="B115" s="166" t="s">
        <v>111</v>
      </c>
      <c r="C115" s="194">
        <f>SUM(C112:C114)</f>
        <v>1216300</v>
      </c>
      <c r="D115" s="177"/>
      <c r="E115" s="177"/>
      <c r="F115" s="177"/>
      <c r="G115" s="177"/>
      <c r="H115" s="177"/>
      <c r="I115" s="194">
        <f t="shared" ref="I115:O115" si="131">SUM(I112:I114)</f>
        <v>226381732.63619095</v>
      </c>
      <c r="J115" s="194">
        <f t="shared" si="131"/>
        <v>168620945.51221365</v>
      </c>
      <c r="K115" s="194">
        <f t="shared" si="131"/>
        <v>136468860</v>
      </c>
      <c r="L115" s="194">
        <f t="shared" si="131"/>
        <v>-89912872.636190951</v>
      </c>
      <c r="M115" s="194">
        <f t="shared" si="131"/>
        <v>-32152085.512213647</v>
      </c>
      <c r="N115" s="194">
        <f t="shared" si="131"/>
        <v>0.56421694181709015</v>
      </c>
      <c r="O115" s="194">
        <f t="shared" si="131"/>
        <v>0.65755578496629741</v>
      </c>
      <c r="P115" s="194" t="e">
        <f t="shared" ref="P115" si="132">SUM(P111:P112)</f>
        <v>#REF!</v>
      </c>
      <c r="X115"/>
    </row>
    <row r="116" spans="1:26" ht="12" customHeight="1" x14ac:dyDescent="0.2">
      <c r="C116" s="194"/>
      <c r="D116" s="177"/>
      <c r="E116" s="177"/>
      <c r="F116" s="177"/>
      <c r="G116" s="177"/>
      <c r="H116" s="177"/>
      <c r="I116" s="194"/>
      <c r="J116" s="194"/>
      <c r="K116" s="194"/>
      <c r="L116" s="194"/>
      <c r="M116" s="194"/>
      <c r="N116" s="194"/>
      <c r="O116" s="194"/>
      <c r="P116" s="194"/>
      <c r="X116"/>
    </row>
    <row r="117" spans="1:26" ht="12" customHeight="1" x14ac:dyDescent="0.2">
      <c r="A117" s="1022" t="s">
        <v>717</v>
      </c>
      <c r="B117" s="1022"/>
      <c r="C117" s="194"/>
      <c r="D117" s="177"/>
      <c r="E117" s="177"/>
      <c r="F117" s="258"/>
      <c r="G117" s="177"/>
      <c r="H117" s="177"/>
      <c r="I117" s="194"/>
      <c r="J117" s="194"/>
      <c r="K117" s="862"/>
      <c r="L117" s="194"/>
      <c r="M117" s="194"/>
      <c r="N117" s="194"/>
      <c r="O117" s="194"/>
      <c r="P117" s="194"/>
      <c r="X117"/>
    </row>
    <row r="118" spans="1:26" ht="12" customHeight="1" x14ac:dyDescent="0.2">
      <c r="A118" s="448" t="s">
        <v>610</v>
      </c>
      <c r="B118" s="448" t="s">
        <v>830</v>
      </c>
      <c r="C118" s="1232">
        <f>VLOOKUP('Equity - CIAP MA'!A118,'Equity Portfolio Movement'!$A$6:$M$64,11,FALSE)</f>
        <v>49450</v>
      </c>
      <c r="D118" s="188">
        <f>I118/C118</f>
        <v>87.676049860982545</v>
      </c>
      <c r="E118" s="188">
        <f>+J118/C118</f>
        <v>72.896000000000058</v>
      </c>
      <c r="F118" s="444">
        <f>VLOOKUP(A118,Rates!B:J,7,FALSE)</f>
        <v>73</v>
      </c>
      <c r="G118" s="188">
        <v>68.38</v>
      </c>
      <c r="H118" s="174">
        <f>+F118-G118</f>
        <v>4.6200000000000045</v>
      </c>
      <c r="I118" s="1207">
        <f>VLOOKUP('Equity - CIAP MA'!A118,'Equity Portfolio Movement'!$A$6:$M$64,12,FALSE)</f>
        <v>4335580.6656255871</v>
      </c>
      <c r="J118" s="1207">
        <f>VLOOKUP('Equity - CIAP MA'!A118,'Equity Portfolio Movement'!$A$6:$M$64,13,FALSE)</f>
        <v>3604707.200000003</v>
      </c>
      <c r="K118" s="1208">
        <f>C118*F118</f>
        <v>3609850</v>
      </c>
      <c r="L118" s="1207">
        <f>+K118-I118</f>
        <v>-725730.66562558711</v>
      </c>
      <c r="M118" s="1207">
        <f>+K118-J118</f>
        <v>5142.7999999970198</v>
      </c>
      <c r="N118" s="234">
        <f>+K118/$O$2*100</f>
        <v>1.4924566142183812E-2</v>
      </c>
      <c r="O118" s="1226">
        <f>+K118/$K$145*100</f>
        <v>1.7393548611460436E-2</v>
      </c>
      <c r="P118" s="194"/>
      <c r="R118" s="1213">
        <f t="shared" ref="R118:R122" si="133">+H118/G118</f>
        <v>6.7563615092132268E-2</v>
      </c>
      <c r="S118" s="160">
        <v>2565933000</v>
      </c>
      <c r="U118" s="1291" t="s">
        <v>717</v>
      </c>
      <c r="V118" s="320">
        <f t="shared" ref="V118:V122" si="134">+C118*H118</f>
        <v>228459.00000000023</v>
      </c>
      <c r="X118"/>
    </row>
    <row r="119" spans="1:26" s="1105" customFormat="1" ht="12" customHeight="1" x14ac:dyDescent="0.2">
      <c r="A119" s="448" t="s">
        <v>793</v>
      </c>
      <c r="B119" s="448" t="s">
        <v>830</v>
      </c>
      <c r="C119" s="1233">
        <f>VLOOKUP('Equity - CIAP MA'!A119,'Equity Portfolio Movement'!$A$6:$M$64,11,FALSE)</f>
        <v>0</v>
      </c>
      <c r="D119" s="431" t="e">
        <f>I119/C119</f>
        <v>#DIV/0!</v>
      </c>
      <c r="E119" s="431" t="e">
        <f>+J119/C119</f>
        <v>#DIV/0!</v>
      </c>
      <c r="F119" s="1169">
        <f>VLOOKUP(A119,Rates!B:J,7,FALSE)</f>
        <v>66.88</v>
      </c>
      <c r="G119" s="431">
        <v>63.7</v>
      </c>
      <c r="H119" s="177">
        <f>+F119-G119</f>
        <v>3.1799999999999926</v>
      </c>
      <c r="I119" s="187">
        <f>VLOOKUP('Equity - CIAP MA'!A119,'Equity Portfolio Movement'!$A$6:$M$64,12,FALSE)</f>
        <v>0</v>
      </c>
      <c r="J119" s="187">
        <f>VLOOKUP('Equity - CIAP MA'!A119,'Equity Portfolio Movement'!$A$6:$M$64,13,FALSE)</f>
        <v>0</v>
      </c>
      <c r="K119" s="60">
        <f>C119*F119</f>
        <v>0</v>
      </c>
      <c r="L119" s="187">
        <f>+K119-I119</f>
        <v>0</v>
      </c>
      <c r="M119" s="187">
        <f>+K119-J119</f>
        <v>0</v>
      </c>
      <c r="N119" s="226">
        <f>+K119/$O$2*100</f>
        <v>0</v>
      </c>
      <c r="O119" s="1227">
        <f>+K119/$K$145*100</f>
        <v>0</v>
      </c>
      <c r="P119" s="194"/>
      <c r="Q119" s="169"/>
      <c r="R119" s="1213">
        <f t="shared" si="133"/>
        <v>4.9921507064364087E-2</v>
      </c>
      <c r="S119" s="160">
        <v>1367500000</v>
      </c>
      <c r="U119" s="1291" t="s">
        <v>717</v>
      </c>
      <c r="V119" s="320">
        <f t="shared" si="134"/>
        <v>0</v>
      </c>
      <c r="X119"/>
      <c r="Y119" s="1213"/>
      <c r="Z119" s="169"/>
    </row>
    <row r="120" spans="1:26" s="1105" customFormat="1" ht="12" customHeight="1" x14ac:dyDescent="0.2">
      <c r="A120" s="448" t="s">
        <v>625</v>
      </c>
      <c r="B120" s="448" t="s">
        <v>830</v>
      </c>
      <c r="C120" s="1233">
        <f>VLOOKUP('Equity - CIAP MA'!A120,'Equity Portfolio Movement'!$A$6:$M$64,11,FALSE)</f>
        <v>0</v>
      </c>
      <c r="D120" s="431" t="e">
        <f>I120/C120</f>
        <v>#DIV/0!</v>
      </c>
      <c r="E120" s="431" t="e">
        <f>+J120/C120</f>
        <v>#DIV/0!</v>
      </c>
      <c r="F120" s="1169">
        <f>VLOOKUP(A120,Rates!B:J,7,FALSE)</f>
        <v>79.69</v>
      </c>
      <c r="G120" s="431">
        <v>77.78</v>
      </c>
      <c r="H120" s="177">
        <f>+F120-G120</f>
        <v>1.9099999999999966</v>
      </c>
      <c r="I120" s="187">
        <f>VLOOKUP('Equity - CIAP MA'!A120,'Equity Portfolio Movement'!$A$6:$M$64,12,FALSE)</f>
        <v>0</v>
      </c>
      <c r="J120" s="187">
        <f>VLOOKUP('Equity - CIAP MA'!A120,'Equity Portfolio Movement'!$A$6:$M$64,13,FALSE)</f>
        <v>0</v>
      </c>
      <c r="K120" s="60">
        <f>C120*F120</f>
        <v>0</v>
      </c>
      <c r="L120" s="187">
        <f>+K120-I120</f>
        <v>0</v>
      </c>
      <c r="M120" s="187">
        <f>+K120-J120</f>
        <v>0</v>
      </c>
      <c r="N120" s="226">
        <f>+K120/$O$2*100</f>
        <v>0</v>
      </c>
      <c r="O120" s="1227">
        <f>+K120/$K$145*100</f>
        <v>0</v>
      </c>
      <c r="P120" s="194"/>
      <c r="Q120" s="169"/>
      <c r="R120" s="1213">
        <f t="shared" si="133"/>
        <v>2.4556441244535827E-2</v>
      </c>
      <c r="S120" s="160">
        <v>5453906000</v>
      </c>
      <c r="U120" s="1291" t="s">
        <v>717</v>
      </c>
      <c r="V120" s="320">
        <f t="shared" si="134"/>
        <v>0</v>
      </c>
      <c r="X120"/>
      <c r="Y120" s="1213"/>
      <c r="Z120" s="169"/>
    </row>
    <row r="121" spans="1:26" s="1105" customFormat="1" ht="12" customHeight="1" x14ac:dyDescent="0.2">
      <c r="A121" s="448" t="s">
        <v>622</v>
      </c>
      <c r="B121" s="448" t="s">
        <v>830</v>
      </c>
      <c r="C121" s="1233">
        <f>VLOOKUP('Equity - CIAP MA'!A121,'Equity Portfolio Movement'!$A$6:$M$64,11,FALSE)</f>
        <v>426114</v>
      </c>
      <c r="D121" s="431">
        <f>I121/C121</f>
        <v>331.89240005022128</v>
      </c>
      <c r="E121" s="431">
        <f>+J121/C121</f>
        <v>331.89240005022128</v>
      </c>
      <c r="F121" s="1169">
        <f>VLOOKUP(A121,Rates!B:J,7,FALSE)</f>
        <v>340.99</v>
      </c>
      <c r="G121" s="431">
        <v>331.87</v>
      </c>
      <c r="H121" s="177">
        <f>+F121-G121</f>
        <v>9.1200000000000045</v>
      </c>
      <c r="I121" s="187">
        <f>VLOOKUP('Equity - CIAP MA'!A121,'Equity Portfolio Movement'!$A$6:$M$64,12,FALSE)</f>
        <v>141423998.155</v>
      </c>
      <c r="J121" s="187">
        <f>VLOOKUP('Equity - CIAP MA'!A121,'Equity Portfolio Movement'!$A$6:$M$64,13,FALSE)</f>
        <v>141423998.155</v>
      </c>
      <c r="K121" s="60">
        <f>C121*F121</f>
        <v>145300612.86000001</v>
      </c>
      <c r="L121" s="187">
        <f>+K121-I121</f>
        <v>3876614.7050000131</v>
      </c>
      <c r="M121" s="187">
        <f>+K121-J121</f>
        <v>3876614.7050000131</v>
      </c>
      <c r="N121" s="226">
        <f>+K121/$O$2*100</f>
        <v>0.60073094647392933</v>
      </c>
      <c r="O121" s="1227">
        <f>+K121/$K$145*100</f>
        <v>0.70011032953042474</v>
      </c>
      <c r="P121" s="194"/>
      <c r="Q121" s="169"/>
      <c r="R121" s="1213">
        <f t="shared" si="133"/>
        <v>2.7480640009642343E-2</v>
      </c>
      <c r="S121" s="160">
        <v>5453906000</v>
      </c>
      <c r="U121" s="1291" t="s">
        <v>717</v>
      </c>
      <c r="V121" s="320">
        <f t="shared" si="134"/>
        <v>3886159.680000002</v>
      </c>
      <c r="X121"/>
      <c r="Y121" s="1213"/>
      <c r="Z121" s="169"/>
    </row>
    <row r="122" spans="1:26" s="1105" customFormat="1" ht="12" customHeight="1" x14ac:dyDescent="0.2">
      <c r="A122" s="448" t="s">
        <v>789</v>
      </c>
      <c r="B122" s="448" t="s">
        <v>830</v>
      </c>
      <c r="C122" s="1233">
        <f>VLOOKUP('Equity - CIAP MA'!A122,'Equity Portfolio Movement'!$A$6:$M$64,11,FALSE)</f>
        <v>4357069</v>
      </c>
      <c r="D122" s="431">
        <f>I122/C122</f>
        <v>66.717785254591206</v>
      </c>
      <c r="E122" s="431">
        <f>+J122/C122</f>
        <v>58.06</v>
      </c>
      <c r="F122" s="1169">
        <f>VLOOKUP(A122,Rates!B:J,7,FALSE)</f>
        <v>36.979999999999997</v>
      </c>
      <c r="G122" s="431">
        <v>35.159999999999997</v>
      </c>
      <c r="H122" s="177">
        <f>+F122-G122</f>
        <v>1.8200000000000003</v>
      </c>
      <c r="I122" s="187">
        <f>VLOOKUP('Equity - CIAP MA'!A122,'Equity Portfolio Movement'!$A$6:$M$64,12,FALSE)</f>
        <v>290693993.88143647</v>
      </c>
      <c r="J122" s="187">
        <f>VLOOKUP('Equity - CIAP MA'!A122,'Equity Portfolio Movement'!$A$6:$M$64,13,FALSE)</f>
        <v>252971426.14000002</v>
      </c>
      <c r="K122" s="60">
        <f>C122*F122</f>
        <v>161124411.61999997</v>
      </c>
      <c r="L122" s="187">
        <f>+K122-I122</f>
        <v>-129569582.26143649</v>
      </c>
      <c r="M122" s="187">
        <f>+K122-J122</f>
        <v>-91847014.520000041</v>
      </c>
      <c r="N122" s="226">
        <f>+K122/$O$2*100</f>
        <v>0.66615287015890956</v>
      </c>
      <c r="O122" s="1227">
        <f>+K122/$K$145*100</f>
        <v>0.77635505242750535</v>
      </c>
      <c r="P122" s="194"/>
      <c r="Q122" s="169"/>
      <c r="R122" s="1213">
        <f t="shared" si="133"/>
        <v>5.1763367463026178E-2</v>
      </c>
      <c r="S122" s="160">
        <v>3952692000</v>
      </c>
      <c r="U122" s="1291" t="s">
        <v>717</v>
      </c>
      <c r="V122" s="320">
        <f t="shared" si="134"/>
        <v>7929865.580000001</v>
      </c>
      <c r="X122"/>
      <c r="Y122" s="1213"/>
      <c r="Z122" s="169"/>
    </row>
    <row r="123" spans="1:26" s="1105" customFormat="1" ht="12" customHeight="1" x14ac:dyDescent="0.2">
      <c r="A123" s="448"/>
      <c r="B123" s="448"/>
      <c r="C123" s="238"/>
      <c r="D123" s="185"/>
      <c r="E123" s="185"/>
      <c r="F123" s="1009"/>
      <c r="G123" s="185"/>
      <c r="H123" s="180"/>
      <c r="I123" s="186"/>
      <c r="J123" s="186"/>
      <c r="K123" s="1209"/>
      <c r="L123" s="186"/>
      <c r="M123" s="186"/>
      <c r="N123" s="230"/>
      <c r="O123" s="1228"/>
      <c r="P123" s="194"/>
      <c r="Q123" s="169"/>
      <c r="R123" s="1213"/>
      <c r="S123" s="160"/>
      <c r="X123"/>
      <c r="Y123" s="1213"/>
      <c r="Z123" s="169"/>
    </row>
    <row r="124" spans="1:26" ht="12" customHeight="1" x14ac:dyDescent="0.2">
      <c r="B124" s="166" t="s">
        <v>111</v>
      </c>
      <c r="C124" s="194">
        <f>SUM(C118:C123)</f>
        <v>4832633</v>
      </c>
      <c r="D124" s="177"/>
      <c r="E124" s="177"/>
      <c r="F124" s="177"/>
      <c r="G124" s="177"/>
      <c r="H124" s="177"/>
      <c r="I124" s="194">
        <f t="shared" ref="I124:O124" si="135">SUM(I118:I123)</f>
        <v>436453572.70206207</v>
      </c>
      <c r="J124" s="194">
        <f t="shared" si="135"/>
        <v>398000131.495</v>
      </c>
      <c r="K124" s="194">
        <f t="shared" si="135"/>
        <v>310034874.48000002</v>
      </c>
      <c r="L124" s="194">
        <f t="shared" si="135"/>
        <v>-126418698.22206207</v>
      </c>
      <c r="M124" s="194">
        <f t="shared" si="135"/>
        <v>-87965257.01500003</v>
      </c>
      <c r="N124" s="194">
        <f t="shared" si="135"/>
        <v>1.2818083827750226</v>
      </c>
      <c r="O124" s="194">
        <f t="shared" si="135"/>
        <v>1.4938589305693906</v>
      </c>
      <c r="P124" s="194"/>
      <c r="X124"/>
    </row>
    <row r="125" spans="1:26" ht="12" customHeight="1" x14ac:dyDescent="0.2">
      <c r="C125" s="194"/>
      <c r="D125" s="177"/>
      <c r="E125" s="177"/>
      <c r="F125" s="177"/>
      <c r="G125" s="177"/>
      <c r="H125" s="177"/>
      <c r="I125" s="194"/>
      <c r="J125" s="194"/>
      <c r="K125" s="194"/>
      <c r="L125" s="194"/>
      <c r="M125" s="194"/>
      <c r="N125" s="194"/>
      <c r="O125" s="194"/>
      <c r="P125" s="194"/>
      <c r="X125"/>
    </row>
    <row r="126" spans="1:26" ht="12" customHeight="1" x14ac:dyDescent="0.2">
      <c r="A126" s="1022" t="s">
        <v>719</v>
      </c>
      <c r="B126" s="1022"/>
      <c r="C126" s="194"/>
      <c r="D126" s="177"/>
      <c r="E126" s="177"/>
      <c r="F126" s="258"/>
      <c r="G126" s="177"/>
      <c r="H126" s="177"/>
      <c r="I126" s="194"/>
      <c r="J126" s="194"/>
      <c r="K126" s="862"/>
      <c r="L126" s="194"/>
      <c r="M126" s="194"/>
      <c r="N126" s="194"/>
      <c r="O126" s="194"/>
      <c r="P126" s="194"/>
      <c r="X126"/>
    </row>
    <row r="127" spans="1:26" ht="12" customHeight="1" x14ac:dyDescent="0.2">
      <c r="A127" s="448" t="s">
        <v>575</v>
      </c>
      <c r="B127" s="448" t="s">
        <v>830</v>
      </c>
      <c r="C127" s="1232">
        <f>VLOOKUP('Equity - CIAP MA'!A127,'Equity Portfolio Movement'!$A$6:$M$64,11,FALSE)</f>
        <v>0</v>
      </c>
      <c r="D127" s="188" t="e">
        <f>I127/C127</f>
        <v>#DIV/0!</v>
      </c>
      <c r="E127" s="188" t="e">
        <f>+J127/C127</f>
        <v>#DIV/0!</v>
      </c>
      <c r="F127" s="444">
        <f>VLOOKUP(A127,Rates!B:J,7,FALSE)</f>
        <v>139.91999999999999</v>
      </c>
      <c r="G127" s="188">
        <v>135.24</v>
      </c>
      <c r="H127" s="174">
        <f>+F127-G127</f>
        <v>4.6799999999999784</v>
      </c>
      <c r="I127" s="1207">
        <f>VLOOKUP('Equity - CIAP MA'!A127,'Equity Portfolio Movement'!$A$6:$M$64,12,FALSE)</f>
        <v>0</v>
      </c>
      <c r="J127" s="1207">
        <f>VLOOKUP('Equity - CIAP MA'!A127,'Equity Portfolio Movement'!$A$6:$M$64,13,FALSE)</f>
        <v>0</v>
      </c>
      <c r="K127" s="1208">
        <f>C127*F127</f>
        <v>0</v>
      </c>
      <c r="L127" s="1207">
        <f>+K127-I127</f>
        <v>0</v>
      </c>
      <c r="M127" s="1207">
        <f>+K127-J127</f>
        <v>0</v>
      </c>
      <c r="N127" s="234">
        <f>+K127/$O$2*100</f>
        <v>0</v>
      </c>
      <c r="O127" s="1226">
        <f>+K127/$K$145*100</f>
        <v>0</v>
      </c>
      <c r="P127" s="194"/>
      <c r="R127" s="1213">
        <f t="shared" ref="R127:R128" si="136">+H127/G127</f>
        <v>3.4605146406388482E-2</v>
      </c>
      <c r="S127" s="160">
        <v>1066162000</v>
      </c>
      <c r="U127" s="1291" t="s">
        <v>719</v>
      </c>
      <c r="V127" s="320">
        <f t="shared" ref="V127:V128" si="137">+C127*H127</f>
        <v>0</v>
      </c>
      <c r="X127"/>
    </row>
    <row r="128" spans="1:26" s="1105" customFormat="1" ht="12" customHeight="1" x14ac:dyDescent="0.2">
      <c r="A128" s="448" t="s">
        <v>577</v>
      </c>
      <c r="B128" s="448" t="s">
        <v>830</v>
      </c>
      <c r="C128" s="1233">
        <f>VLOOKUP('Equity - CIAP MA'!A128,'Equity Portfolio Movement'!$A$6:$M$64,11,FALSE)</f>
        <v>268375</v>
      </c>
      <c r="D128" s="431">
        <f>I128/C128</f>
        <v>527.10149938210543</v>
      </c>
      <c r="E128" s="431">
        <f>+J128/C128</f>
        <v>284.58999999999997</v>
      </c>
      <c r="F128" s="1169">
        <f>VLOOKUP(A128,Rates!B:J,7,FALSE)</f>
        <v>219.79</v>
      </c>
      <c r="G128" s="431">
        <v>215.36</v>
      </c>
      <c r="H128" s="177">
        <f>+F128-G128</f>
        <v>4.4299999999999784</v>
      </c>
      <c r="I128" s="187">
        <f>VLOOKUP('Equity - CIAP MA'!A128,'Equity Portfolio Movement'!$A$6:$M$64,12,FALSE)</f>
        <v>141460864.89667255</v>
      </c>
      <c r="J128" s="187">
        <f>VLOOKUP('Equity - CIAP MA'!A128,'Equity Portfolio Movement'!$A$6:$M$64,13,FALSE)</f>
        <v>76376841.25</v>
      </c>
      <c r="K128" s="60">
        <f>C128*F128</f>
        <v>58986141.25</v>
      </c>
      <c r="L128" s="187">
        <f>+K128-I128</f>
        <v>-82474723.646672547</v>
      </c>
      <c r="M128" s="187">
        <f>+K128-J128</f>
        <v>-17390700</v>
      </c>
      <c r="N128" s="226">
        <f>+K128/$O$2*100</f>
        <v>0.24387234000244384</v>
      </c>
      <c r="O128" s="1227">
        <f>+K128/$K$145*100</f>
        <v>0.28421632899825389</v>
      </c>
      <c r="P128" s="194"/>
      <c r="Q128" s="169"/>
      <c r="R128" s="1213">
        <f t="shared" si="136"/>
        <v>2.0570208023774045E-2</v>
      </c>
      <c r="S128" s="160">
        <v>799666000</v>
      </c>
      <c r="U128" s="1291" t="s">
        <v>719</v>
      </c>
      <c r="V128" s="320">
        <f t="shared" si="137"/>
        <v>1188901.2499999942</v>
      </c>
      <c r="X128"/>
      <c r="Y128" s="1213"/>
      <c r="Z128" s="169"/>
    </row>
    <row r="129" spans="1:26" s="1105" customFormat="1" ht="12" customHeight="1" x14ac:dyDescent="0.2">
      <c r="A129" s="448"/>
      <c r="B129" s="448"/>
      <c r="C129" s="238"/>
      <c r="D129" s="185"/>
      <c r="E129" s="185"/>
      <c r="F129" s="1009"/>
      <c r="G129" s="185"/>
      <c r="H129" s="180"/>
      <c r="I129" s="186"/>
      <c r="J129" s="186"/>
      <c r="K129" s="1209"/>
      <c r="L129" s="186"/>
      <c r="M129" s="186"/>
      <c r="N129" s="230"/>
      <c r="O129" s="1228"/>
      <c r="P129" s="194"/>
      <c r="Q129" s="169"/>
      <c r="R129" s="1213"/>
      <c r="S129" s="160"/>
      <c r="X129"/>
      <c r="Y129" s="1213"/>
      <c r="Z129" s="169"/>
    </row>
    <row r="130" spans="1:26" ht="12" customHeight="1" x14ac:dyDescent="0.2">
      <c r="B130" s="166" t="s">
        <v>111</v>
      </c>
      <c r="C130" s="194">
        <f>SUM(C127:C129)</f>
        <v>268375</v>
      </c>
      <c r="D130" s="177"/>
      <c r="E130" s="177"/>
      <c r="F130" s="177"/>
      <c r="G130" s="177"/>
      <c r="H130" s="177"/>
      <c r="I130" s="194">
        <f t="shared" ref="I130:O130" si="138">SUM(I127:I129)</f>
        <v>141460864.89667255</v>
      </c>
      <c r="J130" s="194">
        <f t="shared" si="138"/>
        <v>76376841.25</v>
      </c>
      <c r="K130" s="194">
        <f t="shared" si="138"/>
        <v>58986141.25</v>
      </c>
      <c r="L130" s="194">
        <f t="shared" si="138"/>
        <v>-82474723.646672547</v>
      </c>
      <c r="M130" s="194">
        <f t="shared" si="138"/>
        <v>-17390700</v>
      </c>
      <c r="N130" s="194">
        <f t="shared" si="138"/>
        <v>0.24387234000244384</v>
      </c>
      <c r="O130" s="194">
        <f t="shared" si="138"/>
        <v>0.28421632899825389</v>
      </c>
      <c r="P130" s="194"/>
      <c r="X130"/>
    </row>
    <row r="131" spans="1:26" s="1105" customFormat="1" ht="12" customHeight="1" x14ac:dyDescent="0.2">
      <c r="C131" s="194"/>
      <c r="D131" s="177"/>
      <c r="E131" s="177"/>
      <c r="F131" s="177"/>
      <c r="G131" s="177"/>
      <c r="H131" s="177"/>
      <c r="I131" s="194"/>
      <c r="J131" s="194"/>
      <c r="K131" s="194"/>
      <c r="L131" s="194"/>
      <c r="M131" s="194"/>
      <c r="N131" s="194"/>
      <c r="O131" s="194"/>
      <c r="P131" s="194"/>
      <c r="Q131" s="169"/>
      <c r="S131" s="160"/>
      <c r="X131"/>
      <c r="Y131" s="1213"/>
      <c r="Z131" s="169"/>
    </row>
    <row r="132" spans="1:26" s="1105" customFormat="1" ht="12" customHeight="1" x14ac:dyDescent="0.2">
      <c r="A132" s="1022" t="s">
        <v>724</v>
      </c>
      <c r="B132" s="1022"/>
      <c r="C132" s="194"/>
      <c r="D132" s="177"/>
      <c r="E132" s="177"/>
      <c r="F132" s="258"/>
      <c r="G132" s="177"/>
      <c r="H132" s="177"/>
      <c r="I132" s="194"/>
      <c r="J132" s="194"/>
      <c r="K132" s="862"/>
      <c r="L132" s="194"/>
      <c r="M132" s="194"/>
      <c r="N132" s="194"/>
      <c r="O132" s="194"/>
      <c r="P132" s="194"/>
      <c r="Q132" s="169"/>
      <c r="S132" s="160"/>
      <c r="X132"/>
      <c r="Y132" s="1213"/>
      <c r="Z132" s="169"/>
    </row>
    <row r="133" spans="1:26" s="1105" customFormat="1" ht="12" customHeight="1" x14ac:dyDescent="0.2">
      <c r="A133" s="448" t="s">
        <v>604</v>
      </c>
      <c r="B133" s="448" t="s">
        <v>830</v>
      </c>
      <c r="C133" s="1232">
        <f>VLOOKUP('Equity - CIAP MA'!A133,'Equity Portfolio Movement'!$A$6:$M$64,11,FALSE)</f>
        <v>2042090</v>
      </c>
      <c r="D133" s="188">
        <f>I133/C133</f>
        <v>151.08712758671734</v>
      </c>
      <c r="E133" s="188">
        <f>+J133/C133</f>
        <v>97.319999999999979</v>
      </c>
      <c r="F133" s="444">
        <f>VLOOKUP(A133,Rates!B:J,7,FALSE)</f>
        <v>59.94</v>
      </c>
      <c r="G133" s="188">
        <v>58.53</v>
      </c>
      <c r="H133" s="174">
        <f>+F133-G133</f>
        <v>1.4099999999999966</v>
      </c>
      <c r="I133" s="1207">
        <f>VLOOKUP('Equity - CIAP MA'!A133,'Equity Portfolio Movement'!$A$6:$M$64,12,FALSE)</f>
        <v>308533512.37355959</v>
      </c>
      <c r="J133" s="1207">
        <f>VLOOKUP('Equity - CIAP MA'!A133,'Equity Portfolio Movement'!$A$6:$M$64,13,FALSE)</f>
        <v>198736198.79999995</v>
      </c>
      <c r="K133" s="1208">
        <f>C133*F133</f>
        <v>122402874.59999999</v>
      </c>
      <c r="L133" s="1207">
        <f>+K133-I133</f>
        <v>-186130637.7735596</v>
      </c>
      <c r="M133" s="1207">
        <f>+K133-J133</f>
        <v>-76333324.199999958</v>
      </c>
      <c r="N133" s="234">
        <f>+K133/$O$2*100</f>
        <v>0.5060625228087402</v>
      </c>
      <c r="O133" s="1226">
        <f>+K133/$K$145*100</f>
        <v>0.58978083564070416</v>
      </c>
      <c r="P133" s="194"/>
      <c r="Q133" s="169"/>
      <c r="R133" s="1213">
        <f t="shared" ref="R133:R135" si="139">+H133/G133</f>
        <v>2.4090210148641662E-2</v>
      </c>
      <c r="S133" s="160">
        <v>604459000</v>
      </c>
      <c r="U133" s="1291" t="s">
        <v>724</v>
      </c>
      <c r="V133" s="320">
        <f t="shared" ref="V133:V135" si="140">+C133*H133</f>
        <v>2879346.8999999929</v>
      </c>
      <c r="X133"/>
      <c r="Y133" s="1213"/>
      <c r="Z133" s="169"/>
    </row>
    <row r="134" spans="1:26" s="1105" customFormat="1" ht="12" customHeight="1" x14ac:dyDescent="0.2">
      <c r="A134" s="448" t="s">
        <v>602</v>
      </c>
      <c r="B134" s="448" t="s">
        <v>830</v>
      </c>
      <c r="C134" s="1233">
        <f>VLOOKUP('Equity - CIAP MA'!A134,'Equity Portfolio Movement'!$A$6:$M$64,11,FALSE)</f>
        <v>0</v>
      </c>
      <c r="D134" s="431" t="e">
        <f>I134/C134</f>
        <v>#DIV/0!</v>
      </c>
      <c r="E134" s="431" t="e">
        <f>+J134/C134</f>
        <v>#DIV/0!</v>
      </c>
      <c r="F134" s="1169">
        <f>VLOOKUP(A134,Rates!B:J,7,FALSE)</f>
        <v>159.53</v>
      </c>
      <c r="G134" s="431">
        <v>159.88</v>
      </c>
      <c r="H134" s="177">
        <f>+F134-G134</f>
        <v>-0.34999999999999432</v>
      </c>
      <c r="I134" s="187">
        <f>VLOOKUP('Equity - CIAP MA'!A134,'Equity Portfolio Movement'!$A$6:$M$64,12,FALSE)</f>
        <v>0</v>
      </c>
      <c r="J134" s="187">
        <f>VLOOKUP('Equity - CIAP MA'!A134,'Equity Portfolio Movement'!$A$6:$M$64,13,FALSE)</f>
        <v>0</v>
      </c>
      <c r="K134" s="60">
        <f>C134*F134</f>
        <v>0</v>
      </c>
      <c r="L134" s="187">
        <f>+K134-I134</f>
        <v>0</v>
      </c>
      <c r="M134" s="187">
        <f>+K134-J134</f>
        <v>0</v>
      </c>
      <c r="N134" s="226">
        <f>+K134/$O$2*100</f>
        <v>0</v>
      </c>
      <c r="O134" s="1227">
        <f>+K134/$K$145*100</f>
        <v>0</v>
      </c>
      <c r="P134" s="194"/>
      <c r="Q134" s="169"/>
      <c r="R134" s="1213">
        <f t="shared" si="139"/>
        <v>-2.1891418563922587E-3</v>
      </c>
      <c r="S134" s="160">
        <v>1428000000</v>
      </c>
      <c r="U134" s="1291" t="s">
        <v>724</v>
      </c>
      <c r="V134" s="320">
        <f t="shared" si="140"/>
        <v>0</v>
      </c>
      <c r="X134"/>
      <c r="Y134" s="1213"/>
      <c r="Z134" s="169"/>
    </row>
    <row r="135" spans="1:26" s="1105" customFormat="1" ht="12" customHeight="1" x14ac:dyDescent="0.2">
      <c r="A135" s="448" t="s">
        <v>603</v>
      </c>
      <c r="B135" s="448" t="s">
        <v>830</v>
      </c>
      <c r="C135" s="1233">
        <f>VLOOKUP('Equity - CIAP MA'!A135,'Equity Portfolio Movement'!$A$6:$M$64,11,FALSE)</f>
        <v>0</v>
      </c>
      <c r="D135" s="431" t="e">
        <f>I135/C135</f>
        <v>#DIV/0!</v>
      </c>
      <c r="E135" s="431" t="e">
        <f>+J135/C135</f>
        <v>#DIV/0!</v>
      </c>
      <c r="F135" s="1169">
        <f>VLOOKUP(A135,Rates!B:J,7,FALSE)</f>
        <v>177.48</v>
      </c>
      <c r="G135" s="431">
        <v>175.06</v>
      </c>
      <c r="H135" s="177">
        <f>+F135-G135</f>
        <v>2.4199999999999875</v>
      </c>
      <c r="I135" s="187">
        <f>VLOOKUP('Equity - CIAP MA'!A135,'Equity Portfolio Movement'!$A$6:$M$64,12,FALSE)</f>
        <v>0</v>
      </c>
      <c r="J135" s="187">
        <f>VLOOKUP('Equity - CIAP MA'!A135,'Equity Portfolio Movement'!$A$6:$M$64,13,FALSE)</f>
        <v>0</v>
      </c>
      <c r="K135" s="60">
        <f>C135*F135</f>
        <v>0</v>
      </c>
      <c r="L135" s="187">
        <f>+K135-I135</f>
        <v>0</v>
      </c>
      <c r="M135" s="187">
        <f>+K135-J135</f>
        <v>0</v>
      </c>
      <c r="N135" s="226">
        <f>+K135/$O$2*100</f>
        <v>0</v>
      </c>
      <c r="O135" s="1227">
        <f>+K135/$K$145*100</f>
        <v>0</v>
      </c>
      <c r="P135" s="194"/>
      <c r="Q135" s="169"/>
      <c r="R135" s="1213">
        <f t="shared" si="139"/>
        <v>1.3823831829087099E-2</v>
      </c>
      <c r="S135" s="160">
        <v>822999000</v>
      </c>
      <c r="U135" s="1291" t="s">
        <v>724</v>
      </c>
      <c r="V135" s="320">
        <f t="shared" si="140"/>
        <v>0</v>
      </c>
      <c r="X135"/>
      <c r="Y135" s="1213"/>
      <c r="Z135" s="169"/>
    </row>
    <row r="136" spans="1:26" s="1105" customFormat="1" ht="12" customHeight="1" x14ac:dyDescent="0.2">
      <c r="A136" s="448"/>
      <c r="B136" s="448"/>
      <c r="C136" s="238"/>
      <c r="D136" s="185"/>
      <c r="E136" s="185"/>
      <c r="F136" s="1009"/>
      <c r="G136" s="185"/>
      <c r="H136" s="180"/>
      <c r="I136" s="186"/>
      <c r="J136" s="186"/>
      <c r="K136" s="1209"/>
      <c r="L136" s="186"/>
      <c r="M136" s="186"/>
      <c r="N136" s="230"/>
      <c r="O136" s="1228"/>
      <c r="P136" s="194"/>
      <c r="Q136" s="169"/>
      <c r="R136" s="1213"/>
      <c r="S136" s="160"/>
      <c r="X136"/>
      <c r="Y136" s="1213"/>
      <c r="Z136" s="169"/>
    </row>
    <row r="137" spans="1:26" s="1105" customFormat="1" ht="12" customHeight="1" x14ac:dyDescent="0.2">
      <c r="B137" s="166" t="s">
        <v>111</v>
      </c>
      <c r="C137" s="194">
        <f>SUM(C133:C136)</f>
        <v>2042090</v>
      </c>
      <c r="D137" s="177"/>
      <c r="E137" s="177"/>
      <c r="F137" s="177"/>
      <c r="G137" s="177"/>
      <c r="H137" s="177"/>
      <c r="I137" s="194">
        <f t="shared" ref="I137:O137" si="141">SUM(I133:I136)</f>
        <v>308533512.37355959</v>
      </c>
      <c r="J137" s="194">
        <f t="shared" si="141"/>
        <v>198736198.79999995</v>
      </c>
      <c r="K137" s="194">
        <f t="shared" si="141"/>
        <v>122402874.59999999</v>
      </c>
      <c r="L137" s="194">
        <f t="shared" si="141"/>
        <v>-186130637.7735596</v>
      </c>
      <c r="M137" s="194">
        <f t="shared" si="141"/>
        <v>-76333324.199999958</v>
      </c>
      <c r="N137" s="194">
        <f t="shared" si="141"/>
        <v>0.5060625228087402</v>
      </c>
      <c r="O137" s="194">
        <f t="shared" si="141"/>
        <v>0.58978083564070416</v>
      </c>
      <c r="P137" s="194"/>
      <c r="Q137" s="169"/>
      <c r="S137" s="160"/>
      <c r="X137"/>
      <c r="Y137" s="1213"/>
      <c r="Z137" s="169"/>
    </row>
    <row r="138" spans="1:26" s="1105" customFormat="1" ht="12" customHeight="1" x14ac:dyDescent="0.2">
      <c r="C138" s="194"/>
      <c r="D138" s="177"/>
      <c r="E138" s="177"/>
      <c r="F138" s="177"/>
      <c r="G138" s="177"/>
      <c r="H138" s="177"/>
      <c r="I138" s="194"/>
      <c r="J138" s="194"/>
      <c r="K138" s="194"/>
      <c r="L138" s="194"/>
      <c r="M138" s="194"/>
      <c r="N138" s="194"/>
      <c r="O138" s="194"/>
      <c r="P138" s="194"/>
      <c r="Q138" s="169"/>
      <c r="S138" s="160"/>
      <c r="X138"/>
      <c r="Y138" s="1213"/>
      <c r="Z138" s="169"/>
    </row>
    <row r="139" spans="1:26" s="1105" customFormat="1" ht="12" customHeight="1" x14ac:dyDescent="0.2">
      <c r="A139" s="1022" t="s">
        <v>775</v>
      </c>
      <c r="B139" s="1022"/>
      <c r="C139" s="194"/>
      <c r="D139" s="177"/>
      <c r="E139" s="177"/>
      <c r="F139" s="177"/>
      <c r="G139" s="177"/>
      <c r="H139" s="177"/>
      <c r="I139" s="194"/>
      <c r="J139" s="194"/>
      <c r="K139" s="194"/>
      <c r="L139" s="194"/>
      <c r="M139" s="194"/>
      <c r="N139" s="194"/>
      <c r="O139" s="194"/>
      <c r="P139" s="194"/>
      <c r="Q139" s="169"/>
      <c r="S139" s="160"/>
      <c r="X139"/>
      <c r="Y139" s="1213"/>
      <c r="Z139" s="169"/>
    </row>
    <row r="140" spans="1:26" s="1105" customFormat="1" ht="12" customHeight="1" x14ac:dyDescent="0.2">
      <c r="A140" s="448" t="s">
        <v>612</v>
      </c>
      <c r="B140" s="448" t="s">
        <v>830</v>
      </c>
      <c r="C140" s="1232">
        <f>VLOOKUP('Equity - CIAP MA'!A140,'Equity Portfolio Movement'!$A$6:$M$64,11,FALSE)</f>
        <v>24000</v>
      </c>
      <c r="D140" s="188">
        <f>I140/C140</f>
        <v>11.720382743277897</v>
      </c>
      <c r="E140" s="188">
        <f>+J140/C140</f>
        <v>7.36</v>
      </c>
      <c r="F140" s="444">
        <f>VLOOKUP(A140,Rates!B:J,7,FALSE)</f>
        <v>5.62</v>
      </c>
      <c r="G140" s="188">
        <v>5.54</v>
      </c>
      <c r="H140" s="174">
        <f>+F140-G140</f>
        <v>8.0000000000000071E-2</v>
      </c>
      <c r="I140" s="1207">
        <f>VLOOKUP('Equity - CIAP MA'!A140,'Equity Portfolio Movement'!$A$6:$M$64,12,FALSE)</f>
        <v>281289.18583866954</v>
      </c>
      <c r="J140" s="1207">
        <f>VLOOKUP('Equity - CIAP MA'!A140,'Equity Portfolio Movement'!$A$6:$M$64,13,FALSE)</f>
        <v>176640</v>
      </c>
      <c r="K140" s="1208">
        <f>C140*F140</f>
        <v>134880</v>
      </c>
      <c r="L140" s="1207">
        <f>+K140-I140</f>
        <v>-146409.18583866954</v>
      </c>
      <c r="M140" s="1207">
        <f>+K140-J140</f>
        <v>-41760</v>
      </c>
      <c r="N140" s="234">
        <f>+K140/$O$2*100</f>
        <v>5.5764795801979379E-4</v>
      </c>
      <c r="O140" s="1226">
        <f>+K140/$K$145*100</f>
        <v>6.4990008912109475E-4</v>
      </c>
      <c r="P140" s="194"/>
      <c r="Q140" s="169"/>
      <c r="R140" s="1213">
        <f t="shared" ref="R140" si="142">+H140/G140</f>
        <v>1.4440433212996403E-2</v>
      </c>
      <c r="S140" s="160">
        <v>17860927000</v>
      </c>
      <c r="U140" s="1291" t="s">
        <v>775</v>
      </c>
      <c r="V140" s="320">
        <f t="shared" ref="V140" si="143">+C140*H140</f>
        <v>1920.0000000000018</v>
      </c>
      <c r="X140"/>
      <c r="Y140" s="1213"/>
      <c r="Z140" s="169"/>
    </row>
    <row r="141" spans="1:26" s="1105" customFormat="1" ht="12" customHeight="1" x14ac:dyDescent="0.2">
      <c r="A141" s="448"/>
      <c r="B141" s="448"/>
      <c r="C141" s="238"/>
      <c r="D141" s="185"/>
      <c r="E141" s="185"/>
      <c r="F141" s="1009"/>
      <c r="G141" s="185"/>
      <c r="H141" s="180"/>
      <c r="I141" s="186"/>
      <c r="J141" s="186"/>
      <c r="K141" s="1209"/>
      <c r="L141" s="186"/>
      <c r="M141" s="186"/>
      <c r="N141" s="230"/>
      <c r="O141" s="1228"/>
      <c r="P141" s="194"/>
      <c r="Q141" s="169"/>
      <c r="R141" s="1213"/>
      <c r="S141" s="160"/>
      <c r="X141"/>
      <c r="Y141" s="1213"/>
      <c r="Z141" s="169"/>
    </row>
    <row r="142" spans="1:26" s="1105" customFormat="1" ht="12" customHeight="1" x14ac:dyDescent="0.2">
      <c r="B142" s="166" t="s">
        <v>111</v>
      </c>
      <c r="C142" s="194">
        <f>SUM(C140:C141)</f>
        <v>24000</v>
      </c>
      <c r="D142" s="177"/>
      <c r="E142" s="177"/>
      <c r="F142" s="177"/>
      <c r="G142" s="177"/>
      <c r="H142" s="177"/>
      <c r="I142" s="194">
        <f t="shared" ref="I142:O142" si="144">SUM(I140:I141)</f>
        <v>281289.18583866954</v>
      </c>
      <c r="J142" s="194">
        <f t="shared" si="144"/>
        <v>176640</v>
      </c>
      <c r="K142" s="194">
        <f t="shared" si="144"/>
        <v>134880</v>
      </c>
      <c r="L142" s="194">
        <f t="shared" si="144"/>
        <v>-146409.18583866954</v>
      </c>
      <c r="M142" s="194">
        <f t="shared" si="144"/>
        <v>-41760</v>
      </c>
      <c r="N142" s="194">
        <f t="shared" si="144"/>
        <v>5.5764795801979379E-4</v>
      </c>
      <c r="O142" s="194">
        <f t="shared" si="144"/>
        <v>6.4990008912109475E-4</v>
      </c>
      <c r="P142" s="194"/>
      <c r="Q142" s="169"/>
      <c r="S142" s="160"/>
      <c r="X142"/>
      <c r="Y142" s="1213"/>
      <c r="Z142" s="169"/>
    </row>
    <row r="143" spans="1:26" s="1105" customFormat="1" ht="12" customHeight="1" x14ac:dyDescent="0.2">
      <c r="C143" s="194"/>
      <c r="D143" s="177"/>
      <c r="E143" s="177"/>
      <c r="F143" s="177"/>
      <c r="G143" s="177"/>
      <c r="H143" s="177"/>
      <c r="I143" s="194"/>
      <c r="J143" s="194"/>
      <c r="K143" s="194"/>
      <c r="L143" s="194"/>
      <c r="M143" s="194"/>
      <c r="N143" s="194"/>
      <c r="O143" s="194"/>
      <c r="P143" s="194"/>
      <c r="Q143" s="169"/>
      <c r="S143" s="160"/>
      <c r="X143"/>
      <c r="Y143" s="1213"/>
      <c r="Z143" s="169"/>
    </row>
    <row r="144" spans="1:26" ht="12" customHeight="1" x14ac:dyDescent="0.2">
      <c r="X144"/>
    </row>
    <row r="145" spans="1:24" ht="12" customHeight="1" thickBot="1" x14ac:dyDescent="0.25">
      <c r="A145" s="166" t="s">
        <v>281</v>
      </c>
      <c r="B145" s="166"/>
      <c r="C145" s="190">
        <f>SUM(C8:C144)/2</f>
        <v>236800145.05790001</v>
      </c>
      <c r="I145" s="190">
        <f>SUM(I8:I144)/2</f>
        <v>28304462088.034679</v>
      </c>
      <c r="J145" s="270">
        <f t="shared" ref="J145:O145" si="145">SUM(J8:J144)/2</f>
        <v>24981706652.726925</v>
      </c>
      <c r="K145" s="190">
        <f t="shared" si="145"/>
        <v>20753959302.022507</v>
      </c>
      <c r="L145" s="190">
        <f t="shared" si="145"/>
        <v>-7550502786.0121756</v>
      </c>
      <c r="M145" s="270">
        <f t="shared" si="145"/>
        <v>-4227747350.7044177</v>
      </c>
      <c r="N145" s="270">
        <f t="shared" si="145"/>
        <v>85.805182574130711</v>
      </c>
      <c r="O145" s="190">
        <f t="shared" si="145"/>
        <v>100</v>
      </c>
      <c r="P145" s="270" t="e">
        <f t="shared" ref="P145" si="146">SUM(P12:P144)/2</f>
        <v>#REF!</v>
      </c>
      <c r="Q145" s="319"/>
      <c r="R145" s="1213"/>
      <c r="X145"/>
    </row>
    <row r="146" spans="1:24" ht="12" customHeight="1" thickTop="1" x14ac:dyDescent="0.2">
      <c r="A146" s="166"/>
      <c r="B146" s="166"/>
      <c r="C146" s="194"/>
      <c r="I146" s="194"/>
      <c r="J146" s="194"/>
      <c r="K146" s="194"/>
      <c r="L146" s="194"/>
      <c r="M146" s="194"/>
      <c r="X146"/>
    </row>
    <row r="147" spans="1:24" ht="12" customHeight="1" thickBot="1" x14ac:dyDescent="0.25">
      <c r="A147" s="166"/>
      <c r="B147" s="166"/>
      <c r="C147" s="194"/>
      <c r="I147" s="194" t="s">
        <v>194</v>
      </c>
      <c r="J147" s="194"/>
      <c r="K147" s="194"/>
      <c r="L147" s="194"/>
      <c r="M147" s="190">
        <v>-4334389718.474062</v>
      </c>
      <c r="X147"/>
    </row>
    <row r="148" spans="1:24" ht="12" customHeight="1" thickTop="1" thickBot="1" x14ac:dyDescent="0.25">
      <c r="A148" s="166"/>
      <c r="B148" s="166"/>
      <c r="C148" s="194"/>
      <c r="I148" s="194" t="s">
        <v>270</v>
      </c>
      <c r="J148" s="194"/>
      <c r="K148" s="194"/>
      <c r="L148" s="194"/>
      <c r="M148" s="270">
        <f>+M145-M147</f>
        <v>106642367.76964426</v>
      </c>
      <c r="X148"/>
    </row>
    <row r="149" spans="1:24" ht="12" customHeight="1" thickTop="1" x14ac:dyDescent="0.2">
      <c r="A149" s="166"/>
      <c r="B149" s="166"/>
      <c r="C149" s="194"/>
      <c r="I149" s="194"/>
      <c r="J149" s="194"/>
      <c r="K149" s="194"/>
      <c r="L149" s="194"/>
      <c r="M149" s="194"/>
      <c r="X149"/>
    </row>
    <row r="150" spans="1:24" ht="12" customHeight="1" x14ac:dyDescent="0.2">
      <c r="X150"/>
    </row>
    <row r="151" spans="1:24" ht="12" customHeight="1" x14ac:dyDescent="0.2">
      <c r="X151"/>
    </row>
    <row r="152" spans="1:24" ht="12" x14ac:dyDescent="0.2">
      <c r="K152" s="160">
        <f>+K145-K10</f>
        <v>19239375445.84</v>
      </c>
      <c r="N152" s="1222" t="s">
        <v>833</v>
      </c>
      <c r="O152" s="1223" t="s">
        <v>834</v>
      </c>
      <c r="X152"/>
    </row>
    <row r="153" spans="1:24" ht="12" x14ac:dyDescent="0.2">
      <c r="K153" s="160">
        <f>+K145-K152</f>
        <v>1514583856.1825066</v>
      </c>
      <c r="L153" s="160" t="s">
        <v>830</v>
      </c>
      <c r="M153" s="150">
        <f>SUMIF(B:B,L153,K:K)</f>
        <v>19239375445.839996</v>
      </c>
      <c r="N153" s="1224">
        <f>+M153/'NAV 22.07.2022'!$E$71</f>
        <v>0.79543286113203093</v>
      </c>
      <c r="O153" s="1225" t="s">
        <v>836</v>
      </c>
      <c r="X153"/>
    </row>
    <row r="154" spans="1:24" ht="12" x14ac:dyDescent="0.2">
      <c r="K154" s="160">
        <f>+K153-K10</f>
        <v>0</v>
      </c>
      <c r="L154" s="160" t="s">
        <v>831</v>
      </c>
      <c r="N154" s="1224">
        <f>+M154/'NAV 22.07.2022'!$E$71</f>
        <v>0</v>
      </c>
      <c r="O154" s="1225" t="s">
        <v>835</v>
      </c>
      <c r="X154"/>
    </row>
    <row r="155" spans="1:24" ht="12" x14ac:dyDescent="0.2">
      <c r="L155" s="160" t="s">
        <v>832</v>
      </c>
      <c r="N155" s="1224">
        <f>+M155/'NAV 22.07.2022'!$E$71</f>
        <v>0</v>
      </c>
      <c r="O155" s="1225" t="s">
        <v>835</v>
      </c>
      <c r="X155"/>
    </row>
    <row r="156" spans="1:24" ht="12" x14ac:dyDescent="0.2">
      <c r="L156" s="160" t="s">
        <v>837</v>
      </c>
      <c r="N156" s="1224">
        <f>+M156/'NAV 22.07.2022'!$E$71</f>
        <v>0</v>
      </c>
      <c r="O156" s="1225" t="s">
        <v>835</v>
      </c>
      <c r="X156"/>
    </row>
    <row r="157" spans="1:24" ht="12" x14ac:dyDescent="0.2">
      <c r="X157"/>
    </row>
    <row r="158" spans="1:24" ht="12" x14ac:dyDescent="0.2">
      <c r="L158" s="164" t="s">
        <v>402</v>
      </c>
      <c r="M158" s="420">
        <f>SUM(M153:M157)</f>
        <v>19239375445.839996</v>
      </c>
      <c r="X158"/>
    </row>
    <row r="159" spans="1:24" ht="12" x14ac:dyDescent="0.2">
      <c r="X159"/>
    </row>
    <row r="160" spans="1:24" ht="12" x14ac:dyDescent="0.2">
      <c r="M160" s="160">
        <f>+M158-K145</f>
        <v>-1514583856.1825104</v>
      </c>
      <c r="X160"/>
    </row>
    <row r="166" spans="7:9" x14ac:dyDescent="0.2">
      <c r="G166" s="169" t="s">
        <v>1320</v>
      </c>
      <c r="I166" s="160">
        <f>+K145</f>
        <v>20753959302.022507</v>
      </c>
    </row>
    <row r="167" spans="7:9" x14ac:dyDescent="0.2">
      <c r="G167" s="169" t="s">
        <v>1321</v>
      </c>
      <c r="I167" s="160">
        <f>+K10</f>
        <v>1514583856.1825054</v>
      </c>
    </row>
    <row r="168" spans="7:9" x14ac:dyDescent="0.2">
      <c r="G168" s="169" t="s">
        <v>657</v>
      </c>
      <c r="I168" s="160">
        <f>+I166-I167</f>
        <v>19239375445.84</v>
      </c>
    </row>
  </sheetData>
  <pageMargins left="0.39370078740157483" right="0.19685039370078741" top="0.19685039370078741" bottom="0.19685039370078741" header="0.19685039370078741" footer="0.19685039370078741"/>
  <pageSetup paperSize="9" scale="78" fitToHeight="0" orientation="landscape" r:id="rId1"/>
  <rowBreaks count="2" manualBreakCount="2">
    <brk id="58" max="15" man="1"/>
    <brk id="105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8"/>
  <sheetViews>
    <sheetView topLeftCell="F1" workbookViewId="0">
      <selection activeCell="N28" sqref="N28"/>
    </sheetView>
  </sheetViews>
  <sheetFormatPr defaultRowHeight="11.25" x14ac:dyDescent="0.15"/>
  <cols>
    <col min="1" max="1" width="7.125" bestFit="1" customWidth="1"/>
    <col min="2" max="2" width="16.875" bestFit="1" customWidth="1"/>
    <col min="3" max="4" width="19.5" bestFit="1" customWidth="1"/>
    <col min="5" max="5" width="15.125" bestFit="1" customWidth="1"/>
    <col min="6" max="6" width="17.875" bestFit="1" customWidth="1"/>
    <col min="7" max="7" width="15.875" bestFit="1" customWidth="1"/>
    <col min="8" max="10" width="18.75" bestFit="1" customWidth="1"/>
    <col min="11" max="11" width="15.125" bestFit="1" customWidth="1"/>
    <col min="12" max="13" width="17.875" bestFit="1" customWidth="1"/>
    <col min="14" max="14" width="16.375" bestFit="1" customWidth="1"/>
  </cols>
  <sheetData>
    <row r="2" spans="1:21" ht="12" thickBot="1" x14ac:dyDescent="0.2"/>
    <row r="3" spans="1:21" ht="12" thickBot="1" x14ac:dyDescent="0.2">
      <c r="A3" s="1334" t="s">
        <v>10</v>
      </c>
      <c r="B3" s="1336" t="s">
        <v>671</v>
      </c>
      <c r="C3" s="1337"/>
      <c r="D3" s="1337"/>
      <c r="E3" s="1338" t="s">
        <v>672</v>
      </c>
      <c r="F3" s="1339"/>
      <c r="G3" s="1339"/>
      <c r="H3" s="1339"/>
      <c r="I3" s="1339"/>
      <c r="J3" s="1340"/>
      <c r="K3" s="1338" t="s">
        <v>673</v>
      </c>
      <c r="L3" s="1339"/>
      <c r="M3" s="1340"/>
    </row>
    <row r="4" spans="1:21" ht="34.5" thickBot="1" x14ac:dyDescent="0.2">
      <c r="A4" s="1335"/>
      <c r="B4" s="1035" t="s">
        <v>674</v>
      </c>
      <c r="C4" s="1036" t="s">
        <v>188</v>
      </c>
      <c r="D4" s="1037" t="s">
        <v>675</v>
      </c>
      <c r="E4" s="1035" t="s">
        <v>676</v>
      </c>
      <c r="F4" s="1038" t="s">
        <v>677</v>
      </c>
      <c r="G4" s="1035" t="s">
        <v>678</v>
      </c>
      <c r="H4" s="1036" t="s">
        <v>679</v>
      </c>
      <c r="I4" s="1036" t="s">
        <v>680</v>
      </c>
      <c r="J4" s="1036" t="s">
        <v>681</v>
      </c>
      <c r="K4" s="1035" t="s">
        <v>674</v>
      </c>
      <c r="L4" s="1036" t="s">
        <v>188</v>
      </c>
      <c r="M4" s="1038" t="s">
        <v>682</v>
      </c>
    </row>
    <row r="6" spans="1:21" x14ac:dyDescent="0.15">
      <c r="A6" t="s">
        <v>107</v>
      </c>
      <c r="B6" s="857">
        <v>6050000</v>
      </c>
      <c r="C6" s="857">
        <v>261480846.69266653</v>
      </c>
      <c r="D6" s="857">
        <v>209330000</v>
      </c>
      <c r="E6" s="857">
        <f>SUMIF('YTD Purchases'!B:B,A6,'YTD Purchases'!D:D)</f>
        <v>0</v>
      </c>
      <c r="F6" s="857">
        <f>SUMIF('YTD Purchases'!B:B,A6,'YTD Purchases'!F:F)</f>
        <v>0</v>
      </c>
      <c r="G6" s="857">
        <f>-SUMIF('YTD Sales'!C:C,A6,'YTD Sales'!D:D)</f>
        <v>0</v>
      </c>
      <c r="H6" s="857">
        <f>-SUMIF('YTD Sales'!C:C,A6,'YTD Sales'!F:F)</f>
        <v>0</v>
      </c>
      <c r="I6" s="857">
        <f>-SUMIF('YTD Sales'!C:C,A6,'YTD Sales'!H:H)</f>
        <v>0</v>
      </c>
      <c r="J6" s="857">
        <f>-SUMIF('YTD Sales'!C:C,A6,'YTD Sales'!K:K)</f>
        <v>0</v>
      </c>
      <c r="K6" s="857">
        <f>+B6+E6+G6</f>
        <v>6050000</v>
      </c>
      <c r="L6" s="857">
        <f>+C6+F6+I6</f>
        <v>261480846.69266653</v>
      </c>
      <c r="M6" s="857">
        <f>+D6+F6+J6</f>
        <v>209330000</v>
      </c>
      <c r="N6" s="857"/>
      <c r="S6" s="1006"/>
      <c r="T6" s="1006"/>
      <c r="U6" s="1006"/>
    </row>
    <row r="7" spans="1:21" x14ac:dyDescent="0.15">
      <c r="A7" t="s">
        <v>102</v>
      </c>
      <c r="B7" s="857">
        <v>11027016</v>
      </c>
      <c r="C7" s="857">
        <v>776683377.39930344</v>
      </c>
      <c r="D7" s="857">
        <v>760974374.16000009</v>
      </c>
      <c r="E7" s="857">
        <f>SUMIF('YTD Purchases'!B:B,A7,'YTD Purchases'!D:D)</f>
        <v>0</v>
      </c>
      <c r="F7" s="857">
        <f>SUMIF('YTD Purchases'!B:B,A7,'YTD Purchases'!F:F)</f>
        <v>0</v>
      </c>
      <c r="G7" s="857">
        <f>-SUMIF('YTD Sales'!C:C,A7,'YTD Sales'!D:D)</f>
        <v>0</v>
      </c>
      <c r="H7" s="857">
        <f>-SUMIF('YTD Sales'!C:C,A7,'YTD Sales'!F:F)</f>
        <v>0</v>
      </c>
      <c r="I7" s="857">
        <f>-SUMIF('YTD Sales'!C:C,A7,'YTD Sales'!H:H)</f>
        <v>0</v>
      </c>
      <c r="J7" s="857">
        <f>-SUMIF('YTD Sales'!C:C,A7,'YTD Sales'!K:K)</f>
        <v>0</v>
      </c>
      <c r="K7" s="857">
        <f t="shared" ref="K7:K45" si="0">+B7+E7+G7</f>
        <v>11027016</v>
      </c>
      <c r="L7" s="857">
        <f t="shared" ref="L7:L45" si="1">+C7+F7+I7</f>
        <v>776683377.39930344</v>
      </c>
      <c r="M7" s="857">
        <f t="shared" ref="M7:M45" si="2">+D7+F7+J7</f>
        <v>760974374.16000009</v>
      </c>
      <c r="N7" s="857"/>
      <c r="S7" s="1006"/>
      <c r="T7" s="1006"/>
      <c r="U7" s="1006"/>
    </row>
    <row r="8" spans="1:21" x14ac:dyDescent="0.15">
      <c r="A8" t="s">
        <v>83</v>
      </c>
      <c r="B8" s="857">
        <v>14487163</v>
      </c>
      <c r="C8" s="857">
        <v>2098396860.7977676</v>
      </c>
      <c r="D8" s="857">
        <v>1689492949.0600002</v>
      </c>
      <c r="E8" s="857">
        <f>SUMIF('YTD Purchases'!B:B,A8,'YTD Purchases'!D:D)</f>
        <v>0</v>
      </c>
      <c r="F8" s="857">
        <f>SUMIF('YTD Purchases'!B:B,A8,'YTD Purchases'!F:F)</f>
        <v>0</v>
      </c>
      <c r="G8" s="857">
        <f>-SUMIF('YTD Sales'!C:C,A8,'YTD Sales'!D:D)</f>
        <v>0</v>
      </c>
      <c r="H8" s="857">
        <f>-SUMIF('YTD Sales'!C:C,A8,'YTD Sales'!F:F)</f>
        <v>0</v>
      </c>
      <c r="I8" s="857">
        <f>-SUMIF('YTD Sales'!C:C,A8,'YTD Sales'!H:H)</f>
        <v>0</v>
      </c>
      <c r="J8" s="857">
        <f>-SUMIF('YTD Sales'!C:C,A8,'YTD Sales'!K:K)</f>
        <v>0</v>
      </c>
      <c r="K8" s="857">
        <f t="shared" si="0"/>
        <v>14487163</v>
      </c>
      <c r="L8" s="857">
        <f t="shared" si="1"/>
        <v>2098396860.7977676</v>
      </c>
      <c r="M8" s="857">
        <f t="shared" si="2"/>
        <v>1689492949.0600002</v>
      </c>
      <c r="N8" s="857"/>
      <c r="S8" s="1006"/>
      <c r="T8" s="1006"/>
      <c r="U8" s="1006"/>
    </row>
    <row r="9" spans="1:21" x14ac:dyDescent="0.15">
      <c r="A9" t="s">
        <v>158</v>
      </c>
      <c r="B9" s="857">
        <v>10936764</v>
      </c>
      <c r="C9" s="857">
        <v>2127101855.1362195</v>
      </c>
      <c r="D9" s="857">
        <v>1677152759.3999999</v>
      </c>
      <c r="E9" s="857">
        <f>SUMIF('YTD Purchases'!B:B,A9,'YTD Purchases'!D:D)</f>
        <v>175000</v>
      </c>
      <c r="F9" s="857">
        <f>SUMIF('YTD Purchases'!B:B,A9,'YTD Purchases'!F:F)</f>
        <v>28024257.23</v>
      </c>
      <c r="G9" s="857">
        <f>-SUMIF('YTD Sales'!C:C,A9,'YTD Sales'!D:D)</f>
        <v>0</v>
      </c>
      <c r="H9" s="857">
        <f>-SUMIF('YTD Sales'!C:C,A9,'YTD Sales'!F:F)</f>
        <v>0</v>
      </c>
      <c r="I9" s="857">
        <f>-SUMIF('YTD Sales'!C:C,A9,'YTD Sales'!H:H)</f>
        <v>0</v>
      </c>
      <c r="J9" s="857">
        <f>-SUMIF('YTD Sales'!C:C,A9,'YTD Sales'!K:K)</f>
        <v>0</v>
      </c>
      <c r="K9" s="857">
        <f t="shared" si="0"/>
        <v>11111764</v>
      </c>
      <c r="L9" s="857">
        <f t="shared" si="1"/>
        <v>2155126112.3662195</v>
      </c>
      <c r="M9" s="857">
        <f t="shared" si="2"/>
        <v>1705177016.6299999</v>
      </c>
      <c r="N9" s="857"/>
      <c r="S9" s="1006"/>
      <c r="T9" s="1006"/>
      <c r="U9" s="1006"/>
    </row>
    <row r="10" spans="1:21" x14ac:dyDescent="0.15">
      <c r="A10" t="s">
        <v>105</v>
      </c>
      <c r="B10" s="857">
        <v>7487506</v>
      </c>
      <c r="C10" s="857">
        <v>1112166143.3207841</v>
      </c>
      <c r="D10" s="857">
        <v>1022643569.4800001</v>
      </c>
      <c r="E10" s="857">
        <f>SUMIF('YTD Purchases'!B:B,A10,'YTD Purchases'!D:D)</f>
        <v>0</v>
      </c>
      <c r="F10" s="857">
        <f>SUMIF('YTD Purchases'!B:B,A10,'YTD Purchases'!F:F)</f>
        <v>0</v>
      </c>
      <c r="G10" s="857">
        <f>-SUMIF('YTD Sales'!C:C,A10,'YTD Sales'!D:D)</f>
        <v>0</v>
      </c>
      <c r="H10" s="857">
        <f>-SUMIF('YTD Sales'!C:C,A10,'YTD Sales'!F:F)</f>
        <v>0</v>
      </c>
      <c r="I10" s="857">
        <f>-SUMIF('YTD Sales'!C:C,A10,'YTD Sales'!H:H)</f>
        <v>0</v>
      </c>
      <c r="J10" s="857">
        <f>-SUMIF('YTD Sales'!C:C,A10,'YTD Sales'!K:K)</f>
        <v>0</v>
      </c>
      <c r="K10" s="857">
        <f t="shared" si="0"/>
        <v>7487506</v>
      </c>
      <c r="L10" s="857">
        <f t="shared" si="1"/>
        <v>1112166143.3207841</v>
      </c>
      <c r="M10" s="857">
        <f t="shared" si="2"/>
        <v>1022643569.4800001</v>
      </c>
      <c r="N10" s="857"/>
      <c r="S10" s="1006"/>
      <c r="T10" s="1006"/>
      <c r="U10" s="1006"/>
    </row>
    <row r="11" spans="1:21" x14ac:dyDescent="0.15">
      <c r="A11" t="s">
        <v>113</v>
      </c>
      <c r="B11" s="857">
        <v>12389480</v>
      </c>
      <c r="C11" s="857">
        <v>1149571684.7555928</v>
      </c>
      <c r="D11" s="857">
        <v>883865503.20000005</v>
      </c>
      <c r="E11" s="857">
        <f>SUMIF('YTD Purchases'!B:B,A11,'YTD Purchases'!D:D)</f>
        <v>0</v>
      </c>
      <c r="F11" s="857">
        <f>SUMIF('YTD Purchases'!B:B,A11,'YTD Purchases'!F:F)</f>
        <v>0</v>
      </c>
      <c r="G11" s="857">
        <f>-SUMIF('YTD Sales'!C:C,A11,'YTD Sales'!D:D)</f>
        <v>0</v>
      </c>
      <c r="H11" s="857">
        <f>-SUMIF('YTD Sales'!C:C,A11,'YTD Sales'!F:F)</f>
        <v>0</v>
      </c>
      <c r="I11" s="857">
        <f>-SUMIF('YTD Sales'!C:C,A11,'YTD Sales'!H:H)</f>
        <v>0</v>
      </c>
      <c r="J11" s="857">
        <f>-SUMIF('YTD Sales'!C:C,A11,'YTD Sales'!K:K)</f>
        <v>0</v>
      </c>
      <c r="K11" s="857">
        <f t="shared" si="0"/>
        <v>12389480</v>
      </c>
      <c r="L11" s="857">
        <f t="shared" si="1"/>
        <v>1149571684.7555928</v>
      </c>
      <c r="M11" s="857">
        <f t="shared" si="2"/>
        <v>883865503.20000005</v>
      </c>
      <c r="N11" s="857"/>
      <c r="S11" s="1006"/>
      <c r="T11" s="1006"/>
      <c r="U11" s="1006"/>
    </row>
    <row r="12" spans="1:21" x14ac:dyDescent="0.15">
      <c r="A12" t="s">
        <v>437</v>
      </c>
      <c r="B12" s="857">
        <v>6196869</v>
      </c>
      <c r="C12" s="857">
        <v>316029866.20568675</v>
      </c>
      <c r="D12" s="857">
        <v>450450407.61000001</v>
      </c>
      <c r="E12" s="857">
        <f>SUMIF('YTD Purchases'!B:B,A12,'YTD Purchases'!D:D)</f>
        <v>0</v>
      </c>
      <c r="F12" s="857">
        <f>SUMIF('YTD Purchases'!B:B,A12,'YTD Purchases'!F:F)</f>
        <v>0</v>
      </c>
      <c r="G12" s="857">
        <f>-SUMIF('YTD Sales'!C:C,A12,'YTD Sales'!D:D)</f>
        <v>0</v>
      </c>
      <c r="H12" s="857">
        <f>-SUMIF('YTD Sales'!C:C,A12,'YTD Sales'!F:F)</f>
        <v>0</v>
      </c>
      <c r="I12" s="857">
        <f>-SUMIF('YTD Sales'!C:C,A12,'YTD Sales'!H:H)</f>
        <v>0</v>
      </c>
      <c r="J12" s="857">
        <f>-SUMIF('YTD Sales'!C:C,A12,'YTD Sales'!K:K)</f>
        <v>0</v>
      </c>
      <c r="K12" s="857">
        <f t="shared" si="0"/>
        <v>6196869</v>
      </c>
      <c r="L12" s="857">
        <f t="shared" si="1"/>
        <v>316029866.20568675</v>
      </c>
      <c r="M12" s="857">
        <f t="shared" si="2"/>
        <v>450450407.61000001</v>
      </c>
      <c r="N12" s="857"/>
      <c r="S12" s="1006"/>
      <c r="T12" s="1006"/>
      <c r="U12" s="1006"/>
    </row>
    <row r="13" spans="1:21" s="857" customFormat="1" x14ac:dyDescent="0.15">
      <c r="A13" t="s">
        <v>162</v>
      </c>
      <c r="B13" s="857">
        <v>4462528</v>
      </c>
      <c r="C13" s="857">
        <v>990628329.24801373</v>
      </c>
      <c r="D13" s="857">
        <v>811689217.91999996</v>
      </c>
      <c r="E13" s="857">
        <f>SUMIF('YTD Purchases'!B:B,A13,'YTD Purchases'!D:D)</f>
        <v>49903</v>
      </c>
      <c r="F13" s="857">
        <f>SUMIF('YTD Purchases'!B:B,A13,'YTD Purchases'!F:F)</f>
        <v>9671675.1799999997</v>
      </c>
      <c r="G13" s="857">
        <f>-SUMIF('YTD Sales'!C:C,A13,'YTD Sales'!D:D)</f>
        <v>-13266</v>
      </c>
      <c r="H13" s="857">
        <f>-SUMIF('YTD Sales'!C:C,A13,'YTD Sales'!F:F)</f>
        <v>-2275119</v>
      </c>
      <c r="I13" s="857">
        <f>-SUMIF('YTD Sales'!C:C,A13,'YTD Sales'!H:H)</f>
        <v>-2940760.7249267697</v>
      </c>
      <c r="J13" s="857">
        <f>-SUMIF('YTD Sales'!C:C,A13,'YTD Sales'!K:K)</f>
        <v>-2414701.434296635</v>
      </c>
      <c r="K13" s="857">
        <f t="shared" si="0"/>
        <v>4499165</v>
      </c>
      <c r="L13" s="857">
        <f t="shared" si="1"/>
        <v>997359243.70308685</v>
      </c>
      <c r="M13" s="857">
        <f t="shared" si="2"/>
        <v>818946191.6657033</v>
      </c>
      <c r="S13" s="1006"/>
      <c r="T13" s="1006"/>
      <c r="U13" s="1006"/>
    </row>
    <row r="14" spans="1:21" x14ac:dyDescent="0.15">
      <c r="A14" t="s">
        <v>123</v>
      </c>
      <c r="B14" s="857">
        <v>982228</v>
      </c>
      <c r="C14" s="857">
        <v>1194334488.3318105</v>
      </c>
      <c r="D14" s="857">
        <v>1624831024.4400001</v>
      </c>
      <c r="E14" s="857">
        <f>SUMIF('YTD Purchases'!B:B,A14,'YTD Purchases'!D:D)</f>
        <v>0</v>
      </c>
      <c r="F14" s="857">
        <f>SUMIF('YTD Purchases'!B:B,A14,'YTD Purchases'!F:F)</f>
        <v>0</v>
      </c>
      <c r="G14" s="857">
        <f>-SUMIF('YTD Sales'!C:C,A14,'YTD Sales'!D:D)</f>
        <v>0</v>
      </c>
      <c r="H14" s="857">
        <f>-SUMIF('YTD Sales'!C:C,A14,'YTD Sales'!F:F)</f>
        <v>0</v>
      </c>
      <c r="I14" s="857">
        <f>-SUMIF('YTD Sales'!C:C,A14,'YTD Sales'!H:H)</f>
        <v>0</v>
      </c>
      <c r="J14" s="857">
        <f>-SUMIF('YTD Sales'!C:C,A14,'YTD Sales'!K:K)</f>
        <v>0</v>
      </c>
      <c r="K14" s="857">
        <f t="shared" si="0"/>
        <v>982228</v>
      </c>
      <c r="L14" s="857">
        <f t="shared" si="1"/>
        <v>1194334488.3318105</v>
      </c>
      <c r="M14" s="857">
        <f t="shared" si="2"/>
        <v>1624831024.4400001</v>
      </c>
      <c r="N14" s="857"/>
      <c r="S14" s="1006"/>
      <c r="T14" s="1006"/>
      <c r="U14" s="1006"/>
    </row>
    <row r="15" spans="1:21" x14ac:dyDescent="0.15">
      <c r="A15" t="s">
        <v>116</v>
      </c>
      <c r="B15" s="857">
        <v>13563343</v>
      </c>
      <c r="C15" s="857">
        <v>1844431210.5576942</v>
      </c>
      <c r="D15" s="857">
        <v>1169160166.6000001</v>
      </c>
      <c r="E15" s="857">
        <f>SUMIF('YTD Purchases'!B:B,A15,'YTD Purchases'!D:D)</f>
        <v>0</v>
      </c>
      <c r="F15" s="857">
        <f>SUMIF('YTD Purchases'!B:B,A15,'YTD Purchases'!F:F)</f>
        <v>0</v>
      </c>
      <c r="G15" s="857">
        <f>-SUMIF('YTD Sales'!C:C,A15,'YTD Sales'!D:D)</f>
        <v>-535000</v>
      </c>
      <c r="H15" s="857">
        <f>-SUMIF('YTD Sales'!C:C,A15,'YTD Sales'!F:F)</f>
        <v>-46199033.333333336</v>
      </c>
      <c r="I15" s="857">
        <f>-SUMIF('YTD Sales'!C:C,A15,'YTD Sales'!H:H)</f>
        <v>-72752764.392109409</v>
      </c>
      <c r="J15" s="857">
        <f>-SUMIF('YTD Sales'!C:C,A15,'YTD Sales'!K:K)</f>
        <v>-46117000.000000007</v>
      </c>
      <c r="K15" s="857">
        <f t="shared" si="0"/>
        <v>13028343</v>
      </c>
      <c r="L15" s="857">
        <f t="shared" si="1"/>
        <v>1771678446.1655848</v>
      </c>
      <c r="M15" s="857">
        <f t="shared" si="2"/>
        <v>1123043166.6000001</v>
      </c>
      <c r="N15" s="857"/>
      <c r="S15" s="1006"/>
      <c r="T15" s="1006"/>
      <c r="U15" s="1006"/>
    </row>
    <row r="16" spans="1:21" x14ac:dyDescent="0.15">
      <c r="A16" t="s">
        <v>117</v>
      </c>
      <c r="B16" s="857">
        <v>2121077</v>
      </c>
      <c r="C16" s="857">
        <v>985198500.6177845</v>
      </c>
      <c r="D16" s="857">
        <v>758539556.74000001</v>
      </c>
      <c r="E16" s="857">
        <f>SUMIF('YTD Purchases'!B:B,A16,'YTD Purchases'!D:D)</f>
        <v>0</v>
      </c>
      <c r="F16" s="857">
        <f>SUMIF('YTD Purchases'!B:B,A16,'YTD Purchases'!F:F)</f>
        <v>0</v>
      </c>
      <c r="G16" s="857">
        <f>-SUMIF('YTD Sales'!C:C,A16,'YTD Sales'!D:D)</f>
        <v>-179778</v>
      </c>
      <c r="H16" s="857">
        <f>-SUMIF('YTD Sales'!C:C,A16,'YTD Sales'!F:F)</f>
        <v>-70756134.087488681</v>
      </c>
      <c r="I16" s="857">
        <f>-SUMIF('YTD Sales'!C:C,A16,'YTD Sales'!H:H)</f>
        <v>-83503341.012166962</v>
      </c>
      <c r="J16" s="857">
        <f>-SUMIF('YTD Sales'!C:C,A16,'YTD Sales'!K:K)</f>
        <v>-64292208.359999999</v>
      </c>
      <c r="K16" s="857">
        <f t="shared" si="0"/>
        <v>1941299</v>
      </c>
      <c r="L16" s="857">
        <f t="shared" si="1"/>
        <v>901695159.60561752</v>
      </c>
      <c r="M16" s="857">
        <f t="shared" si="2"/>
        <v>694247348.38</v>
      </c>
      <c r="N16" s="857"/>
      <c r="S16" s="1006"/>
      <c r="T16" s="1006"/>
      <c r="U16" s="1006"/>
    </row>
    <row r="17" spans="1:21" x14ac:dyDescent="0.15">
      <c r="A17" t="s">
        <v>119</v>
      </c>
      <c r="B17" s="857">
        <v>11832516</v>
      </c>
      <c r="C17" s="857">
        <v>1496785672.3851871</v>
      </c>
      <c r="D17" s="857">
        <v>935242064.6400001</v>
      </c>
      <c r="E17" s="857">
        <f>SUMIF('YTD Purchases'!B:B,A17,'YTD Purchases'!D:D)</f>
        <v>0</v>
      </c>
      <c r="F17" s="857">
        <f>SUMIF('YTD Purchases'!B:B,A17,'YTD Purchases'!F:F)</f>
        <v>0</v>
      </c>
      <c r="G17" s="857">
        <f>-SUMIF('YTD Sales'!C:C,A17,'YTD Sales'!D:D)</f>
        <v>-332516</v>
      </c>
      <c r="H17" s="857">
        <f>-SUMIF('YTD Sales'!C:C,A17,'YTD Sales'!F:F)</f>
        <v>-21937958.503084514</v>
      </c>
      <c r="I17" s="857">
        <f>-SUMIF('YTD Sales'!C:C,A17,'YTD Sales'!H:H)</f>
        <v>-42062498.342603795</v>
      </c>
      <c r="J17" s="857">
        <f>-SUMIF('YTD Sales'!C:C,A17,'YTD Sales'!K:K)</f>
        <v>-26282064.640000001</v>
      </c>
      <c r="K17" s="857">
        <f t="shared" si="0"/>
        <v>11500000</v>
      </c>
      <c r="L17" s="857">
        <f t="shared" si="1"/>
        <v>1454723174.0425835</v>
      </c>
      <c r="M17" s="857">
        <f t="shared" si="2"/>
        <v>908960000.00000012</v>
      </c>
      <c r="N17" s="857"/>
      <c r="S17" s="1006"/>
      <c r="T17" s="1006"/>
      <c r="U17" s="1006"/>
    </row>
    <row r="18" spans="1:21" x14ac:dyDescent="0.15">
      <c r="A18" t="s">
        <v>164</v>
      </c>
      <c r="B18" s="857">
        <v>1841004</v>
      </c>
      <c r="C18" s="857">
        <v>148414888.64965832</v>
      </c>
      <c r="D18" s="857">
        <v>191666926.44</v>
      </c>
      <c r="E18" s="857">
        <f>SUMIF('YTD Purchases'!B:B,A18,'YTD Purchases'!D:D)</f>
        <v>0</v>
      </c>
      <c r="F18" s="857">
        <f>SUMIF('YTD Purchases'!B:B,A18,'YTD Purchases'!F:F)</f>
        <v>0</v>
      </c>
      <c r="G18" s="857">
        <f>-SUMIF('YTD Sales'!C:C,A18,'YTD Sales'!D:D)</f>
        <v>0</v>
      </c>
      <c r="H18" s="857">
        <f>-SUMIF('YTD Sales'!C:C,A18,'YTD Sales'!F:F)</f>
        <v>0</v>
      </c>
      <c r="I18" s="857">
        <f>-SUMIF('YTD Sales'!C:C,A18,'YTD Sales'!H:H)</f>
        <v>0</v>
      </c>
      <c r="J18" s="857">
        <f>-SUMIF('YTD Sales'!C:C,A18,'YTD Sales'!K:K)</f>
        <v>0</v>
      </c>
      <c r="K18" s="857">
        <f t="shared" si="0"/>
        <v>1841004</v>
      </c>
      <c r="L18" s="857">
        <f t="shared" si="1"/>
        <v>148414888.64965832</v>
      </c>
      <c r="M18" s="857">
        <f t="shared" si="2"/>
        <v>191666926.44</v>
      </c>
      <c r="N18" s="857"/>
      <c r="S18" s="1006"/>
      <c r="T18" s="1006"/>
      <c r="U18" s="1006"/>
    </row>
    <row r="19" spans="1:21" x14ac:dyDescent="0.15">
      <c r="A19" t="s">
        <v>145</v>
      </c>
      <c r="B19" s="857">
        <v>2824558</v>
      </c>
      <c r="C19" s="857">
        <v>1993034119.8531835</v>
      </c>
      <c r="D19" s="857">
        <v>1918665758.24</v>
      </c>
      <c r="E19" s="857">
        <f>SUMIF('YTD Purchases'!B:B,A19,'YTD Purchases'!D:D)</f>
        <v>0</v>
      </c>
      <c r="F19" s="857">
        <f>SUMIF('YTD Purchases'!B:B,A19,'YTD Purchases'!F:F)</f>
        <v>0</v>
      </c>
      <c r="G19" s="857">
        <f>-SUMIF('YTD Sales'!C:C,A19,'YTD Sales'!D:D)</f>
        <v>0</v>
      </c>
      <c r="H19" s="857">
        <f>-SUMIF('YTD Sales'!C:C,A19,'YTD Sales'!F:F)</f>
        <v>0</v>
      </c>
      <c r="I19" s="857">
        <f>-SUMIF('YTD Sales'!C:C,A19,'YTD Sales'!H:H)</f>
        <v>0</v>
      </c>
      <c r="J19" s="857">
        <f>-SUMIF('YTD Sales'!C:C,A19,'YTD Sales'!K:K)</f>
        <v>0</v>
      </c>
      <c r="K19" s="857">
        <f t="shared" si="0"/>
        <v>2824558</v>
      </c>
      <c r="L19" s="857">
        <f t="shared" si="1"/>
        <v>1993034119.8531835</v>
      </c>
      <c r="M19" s="857">
        <f t="shared" si="2"/>
        <v>1918665758.24</v>
      </c>
      <c r="N19" s="857"/>
      <c r="S19" s="1006"/>
      <c r="T19" s="1006"/>
      <c r="U19" s="1006"/>
    </row>
    <row r="20" spans="1:21" x14ac:dyDescent="0.15">
      <c r="A20" t="s">
        <v>143</v>
      </c>
      <c r="B20" s="857">
        <v>6439633</v>
      </c>
      <c r="C20" s="857">
        <v>700514716.38368368</v>
      </c>
      <c r="D20" s="857">
        <v>534103161.01999998</v>
      </c>
      <c r="E20" s="857">
        <f>SUMIF('YTD Purchases'!B:B,A20,'YTD Purchases'!D:D)</f>
        <v>0</v>
      </c>
      <c r="F20" s="857">
        <f>SUMIF('YTD Purchases'!B:B,A20,'YTD Purchases'!F:F)</f>
        <v>0</v>
      </c>
      <c r="G20" s="857">
        <f>-SUMIF('YTD Sales'!C:C,A20,'YTD Sales'!D:D)</f>
        <v>-219848</v>
      </c>
      <c r="H20" s="857">
        <f>-SUMIF('YTD Sales'!C:C,A20,'YTD Sales'!F:F)</f>
        <v>-15316072.400000002</v>
      </c>
      <c r="I20" s="857">
        <f>-SUMIF('YTD Sales'!C:C,A20,'YTD Sales'!H:H)</f>
        <v>-23915455.953393631</v>
      </c>
      <c r="J20" s="857">
        <f>-SUMIF('YTD Sales'!C:C,A20,'YTD Sales'!K:K)</f>
        <v>-18234193.120000001</v>
      </c>
      <c r="K20" s="857">
        <f t="shared" si="0"/>
        <v>6219785</v>
      </c>
      <c r="L20" s="857">
        <f t="shared" si="1"/>
        <v>676599260.4302901</v>
      </c>
      <c r="M20" s="857">
        <f t="shared" si="2"/>
        <v>515868967.89999998</v>
      </c>
      <c r="N20" s="857"/>
      <c r="S20" s="1006"/>
      <c r="T20" s="1006"/>
      <c r="U20" s="1006"/>
    </row>
    <row r="21" spans="1:21" x14ac:dyDescent="0.15">
      <c r="A21" t="s">
        <v>161</v>
      </c>
      <c r="B21" s="857">
        <v>21779419</v>
      </c>
      <c r="C21" s="857">
        <v>973037202.24778485</v>
      </c>
      <c r="D21" s="857">
        <v>782970113.05000007</v>
      </c>
      <c r="E21" s="857">
        <f>SUMIF('YTD Purchases'!B:B,A21,'YTD Purchases'!D:D)</f>
        <v>0</v>
      </c>
      <c r="F21" s="857">
        <f>SUMIF('YTD Purchases'!B:B,A21,'YTD Purchases'!F:F)</f>
        <v>0</v>
      </c>
      <c r="G21" s="857">
        <f>-SUMIF('YTD Sales'!C:C,A21,'YTD Sales'!D:D)</f>
        <v>0</v>
      </c>
      <c r="H21" s="857">
        <f>-SUMIF('YTD Sales'!C:C,A21,'YTD Sales'!F:F)</f>
        <v>0</v>
      </c>
      <c r="I21" s="857">
        <f>-SUMIF('YTD Sales'!C:C,A21,'YTD Sales'!H:H)</f>
        <v>0</v>
      </c>
      <c r="J21" s="857">
        <f>-SUMIF('YTD Sales'!C:C,A21,'YTD Sales'!K:K)</f>
        <v>0</v>
      </c>
      <c r="K21" s="857">
        <f t="shared" si="0"/>
        <v>21779419</v>
      </c>
      <c r="L21" s="857">
        <f t="shared" si="1"/>
        <v>973037202.24778485</v>
      </c>
      <c r="M21" s="857">
        <f t="shared" si="2"/>
        <v>782970113.05000007</v>
      </c>
      <c r="N21" s="857"/>
      <c r="S21" s="1006"/>
      <c r="T21" s="1006"/>
      <c r="U21" s="1006"/>
    </row>
    <row r="22" spans="1:21" x14ac:dyDescent="0.15">
      <c r="A22" t="s">
        <v>148</v>
      </c>
      <c r="B22" s="857">
        <v>2803900</v>
      </c>
      <c r="C22" s="857">
        <v>1004039916.7087047</v>
      </c>
      <c r="D22" s="857">
        <v>1073024491</v>
      </c>
      <c r="E22" s="857">
        <f>SUMIF('YTD Purchases'!B:B,A22,'YTD Purchases'!D:D)</f>
        <v>247750</v>
      </c>
      <c r="F22" s="857">
        <f>SUMIF('YTD Purchases'!B:B,A22,'YTD Purchases'!F:F)</f>
        <v>88977659.5</v>
      </c>
      <c r="G22" s="857">
        <f>-SUMIF('YTD Sales'!C:C,A22,'YTD Sales'!D:D)</f>
        <v>-250000</v>
      </c>
      <c r="H22" s="857">
        <f>-SUMIF('YTD Sales'!C:C,A22,'YTD Sales'!F:F)</f>
        <v>-93500672</v>
      </c>
      <c r="I22" s="857">
        <f>-SUMIF('YTD Sales'!C:C,A22,'YTD Sales'!H:H)</f>
        <v>-89861683.495775223</v>
      </c>
      <c r="J22" s="857">
        <f>-SUMIF('YTD Sales'!C:C,A22,'YTD Sales'!K:K)</f>
        <v>-95622014.687954038</v>
      </c>
      <c r="K22" s="857">
        <f t="shared" si="0"/>
        <v>2801650</v>
      </c>
      <c r="L22" s="857">
        <f t="shared" si="1"/>
        <v>1003155892.7129295</v>
      </c>
      <c r="M22" s="857">
        <f t="shared" si="2"/>
        <v>1066380135.8120459</v>
      </c>
      <c r="N22" s="857"/>
      <c r="S22" s="1006"/>
      <c r="T22" s="1006"/>
      <c r="U22" s="1006"/>
    </row>
    <row r="23" spans="1:21" x14ac:dyDescent="0.15">
      <c r="A23" t="s">
        <v>136</v>
      </c>
      <c r="B23" s="857">
        <v>4085792</v>
      </c>
      <c r="C23" s="857">
        <v>1205006720.9052045</v>
      </c>
      <c r="D23" s="857">
        <v>1113051456.6400001</v>
      </c>
      <c r="E23" s="857">
        <f>SUMIF('YTD Purchases'!B:B,A23,'YTD Purchases'!D:D)</f>
        <v>0</v>
      </c>
      <c r="F23" s="857">
        <f>SUMIF('YTD Purchases'!B:B,A23,'YTD Purchases'!F:F)</f>
        <v>0</v>
      </c>
      <c r="G23" s="857">
        <f>-SUMIF('YTD Sales'!C:C,A23,'YTD Sales'!D:D)</f>
        <v>0</v>
      </c>
      <c r="H23" s="857">
        <f>-SUMIF('YTD Sales'!C:C,A23,'YTD Sales'!F:F)</f>
        <v>0</v>
      </c>
      <c r="I23" s="857">
        <f>-SUMIF('YTD Sales'!C:C,A23,'YTD Sales'!H:H)</f>
        <v>0</v>
      </c>
      <c r="J23" s="857">
        <f>-SUMIF('YTD Sales'!C:C,A23,'YTD Sales'!K:K)</f>
        <v>0</v>
      </c>
      <c r="K23" s="857">
        <f t="shared" si="0"/>
        <v>4085792</v>
      </c>
      <c r="L23" s="857">
        <f t="shared" si="1"/>
        <v>1205006720.9052045</v>
      </c>
      <c r="M23" s="857">
        <f t="shared" si="2"/>
        <v>1113051456.6400001</v>
      </c>
      <c r="N23" s="857"/>
      <c r="S23" s="1006"/>
      <c r="T23" s="1006"/>
      <c r="U23" s="1006"/>
    </row>
    <row r="24" spans="1:21" x14ac:dyDescent="0.15">
      <c r="A24" t="s">
        <v>153</v>
      </c>
      <c r="B24" s="857">
        <v>897141</v>
      </c>
      <c r="C24" s="857">
        <v>231441425.43892536</v>
      </c>
      <c r="D24" s="857">
        <v>563269976.85000002</v>
      </c>
      <c r="E24" s="857">
        <f>SUMIF('YTD Purchases'!B:B,A24,'YTD Purchases'!D:D)</f>
        <v>241964</v>
      </c>
      <c r="F24" s="857">
        <f>SUMIF('YTD Purchases'!B:B,A24,'YTD Purchases'!F:F)</f>
        <v>81816472.325000003</v>
      </c>
      <c r="G24" s="857">
        <f>-SUMIF('YTD Sales'!C:C,A24,'YTD Sales'!D:D)</f>
        <v>0</v>
      </c>
      <c r="H24" s="857">
        <f>-SUMIF('YTD Sales'!C:C,A24,'YTD Sales'!F:F)</f>
        <v>0</v>
      </c>
      <c r="I24" s="857">
        <f>-SUMIF('YTD Sales'!C:C,A24,'YTD Sales'!H:H)</f>
        <v>0</v>
      </c>
      <c r="J24" s="857">
        <f>-SUMIF('YTD Sales'!C:C,A24,'YTD Sales'!K:K)</f>
        <v>0</v>
      </c>
      <c r="K24" s="857">
        <f t="shared" si="0"/>
        <v>1139105</v>
      </c>
      <c r="L24" s="857">
        <f t="shared" si="1"/>
        <v>313257897.76392537</v>
      </c>
      <c r="M24" s="857">
        <f t="shared" si="2"/>
        <v>645086449.17500007</v>
      </c>
      <c r="N24" s="857"/>
      <c r="S24" s="1006"/>
      <c r="T24" s="1006"/>
      <c r="U24" s="1006"/>
    </row>
    <row r="25" spans="1:21" x14ac:dyDescent="0.15">
      <c r="A25" t="s">
        <v>343</v>
      </c>
      <c r="B25" s="857">
        <v>801000</v>
      </c>
      <c r="C25" s="857">
        <v>568043665.69673896</v>
      </c>
      <c r="D25" s="857">
        <v>574725510</v>
      </c>
      <c r="E25" s="857">
        <f>SUMIF('YTD Purchases'!B:B,A25,'YTD Purchases'!D:D)</f>
        <v>160200</v>
      </c>
      <c r="F25" s="857">
        <f>SUMIF('YTD Purchases'!B:B,A25,'YTD Purchases'!F:F)</f>
        <v>106957489.55499999</v>
      </c>
      <c r="G25" s="857">
        <f>-SUMIF('YTD Sales'!C:C,A25,'YTD Sales'!D:D)</f>
        <v>0</v>
      </c>
      <c r="H25" s="857">
        <f>-SUMIF('YTD Sales'!C:C,A25,'YTD Sales'!F:F)</f>
        <v>0</v>
      </c>
      <c r="I25" s="857">
        <f>-SUMIF('YTD Sales'!C:C,A25,'YTD Sales'!H:H)</f>
        <v>0</v>
      </c>
      <c r="J25" s="857">
        <f>-SUMIF('YTD Sales'!C:C,A25,'YTD Sales'!K:K)</f>
        <v>0</v>
      </c>
      <c r="K25" s="857">
        <f t="shared" si="0"/>
        <v>961200</v>
      </c>
      <c r="L25" s="857">
        <f t="shared" si="1"/>
        <v>675001155.25173891</v>
      </c>
      <c r="M25" s="857">
        <f t="shared" si="2"/>
        <v>681682999.55499995</v>
      </c>
      <c r="N25" s="857"/>
      <c r="S25" s="1006"/>
      <c r="T25" s="1006"/>
      <c r="U25" s="1006"/>
    </row>
    <row r="26" spans="1:21" x14ac:dyDescent="0.15">
      <c r="A26" t="s">
        <v>440</v>
      </c>
      <c r="B26" s="857">
        <v>1212600</v>
      </c>
      <c r="C26" s="857">
        <v>934614840.91666663</v>
      </c>
      <c r="D26" s="857">
        <v>922606710</v>
      </c>
      <c r="E26" s="857">
        <f>SUMIF('YTD Purchases'!B:B,A26,'YTD Purchases'!D:D)</f>
        <v>97750</v>
      </c>
      <c r="F26" s="857">
        <f>SUMIF('YTD Purchases'!B:B,A26,'YTD Purchases'!F:F)</f>
        <v>73135920.950000003</v>
      </c>
      <c r="G26" s="857">
        <f>-SUMIF('YTD Sales'!C:C,A26,'YTD Sales'!D:D)</f>
        <v>0</v>
      </c>
      <c r="H26" s="857">
        <f>-SUMIF('YTD Sales'!C:C,A26,'YTD Sales'!F:F)</f>
        <v>0</v>
      </c>
      <c r="I26" s="857">
        <f>-SUMIF('YTD Sales'!C:C,A26,'YTD Sales'!H:H)</f>
        <v>0</v>
      </c>
      <c r="J26" s="857">
        <f>-SUMIF('YTD Sales'!C:C,A26,'YTD Sales'!K:K)</f>
        <v>0</v>
      </c>
      <c r="K26" s="857">
        <f t="shared" si="0"/>
        <v>1310350</v>
      </c>
      <c r="L26" s="857">
        <f t="shared" si="1"/>
        <v>1007750761.8666667</v>
      </c>
      <c r="M26" s="857">
        <f t="shared" si="2"/>
        <v>995742630.95000005</v>
      </c>
      <c r="N26" s="857"/>
      <c r="S26" s="1006"/>
      <c r="T26" s="1006"/>
      <c r="U26" s="1006"/>
    </row>
    <row r="27" spans="1:21" x14ac:dyDescent="0.15">
      <c r="A27" t="s">
        <v>483</v>
      </c>
      <c r="B27" s="857">
        <v>1946288</v>
      </c>
      <c r="C27" s="857">
        <v>504488352.99000001</v>
      </c>
      <c r="D27" s="857">
        <v>368685335.84000003</v>
      </c>
      <c r="E27" s="857">
        <f>SUMIF('YTD Purchases'!B:B,A27,'YTD Purchases'!D:D)</f>
        <v>134800</v>
      </c>
      <c r="F27" s="857">
        <f>SUMIF('YTD Purchases'!B:B,A27,'YTD Purchases'!F:F)</f>
        <v>25584869.519230768</v>
      </c>
      <c r="G27" s="857">
        <f>-SUMIF('YTD Sales'!C:C,A27,'YTD Sales'!D:D)</f>
        <v>0</v>
      </c>
      <c r="H27" s="857">
        <f>-SUMIF('YTD Sales'!C:C,A27,'YTD Sales'!F:F)</f>
        <v>0</v>
      </c>
      <c r="I27" s="857">
        <f>-SUMIF('YTD Sales'!C:C,A27,'YTD Sales'!H:H)</f>
        <v>0</v>
      </c>
      <c r="J27" s="857">
        <f>-SUMIF('YTD Sales'!C:C,A27,'YTD Sales'!K:K)</f>
        <v>0</v>
      </c>
      <c r="K27" s="857">
        <f t="shared" si="0"/>
        <v>2081088</v>
      </c>
      <c r="L27" s="857">
        <f t="shared" si="1"/>
        <v>530073222.50923079</v>
      </c>
      <c r="M27" s="857">
        <f t="shared" si="2"/>
        <v>394270205.35923082</v>
      </c>
      <c r="N27" s="857"/>
      <c r="S27" s="1006"/>
      <c r="T27" s="1006"/>
      <c r="U27" s="1006"/>
    </row>
    <row r="28" spans="1:21" x14ac:dyDescent="0.15">
      <c r="A28" t="s">
        <v>610</v>
      </c>
      <c r="B28" s="857">
        <v>607800</v>
      </c>
      <c r="C28" s="857">
        <v>66611878.881881475</v>
      </c>
      <c r="D28" s="857">
        <v>55382736</v>
      </c>
      <c r="E28" s="857">
        <f>SUMIF('YTD Purchases'!B:B,A28,'YTD Purchases'!D:D)</f>
        <v>49450</v>
      </c>
      <c r="F28" s="857">
        <f>SUMIF('YTD Purchases'!B:B,A28,'YTD Purchases'!F:F)</f>
        <v>0</v>
      </c>
      <c r="G28" s="857">
        <f>-SUMIF('YTD Sales'!C:C,A28,'YTD Sales'!D:D)</f>
        <v>-607800</v>
      </c>
      <c r="H28" s="857">
        <f>-SUMIF('YTD Sales'!C:C,A28,'YTD Sales'!F:F)</f>
        <v>-56623090.258291498</v>
      </c>
      <c r="I28" s="857">
        <f>-SUMIF('YTD Sales'!C:C,A28,'YTD Sales'!H:H)</f>
        <v>-62276298.216255888</v>
      </c>
      <c r="J28" s="857">
        <f>-SUMIF('YTD Sales'!C:C,A28,'YTD Sales'!K:K)</f>
        <v>-51778028.799999997</v>
      </c>
      <c r="K28" s="857">
        <f t="shared" si="0"/>
        <v>49450</v>
      </c>
      <c r="L28" s="857">
        <f t="shared" si="1"/>
        <v>4335580.6656255871</v>
      </c>
      <c r="M28" s="857">
        <f t="shared" si="2"/>
        <v>3604707.200000003</v>
      </c>
      <c r="N28" s="857"/>
      <c r="S28" s="1006"/>
      <c r="T28" s="1006"/>
      <c r="U28" s="1006"/>
    </row>
    <row r="29" spans="1:21" x14ac:dyDescent="0.15">
      <c r="A29" t="s">
        <v>575</v>
      </c>
      <c r="B29" s="857">
        <v>2132542</v>
      </c>
      <c r="C29" s="857">
        <v>497577066.30189443</v>
      </c>
      <c r="D29" s="857">
        <v>307150024.25999999</v>
      </c>
      <c r="E29" s="857">
        <f>SUMIF('YTD Purchases'!B:B,A29,'YTD Purchases'!D:D)</f>
        <v>0</v>
      </c>
      <c r="F29" s="857">
        <f>SUMIF('YTD Purchases'!B:B,A29,'YTD Purchases'!F:F)</f>
        <v>0</v>
      </c>
      <c r="G29" s="857">
        <f>-SUMIF('YTD Sales'!C:C,A29,'YTD Sales'!D:D)</f>
        <v>-2132542</v>
      </c>
      <c r="H29" s="857">
        <f>-SUMIF('YTD Sales'!C:C,A29,'YTD Sales'!F:F)</f>
        <v>-352344002.47996736</v>
      </c>
      <c r="I29" s="857">
        <f>-SUMIF('YTD Sales'!C:C,A29,'YTD Sales'!H:H)</f>
        <v>-497577066.30189443</v>
      </c>
      <c r="J29" s="857">
        <f>-SUMIF('YTD Sales'!C:C,A29,'YTD Sales'!K:K)</f>
        <v>-307150024.25999999</v>
      </c>
      <c r="K29" s="857">
        <f t="shared" si="0"/>
        <v>0</v>
      </c>
      <c r="L29" s="857">
        <f t="shared" si="1"/>
        <v>0</v>
      </c>
      <c r="M29" s="857">
        <f t="shared" si="2"/>
        <v>0</v>
      </c>
      <c r="N29" s="857"/>
      <c r="S29" s="1006"/>
      <c r="T29" s="1006"/>
      <c r="U29" s="1006"/>
    </row>
    <row r="30" spans="1:21" x14ac:dyDescent="0.15">
      <c r="A30" t="s">
        <v>554</v>
      </c>
      <c r="B30" s="857">
        <v>3893500</v>
      </c>
      <c r="C30" s="857">
        <v>172029979.7624315</v>
      </c>
      <c r="D30" s="857">
        <v>183228110</v>
      </c>
      <c r="E30" s="857">
        <f>SUMIF('YTD Purchases'!B:B,A30,'YTD Purchases'!D:D)</f>
        <v>0</v>
      </c>
      <c r="F30" s="857">
        <f>SUMIF('YTD Purchases'!B:B,A30,'YTD Purchases'!F:F)</f>
        <v>0</v>
      </c>
      <c r="G30" s="857">
        <f>-SUMIF('YTD Sales'!C:C,A30,'YTD Sales'!D:D)</f>
        <v>-554306</v>
      </c>
      <c r="H30" s="857">
        <f>-SUMIF('YTD Sales'!C:C,A30,'YTD Sales'!F:F)</f>
        <v>-23433167.210000001</v>
      </c>
      <c r="I30" s="857">
        <f>-SUMIF('YTD Sales'!C:C,A30,'YTD Sales'!H:H)</f>
        <v>-24491395.906560771</v>
      </c>
      <c r="J30" s="857">
        <f>-SUMIF('YTD Sales'!C:C,A30,'YTD Sales'!K:K)</f>
        <v>-26085640.359999996</v>
      </c>
      <c r="K30" s="857">
        <f t="shared" si="0"/>
        <v>3339194</v>
      </c>
      <c r="L30" s="857">
        <f t="shared" si="1"/>
        <v>147538583.85587072</v>
      </c>
      <c r="M30" s="857">
        <f t="shared" si="2"/>
        <v>157142469.64000002</v>
      </c>
      <c r="N30" s="857"/>
      <c r="S30" s="1006"/>
      <c r="T30" s="1006"/>
      <c r="U30" s="1006"/>
    </row>
    <row r="31" spans="1:21" x14ac:dyDescent="0.15">
      <c r="A31" t="s">
        <v>723</v>
      </c>
      <c r="B31" s="857">
        <v>4560116</v>
      </c>
      <c r="C31" s="857">
        <v>253519929.52585152</v>
      </c>
      <c r="D31" s="857">
        <v>190430444.16</v>
      </c>
      <c r="E31" s="857">
        <f>SUMIF('YTD Purchases'!B:B,A31,'YTD Purchases'!D:D)</f>
        <v>0</v>
      </c>
      <c r="F31" s="857">
        <f>SUMIF('YTD Purchases'!B:B,A31,'YTD Purchases'!F:F)</f>
        <v>0</v>
      </c>
      <c r="G31" s="857">
        <f>-SUMIF('YTD Sales'!C:C,A31,'YTD Sales'!D:D)</f>
        <v>-746500</v>
      </c>
      <c r="H31" s="857">
        <f>-SUMIF('YTD Sales'!C:C,A31,'YTD Sales'!F:F)</f>
        <v>-20214055.634920634</v>
      </c>
      <c r="I31" s="857">
        <f>-SUMIF('YTD Sales'!C:C,A31,'YTD Sales'!H:H)</f>
        <v>-41501713.41936218</v>
      </c>
      <c r="J31" s="857">
        <f>-SUMIF('YTD Sales'!C:C,A31,'YTD Sales'!K:K)</f>
        <v>-31173840</v>
      </c>
      <c r="K31" s="857">
        <f t="shared" si="0"/>
        <v>3813616</v>
      </c>
      <c r="L31" s="857">
        <f t="shared" si="1"/>
        <v>212018216.10648933</v>
      </c>
      <c r="M31" s="857">
        <f t="shared" si="2"/>
        <v>159256604.16</v>
      </c>
      <c r="N31" s="857"/>
      <c r="S31" s="1006"/>
      <c r="T31" s="1006"/>
      <c r="U31" s="1006"/>
    </row>
    <row r="32" spans="1:21" x14ac:dyDescent="0.15">
      <c r="A32" t="s">
        <v>604</v>
      </c>
      <c r="B32" s="857">
        <v>2973590</v>
      </c>
      <c r="C32" s="857">
        <v>449271171.72058678</v>
      </c>
      <c r="D32" s="857">
        <v>289389778.79999995</v>
      </c>
      <c r="E32" s="857">
        <f>SUMIF('YTD Purchases'!B:B,A32,'YTD Purchases'!D:D)</f>
        <v>0</v>
      </c>
      <c r="F32" s="857">
        <f>SUMIF('YTD Purchases'!B:B,A32,'YTD Purchases'!F:F)</f>
        <v>0</v>
      </c>
      <c r="G32" s="857">
        <f>-SUMIF('YTD Sales'!C:C,A32,'YTD Sales'!D:D)</f>
        <v>-931500</v>
      </c>
      <c r="H32" s="857">
        <f>-SUMIF('YTD Sales'!C:C,A32,'YTD Sales'!F:F)</f>
        <v>-73268455</v>
      </c>
      <c r="I32" s="857">
        <f>-SUMIF('YTD Sales'!C:C,A32,'YTD Sales'!H:H)</f>
        <v>-140737659.34702721</v>
      </c>
      <c r="J32" s="857">
        <f>-SUMIF('YTD Sales'!C:C,A32,'YTD Sales'!K:K)</f>
        <v>-90653579.999999985</v>
      </c>
      <c r="K32" s="857">
        <f t="shared" si="0"/>
        <v>2042090</v>
      </c>
      <c r="L32" s="857">
        <f t="shared" si="1"/>
        <v>308533512.37355959</v>
      </c>
      <c r="M32" s="857">
        <f t="shared" si="2"/>
        <v>198736198.79999995</v>
      </c>
      <c r="N32" s="857"/>
      <c r="S32" s="1006"/>
      <c r="T32" s="1006"/>
      <c r="U32" s="1006"/>
    </row>
    <row r="33" spans="1:21" x14ac:dyDescent="0.15">
      <c r="A33" t="s">
        <v>138</v>
      </c>
      <c r="B33" s="857">
        <v>1072500</v>
      </c>
      <c r="C33" s="857">
        <v>29648630.411609292</v>
      </c>
      <c r="D33" s="857">
        <v>26576550</v>
      </c>
      <c r="E33" s="857">
        <f>SUMIF('YTD Purchases'!B:B,A33,'YTD Purchases'!D:D)</f>
        <v>0</v>
      </c>
      <c r="F33" s="857">
        <f>SUMIF('YTD Purchases'!B:B,A33,'YTD Purchases'!F:F)</f>
        <v>0</v>
      </c>
      <c r="G33" s="857">
        <f>-SUMIF('YTD Sales'!C:C,A33,'YTD Sales'!D:D)</f>
        <v>-1072500</v>
      </c>
      <c r="H33" s="857">
        <f>-SUMIF('YTD Sales'!C:C,A33,'YTD Sales'!F:F)</f>
        <v>-24989234.473333333</v>
      </c>
      <c r="I33" s="857">
        <f>-SUMIF('YTD Sales'!C:C,A33,'YTD Sales'!H:H)</f>
        <v>-29648630.411609292</v>
      </c>
      <c r="J33" s="857">
        <f>-SUMIF('YTD Sales'!C:C,A33,'YTD Sales'!K:K)</f>
        <v>-26576550</v>
      </c>
      <c r="K33" s="857">
        <f t="shared" si="0"/>
        <v>0</v>
      </c>
      <c r="L33" s="857">
        <f t="shared" si="1"/>
        <v>0</v>
      </c>
      <c r="M33" s="857">
        <f t="shared" si="2"/>
        <v>0</v>
      </c>
      <c r="N33" s="857"/>
      <c r="S33" s="1006"/>
      <c r="T33" s="1006"/>
      <c r="U33" s="1006"/>
    </row>
    <row r="34" spans="1:21" x14ac:dyDescent="0.15">
      <c r="A34" t="s">
        <v>169</v>
      </c>
      <c r="B34" s="857">
        <v>2029500</v>
      </c>
      <c r="C34" s="857">
        <v>385381820.85684931</v>
      </c>
      <c r="D34" s="857">
        <v>282425220</v>
      </c>
      <c r="E34" s="857">
        <f>SUMIF('YTD Purchases'!B:B,A34,'YTD Purchases'!D:D)</f>
        <v>112300</v>
      </c>
      <c r="F34" s="857">
        <f>SUMIF('YTD Purchases'!B:B,A34,'YTD Purchases'!F:F)</f>
        <v>15201408</v>
      </c>
      <c r="G34" s="857">
        <f>-SUMIF('YTD Sales'!C:C,A34,'YTD Sales'!D:D)</f>
        <v>-925500</v>
      </c>
      <c r="H34" s="857">
        <f>-SUMIF('YTD Sales'!C:C,A34,'YTD Sales'!F:F)</f>
        <v>-129568614</v>
      </c>
      <c r="I34" s="857">
        <f>-SUMIF('YTD Sales'!C:C,A34,'YTD Sales'!H:H)</f>
        <v>-174201496.22065836</v>
      </c>
      <c r="J34" s="857">
        <f>-SUMIF('YTD Sales'!C:C,A34,'YTD Sales'!K:K)</f>
        <v>-129005682.48778637</v>
      </c>
      <c r="K34" s="857">
        <f t="shared" si="0"/>
        <v>1216300</v>
      </c>
      <c r="L34" s="857">
        <f t="shared" si="1"/>
        <v>226381732.63619095</v>
      </c>
      <c r="M34" s="857">
        <f t="shared" si="2"/>
        <v>168620945.51221365</v>
      </c>
      <c r="N34" s="857"/>
      <c r="S34" s="1006"/>
      <c r="T34" s="1006"/>
      <c r="U34" s="1006"/>
    </row>
    <row r="35" spans="1:21" x14ac:dyDescent="0.15">
      <c r="A35" t="s">
        <v>147</v>
      </c>
      <c r="B35" s="857">
        <v>9248154</v>
      </c>
      <c r="C35" s="857">
        <v>216062557.5467436</v>
      </c>
      <c r="D35" s="857">
        <v>169888588.98000002</v>
      </c>
      <c r="E35" s="857">
        <f>SUMIF('YTD Purchases'!B:B,A35,'YTD Purchases'!D:D)</f>
        <v>0</v>
      </c>
      <c r="F35" s="857">
        <f>SUMIF('YTD Purchases'!B:B,A35,'YTD Purchases'!F:F)</f>
        <v>0</v>
      </c>
      <c r="G35" s="857">
        <f>-SUMIF('YTD Sales'!C:C,A35,'YTD Sales'!D:D)</f>
        <v>-8589000</v>
      </c>
      <c r="H35" s="857">
        <f>-SUMIF('YTD Sales'!C:C,A35,'YTD Sales'!F:F)</f>
        <v>-129170662.14285713</v>
      </c>
      <c r="I35" s="857">
        <f>-SUMIF('YTD Sales'!C:C,A35,'YTD Sales'!H:H)</f>
        <v>-200662889.7798394</v>
      </c>
      <c r="J35" s="857">
        <f>-SUMIF('YTD Sales'!C:C,A35,'YTD Sales'!K:K)</f>
        <v>-157779930</v>
      </c>
      <c r="K35" s="857">
        <f t="shared" si="0"/>
        <v>659154</v>
      </c>
      <c r="L35" s="857">
        <f t="shared" si="1"/>
        <v>15399667.766904205</v>
      </c>
      <c r="M35" s="857">
        <f t="shared" si="2"/>
        <v>12108658.980000019</v>
      </c>
      <c r="N35" s="857"/>
      <c r="S35" s="1006"/>
      <c r="T35" s="1006"/>
      <c r="U35" s="1006"/>
    </row>
    <row r="36" spans="1:21" x14ac:dyDescent="0.15">
      <c r="A36" t="s">
        <v>151</v>
      </c>
      <c r="B36" s="857">
        <v>1282014</v>
      </c>
      <c r="C36" s="857">
        <v>211811476.55316192</v>
      </c>
      <c r="D36" s="857">
        <v>184251052.08000001</v>
      </c>
      <c r="E36" s="857">
        <f>SUMIF('YTD Purchases'!B:B,A36,'YTD Purchases'!D:D)</f>
        <v>0</v>
      </c>
      <c r="F36" s="857">
        <f>SUMIF('YTD Purchases'!B:B,A36,'YTD Purchases'!F:F)</f>
        <v>0</v>
      </c>
      <c r="G36" s="857">
        <f>-SUMIF('YTD Sales'!C:C,A36,'YTD Sales'!D:D)</f>
        <v>0</v>
      </c>
      <c r="H36" s="857">
        <f>-SUMIF('YTD Sales'!C:C,A36,'YTD Sales'!F:F)</f>
        <v>0</v>
      </c>
      <c r="I36" s="857">
        <f>-SUMIF('YTD Sales'!C:C,A36,'YTD Sales'!H:H)</f>
        <v>0</v>
      </c>
      <c r="J36" s="857">
        <f>-SUMIF('YTD Sales'!C:C,A36,'YTD Sales'!K:K)</f>
        <v>0</v>
      </c>
      <c r="K36" s="857">
        <f t="shared" si="0"/>
        <v>1282014</v>
      </c>
      <c r="L36" s="857">
        <f t="shared" si="1"/>
        <v>211811476.55316192</v>
      </c>
      <c r="M36" s="857">
        <f t="shared" si="2"/>
        <v>184251052.08000001</v>
      </c>
      <c r="N36" s="857"/>
      <c r="S36" s="1006"/>
      <c r="T36" s="1006"/>
      <c r="U36" s="1006"/>
    </row>
    <row r="37" spans="1:21" x14ac:dyDescent="0.15">
      <c r="A37" t="s">
        <v>160</v>
      </c>
      <c r="B37" s="857">
        <v>3425800</v>
      </c>
      <c r="C37" s="857">
        <v>326416762.22063422</v>
      </c>
      <c r="D37" s="857">
        <v>272625164</v>
      </c>
      <c r="E37" s="857">
        <f>SUMIF('YTD Purchases'!B:B,A37,'YTD Purchases'!D:D)</f>
        <v>0</v>
      </c>
      <c r="F37" s="857">
        <f>SUMIF('YTD Purchases'!B:B,A37,'YTD Purchases'!F:F)</f>
        <v>0</v>
      </c>
      <c r="G37" s="857">
        <f>-SUMIF('YTD Sales'!C:C,A37,'YTD Sales'!D:D)</f>
        <v>-2039287</v>
      </c>
      <c r="H37" s="857">
        <f>-SUMIF('YTD Sales'!C:C,A37,'YTD Sales'!F:F)</f>
        <v>-154645376.82648903</v>
      </c>
      <c r="I37" s="857">
        <f>-SUMIF('YTD Sales'!C:C,A37,'YTD Sales'!H:H)</f>
        <v>-194307157.38765556</v>
      </c>
      <c r="J37" s="857">
        <f>-SUMIF('YTD Sales'!C:C,A37,'YTD Sales'!K:K)</f>
        <v>-162286459.45999998</v>
      </c>
      <c r="K37" s="857">
        <f t="shared" si="0"/>
        <v>1386513</v>
      </c>
      <c r="L37" s="857">
        <f t="shared" si="1"/>
        <v>132109604.83297867</v>
      </c>
      <c r="M37" s="857">
        <f t="shared" si="2"/>
        <v>110338704.54000002</v>
      </c>
      <c r="N37" s="857"/>
      <c r="S37" s="1006"/>
      <c r="T37" s="1006"/>
      <c r="U37" s="1006"/>
    </row>
    <row r="38" spans="1:21" x14ac:dyDescent="0.15">
      <c r="A38" t="s">
        <v>168</v>
      </c>
      <c r="B38" s="857">
        <v>2669500</v>
      </c>
      <c r="C38" s="857">
        <v>147003030.17683047</v>
      </c>
      <c r="D38" s="857">
        <v>144713595</v>
      </c>
      <c r="E38" s="857">
        <f>SUMIF('YTD Purchases'!B:B,A38,'YTD Purchases'!D:D)</f>
        <v>0</v>
      </c>
      <c r="F38" s="857">
        <f>SUMIF('YTD Purchases'!B:B,A38,'YTD Purchases'!F:F)</f>
        <v>0</v>
      </c>
      <c r="G38" s="857">
        <f>-SUMIF('YTD Sales'!C:C,A38,'YTD Sales'!D:D)</f>
        <v>-2669500</v>
      </c>
      <c r="H38" s="857">
        <f>-SUMIF('YTD Sales'!C:C,A38,'YTD Sales'!F:F)</f>
        <v>-180359586.92505664</v>
      </c>
      <c r="I38" s="857">
        <f>-SUMIF('YTD Sales'!C:C,A38,'YTD Sales'!H:H)</f>
        <v>-147003030.17683047</v>
      </c>
      <c r="J38" s="857">
        <f>-SUMIF('YTD Sales'!C:C,A38,'YTD Sales'!K:K)</f>
        <v>-144713595</v>
      </c>
      <c r="K38" s="857">
        <f t="shared" si="0"/>
        <v>0</v>
      </c>
      <c r="L38" s="857">
        <f t="shared" si="1"/>
        <v>0</v>
      </c>
      <c r="M38" s="857">
        <f t="shared" si="2"/>
        <v>0</v>
      </c>
      <c r="N38" s="857"/>
      <c r="S38" s="1006"/>
      <c r="T38" s="1006"/>
      <c r="U38" s="1006"/>
    </row>
    <row r="39" spans="1:21" x14ac:dyDescent="0.15">
      <c r="A39" t="s">
        <v>572</v>
      </c>
      <c r="B39" s="857">
        <v>31000</v>
      </c>
      <c r="C39" s="857">
        <v>4083330.1406511068</v>
      </c>
      <c r="D39" s="857">
        <v>2751250</v>
      </c>
      <c r="E39" s="857">
        <f>SUMIF('YTD Purchases'!B:B,A39,'YTD Purchases'!D:D)</f>
        <v>200000</v>
      </c>
      <c r="F39" s="857">
        <f>SUMIF('YTD Purchases'!B:B,A39,'YTD Purchases'!F:F)</f>
        <v>15228633.9</v>
      </c>
      <c r="G39" s="857">
        <f>-SUMIF('YTD Sales'!C:C,A39,'YTD Sales'!D:D)</f>
        <v>-231000</v>
      </c>
      <c r="H39" s="857">
        <f>-SUMIF('YTD Sales'!C:C,A39,'YTD Sales'!F:F)</f>
        <v>-13413075</v>
      </c>
      <c r="I39" s="857">
        <f>-SUMIF('YTD Sales'!C:C,A39,'YTD Sales'!H:H)</f>
        <v>-19311964.040651105</v>
      </c>
      <c r="J39" s="857">
        <f>-SUMIF('YTD Sales'!C:C,A39,'YTD Sales'!K:K)</f>
        <v>-17979883.899999999</v>
      </c>
      <c r="K39" s="857">
        <f t="shared" si="0"/>
        <v>0</v>
      </c>
      <c r="L39" s="857">
        <f t="shared" si="1"/>
        <v>0</v>
      </c>
      <c r="M39" s="857">
        <f t="shared" si="2"/>
        <v>0</v>
      </c>
      <c r="N39" s="857"/>
      <c r="S39" s="1006"/>
      <c r="T39" s="1006"/>
      <c r="U39" s="1006"/>
    </row>
    <row r="40" spans="1:21" x14ac:dyDescent="0.15">
      <c r="A40" t="s">
        <v>603</v>
      </c>
      <c r="B40" s="857">
        <v>156800</v>
      </c>
      <c r="C40" s="857">
        <v>54384540.446988821</v>
      </c>
      <c r="D40" s="857">
        <v>36575168</v>
      </c>
      <c r="E40" s="857">
        <f>SUMIF('YTD Purchases'!B:B,A40,'YTD Purchases'!D:D)</f>
        <v>0</v>
      </c>
      <c r="F40" s="857">
        <f>SUMIF('YTD Purchases'!B:B,A40,'YTD Purchases'!F:F)</f>
        <v>0</v>
      </c>
      <c r="G40" s="857">
        <f>-SUMIF('YTD Sales'!C:C,A40,'YTD Sales'!D:D)</f>
        <v>-156800</v>
      </c>
      <c r="H40" s="857">
        <f>-SUMIF('YTD Sales'!C:C,A40,'YTD Sales'!F:F)</f>
        <v>-34837586.665346533</v>
      </c>
      <c r="I40" s="857">
        <f>-SUMIF('YTD Sales'!C:C,A40,'YTD Sales'!H:H)</f>
        <v>-54384540.446988821</v>
      </c>
      <c r="J40" s="857">
        <f>-SUMIF('YTD Sales'!C:C,A40,'YTD Sales'!K:K)</f>
        <v>-36575168</v>
      </c>
      <c r="K40" s="857">
        <f t="shared" si="0"/>
        <v>0</v>
      </c>
      <c r="L40" s="857">
        <f t="shared" si="1"/>
        <v>0</v>
      </c>
      <c r="M40" s="857">
        <f t="shared" si="2"/>
        <v>0</v>
      </c>
      <c r="N40" s="857"/>
      <c r="S40" s="1006"/>
      <c r="T40" s="1006"/>
      <c r="U40" s="1006"/>
    </row>
    <row r="41" spans="1:21" x14ac:dyDescent="0.15">
      <c r="A41" t="s">
        <v>561</v>
      </c>
      <c r="B41" s="857">
        <v>500000</v>
      </c>
      <c r="C41" s="857">
        <v>74549173</v>
      </c>
      <c r="D41" s="857">
        <v>74155000</v>
      </c>
      <c r="E41" s="857">
        <f>SUMIF('YTD Purchases'!B:B,A41,'YTD Purchases'!D:D)</f>
        <v>500000</v>
      </c>
      <c r="F41" s="857">
        <f>SUMIF('YTD Purchases'!B:B,A41,'YTD Purchases'!F:F)</f>
        <v>77058786.400000006</v>
      </c>
      <c r="G41" s="857">
        <f>-SUMIF('YTD Sales'!C:C,A41,'YTD Sales'!D:D)</f>
        <v>-12455</v>
      </c>
      <c r="H41" s="857">
        <f>-SUMIF('YTD Sales'!C:C,A41,'YTD Sales'!F:F)</f>
        <v>-1471769.6000000001</v>
      </c>
      <c r="I41" s="857">
        <f>-SUMIF('YTD Sales'!C:C,A41,'YTD Sales'!H:H)</f>
        <v>-1888277.134327</v>
      </c>
      <c r="J41" s="857">
        <f>-SUMIF('YTD Sales'!C:C,A41,'YTD Sales'!K:K)</f>
        <v>-1883367.7096120003</v>
      </c>
      <c r="K41" s="857">
        <f t="shared" si="0"/>
        <v>987545</v>
      </c>
      <c r="L41" s="857">
        <f t="shared" si="1"/>
        <v>149719682.26567301</v>
      </c>
      <c r="M41" s="857">
        <f t="shared" si="2"/>
        <v>149330418.69038799</v>
      </c>
      <c r="N41" s="857"/>
      <c r="S41" s="1006"/>
      <c r="T41" s="1006"/>
      <c r="U41" s="1006"/>
    </row>
    <row r="42" spans="1:21" x14ac:dyDescent="0.15">
      <c r="A42" t="s">
        <v>577</v>
      </c>
      <c r="B42" s="857">
        <v>1096150</v>
      </c>
      <c r="C42" s="857">
        <v>577782308.54769504</v>
      </c>
      <c r="D42" s="857">
        <v>311953328.5</v>
      </c>
      <c r="E42" s="857">
        <f>SUMIF('YTD Purchases'!B:B,A42,'YTD Purchases'!D:D)</f>
        <v>0</v>
      </c>
      <c r="F42" s="857">
        <f>SUMIF('YTD Purchases'!B:B,A42,'YTD Purchases'!F:F)</f>
        <v>0</v>
      </c>
      <c r="G42" s="857">
        <f>-SUMIF('YTD Sales'!C:C,A42,'YTD Sales'!D:D)</f>
        <v>-827775</v>
      </c>
      <c r="H42" s="857">
        <f>-SUMIF('YTD Sales'!C:C,A42,'YTD Sales'!F:F)</f>
        <v>-197195602.10953856</v>
      </c>
      <c r="I42" s="857">
        <f>-SUMIF('YTD Sales'!C:C,A42,'YTD Sales'!H:H)</f>
        <v>-436321443.65102249</v>
      </c>
      <c r="J42" s="857">
        <f>-SUMIF('YTD Sales'!C:C,A42,'YTD Sales'!K:K)</f>
        <v>-235576487.25</v>
      </c>
      <c r="K42" s="857">
        <f t="shared" si="0"/>
        <v>268375</v>
      </c>
      <c r="L42" s="857">
        <f t="shared" si="1"/>
        <v>141460864.89667255</v>
      </c>
      <c r="M42" s="857">
        <f t="shared" si="2"/>
        <v>76376841.25</v>
      </c>
      <c r="N42" s="857"/>
      <c r="S42" s="1006"/>
      <c r="T42" s="1006"/>
      <c r="U42" s="1006"/>
    </row>
    <row r="43" spans="1:21" x14ac:dyDescent="0.15">
      <c r="A43" t="s">
        <v>167</v>
      </c>
      <c r="B43" s="857">
        <v>997500</v>
      </c>
      <c r="C43" s="857">
        <v>363243214.05000001</v>
      </c>
      <c r="D43" s="857">
        <v>325015425</v>
      </c>
      <c r="E43" s="857">
        <f>SUMIF('YTD Purchases'!B:B,A43,'YTD Purchases'!D:D)</f>
        <v>153200</v>
      </c>
      <c r="F43" s="857">
        <f>SUMIF('YTD Purchases'!B:B,A43,'YTD Purchases'!F:F)</f>
        <v>43897040</v>
      </c>
      <c r="G43" s="857">
        <f>-SUMIF('YTD Sales'!C:C,A43,'YTD Sales'!D:D)</f>
        <v>0</v>
      </c>
      <c r="H43" s="857">
        <f>-SUMIF('YTD Sales'!C:C,A43,'YTD Sales'!F:F)</f>
        <v>0</v>
      </c>
      <c r="I43" s="857">
        <f>-SUMIF('YTD Sales'!C:C,A43,'YTD Sales'!H:H)</f>
        <v>0</v>
      </c>
      <c r="J43" s="857">
        <f>-SUMIF('YTD Sales'!C:C,A43,'YTD Sales'!K:K)</f>
        <v>0</v>
      </c>
      <c r="K43" s="857">
        <f t="shared" si="0"/>
        <v>1150700</v>
      </c>
      <c r="L43" s="857">
        <f t="shared" si="1"/>
        <v>407140254.05000001</v>
      </c>
      <c r="M43" s="857">
        <f t="shared" si="2"/>
        <v>368912465</v>
      </c>
      <c r="N43" s="857"/>
      <c r="S43" s="1006"/>
      <c r="T43" s="1006"/>
      <c r="U43" s="1006"/>
    </row>
    <row r="44" spans="1:21" x14ac:dyDescent="0.15">
      <c r="A44" t="s">
        <v>612</v>
      </c>
      <c r="B44" s="857">
        <v>19266000</v>
      </c>
      <c r="C44" s="857">
        <v>225804893.93198192</v>
      </c>
      <c r="D44" s="857">
        <v>141797760</v>
      </c>
      <c r="E44" s="857">
        <f>SUMIF('YTD Purchases'!B:B,A44,'YTD Purchases'!D:D)</f>
        <v>0</v>
      </c>
      <c r="F44" s="857">
        <f>SUMIF('YTD Purchases'!B:B,A44,'YTD Purchases'!F:F)</f>
        <v>0</v>
      </c>
      <c r="G44" s="857">
        <f>-SUMIF('YTD Sales'!C:C,A44,'YTD Sales'!D:D)</f>
        <v>-19242000</v>
      </c>
      <c r="H44" s="857">
        <f>-SUMIF('YTD Sales'!C:C,A44,'YTD Sales'!F:F)</f>
        <v>-115244445.57970238</v>
      </c>
      <c r="I44" s="857">
        <f>-SUMIF('YTD Sales'!C:C,A44,'YTD Sales'!H:H)</f>
        <v>-225523604.74614325</v>
      </c>
      <c r="J44" s="857">
        <f>-SUMIF('YTD Sales'!C:C,A44,'YTD Sales'!K:K)</f>
        <v>-141621120</v>
      </c>
      <c r="K44" s="857">
        <f t="shared" si="0"/>
        <v>24000</v>
      </c>
      <c r="L44" s="857">
        <f t="shared" si="1"/>
        <v>281289.18583866954</v>
      </c>
      <c r="M44" s="857">
        <f t="shared" si="2"/>
        <v>176640</v>
      </c>
      <c r="N44" s="857"/>
      <c r="S44" s="1006"/>
      <c r="T44" s="1006"/>
      <c r="U44" s="1006"/>
    </row>
    <row r="45" spans="1:21" x14ac:dyDescent="0.15">
      <c r="A45" t="s">
        <v>656</v>
      </c>
      <c r="B45" s="857">
        <v>4522500</v>
      </c>
      <c r="C45" s="857">
        <v>126224433.5</v>
      </c>
      <c r="D45" s="857">
        <v>118353825.00000001</v>
      </c>
      <c r="E45" s="857">
        <f>SUMIF('YTD Purchases'!B:B,A45,'YTD Purchases'!D:D)</f>
        <v>166500</v>
      </c>
      <c r="F45" s="857">
        <f>SUMIF('YTD Purchases'!B:B,A45,'YTD Purchases'!F:F)</f>
        <v>4404778</v>
      </c>
      <c r="G45" s="857">
        <f>-SUMIF('YTD Sales'!C:C,A45,'YTD Sales'!D:D)</f>
        <v>0</v>
      </c>
      <c r="H45" s="857">
        <f>-SUMIF('YTD Sales'!C:C,A45,'YTD Sales'!F:F)</f>
        <v>0</v>
      </c>
      <c r="I45" s="857">
        <f>-SUMIF('YTD Sales'!C:C,A45,'YTD Sales'!H:H)</f>
        <v>0</v>
      </c>
      <c r="J45" s="857">
        <f>-SUMIF('YTD Sales'!C:C,A45,'YTD Sales'!K:K)</f>
        <v>0</v>
      </c>
      <c r="K45" s="857">
        <f t="shared" si="0"/>
        <v>4689000</v>
      </c>
      <c r="L45" s="857">
        <f t="shared" si="1"/>
        <v>130629211.5</v>
      </c>
      <c r="M45" s="857">
        <f t="shared" si="2"/>
        <v>122758603.00000001</v>
      </c>
      <c r="N45" s="857"/>
      <c r="S45" s="1006"/>
      <c r="T45" s="1006"/>
      <c r="U45" s="1006"/>
    </row>
    <row r="46" spans="1:21" x14ac:dyDescent="0.15">
      <c r="A46" t="s">
        <v>641</v>
      </c>
      <c r="B46" s="857">
        <v>24778257</v>
      </c>
      <c r="C46" s="857">
        <v>309284264.18911135</v>
      </c>
      <c r="D46" s="857">
        <v>227712181.82999998</v>
      </c>
      <c r="E46" s="857">
        <f>SUMIF('YTD Purchases'!B:B,A46,'YTD Purchases'!D:D)</f>
        <v>0</v>
      </c>
      <c r="F46" s="857">
        <f>SUMIF('YTD Purchases'!B:B,A46,'YTD Purchases'!F:F)</f>
        <v>0</v>
      </c>
      <c r="G46" s="857">
        <f>-SUMIF('YTD Sales'!C:C,A46,'YTD Sales'!D:D)</f>
        <v>0</v>
      </c>
      <c r="H46" s="857">
        <f>-SUMIF('YTD Sales'!C:C,A46,'YTD Sales'!F:F)</f>
        <v>0</v>
      </c>
      <c r="I46" s="857">
        <f>-SUMIF('YTD Sales'!C:C,A46,'YTD Sales'!H:H)</f>
        <v>0</v>
      </c>
      <c r="J46" s="857">
        <f>-SUMIF('YTD Sales'!C:C,A46,'YTD Sales'!K:K)</f>
        <v>0</v>
      </c>
      <c r="K46" s="857">
        <f t="shared" ref="K46:K53" si="3">+B46+E46+G46</f>
        <v>24778257</v>
      </c>
      <c r="L46" s="857">
        <f t="shared" ref="L46:L53" si="4">+C46+F46+I46</f>
        <v>309284264.18911135</v>
      </c>
      <c r="M46" s="857">
        <f t="shared" ref="M46:M53" si="5">+D46+F46+J46</f>
        <v>227712181.82999998</v>
      </c>
      <c r="N46" s="857"/>
      <c r="S46" s="1006"/>
      <c r="T46" s="1006"/>
      <c r="U46" s="1006"/>
    </row>
    <row r="47" spans="1:21" x14ac:dyDescent="0.15">
      <c r="A47" t="s">
        <v>550</v>
      </c>
      <c r="B47" s="857">
        <v>13619929</v>
      </c>
      <c r="C47" s="857">
        <v>596175321.6602397</v>
      </c>
      <c r="D47" s="857">
        <v>360519520.63</v>
      </c>
      <c r="E47" s="857">
        <f>SUMIF('YTD Purchases'!B:B,A47,'YTD Purchases'!D:D)</f>
        <v>0</v>
      </c>
      <c r="F47" s="857">
        <f>SUMIF('YTD Purchases'!B:B,A47,'YTD Purchases'!F:F)</f>
        <v>0</v>
      </c>
      <c r="G47" s="857">
        <f>-SUMIF('YTD Sales'!C:C,A47,'YTD Sales'!D:D)</f>
        <v>-1000000</v>
      </c>
      <c r="H47" s="857">
        <f>-SUMIF('YTD Sales'!C:C,A47,'YTD Sales'!F:F)</f>
        <v>-25897127.649999999</v>
      </c>
      <c r="I47" s="857">
        <f>-SUMIF('YTD Sales'!C:C,A47,'YTD Sales'!H:H)</f>
        <v>-43772278.229955509</v>
      </c>
      <c r="J47" s="857">
        <f>-SUMIF('YTD Sales'!C:C,A47,'YTD Sales'!K:K)</f>
        <v>-26470000</v>
      </c>
      <c r="K47" s="857">
        <f t="shared" si="3"/>
        <v>12619929</v>
      </c>
      <c r="L47" s="857">
        <f t="shared" si="4"/>
        <v>552403043.43028414</v>
      </c>
      <c r="M47" s="857">
        <f t="shared" si="5"/>
        <v>334049520.63</v>
      </c>
      <c r="N47" s="857"/>
      <c r="S47" s="1006"/>
      <c r="T47" s="1006"/>
      <c r="U47" s="1006"/>
    </row>
    <row r="48" spans="1:21" x14ac:dyDescent="0.15">
      <c r="A48" t="s">
        <v>602</v>
      </c>
      <c r="B48" s="857">
        <v>7500</v>
      </c>
      <c r="C48" s="857">
        <v>2658053.1989377141</v>
      </c>
      <c r="D48" s="857">
        <v>1775850</v>
      </c>
      <c r="E48" s="857">
        <f>SUMIF('YTD Purchases'!B:B,A48,'YTD Purchases'!D:D)</f>
        <v>0</v>
      </c>
      <c r="F48" s="857">
        <f>SUMIF('YTD Purchases'!B:B,A48,'YTD Purchases'!F:F)</f>
        <v>0</v>
      </c>
      <c r="G48" s="857">
        <f>-SUMIF('YTD Sales'!C:C,A48,'YTD Sales'!D:D)</f>
        <v>-7500</v>
      </c>
      <c r="H48" s="857">
        <f>-SUMIF('YTD Sales'!C:C,A48,'YTD Sales'!F:F)</f>
        <v>-1465345.54</v>
      </c>
      <c r="I48" s="857">
        <f>-SUMIF('YTD Sales'!C:C,A48,'YTD Sales'!H:H)</f>
        <v>-2658053.1989377141</v>
      </c>
      <c r="J48" s="857">
        <f>-SUMIF('YTD Sales'!C:C,A48,'YTD Sales'!K:K)</f>
        <v>-1775850</v>
      </c>
      <c r="K48" s="857">
        <f t="shared" si="3"/>
        <v>0</v>
      </c>
      <c r="L48" s="857">
        <f t="shared" si="4"/>
        <v>0</v>
      </c>
      <c r="M48" s="857">
        <f t="shared" si="5"/>
        <v>0</v>
      </c>
      <c r="N48" s="857"/>
      <c r="S48" s="1006"/>
      <c r="T48" s="1006"/>
      <c r="U48" s="1006"/>
    </row>
    <row r="49" spans="1:21" x14ac:dyDescent="0.15">
      <c r="A49" t="s">
        <v>781</v>
      </c>
      <c r="B49" s="857">
        <v>7650649</v>
      </c>
      <c r="C49" s="857">
        <v>355677488.6649701</v>
      </c>
      <c r="D49" s="857">
        <v>261958221.76000002</v>
      </c>
      <c r="E49" s="857">
        <f>SUMIF('YTD Purchases'!B:B,A49,'YTD Purchases'!D:D)</f>
        <v>150000</v>
      </c>
      <c r="F49" s="857">
        <f>SUMIF('YTD Purchases'!B:B,A49,'YTD Purchases'!F:F)</f>
        <v>4960085</v>
      </c>
      <c r="G49" s="857">
        <f>-SUMIF('YTD Sales'!C:C,A49,'YTD Sales'!D:D)</f>
        <v>-1450000</v>
      </c>
      <c r="H49" s="857">
        <f>-SUMIF('YTD Sales'!C:C,A49,'YTD Sales'!F:F)</f>
        <v>-45946500</v>
      </c>
      <c r="I49" s="857">
        <f>-SUMIF('YTD Sales'!C:C,A49,'YTD Sales'!H:H)</f>
        <v>-67036022.491744809</v>
      </c>
      <c r="J49" s="857">
        <f>-SUMIF('YTD Sales'!C:C,A49,'YTD Sales'!K:K)</f>
        <v>-49615300.573324092</v>
      </c>
      <c r="K49" s="857">
        <f t="shared" si="3"/>
        <v>6350649</v>
      </c>
      <c r="L49" s="857">
        <f t="shared" si="4"/>
        <v>293601551.17322528</v>
      </c>
      <c r="M49" s="857">
        <f t="shared" si="5"/>
        <v>217303006.18667594</v>
      </c>
      <c r="N49" s="857"/>
      <c r="S49" s="1006"/>
      <c r="T49" s="1006"/>
      <c r="U49" s="1006"/>
    </row>
    <row r="50" spans="1:21" x14ac:dyDescent="0.15">
      <c r="A50" t="s">
        <v>159</v>
      </c>
      <c r="B50" s="857">
        <v>193000</v>
      </c>
      <c r="C50" s="857">
        <v>10237249.951746345</v>
      </c>
      <c r="D50" s="857">
        <v>8791150</v>
      </c>
      <c r="E50" s="857">
        <f>SUMIF('YTD Purchases'!B:B,A50,'YTD Purchases'!D:D)</f>
        <v>0</v>
      </c>
      <c r="F50" s="857">
        <f>SUMIF('YTD Purchases'!B:B,A50,'YTD Purchases'!F:F)</f>
        <v>0</v>
      </c>
      <c r="G50" s="857">
        <f>-SUMIF('YTD Sales'!C:C,A50,'YTD Sales'!D:D)</f>
        <v>-193000</v>
      </c>
      <c r="H50" s="857">
        <f>-SUMIF('YTD Sales'!C:C,A50,'YTD Sales'!F:F)</f>
        <v>-9855522.6355088856</v>
      </c>
      <c r="I50" s="857">
        <f>-SUMIF('YTD Sales'!C:C,A50,'YTD Sales'!H:H)</f>
        <v>-10237249.951746345</v>
      </c>
      <c r="J50" s="857">
        <f>-SUMIF('YTD Sales'!C:C,A50,'YTD Sales'!K:K)</f>
        <v>-8791150</v>
      </c>
      <c r="K50" s="857">
        <f t="shared" si="3"/>
        <v>0</v>
      </c>
      <c r="L50" s="857">
        <f t="shared" si="4"/>
        <v>0</v>
      </c>
      <c r="M50" s="857">
        <f t="shared" si="5"/>
        <v>0</v>
      </c>
      <c r="N50" s="857"/>
      <c r="S50" s="1006"/>
      <c r="T50" s="1006"/>
      <c r="U50" s="1006"/>
    </row>
    <row r="51" spans="1:21" x14ac:dyDescent="0.15">
      <c r="A51" t="s">
        <v>115</v>
      </c>
      <c r="B51" s="857">
        <v>22826000</v>
      </c>
      <c r="C51" s="857">
        <v>89720719.690087274</v>
      </c>
      <c r="D51" s="857">
        <v>78521440</v>
      </c>
      <c r="E51" s="857">
        <f>SUMIF('YTD Purchases'!B:B,A51,'YTD Purchases'!D:D)</f>
        <v>0</v>
      </c>
      <c r="F51" s="857">
        <f>SUMIF('YTD Purchases'!B:B,A51,'YTD Purchases'!F:F)</f>
        <v>0</v>
      </c>
      <c r="G51" s="857">
        <f>-SUMIF('YTD Sales'!C:C,A51,'YTD Sales'!D:D)</f>
        <v>-22826000</v>
      </c>
      <c r="H51" s="857">
        <f>-SUMIF('YTD Sales'!C:C,A51,'YTD Sales'!F:F)</f>
        <v>-59663045</v>
      </c>
      <c r="I51" s="857">
        <f>-SUMIF('YTD Sales'!C:C,A51,'YTD Sales'!H:H)</f>
        <v>-89720719.690087274</v>
      </c>
      <c r="J51" s="857">
        <f>-SUMIF('YTD Sales'!C:C,A51,'YTD Sales'!K:K)</f>
        <v>-78521440</v>
      </c>
      <c r="K51" s="857">
        <f t="shared" si="3"/>
        <v>0</v>
      </c>
      <c r="L51" s="857">
        <f t="shared" si="4"/>
        <v>0</v>
      </c>
      <c r="M51" s="857">
        <f t="shared" si="5"/>
        <v>0</v>
      </c>
      <c r="N51" s="857"/>
      <c r="S51" s="1006"/>
      <c r="T51" s="1006"/>
      <c r="U51" s="1006"/>
    </row>
    <row r="52" spans="1:21" x14ac:dyDescent="0.15">
      <c r="A52" t="s">
        <v>634</v>
      </c>
      <c r="B52" s="857">
        <v>220500</v>
      </c>
      <c r="C52" s="857">
        <v>18500893.539731286</v>
      </c>
      <c r="D52" s="857">
        <v>17441550</v>
      </c>
      <c r="E52" s="857">
        <f>SUMIF('YTD Purchases'!B:B,A52,'YTD Purchases'!D:D)</f>
        <v>0</v>
      </c>
      <c r="F52" s="857">
        <f>SUMIF('YTD Purchases'!B:B,A52,'YTD Purchases'!F:F)</f>
        <v>0</v>
      </c>
      <c r="G52" s="857">
        <f>-SUMIF('YTD Sales'!C:C,A52,'YTD Sales'!D:D)</f>
        <v>-220500</v>
      </c>
      <c r="H52" s="857">
        <f>-SUMIF('YTD Sales'!C:C,A52,'YTD Sales'!F:F)</f>
        <v>-14115627.425749319</v>
      </c>
      <c r="I52" s="857">
        <f>-SUMIF('YTD Sales'!C:C,A52,'YTD Sales'!H:H)</f>
        <v>-18500893.539731286</v>
      </c>
      <c r="J52" s="857">
        <f>-SUMIF('YTD Sales'!C:C,A52,'YTD Sales'!K:K)</f>
        <v>-17441550</v>
      </c>
      <c r="K52" s="857">
        <f t="shared" si="3"/>
        <v>0</v>
      </c>
      <c r="L52" s="857">
        <f t="shared" si="4"/>
        <v>0</v>
      </c>
      <c r="M52" s="857">
        <f t="shared" si="5"/>
        <v>0</v>
      </c>
      <c r="N52" s="857"/>
      <c r="S52" s="1006"/>
      <c r="T52" s="1006"/>
      <c r="U52" s="1006"/>
    </row>
    <row r="53" spans="1:21" x14ac:dyDescent="0.15">
      <c r="A53" t="s">
        <v>789</v>
      </c>
      <c r="B53" s="857">
        <v>4491569</v>
      </c>
      <c r="C53" s="857">
        <v>299667535.99817896</v>
      </c>
      <c r="D53" s="857">
        <v>260780496.14000002</v>
      </c>
      <c r="E53" s="857">
        <f>SUMIF('YTD Purchases'!B:B,A53,'YTD Purchases'!D:D)</f>
        <v>0</v>
      </c>
      <c r="F53" s="857">
        <f>SUMIF('YTD Purchases'!B:B,A53,'YTD Purchases'!F:F)</f>
        <v>0</v>
      </c>
      <c r="G53" s="857">
        <f>-SUMIF('YTD Sales'!C:C,A53,'YTD Sales'!D:D)</f>
        <v>-134500</v>
      </c>
      <c r="H53" s="857">
        <f>-SUMIF('YTD Sales'!C:C,A53,'YTD Sales'!F:F)</f>
        <v>-5649000</v>
      </c>
      <c r="I53" s="857">
        <f>-SUMIF('YTD Sales'!C:C,A53,'YTD Sales'!H:H)</f>
        <v>-8973542.1167425178</v>
      </c>
      <c r="J53" s="857">
        <f>-SUMIF('YTD Sales'!C:C,A53,'YTD Sales'!K:K)</f>
        <v>-7809070</v>
      </c>
      <c r="K53" s="857">
        <f t="shared" si="3"/>
        <v>4357069</v>
      </c>
      <c r="L53" s="857">
        <f t="shared" si="4"/>
        <v>290693993.88143647</v>
      </c>
      <c r="M53" s="857">
        <f t="shared" si="5"/>
        <v>252971426.14000002</v>
      </c>
      <c r="N53" s="857"/>
      <c r="S53" s="1006"/>
      <c r="T53" s="1006"/>
      <c r="U53" s="1006"/>
    </row>
    <row r="54" spans="1:21" x14ac:dyDescent="0.15">
      <c r="A54" t="s">
        <v>644</v>
      </c>
      <c r="B54" s="857">
        <v>3642000</v>
      </c>
      <c r="C54" s="857">
        <v>117888690.50241786</v>
      </c>
      <c r="D54" s="857">
        <v>115560660</v>
      </c>
      <c r="E54" s="857">
        <f>SUMIF('YTD Purchases'!B:B,A54,'YTD Purchases'!D:D)</f>
        <v>140000</v>
      </c>
      <c r="F54" s="857">
        <f>SUMIF('YTD Purchases'!B:B,A54,'YTD Purchases'!F:F)</f>
        <v>4594115</v>
      </c>
      <c r="G54" s="857">
        <f>-SUMIF('YTD Sales'!C:C,A54,'YTD Sales'!D:D)</f>
        <v>0</v>
      </c>
      <c r="H54" s="857">
        <f>-SUMIF('YTD Sales'!C:C,A54,'YTD Sales'!F:F)</f>
        <v>0</v>
      </c>
      <c r="I54" s="857">
        <f>-SUMIF('YTD Sales'!C:C,A54,'YTD Sales'!H:H)</f>
        <v>0</v>
      </c>
      <c r="J54" s="857">
        <f>-SUMIF('YTD Sales'!C:C,A54,'YTD Sales'!K:K)</f>
        <v>0</v>
      </c>
      <c r="K54" s="857">
        <f t="shared" ref="K54" si="6">+B54+E54+G54</f>
        <v>3782000</v>
      </c>
      <c r="L54" s="857">
        <f t="shared" ref="L54" si="7">+C54+F54+I54</f>
        <v>122482805.50241786</v>
      </c>
      <c r="M54" s="857">
        <f t="shared" ref="M54" si="8">+D54+F54+J54</f>
        <v>120154775</v>
      </c>
      <c r="N54" s="857"/>
      <c r="S54" s="1006"/>
      <c r="T54" s="1006"/>
      <c r="U54" s="1006"/>
    </row>
    <row r="55" spans="1:21" x14ac:dyDescent="0.15">
      <c r="A55" t="s">
        <v>793</v>
      </c>
      <c r="B55" s="857">
        <v>75299</v>
      </c>
      <c r="C55" s="857">
        <v>3057139.4</v>
      </c>
      <c r="D55" s="857">
        <v>5855250.2400000002</v>
      </c>
      <c r="E55" s="857">
        <f>SUMIF('YTD Purchases'!B:B,A55,'YTD Purchases'!D:D)</f>
        <v>0</v>
      </c>
      <c r="F55" s="857">
        <f>SUMIF('YTD Purchases'!B:B,A55,'YTD Purchases'!F:F)</f>
        <v>0</v>
      </c>
      <c r="G55" s="857">
        <f>-SUMIF('YTD Sales'!C:C,A55,'YTD Sales'!D:D)</f>
        <v>-75299</v>
      </c>
      <c r="H55" s="857">
        <f>-SUMIF('YTD Sales'!C:C,A55,'YTD Sales'!F:F)</f>
        <v>-5418959</v>
      </c>
      <c r="I55" s="857">
        <f>-SUMIF('YTD Sales'!C:C,A55,'YTD Sales'!H:H)</f>
        <v>-3057139.4</v>
      </c>
      <c r="J55" s="857">
        <f>-SUMIF('YTD Sales'!C:C,A55,'YTD Sales'!K:K)</f>
        <v>-5855250.2400000002</v>
      </c>
      <c r="K55" s="857">
        <f t="shared" ref="K55" si="9">+B55+E55+G55</f>
        <v>0</v>
      </c>
      <c r="L55" s="857">
        <f t="shared" ref="L55" si="10">+C55+F55+I55</f>
        <v>0</v>
      </c>
      <c r="M55" s="857">
        <f t="shared" ref="M55" si="11">+D55+F55+J55</f>
        <v>0</v>
      </c>
      <c r="N55" s="857"/>
      <c r="S55" s="1006"/>
      <c r="T55" s="1006"/>
      <c r="U55" s="1006"/>
    </row>
    <row r="56" spans="1:21" x14ac:dyDescent="0.15">
      <c r="A56" t="s">
        <v>589</v>
      </c>
      <c r="B56" s="857">
        <v>1312400</v>
      </c>
      <c r="C56" s="857">
        <v>71057162.599999994</v>
      </c>
      <c r="D56" s="857">
        <v>57089400</v>
      </c>
      <c r="E56" s="857">
        <f>SUMIF('YTD Purchases'!B:B,A56,'YTD Purchases'!D:D)</f>
        <v>200000</v>
      </c>
      <c r="F56" s="857">
        <f>SUMIF('YTD Purchases'!B:B,A56,'YTD Purchases'!F:F)</f>
        <v>10026055</v>
      </c>
      <c r="G56" s="857">
        <f>-SUMIF('YTD Sales'!C:C,A56,'YTD Sales'!D:D)</f>
        <v>-50000</v>
      </c>
      <c r="H56" s="857">
        <f>-SUMIF('YTD Sales'!C:C,A56,'YTD Sales'!F:F)</f>
        <v>-1950192.5</v>
      </c>
      <c r="I56" s="857">
        <f>-SUMIF('YTD Sales'!C:C,A56,'YTD Sales'!H:H)</f>
        <v>-2680614.1761438772</v>
      </c>
      <c r="J56" s="857">
        <f>-SUMIF('YTD Sales'!C:C,A56,'YTD Sales'!K:K)</f>
        <v>-2218839.4274001587</v>
      </c>
      <c r="K56" s="857">
        <f t="shared" ref="K56:K57" si="12">+B56+E56+G56</f>
        <v>1462400</v>
      </c>
      <c r="L56" s="857">
        <f t="shared" ref="L56:L57" si="13">+C56+F56+I56</f>
        <v>78402603.423856109</v>
      </c>
      <c r="M56" s="857">
        <f t="shared" ref="M56:M57" si="14">+D56+F56+J56</f>
        <v>64896615.572599843</v>
      </c>
      <c r="N56" s="857"/>
      <c r="S56" s="1006"/>
      <c r="T56" s="1006"/>
      <c r="U56" s="1006"/>
    </row>
    <row r="57" spans="1:21" x14ac:dyDescent="0.15">
      <c r="A57" t="s">
        <v>650</v>
      </c>
      <c r="B57" s="857">
        <v>1000</v>
      </c>
      <c r="C57" s="857">
        <v>26000</v>
      </c>
      <c r="D57" s="857">
        <v>23340</v>
      </c>
      <c r="E57" s="857">
        <f>SUMIF('YTD Purchases'!B:B,A57,'YTD Purchases'!D:D)</f>
        <v>0</v>
      </c>
      <c r="F57" s="857">
        <f>SUMIF('YTD Purchases'!B:B,A57,'YTD Purchases'!F:F)</f>
        <v>0</v>
      </c>
      <c r="G57" s="857">
        <f>-SUMIF('YTD Sales'!C:C,A57,'YTD Sales'!D:D)</f>
        <v>-1000</v>
      </c>
      <c r="H57" s="857">
        <f>-SUMIF('YTD Sales'!C:C,A57,'YTD Sales'!F:F)</f>
        <v>-13500</v>
      </c>
      <c r="I57" s="857">
        <f>-SUMIF('YTD Sales'!C:C,A57,'YTD Sales'!H:H)</f>
        <v>-26000</v>
      </c>
      <c r="J57" s="857">
        <f>-SUMIF('YTD Sales'!C:C,A57,'YTD Sales'!K:K)</f>
        <v>-23340</v>
      </c>
      <c r="K57" s="857">
        <f t="shared" si="12"/>
        <v>0</v>
      </c>
      <c r="L57" s="857">
        <f t="shared" si="13"/>
        <v>0</v>
      </c>
      <c r="M57" s="857">
        <f t="shared" si="14"/>
        <v>0</v>
      </c>
      <c r="N57" s="857"/>
      <c r="S57" s="1006"/>
      <c r="T57" s="1006"/>
      <c r="U57" s="1006"/>
    </row>
    <row r="58" spans="1:21" x14ac:dyDescent="0.15">
      <c r="A58" t="s">
        <v>625</v>
      </c>
      <c r="B58" s="857">
        <v>1145612</v>
      </c>
      <c r="C58" s="857">
        <v>146810848.75394261</v>
      </c>
      <c r="D58" s="857">
        <v>135067654.80000001</v>
      </c>
      <c r="E58" s="857">
        <f>SUMIF('YTD Purchases'!B:B,A58,'YTD Purchases'!D:D)</f>
        <v>0</v>
      </c>
      <c r="F58" s="857">
        <f>SUMIF('YTD Purchases'!B:B,A58,'YTD Purchases'!F:F)</f>
        <v>0</v>
      </c>
      <c r="G58" s="857">
        <f>-SUMIF('YTD Sales'!C:C,A58,'YTD Sales'!D:D)</f>
        <v>-1145612</v>
      </c>
      <c r="H58" s="857">
        <f>-SUMIF('YTD Sales'!C:C,A58,'YTD Sales'!F:F)</f>
        <v>-88043104.677692533</v>
      </c>
      <c r="I58" s="857">
        <f>-SUMIF('YTD Sales'!C:C,A58,'YTD Sales'!H:H)</f>
        <v>-146810848.75394261</v>
      </c>
      <c r="J58" s="857">
        <f>-SUMIF('YTD Sales'!C:C,A58,'YTD Sales'!K:K)</f>
        <v>-135067654.80000001</v>
      </c>
      <c r="K58" s="857">
        <f t="shared" ref="K58" si="15">+B58+E58+G58</f>
        <v>0</v>
      </c>
      <c r="L58" s="857">
        <f t="shared" ref="L58" si="16">+C58+F58+I58</f>
        <v>0</v>
      </c>
      <c r="M58" s="857">
        <f t="shared" ref="M58" si="17">+D58+F58+J58</f>
        <v>0</v>
      </c>
      <c r="N58" s="857"/>
      <c r="S58" s="1006"/>
      <c r="T58" s="1006"/>
      <c r="U58" s="1006"/>
    </row>
    <row r="59" spans="1:21" x14ac:dyDescent="0.15">
      <c r="A59" t="s">
        <v>622</v>
      </c>
      <c r="B59" s="857">
        <v>0</v>
      </c>
      <c r="C59" s="857">
        <v>0</v>
      </c>
      <c r="D59" s="857">
        <v>0</v>
      </c>
      <c r="E59" s="857">
        <f>SUMIF('YTD Purchases'!B:B,A59,'YTD Purchases'!D:D)</f>
        <v>426114</v>
      </c>
      <c r="F59" s="857">
        <f>SUMIF('YTD Purchases'!B:B,A59,'YTD Purchases'!F:F)</f>
        <v>141423998.155</v>
      </c>
      <c r="G59" s="857">
        <f>-SUMIF('YTD Sales'!C:C,A59,'YTD Sales'!D:D)</f>
        <v>0</v>
      </c>
      <c r="H59" s="857">
        <f>-SUMIF('YTD Sales'!C:C,A59,'YTD Sales'!F:F)</f>
        <v>0</v>
      </c>
      <c r="I59" s="857">
        <f>-SUMIF('YTD Sales'!C:C,A59,'YTD Sales'!H:H)</f>
        <v>0</v>
      </c>
      <c r="J59" s="857">
        <f>-SUMIF('YTD Sales'!C:C,A59,'YTD Sales'!K:K)</f>
        <v>0</v>
      </c>
      <c r="K59" s="857">
        <f t="shared" ref="K59:K61" si="18">+B59+E59+G59</f>
        <v>426114</v>
      </c>
      <c r="L59" s="857">
        <f t="shared" ref="L59:L61" si="19">+C59+F59+I59</f>
        <v>141423998.155</v>
      </c>
      <c r="M59" s="857">
        <f t="shared" ref="M59:M61" si="20">+D59+F59+J59</f>
        <v>141423998.155</v>
      </c>
      <c r="N59" s="857"/>
      <c r="S59" s="1006"/>
      <c r="T59" s="1006"/>
      <c r="U59" s="1006"/>
    </row>
    <row r="60" spans="1:21" x14ac:dyDescent="0.15">
      <c r="A60" t="s">
        <v>540</v>
      </c>
      <c r="B60" s="857">
        <v>0</v>
      </c>
      <c r="C60" s="857">
        <v>0</v>
      </c>
      <c r="D60" s="857">
        <v>0</v>
      </c>
      <c r="E60" s="857">
        <f>SUMIF('YTD Purchases'!B:B,A60,'YTD Purchases'!D:D)</f>
        <v>1550000</v>
      </c>
      <c r="F60" s="857">
        <f>SUMIF('YTD Purchases'!B:B,A60,'YTD Purchases'!F:F)</f>
        <v>214233626.0130645</v>
      </c>
      <c r="G60" s="857">
        <f>-SUMIF('YTD Sales'!C:C,A60,'YTD Sales'!D:D)</f>
        <v>0</v>
      </c>
      <c r="H60" s="857">
        <f>-SUMIF('YTD Sales'!C:C,A60,'YTD Sales'!F:F)</f>
        <v>0</v>
      </c>
      <c r="I60" s="857">
        <f>-SUMIF('YTD Sales'!C:C,A60,'YTD Sales'!H:H)</f>
        <v>0</v>
      </c>
      <c r="J60" s="857">
        <f>-SUMIF('YTD Sales'!C:C,A60,'YTD Sales'!K:K)</f>
        <v>0</v>
      </c>
      <c r="K60" s="857">
        <f t="shared" si="18"/>
        <v>1550000</v>
      </c>
      <c r="L60" s="857">
        <f t="shared" si="19"/>
        <v>214233626.0130645</v>
      </c>
      <c r="M60" s="857">
        <f t="shared" si="20"/>
        <v>214233626.0130645</v>
      </c>
      <c r="N60" s="857"/>
      <c r="S60" s="1006"/>
      <c r="T60" s="1006"/>
      <c r="U60" s="1006"/>
    </row>
    <row r="61" spans="1:21" x14ac:dyDescent="0.15">
      <c r="A61" t="s">
        <v>1302</v>
      </c>
      <c r="B61" s="857">
        <v>0</v>
      </c>
      <c r="C61" s="857">
        <v>0</v>
      </c>
      <c r="D61" s="857">
        <v>0</v>
      </c>
      <c r="E61" s="857">
        <f>SUMIF('YTD Purchases'!B:B,A61,'YTD Purchases'!D:D)</f>
        <v>14820992.0579</v>
      </c>
      <c r="F61" s="857">
        <f>SUMIF('YTD Purchases'!B:B,A61,'YTD Purchases'!F:F)</f>
        <v>1500000000</v>
      </c>
      <c r="G61" s="857">
        <f>-SUMIF('YTD Sales'!C:C,A61,'YTD Sales'!D:D)</f>
        <v>0</v>
      </c>
      <c r="H61" s="857">
        <f>-SUMIF('YTD Sales'!C:C,A61,'YTD Sales'!F:F)</f>
        <v>0</v>
      </c>
      <c r="I61" s="857">
        <f>-SUMIF('YTD Sales'!C:C,A61,'YTD Sales'!H:H)</f>
        <v>0</v>
      </c>
      <c r="J61" s="857">
        <f>-SUMIF('YTD Sales'!C:C,A61,'YTD Sales'!K:K)</f>
        <v>0</v>
      </c>
      <c r="K61" s="857">
        <f t="shared" si="18"/>
        <v>14820992.0579</v>
      </c>
      <c r="L61" s="857">
        <f t="shared" si="19"/>
        <v>1500000000</v>
      </c>
      <c r="M61" s="857">
        <f t="shared" si="20"/>
        <v>1500000000</v>
      </c>
      <c r="N61" s="857"/>
      <c r="S61" s="1006"/>
      <c r="T61" s="1006"/>
      <c r="U61" s="1006"/>
    </row>
    <row r="62" spans="1:21" x14ac:dyDescent="0.15">
      <c r="A62" t="s">
        <v>839</v>
      </c>
      <c r="B62" s="857">
        <v>2740291</v>
      </c>
      <c r="C62" s="857">
        <v>0</v>
      </c>
      <c r="D62" s="857">
        <v>2904708.46</v>
      </c>
      <c r="E62" s="857">
        <f>SUMIF('YTD Purchases'!B:B,A62,'YTD Purchases'!D:D)</f>
        <v>0</v>
      </c>
      <c r="F62" s="857">
        <f>SUMIF('YTD Purchases'!B:B,A62,'YTD Purchases'!F:F)</f>
        <v>0</v>
      </c>
      <c r="G62" s="857">
        <f>-SUMIF('YTD Sales'!C:C,A62,'YTD Sales'!D:D)</f>
        <v>-2740291</v>
      </c>
      <c r="H62" s="857">
        <f>-SUMIF('YTD Sales'!C:C,A62,'YTD Sales'!F:F)</f>
        <v>-4357485.3219980793</v>
      </c>
      <c r="I62" s="857">
        <f>-SUMIF('YTD Sales'!C:C,A62,'YTD Sales'!H:H)</f>
        <v>0</v>
      </c>
      <c r="J62" s="857">
        <f>-SUMIF('YTD Sales'!C:C,A62,'YTD Sales'!K:K)</f>
        <v>-2904708.46</v>
      </c>
      <c r="K62" s="857">
        <f t="shared" ref="K62" si="21">+B62+E62+G62</f>
        <v>0</v>
      </c>
      <c r="L62" s="857">
        <f t="shared" ref="L62" si="22">+C62+F62+I62</f>
        <v>0</v>
      </c>
      <c r="M62" s="857">
        <f t="shared" ref="M62" si="23">+D62+F62+J62</f>
        <v>0</v>
      </c>
      <c r="N62" s="857"/>
      <c r="S62" s="1006"/>
      <c r="T62" s="1006"/>
      <c r="U62" s="1006"/>
    </row>
    <row r="65" spans="2:13" s="1025" customFormat="1" x14ac:dyDescent="0.15">
      <c r="B65" s="1025">
        <f>SUBTOTAL(9,B6:B64)</f>
        <v>289336797</v>
      </c>
      <c r="C65" s="1025">
        <f t="shared" ref="C65:M65" si="24">SUBTOTAL(9,C6:C64)</f>
        <v>28817612250.964218</v>
      </c>
      <c r="D65" s="1025">
        <f t="shared" si="24"/>
        <v>24686805475.969997</v>
      </c>
      <c r="E65" s="1025">
        <f t="shared" si="24"/>
        <v>19575923.0579</v>
      </c>
      <c r="F65" s="1025">
        <f t="shared" si="24"/>
        <v>2445196869.7272954</v>
      </c>
      <c r="G65" s="1025">
        <f t="shared" si="24"/>
        <v>-72112575</v>
      </c>
      <c r="H65" s="1025">
        <f t="shared" si="24"/>
        <v>-2019139122.9803586</v>
      </c>
      <c r="I65" s="1025">
        <f t="shared" si="24"/>
        <v>-2958347032.6568346</v>
      </c>
      <c r="J65" s="1025">
        <f t="shared" si="24"/>
        <v>-2150295692.9703732</v>
      </c>
      <c r="K65" s="1025">
        <f t="shared" si="24"/>
        <v>236800145.05790001</v>
      </c>
      <c r="L65" s="1025">
        <f t="shared" si="24"/>
        <v>28304462088.034664</v>
      </c>
      <c r="M65" s="1025">
        <f t="shared" si="24"/>
        <v>24981706652.726929</v>
      </c>
    </row>
    <row r="66" spans="2:13" x14ac:dyDescent="0.15">
      <c r="B66" s="1006">
        <f>+B65-'[10]Equity - CIAP MA'!$C$141</f>
        <v>0</v>
      </c>
      <c r="C66" s="1006">
        <f>+C65-'[10]Equity - CIAP MA'!$I$141</f>
        <v>0</v>
      </c>
      <c r="D66" s="1006">
        <f>+D65-'[10]Equity - CIAP MA'!$K$141</f>
        <v>0</v>
      </c>
    </row>
    <row r="67" spans="2:13" x14ac:dyDescent="0.15">
      <c r="C67">
        <v>2</v>
      </c>
      <c r="K67" s="1006">
        <f>+K65-'Equity - CIAP MA'!C145</f>
        <v>0</v>
      </c>
      <c r="L67" s="1006">
        <f>+L65-'Equity - CIAP MA'!I145</f>
        <v>0</v>
      </c>
      <c r="M67" s="1006">
        <f>+M65-'Equity - CIAP MA'!J145</f>
        <v>0</v>
      </c>
    </row>
    <row r="68" spans="2:13" x14ac:dyDescent="0.15">
      <c r="B68" s="1006"/>
      <c r="C68" s="1006"/>
      <c r="D68" s="1006"/>
    </row>
  </sheetData>
  <mergeCells count="4">
    <mergeCell ref="A3:A4"/>
    <mergeCell ref="B3:D3"/>
    <mergeCell ref="E3:J3"/>
    <mergeCell ref="K3:M3"/>
  </mergeCells>
  <conditionalFormatting sqref="A6:A12">
    <cfRule type="duplicateValues" dxfId="0" priority="289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AD203"/>
  <sheetViews>
    <sheetView topLeftCell="A19" zoomScaleSheetLayoutView="115" workbookViewId="0">
      <selection activeCell="A35" sqref="A35"/>
    </sheetView>
  </sheetViews>
  <sheetFormatPr defaultColWidth="9" defaultRowHeight="12" x14ac:dyDescent="0.2"/>
  <cols>
    <col min="1" max="1" width="2.625" style="67" customWidth="1"/>
    <col min="2" max="2" width="9.125" style="67" customWidth="1"/>
    <col min="3" max="3" width="10.125" style="67" bestFit="1" customWidth="1"/>
    <col min="4" max="4" width="10.25" style="149" bestFit="1" customWidth="1"/>
    <col min="5" max="5" width="20.5" style="162" bestFit="1" customWidth="1"/>
    <col min="6" max="6" width="15.375" style="67" bestFit="1" customWidth="1"/>
    <col min="7" max="7" width="12.75" style="67" bestFit="1" customWidth="1"/>
    <col min="8" max="8" width="11.5" style="67" bestFit="1" customWidth="1"/>
    <col min="9" max="9" width="17.375" style="67" bestFit="1" customWidth="1"/>
    <col min="10" max="10" width="15.375" style="67" bestFit="1" customWidth="1"/>
    <col min="11" max="11" width="12.5" style="67" customWidth="1"/>
    <col min="12" max="12" width="15.375" style="67" bestFit="1" customWidth="1"/>
    <col min="13" max="13" width="13.625" style="67" bestFit="1" customWidth="1"/>
    <col min="14" max="14" width="10.75" style="884" bestFit="1" customWidth="1"/>
    <col min="15" max="15" width="17.375" style="67" bestFit="1" customWidth="1"/>
    <col min="16" max="16" width="11.125" style="67" bestFit="1" customWidth="1"/>
    <col min="17" max="17" width="14.5" style="67" bestFit="1" customWidth="1"/>
    <col min="18" max="18" width="19" style="67" bestFit="1" customWidth="1"/>
    <col min="19" max="19" width="9.75" style="67" bestFit="1" customWidth="1"/>
    <col min="20" max="20" width="10.5" bestFit="1" customWidth="1"/>
    <col min="21" max="21" width="9.5" bestFit="1" customWidth="1"/>
    <col min="22" max="22" width="9.875" bestFit="1" customWidth="1"/>
    <col min="23" max="23" width="10.5" bestFit="1" customWidth="1"/>
    <col min="24" max="24" width="13" bestFit="1" customWidth="1"/>
    <col min="25" max="25" width="8.75"/>
    <col min="26" max="26" width="18" bestFit="1" customWidth="1"/>
    <col min="27" max="27" width="8.75"/>
    <col min="28" max="28" width="11.375" bestFit="1" customWidth="1"/>
    <col min="29" max="29" width="8.75"/>
    <col min="30" max="30" width="13" bestFit="1" customWidth="1"/>
    <col min="31" max="16384" width="9" style="67"/>
  </cols>
  <sheetData>
    <row r="1" spans="2:30" x14ac:dyDescent="0.2">
      <c r="B1" s="193" t="s">
        <v>170</v>
      </c>
      <c r="C1" s="191"/>
      <c r="D1" s="315"/>
      <c r="F1" s="162"/>
    </row>
    <row r="2" spans="2:30" x14ac:dyDescent="0.2">
      <c r="B2" s="193" t="s">
        <v>192</v>
      </c>
      <c r="C2" s="191"/>
      <c r="D2" s="315"/>
      <c r="F2" s="162"/>
    </row>
    <row r="3" spans="2:30" ht="12.75" thickBot="1" x14ac:dyDescent="0.25">
      <c r="B3" s="193" t="s">
        <v>193</v>
      </c>
      <c r="C3" s="191"/>
      <c r="D3" s="317">
        <f ca="1">TODAY()</f>
        <v>44770</v>
      </c>
      <c r="F3" s="162"/>
    </row>
    <row r="4" spans="2:30" x14ac:dyDescent="0.2">
      <c r="B4" s="612"/>
      <c r="C4" s="613"/>
      <c r="D4" s="614"/>
      <c r="E4" s="615"/>
      <c r="F4" s="615"/>
      <c r="G4" s="616"/>
      <c r="H4" s="617"/>
      <c r="I4"/>
      <c r="J4"/>
      <c r="K4"/>
      <c r="L4"/>
    </row>
    <row r="5" spans="2:30" x14ac:dyDescent="0.2">
      <c r="B5" s="1341" t="s">
        <v>345</v>
      </c>
      <c r="C5" s="1342"/>
      <c r="D5" s="1342"/>
      <c r="E5" s="1342"/>
      <c r="F5" s="1342"/>
      <c r="G5" s="1342"/>
      <c r="H5" s="618"/>
      <c r="I5"/>
      <c r="J5"/>
      <c r="K5"/>
      <c r="L5"/>
      <c r="M5"/>
      <c r="N5" s="866"/>
      <c r="O5"/>
      <c r="P5"/>
      <c r="Q5"/>
      <c r="R5"/>
      <c r="S5"/>
    </row>
    <row r="6" spans="2:30" ht="22.5" x14ac:dyDescent="0.2">
      <c r="B6" s="619" t="s">
        <v>172</v>
      </c>
      <c r="C6" s="240" t="s">
        <v>67</v>
      </c>
      <c r="D6" s="241" t="s">
        <v>173</v>
      </c>
      <c r="E6" s="242" t="s">
        <v>23</v>
      </c>
      <c r="F6" s="242" t="s">
        <v>2</v>
      </c>
      <c r="G6" s="240" t="s">
        <v>174</v>
      </c>
      <c r="H6" s="863" t="s">
        <v>428</v>
      </c>
      <c r="I6"/>
      <c r="J6"/>
      <c r="K6"/>
      <c r="L6"/>
      <c r="M6"/>
      <c r="N6" s="866"/>
      <c r="O6"/>
      <c r="P6"/>
      <c r="Q6"/>
      <c r="R6"/>
      <c r="S6"/>
    </row>
    <row r="7" spans="2:30" x14ac:dyDescent="0.2">
      <c r="B7" s="620"/>
      <c r="C7" s="638"/>
      <c r="D7" s="282"/>
      <c r="E7" s="726"/>
      <c r="F7" s="283"/>
      <c r="G7" s="281"/>
      <c r="H7" s="618"/>
      <c r="I7"/>
      <c r="J7"/>
      <c r="K7"/>
      <c r="L7"/>
      <c r="M7"/>
      <c r="N7" s="866"/>
      <c r="O7"/>
      <c r="P7"/>
      <c r="Q7"/>
      <c r="R7"/>
      <c r="S7"/>
    </row>
    <row r="8" spans="2:30" s="68" customFormat="1" x14ac:dyDescent="0.2">
      <c r="B8" s="750" t="s">
        <v>343</v>
      </c>
      <c r="C8" s="638">
        <v>44764</v>
      </c>
      <c r="D8" s="595">
        <v>7500</v>
      </c>
      <c r="E8" s="1120">
        <f>+F8/D8</f>
        <v>626.79999999999995</v>
      </c>
      <c r="F8" s="595">
        <v>4701000</v>
      </c>
      <c r="G8" s="1012" t="s">
        <v>689</v>
      </c>
      <c r="H8" s="1245">
        <v>7968.1999999999989</v>
      </c>
      <c r="I8"/>
      <c r="J8"/>
      <c r="K8"/>
      <c r="L8"/>
      <c r="M8" s="224"/>
      <c r="N8" s="885"/>
      <c r="T8"/>
      <c r="U8"/>
      <c r="V8"/>
      <c r="W8"/>
      <c r="X8"/>
      <c r="Y8"/>
      <c r="Z8"/>
      <c r="AA8"/>
      <c r="AB8"/>
      <c r="AC8"/>
      <c r="AD8"/>
    </row>
    <row r="9" spans="2:30" s="68" customFormat="1" x14ac:dyDescent="0.2">
      <c r="B9" s="750" t="s">
        <v>169</v>
      </c>
      <c r="C9" s="638">
        <v>44764</v>
      </c>
      <c r="D9" s="595">
        <v>5000</v>
      </c>
      <c r="E9" s="1120">
        <f>+F9/D9</f>
        <v>112.48399999999999</v>
      </c>
      <c r="F9" s="595">
        <v>562420</v>
      </c>
      <c r="G9" s="1012" t="s">
        <v>689</v>
      </c>
      <c r="H9" s="1245">
        <v>953.29999999999984</v>
      </c>
      <c r="I9"/>
      <c r="J9"/>
      <c r="K9"/>
      <c r="L9"/>
      <c r="M9" s="224"/>
      <c r="N9" s="885"/>
      <c r="T9"/>
      <c r="U9"/>
      <c r="V9"/>
      <c r="W9"/>
      <c r="X9"/>
      <c r="Y9"/>
      <c r="Z9"/>
      <c r="AA9"/>
      <c r="AB9"/>
      <c r="AC9"/>
      <c r="AD9"/>
    </row>
    <row r="10" spans="2:30" s="68" customFormat="1" x14ac:dyDescent="0.2">
      <c r="B10" s="750" t="s">
        <v>167</v>
      </c>
      <c r="C10" s="638">
        <v>44764</v>
      </c>
      <c r="D10" s="595">
        <v>200</v>
      </c>
      <c r="E10" s="1120">
        <f>+F10/D10</f>
        <v>264.32</v>
      </c>
      <c r="F10" s="595">
        <v>52864</v>
      </c>
      <c r="G10" s="1012" t="s">
        <v>505</v>
      </c>
      <c r="H10" s="1245">
        <v>89.61</v>
      </c>
      <c r="I10"/>
      <c r="J10"/>
      <c r="K10"/>
      <c r="L10"/>
      <c r="M10" s="224"/>
      <c r="N10" s="885"/>
      <c r="T10"/>
      <c r="U10"/>
      <c r="V10"/>
      <c r="W10"/>
      <c r="X10"/>
      <c r="Y10"/>
      <c r="Z10"/>
      <c r="AA10"/>
      <c r="AB10"/>
      <c r="AC10"/>
      <c r="AD10"/>
    </row>
    <row r="11" spans="2:30" s="68" customFormat="1" x14ac:dyDescent="0.2">
      <c r="B11" s="750"/>
      <c r="C11" s="638"/>
      <c r="D11" s="595"/>
      <c r="E11" s="1120"/>
      <c r="F11" s="595"/>
      <c r="G11" s="1012"/>
      <c r="H11" s="1245"/>
      <c r="I11"/>
      <c r="J11"/>
      <c r="K11"/>
      <c r="L11"/>
      <c r="M11" s="224"/>
      <c r="N11" s="885"/>
      <c r="T11"/>
      <c r="U11"/>
      <c r="V11"/>
      <c r="W11"/>
      <c r="X11"/>
      <c r="Y11"/>
      <c r="Z11"/>
      <c r="AA11"/>
      <c r="AB11"/>
      <c r="AC11"/>
      <c r="AD11"/>
    </row>
    <row r="12" spans="2:30" s="68" customFormat="1" x14ac:dyDescent="0.2">
      <c r="B12" s="750"/>
      <c r="C12" s="638"/>
      <c r="D12" s="595"/>
      <c r="E12" s="1120"/>
      <c r="F12" s="595"/>
      <c r="G12" s="1012"/>
      <c r="H12" s="1245"/>
      <c r="I12"/>
      <c r="J12"/>
      <c r="K12"/>
      <c r="L12"/>
      <c r="M12" s="224"/>
      <c r="N12" s="885"/>
      <c r="T12"/>
      <c r="U12"/>
      <c r="V12"/>
      <c r="W12"/>
      <c r="X12"/>
      <c r="Y12"/>
      <c r="Z12"/>
      <c r="AA12"/>
      <c r="AB12"/>
      <c r="AC12"/>
      <c r="AD12"/>
    </row>
    <row r="13" spans="2:30" s="68" customFormat="1" x14ac:dyDescent="0.2">
      <c r="B13" s="750"/>
      <c r="C13" s="638"/>
      <c r="D13" s="595"/>
      <c r="E13" s="1120"/>
      <c r="F13" s="595"/>
      <c r="G13" s="1012"/>
      <c r="H13" s="1245"/>
      <c r="I13"/>
      <c r="J13"/>
      <c r="K13"/>
      <c r="L13"/>
      <c r="M13" s="224"/>
      <c r="N13" s="885"/>
      <c r="T13"/>
      <c r="U13"/>
      <c r="V13"/>
      <c r="W13"/>
      <c r="X13"/>
      <c r="Y13"/>
      <c r="Z13"/>
      <c r="AA13"/>
      <c r="AB13"/>
      <c r="AC13"/>
      <c r="AD13"/>
    </row>
    <row r="14" spans="2:30" s="68" customFormat="1" x14ac:dyDescent="0.2">
      <c r="B14" s="750"/>
      <c r="C14" s="638"/>
      <c r="D14" s="287"/>
      <c r="E14" s="1120"/>
      <c r="F14" s="595"/>
      <c r="G14" s="1012"/>
      <c r="H14" s="1245"/>
      <c r="I14"/>
      <c r="J14"/>
      <c r="K14"/>
      <c r="L14"/>
      <c r="M14" s="224"/>
      <c r="N14" s="885"/>
      <c r="T14"/>
      <c r="U14"/>
      <c r="V14"/>
      <c r="W14"/>
      <c r="X14"/>
      <c r="Y14"/>
      <c r="Z14"/>
      <c r="AA14"/>
      <c r="AB14"/>
      <c r="AC14"/>
      <c r="AD14"/>
    </row>
    <row r="15" spans="2:30" s="68" customFormat="1" x14ac:dyDescent="0.2">
      <c r="B15" s="750"/>
      <c r="C15" s="638"/>
      <c r="D15" s="287"/>
      <c r="E15" s="1120"/>
      <c r="F15" s="595"/>
      <c r="G15" s="1012"/>
      <c r="H15" s="1245"/>
      <c r="I15"/>
      <c r="J15"/>
      <c r="K15"/>
      <c r="L15"/>
      <c r="M15" s="224"/>
      <c r="N15" s="885"/>
      <c r="T15"/>
      <c r="U15"/>
      <c r="V15"/>
      <c r="W15"/>
      <c r="X15"/>
      <c r="Y15"/>
      <c r="Z15"/>
      <c r="AA15"/>
      <c r="AB15"/>
      <c r="AC15"/>
      <c r="AD15"/>
    </row>
    <row r="16" spans="2:30" s="68" customFormat="1" ht="15" x14ac:dyDescent="0.25">
      <c r="B16" s="750"/>
      <c r="C16" s="638"/>
      <c r="D16" s="287"/>
      <c r="E16" s="1120"/>
      <c r="F16" s="595"/>
      <c r="G16" s="751"/>
      <c r="H16" s="864"/>
      <c r="I16"/>
      <c r="J16"/>
      <c r="K16"/>
      <c r="L16"/>
      <c r="M16" s="224"/>
      <c r="N16" s="885"/>
      <c r="T16"/>
      <c r="U16"/>
      <c r="V16"/>
      <c r="W16"/>
      <c r="X16"/>
      <c r="Y16"/>
      <c r="Z16"/>
      <c r="AA16"/>
      <c r="AB16"/>
      <c r="AC16"/>
      <c r="AD16"/>
    </row>
    <row r="17" spans="2:30" s="68" customFormat="1" ht="15" x14ac:dyDescent="0.25">
      <c r="B17" s="750"/>
      <c r="C17" s="638"/>
      <c r="D17" s="287"/>
      <c r="E17" s="1120"/>
      <c r="F17" s="595"/>
      <c r="G17" s="751"/>
      <c r="H17" s="864"/>
      <c r="I17"/>
      <c r="J17"/>
      <c r="K17"/>
      <c r="L17"/>
      <c r="M17" s="224"/>
      <c r="N17" s="885"/>
      <c r="T17"/>
      <c r="U17"/>
      <c r="V17"/>
      <c r="W17"/>
      <c r="X17"/>
      <c r="Y17"/>
      <c r="Z17"/>
      <c r="AA17"/>
      <c r="AB17"/>
      <c r="AC17"/>
      <c r="AD17"/>
    </row>
    <row r="18" spans="2:30" s="68" customFormat="1" ht="15" x14ac:dyDescent="0.25">
      <c r="B18" s="750"/>
      <c r="C18" s="638"/>
      <c r="D18" s="287"/>
      <c r="E18" s="1120"/>
      <c r="F18" s="595"/>
      <c r="G18" s="751"/>
      <c r="H18" s="864"/>
      <c r="I18"/>
      <c r="J18"/>
      <c r="K18"/>
      <c r="L18"/>
      <c r="M18" s="224"/>
      <c r="N18" s="885"/>
      <c r="T18"/>
      <c r="U18"/>
      <c r="V18"/>
      <c r="W18"/>
      <c r="X18"/>
      <c r="Y18"/>
      <c r="Z18"/>
      <c r="AA18"/>
      <c r="AB18"/>
      <c r="AC18"/>
      <c r="AD18"/>
    </row>
    <row r="19" spans="2:30" s="68" customFormat="1" x14ac:dyDescent="0.2">
      <c r="B19" s="750"/>
      <c r="C19" s="638"/>
      <c r="D19" s="59"/>
      <c r="E19" s="1120"/>
      <c r="F19" s="595"/>
      <c r="G19" s="622"/>
      <c r="H19" s="618"/>
      <c r="I19"/>
      <c r="J19"/>
      <c r="K19"/>
      <c r="L19"/>
      <c r="M19"/>
      <c r="N19" s="866"/>
      <c r="O19"/>
      <c r="P19"/>
      <c r="Q19"/>
      <c r="T19"/>
      <c r="U19"/>
      <c r="V19"/>
      <c r="W19"/>
      <c r="X19"/>
      <c r="Y19"/>
      <c r="Z19"/>
      <c r="AA19"/>
      <c r="AB19"/>
      <c r="AC19"/>
      <c r="AD19"/>
    </row>
    <row r="20" spans="2:30" x14ac:dyDescent="0.2">
      <c r="B20" s="623"/>
      <c r="C20" s="621"/>
      <c r="D20" s="178"/>
      <c r="E20" s="1120"/>
      <c r="F20" s="289"/>
      <c r="G20" s="625"/>
      <c r="H20" s="618"/>
      <c r="I20"/>
      <c r="J20"/>
      <c r="K20"/>
      <c r="L20"/>
      <c r="M20"/>
      <c r="N20" s="866"/>
      <c r="O20"/>
      <c r="P20"/>
      <c r="Q20"/>
    </row>
    <row r="21" spans="2:30" x14ac:dyDescent="0.2">
      <c r="B21" s="623"/>
      <c r="C21" s="621"/>
      <c r="D21" s="178"/>
      <c r="E21" s="1120"/>
      <c r="F21" s="289"/>
      <c r="G21" s="625"/>
      <c r="H21" s="618"/>
      <c r="I21"/>
      <c r="J21"/>
      <c r="K21"/>
      <c r="L21"/>
      <c r="M21"/>
      <c r="N21" s="866"/>
      <c r="O21"/>
      <c r="P21"/>
      <c r="Q21"/>
    </row>
    <row r="22" spans="2:30" x14ac:dyDescent="0.2">
      <c r="B22" s="623"/>
      <c r="C22" s="621"/>
      <c r="D22" s="178"/>
      <c r="E22" s="624"/>
      <c r="F22" s="289"/>
      <c r="G22" s="625"/>
      <c r="H22" s="618"/>
      <c r="I22"/>
      <c r="J22"/>
      <c r="K22"/>
      <c r="L22"/>
      <c r="M22"/>
      <c r="N22" s="866"/>
      <c r="O22"/>
      <c r="P22"/>
      <c r="Q22"/>
    </row>
    <row r="23" spans="2:30" ht="12.75" thickBot="1" x14ac:dyDescent="0.25">
      <c r="B23" s="623"/>
      <c r="C23" s="621"/>
      <c r="D23" s="633">
        <f>SUM(D8:D22)</f>
        <v>12700</v>
      </c>
      <c r="E23" s="624"/>
      <c r="F23" s="633">
        <f>SUM(F8:F22)</f>
        <v>5316284</v>
      </c>
      <c r="G23" s="625"/>
      <c r="H23" s="618"/>
      <c r="I23"/>
      <c r="J23"/>
      <c r="K23"/>
      <c r="L23"/>
      <c r="M23"/>
      <c r="N23" s="866"/>
      <c r="O23"/>
      <c r="P23"/>
      <c r="Q23"/>
    </row>
    <row r="24" spans="2:30" ht="13.5" thickTop="1" thickBot="1" x14ac:dyDescent="0.25">
      <c r="B24" s="626"/>
      <c r="C24" s="627"/>
      <c r="D24" s="628"/>
      <c r="E24" s="629"/>
      <c r="F24" s="630"/>
      <c r="G24" s="631"/>
      <c r="H24" s="632"/>
      <c r="I24"/>
      <c r="J24"/>
      <c r="K24"/>
      <c r="L24"/>
      <c r="M24"/>
      <c r="N24" s="866"/>
      <c r="O24"/>
      <c r="P24"/>
      <c r="Q24"/>
    </row>
    <row r="25" spans="2:30" x14ac:dyDescent="0.2">
      <c r="B25" s="306"/>
      <c r="C25" s="594"/>
      <c r="D25" s="228"/>
      <c r="E25" s="278"/>
      <c r="F25" s="289"/>
      <c r="G25" s="308"/>
      <c r="H25" s="313"/>
      <c r="I25" s="224"/>
      <c r="J25" s="224"/>
      <c r="K25" s="224"/>
      <c r="L25" s="224"/>
      <c r="M25"/>
      <c r="N25" s="866"/>
      <c r="O25"/>
      <c r="P25"/>
      <c r="Q25"/>
    </row>
    <row r="26" spans="2:30" x14ac:dyDescent="0.2">
      <c r="B26" s="310"/>
      <c r="C26" s="309"/>
      <c r="D26" s="228"/>
      <c r="E26" s="278"/>
      <c r="F26" s="289"/>
      <c r="G26" s="274"/>
      <c r="H26" s="224"/>
      <c r="I26" s="224"/>
      <c r="J26" s="224"/>
      <c r="K26" s="224"/>
      <c r="L26" s="224"/>
      <c r="M26"/>
      <c r="N26" s="866"/>
      <c r="O26"/>
      <c r="P26"/>
      <c r="Q26"/>
    </row>
    <row r="27" spans="2:30" x14ac:dyDescent="0.2">
      <c r="B27" s="224"/>
      <c r="C27" s="143"/>
      <c r="D27" s="288"/>
      <c r="E27" s="437"/>
      <c r="F27" s="289"/>
      <c r="G27" s="336"/>
      <c r="H27" s="337"/>
      <c r="I27" s="294"/>
      <c r="J27" s="224"/>
      <c r="K27" s="224"/>
      <c r="L27" s="224"/>
      <c r="M27" s="224"/>
      <c r="N27" s="885"/>
    </row>
    <row r="28" spans="2:30" x14ac:dyDescent="0.2">
      <c r="B28" s="224"/>
      <c r="C28" s="143"/>
      <c r="D28" s="288"/>
      <c r="E28" s="437"/>
      <c r="F28" s="289"/>
      <c r="G28" s="274"/>
      <c r="H28" s="224"/>
      <c r="I28" s="224"/>
      <c r="J28" s="224"/>
      <c r="K28" s="224"/>
      <c r="L28" s="224"/>
      <c r="M28" s="224"/>
      <c r="N28" s="885"/>
    </row>
    <row r="29" spans="2:30" ht="12.75" thickBot="1" x14ac:dyDescent="0.25">
      <c r="B29" s="224"/>
      <c r="C29" s="143"/>
      <c r="D29" s="288"/>
      <c r="E29" s="278"/>
      <c r="F29" s="289"/>
      <c r="G29" s="274"/>
      <c r="H29" s="224"/>
      <c r="I29" s="224"/>
      <c r="J29" s="224"/>
      <c r="K29" s="224"/>
      <c r="L29" s="224"/>
      <c r="M29" s="224"/>
      <c r="N29" s="885"/>
    </row>
    <row r="30" spans="2:30" ht="12" customHeight="1" x14ac:dyDescent="0.2">
      <c r="B30" s="1343" t="s">
        <v>346</v>
      </c>
      <c r="C30" s="1344"/>
      <c r="D30" s="1344"/>
      <c r="E30" s="1344"/>
      <c r="F30" s="1344"/>
      <c r="G30" s="1344"/>
      <c r="H30" s="1344"/>
      <c r="I30" s="1344"/>
      <c r="J30" s="1344"/>
      <c r="K30" s="1344"/>
      <c r="L30" s="1344"/>
      <c r="M30" s="1345"/>
      <c r="N30" s="1239"/>
      <c r="O30"/>
      <c r="P30"/>
      <c r="Q30"/>
      <c r="R30"/>
    </row>
    <row r="31" spans="2:30" x14ac:dyDescent="0.2">
      <c r="B31" s="634"/>
      <c r="C31" s="254"/>
      <c r="D31" s="227"/>
      <c r="E31" s="226"/>
      <c r="F31" s="226"/>
      <c r="G31" s="1346" t="s">
        <v>347</v>
      </c>
      <c r="H31" s="1347"/>
      <c r="I31" s="1348"/>
      <c r="J31" s="1346" t="s">
        <v>348</v>
      </c>
      <c r="K31" s="1347"/>
      <c r="L31" s="1348"/>
      <c r="M31" s="618"/>
      <c r="N31" s="1240"/>
      <c r="O31"/>
      <c r="P31"/>
      <c r="Q31"/>
      <c r="R31"/>
    </row>
    <row r="32" spans="2:30" ht="22.5" x14ac:dyDescent="0.2">
      <c r="B32" s="619" t="s">
        <v>67</v>
      </c>
      <c r="C32" s="240" t="s">
        <v>172</v>
      </c>
      <c r="D32" s="241" t="s">
        <v>173</v>
      </c>
      <c r="E32" s="242" t="s">
        <v>23</v>
      </c>
      <c r="F32" s="242" t="s">
        <v>327</v>
      </c>
      <c r="G32" s="311" t="s">
        <v>328</v>
      </c>
      <c r="H32" s="312" t="s">
        <v>329</v>
      </c>
      <c r="I32" s="311" t="s">
        <v>330</v>
      </c>
      <c r="J32" s="311" t="s">
        <v>331</v>
      </c>
      <c r="K32" s="312" t="s">
        <v>332</v>
      </c>
      <c r="L32" s="311" t="s">
        <v>330</v>
      </c>
      <c r="M32" s="849" t="s">
        <v>174</v>
      </c>
      <c r="N32" s="1241" t="s">
        <v>428</v>
      </c>
      <c r="O32"/>
      <c r="P32" t="s">
        <v>690</v>
      </c>
      <c r="Q32" t="s">
        <v>507</v>
      </c>
      <c r="R32"/>
    </row>
    <row r="33" spans="2:18" x14ac:dyDescent="0.2">
      <c r="B33" s="635"/>
      <c r="C33" s="638"/>
      <c r="D33" s="288"/>
      <c r="E33" s="708"/>
      <c r="F33" s="636"/>
      <c r="G33" s="327"/>
      <c r="H33" s="766">
        <f t="shared" ref="H33:H51" si="0">+G33*D33</f>
        <v>0</v>
      </c>
      <c r="I33" s="489">
        <f t="shared" ref="I33:I51" si="1">F33-H33</f>
        <v>0</v>
      </c>
      <c r="J33" s="327"/>
      <c r="K33" s="637">
        <f t="shared" ref="K33:K51" si="2">J33*D33</f>
        <v>0</v>
      </c>
      <c r="L33" s="595">
        <f t="shared" ref="L33:L51" si="3">+F33-K33</f>
        <v>0</v>
      </c>
      <c r="M33" s="850"/>
      <c r="N33" s="1242"/>
      <c r="O33"/>
      <c r="P33"/>
      <c r="Q33"/>
      <c r="R33"/>
    </row>
    <row r="34" spans="2:18" x14ac:dyDescent="0.2">
      <c r="B34" s="635">
        <v>44764</v>
      </c>
      <c r="C34" s="763" t="s">
        <v>577</v>
      </c>
      <c r="D34" s="178">
        <v>113778</v>
      </c>
      <c r="E34" s="1310">
        <f t="shared" ref="E34:E46" si="4">F34/D34</f>
        <v>216.92295426180809</v>
      </c>
      <c r="F34" s="226">
        <v>24681059.890000001</v>
      </c>
      <c r="G34" s="469">
        <v>527.10149938210554</v>
      </c>
      <c r="H34" s="766">
        <f t="shared" ref="H34:H36" si="5">+G34*D34</f>
        <v>59972554.396697208</v>
      </c>
      <c r="I34" s="489">
        <f t="shared" ref="I34:I36" si="6">F34-H34</f>
        <v>-35291494.506697208</v>
      </c>
      <c r="J34" s="177">
        <v>284.59000000000003</v>
      </c>
      <c r="K34" s="637">
        <f t="shared" ref="K34:K36" si="7">J34*D34</f>
        <v>32380081.020000003</v>
      </c>
      <c r="L34" s="595">
        <f t="shared" ref="L34:L36" si="8">+F34-K34</f>
        <v>-7699021.1300000027</v>
      </c>
      <c r="M34" s="851" t="s">
        <v>729</v>
      </c>
      <c r="N34" s="1243">
        <v>41834.399834999997</v>
      </c>
      <c r="O34" s="1007">
        <f t="shared" ref="O34:O46" si="9">+I34-L34</f>
        <v>-27592473.376697205</v>
      </c>
      <c r="P34" s="858">
        <f>+IFERROR(VLOOKUP(C34,'Equity - CIAP MA'!A:D,4,FALSE),0)</f>
        <v>527.10149938210543</v>
      </c>
      <c r="Q34" s="858">
        <f>+IFERROR(VLOOKUP(C34,'Equity - CIAP MA'!A:E,5,FALSE),0)</f>
        <v>284.58999999999997</v>
      </c>
      <c r="R34" s="1006">
        <f>+G34+J34-P34-Q34</f>
        <v>0</v>
      </c>
    </row>
    <row r="35" spans="2:18" x14ac:dyDescent="0.2">
      <c r="B35" s="635">
        <v>44764</v>
      </c>
      <c r="C35" s="763" t="s">
        <v>168</v>
      </c>
      <c r="D35" s="178">
        <v>5101</v>
      </c>
      <c r="E35" s="1310">
        <f t="shared" si="4"/>
        <v>65.020623407175066</v>
      </c>
      <c r="F35" s="226">
        <v>331670.2</v>
      </c>
      <c r="G35" s="469">
        <v>55.067626962665713</v>
      </c>
      <c r="H35" s="766">
        <f t="shared" si="5"/>
        <v>280899.96513655782</v>
      </c>
      <c r="I35" s="489">
        <f t="shared" si="6"/>
        <v>50770.234863442194</v>
      </c>
      <c r="J35" s="226">
        <v>54.210000000001635</v>
      </c>
      <c r="K35" s="637">
        <f t="shared" si="7"/>
        <v>276525.21000000834</v>
      </c>
      <c r="L35" s="595">
        <f t="shared" si="8"/>
        <v>55144.989999991667</v>
      </c>
      <c r="M35" s="851" t="s">
        <v>729</v>
      </c>
      <c r="N35" s="1243">
        <v>562.1853000000001</v>
      </c>
      <c r="O35" s="1007">
        <f t="shared" ref="O35" si="10">+I35-L35</f>
        <v>-4374.7551365494728</v>
      </c>
      <c r="P35" s="858">
        <f>+IFERROR(VLOOKUP(C35,'Equity - CIAP MA'!A:D,4,FALSE),0)</f>
        <v>0</v>
      </c>
      <c r="Q35" s="858">
        <f>+IFERROR(VLOOKUP(C35,'Equity - CIAP MA'!A:E,5,FALSE),0)</f>
        <v>0</v>
      </c>
      <c r="R35" s="1006">
        <f>+G35+J35-P35-Q35</f>
        <v>109.27762696266734</v>
      </c>
    </row>
    <row r="36" spans="2:18" x14ac:dyDescent="0.2">
      <c r="B36" s="635"/>
      <c r="C36" s="763"/>
      <c r="D36" s="178"/>
      <c r="E36" s="1119" t="e">
        <f t="shared" si="4"/>
        <v>#DIV/0!</v>
      </c>
      <c r="F36" s="226"/>
      <c r="G36" s="469"/>
      <c r="H36" s="766">
        <f t="shared" si="5"/>
        <v>0</v>
      </c>
      <c r="I36" s="489">
        <f t="shared" si="6"/>
        <v>0</v>
      </c>
      <c r="J36" s="226"/>
      <c r="K36" s="637">
        <f t="shared" si="7"/>
        <v>0</v>
      </c>
      <c r="L36" s="595">
        <f t="shared" si="8"/>
        <v>0</v>
      </c>
      <c r="M36" s="851"/>
      <c r="N36" s="1240"/>
      <c r="O36" s="1007">
        <f t="shared" ref="O36" si="11">+I36-L36</f>
        <v>0</v>
      </c>
      <c r="P36" s="858">
        <f>+IFERROR(VLOOKUP(C36,'Equity - CIAP MA'!A:D,4,FALSE),0)</f>
        <v>0</v>
      </c>
      <c r="Q36" s="858">
        <f>+IFERROR(VLOOKUP(C36,'Equity - CIAP MA'!A:E,5,FALSE),0)</f>
        <v>0</v>
      </c>
      <c r="R36" s="1006">
        <f>+G36+J36-P36-Q36</f>
        <v>0</v>
      </c>
    </row>
    <row r="37" spans="2:18" x14ac:dyDescent="0.2">
      <c r="B37" s="635"/>
      <c r="C37" s="763"/>
      <c r="D37" s="178"/>
      <c r="E37" s="1119" t="e">
        <f t="shared" si="4"/>
        <v>#DIV/0!</v>
      </c>
      <c r="F37" s="226"/>
      <c r="G37" s="469"/>
      <c r="H37" s="766">
        <f t="shared" ref="H37" si="12">+G37*D37</f>
        <v>0</v>
      </c>
      <c r="I37" s="489">
        <f t="shared" ref="I37" si="13">F37-H37</f>
        <v>0</v>
      </c>
      <c r="J37" s="226"/>
      <c r="K37" s="637">
        <f t="shared" ref="K37" si="14">J37*D37</f>
        <v>0</v>
      </c>
      <c r="L37" s="595">
        <f t="shared" ref="L37" si="15">+F37-K37</f>
        <v>0</v>
      </c>
      <c r="M37" s="851"/>
      <c r="N37" s="1240"/>
      <c r="O37" s="1007">
        <f t="shared" ref="O37" si="16">+I37-L37</f>
        <v>0</v>
      </c>
      <c r="P37" s="858">
        <f>+IFERROR(VLOOKUP(C37,'Equity - CIAP MA'!A:D,4,FALSE),0)</f>
        <v>0</v>
      </c>
      <c r="Q37" s="858">
        <f>+IFERROR(VLOOKUP(C37,'Equity - CIAP MA'!A:E,5,FALSE),0)</f>
        <v>0</v>
      </c>
      <c r="R37" s="1006">
        <f>+G37+J37-P37-Q37</f>
        <v>0</v>
      </c>
    </row>
    <row r="38" spans="2:18" x14ac:dyDescent="0.2">
      <c r="B38" s="635"/>
      <c r="C38" s="763"/>
      <c r="D38" s="178"/>
      <c r="E38" s="1119" t="e">
        <f t="shared" si="4"/>
        <v>#DIV/0!</v>
      </c>
      <c r="F38" s="226"/>
      <c r="G38" s="469"/>
      <c r="H38" s="766">
        <f t="shared" ref="H38" si="17">+G38*D38</f>
        <v>0</v>
      </c>
      <c r="I38" s="489">
        <f t="shared" ref="I38" si="18">F38-H38</f>
        <v>0</v>
      </c>
      <c r="J38" s="226"/>
      <c r="K38" s="637">
        <f t="shared" ref="K38" si="19">J38*D38</f>
        <v>0</v>
      </c>
      <c r="L38" s="595">
        <f t="shared" ref="L38" si="20">+F38-K38</f>
        <v>0</v>
      </c>
      <c r="M38" s="851"/>
      <c r="N38" s="1240"/>
      <c r="O38" s="1007">
        <f t="shared" ref="O38" si="21">+I38-L38</f>
        <v>0</v>
      </c>
      <c r="P38" s="858">
        <f>+IFERROR(VLOOKUP(C38,'Equity - CIAP MA'!A:D,4,FALSE),0)</f>
        <v>0</v>
      </c>
      <c r="Q38" s="858">
        <f>+IFERROR(VLOOKUP(C38,'Equity - CIAP MA'!A:E,5,FALSE),0)</f>
        <v>0</v>
      </c>
      <c r="R38" s="1006">
        <f t="shared" ref="R38" si="22">+G38+J38-P38-Q38</f>
        <v>0</v>
      </c>
    </row>
    <row r="39" spans="2:18" x14ac:dyDescent="0.2">
      <c r="B39" s="635"/>
      <c r="C39" s="763"/>
      <c r="D39" s="178"/>
      <c r="E39" s="1211" t="e">
        <f t="shared" si="4"/>
        <v>#DIV/0!</v>
      </c>
      <c r="F39" s="226"/>
      <c r="G39" s="469"/>
      <c r="H39" s="766">
        <f t="shared" ref="H39" si="23">+G39*D39</f>
        <v>0</v>
      </c>
      <c r="I39" s="489">
        <f t="shared" ref="I39" si="24">F39-H39</f>
        <v>0</v>
      </c>
      <c r="J39" s="226"/>
      <c r="K39" s="637">
        <f t="shared" ref="K39" si="25">J39*D39</f>
        <v>0</v>
      </c>
      <c r="L39" s="595">
        <f t="shared" ref="L39" si="26">+F39-K39</f>
        <v>0</v>
      </c>
      <c r="M39" s="851"/>
      <c r="N39" s="1240"/>
      <c r="O39" s="1007">
        <f t="shared" ref="O39" si="27">+I39-L39</f>
        <v>0</v>
      </c>
      <c r="P39" s="858">
        <f>+IFERROR(VLOOKUP(C39,'Equity - CIAP MA'!A:D,4,FALSE),0)</f>
        <v>0</v>
      </c>
      <c r="Q39" s="858">
        <f>+IFERROR(VLOOKUP(C39,'Equity - CIAP MA'!A:E,5,FALSE),0)</f>
        <v>0</v>
      </c>
      <c r="R39" s="1006">
        <f t="shared" ref="R39" si="28">+G39+J39-P39-Q39</f>
        <v>0</v>
      </c>
    </row>
    <row r="40" spans="2:18" x14ac:dyDescent="0.2">
      <c r="B40" s="635"/>
      <c r="C40" s="763"/>
      <c r="D40" s="178"/>
      <c r="E40" s="1211" t="e">
        <f t="shared" si="4"/>
        <v>#DIV/0!</v>
      </c>
      <c r="F40" s="226"/>
      <c r="G40" s="469"/>
      <c r="H40" s="766">
        <f t="shared" ref="H40" si="29">+G40*D40</f>
        <v>0</v>
      </c>
      <c r="I40" s="489">
        <f t="shared" ref="I40" si="30">F40-H40</f>
        <v>0</v>
      </c>
      <c r="J40" s="226"/>
      <c r="K40" s="637">
        <f t="shared" ref="K40" si="31">J40*D40</f>
        <v>0</v>
      </c>
      <c r="L40" s="595">
        <f t="shared" ref="L40" si="32">+F40-K40</f>
        <v>0</v>
      </c>
      <c r="M40" s="851"/>
      <c r="N40" s="1240"/>
      <c r="O40" s="1007">
        <f t="shared" ref="O40" si="33">+I40-L40</f>
        <v>0</v>
      </c>
      <c r="P40" s="858">
        <f>+IFERROR(VLOOKUP(C40,'Equity - CIAP MA'!A:D,4,FALSE),0)</f>
        <v>0</v>
      </c>
      <c r="Q40" s="858">
        <f>+IFERROR(VLOOKUP(C40,'Equity - CIAP MA'!A:E,5,FALSE),0)</f>
        <v>0</v>
      </c>
      <c r="R40" s="1006">
        <f t="shared" ref="R40" si="34">+G40+J40-P40-Q40</f>
        <v>0</v>
      </c>
    </row>
    <row r="41" spans="2:18" x14ac:dyDescent="0.2">
      <c r="B41" s="635"/>
      <c r="C41" s="763"/>
      <c r="D41" s="178"/>
      <c r="E41" s="1119" t="e">
        <f t="shared" si="4"/>
        <v>#DIV/0!</v>
      </c>
      <c r="F41" s="226"/>
      <c r="G41" s="469"/>
      <c r="H41" s="766">
        <f t="shared" ref="H41" si="35">+G41*D41</f>
        <v>0</v>
      </c>
      <c r="I41" s="489">
        <f t="shared" ref="I41" si="36">F41-H41</f>
        <v>0</v>
      </c>
      <c r="J41" s="226"/>
      <c r="K41" s="637">
        <f t="shared" ref="K41" si="37">J41*D41</f>
        <v>0</v>
      </c>
      <c r="L41" s="595">
        <f t="shared" ref="L41" si="38">+F41-K41</f>
        <v>0</v>
      </c>
      <c r="M41" s="851"/>
      <c r="N41" s="1240"/>
      <c r="O41" s="1007">
        <f t="shared" ref="O41" si="39">+I41-L41</f>
        <v>0</v>
      </c>
      <c r="P41" s="858">
        <f>+IFERROR(VLOOKUP(C41,'Equity - CIAP MA'!A:D,4,FALSE),0)</f>
        <v>0</v>
      </c>
      <c r="Q41" s="858">
        <f>+IFERROR(VLOOKUP(C41,'Equity - CIAP MA'!A:E,5,FALSE),0)</f>
        <v>0</v>
      </c>
      <c r="R41" s="1006">
        <f t="shared" ref="R41" si="40">+G41+J41-P41-Q41</f>
        <v>0</v>
      </c>
    </row>
    <row r="42" spans="2:18" x14ac:dyDescent="0.2">
      <c r="B42" s="635"/>
      <c r="C42" s="763"/>
      <c r="D42" s="178"/>
      <c r="E42" s="1119" t="e">
        <f t="shared" si="4"/>
        <v>#DIV/0!</v>
      </c>
      <c r="F42" s="226"/>
      <c r="G42" s="469"/>
      <c r="H42" s="766">
        <f t="shared" ref="H42" si="41">+G42*D42</f>
        <v>0</v>
      </c>
      <c r="I42" s="489">
        <f t="shared" ref="I42" si="42">F42-H42</f>
        <v>0</v>
      </c>
      <c r="J42" s="226"/>
      <c r="K42" s="637">
        <f t="shared" ref="K42" si="43">J42*D42</f>
        <v>0</v>
      </c>
      <c r="L42" s="595">
        <f t="shared" ref="L42" si="44">+F42-K42</f>
        <v>0</v>
      </c>
      <c r="M42" s="851"/>
      <c r="N42" s="1240"/>
      <c r="O42" s="1007">
        <f t="shared" ref="O42" si="45">+I42-L42</f>
        <v>0</v>
      </c>
      <c r="P42" s="858">
        <f>+IFERROR(VLOOKUP(C42,'Equity - CIAP MA'!A:D,4,FALSE),0)</f>
        <v>0</v>
      </c>
      <c r="Q42" s="858">
        <f>+IFERROR(VLOOKUP(C42,'Equity - CIAP MA'!A:E,5,FALSE),0)</f>
        <v>0</v>
      </c>
      <c r="R42" s="1006">
        <f t="shared" ref="R42" si="46">+G42+J42-P42-Q42</f>
        <v>0</v>
      </c>
    </row>
    <row r="43" spans="2:18" x14ac:dyDescent="0.2">
      <c r="B43" s="635"/>
      <c r="C43" s="763"/>
      <c r="D43" s="178"/>
      <c r="E43" s="1210" t="e">
        <f t="shared" si="4"/>
        <v>#DIV/0!</v>
      </c>
      <c r="F43" s="226"/>
      <c r="G43" s="469"/>
      <c r="H43" s="766">
        <f t="shared" ref="H43" si="47">+G43*D43</f>
        <v>0</v>
      </c>
      <c r="I43" s="489">
        <f t="shared" ref="I43" si="48">F43-H43</f>
        <v>0</v>
      </c>
      <c r="J43" s="226"/>
      <c r="K43" s="637">
        <f t="shared" ref="K43" si="49">J43*D43</f>
        <v>0</v>
      </c>
      <c r="L43" s="595">
        <f t="shared" ref="L43" si="50">+F43-K43</f>
        <v>0</v>
      </c>
      <c r="M43" s="851"/>
      <c r="N43" s="1240"/>
      <c r="O43" s="1007">
        <f t="shared" ref="O43" si="51">+I43-L43</f>
        <v>0</v>
      </c>
      <c r="P43" s="858">
        <f>+IFERROR(VLOOKUP(C43,'Equity - CIAP MA'!A:D,4,FALSE),0)</f>
        <v>0</v>
      </c>
      <c r="Q43" s="858">
        <f>+IFERROR(VLOOKUP(C43,'Equity - CIAP MA'!A:E,5,FALSE),0)</f>
        <v>0</v>
      </c>
      <c r="R43" s="1006">
        <f t="shared" ref="R43" si="52">+G43+J43-P43-Q43</f>
        <v>0</v>
      </c>
    </row>
    <row r="44" spans="2:18" x14ac:dyDescent="0.2">
      <c r="B44" s="635"/>
      <c r="C44" s="763"/>
      <c r="D44" s="178"/>
      <c r="E44" s="1210"/>
      <c r="F44" s="226"/>
      <c r="G44" s="469"/>
      <c r="H44" s="766">
        <f t="shared" ref="H44" si="53">+G44*D44</f>
        <v>0</v>
      </c>
      <c r="I44" s="489">
        <f t="shared" ref="I44" si="54">F44-H44</f>
        <v>0</v>
      </c>
      <c r="J44" s="226"/>
      <c r="K44" s="637">
        <f t="shared" ref="K44" si="55">J44*D44</f>
        <v>0</v>
      </c>
      <c r="L44" s="595">
        <f t="shared" ref="L44" si="56">+F44-K44</f>
        <v>0</v>
      </c>
      <c r="M44" s="851"/>
      <c r="N44" s="1240"/>
      <c r="O44" s="1007">
        <f t="shared" ref="O44" si="57">+I44-L44</f>
        <v>0</v>
      </c>
      <c r="P44" s="858">
        <f>+IFERROR(VLOOKUP(C44,'Equity - CIAP MA'!A:D,4,FALSE),0)</f>
        <v>0</v>
      </c>
      <c r="Q44" s="858">
        <f>+IFERROR(VLOOKUP(C44,'Equity - CIAP MA'!A:E,5,FALSE),0)</f>
        <v>0</v>
      </c>
      <c r="R44" s="1007">
        <f t="shared" ref="R44" si="58">+G44+J44-P44-Q44</f>
        <v>0</v>
      </c>
    </row>
    <row r="45" spans="2:18" x14ac:dyDescent="0.2">
      <c r="B45" s="635"/>
      <c r="C45" s="763"/>
      <c r="D45" s="178"/>
      <c r="E45" s="1119" t="e">
        <f t="shared" ref="E45:E48" si="59">+F45/D45</f>
        <v>#DIV/0!</v>
      </c>
      <c r="F45" s="226"/>
      <c r="G45" s="327"/>
      <c r="H45" s="766">
        <f t="shared" ref="H45" si="60">+G45*D45</f>
        <v>0</v>
      </c>
      <c r="I45" s="489">
        <f t="shared" ref="I45" si="61">F45-H45</f>
        <v>0</v>
      </c>
      <c r="J45" s="327"/>
      <c r="K45" s="637">
        <f t="shared" ref="K45" si="62">J45*D45</f>
        <v>0</v>
      </c>
      <c r="L45" s="595">
        <f t="shared" ref="L45" si="63">+F45-K45</f>
        <v>0</v>
      </c>
      <c r="M45" s="851"/>
      <c r="N45" s="1240"/>
      <c r="O45" s="1007">
        <f t="shared" si="9"/>
        <v>0</v>
      </c>
      <c r="P45" s="858">
        <f>+IFERROR(VLOOKUP(C45,'Equity - CIAP MA'!A:D,4,FALSE),0)</f>
        <v>0</v>
      </c>
      <c r="Q45" s="858">
        <f>+IFERROR(VLOOKUP(C45,'Equity - CIAP MA'!A:E,5,FALSE),0)</f>
        <v>0</v>
      </c>
      <c r="R45" s="1007">
        <f t="shared" ref="R45:R46" si="64">+G45+J45-P45-Q45</f>
        <v>0</v>
      </c>
    </row>
    <row r="46" spans="2:18" x14ac:dyDescent="0.2">
      <c r="B46" s="635"/>
      <c r="C46" s="763"/>
      <c r="D46" s="187"/>
      <c r="E46" s="1210" t="e">
        <f t="shared" si="4"/>
        <v>#DIV/0!</v>
      </c>
      <c r="F46" s="890"/>
      <c r="G46" s="187"/>
      <c r="H46" s="766">
        <f t="shared" ref="H46:H50" si="65">+G46*D46</f>
        <v>0</v>
      </c>
      <c r="I46" s="489">
        <f t="shared" ref="I46:I50" si="66">F46-H46</f>
        <v>0</v>
      </c>
      <c r="J46" s="1101"/>
      <c r="K46" s="637">
        <f t="shared" ref="K46:K50" si="67">J46*D46</f>
        <v>0</v>
      </c>
      <c r="L46" s="595">
        <f t="shared" ref="L46:L50" si="68">+F46-K46</f>
        <v>0</v>
      </c>
      <c r="M46" s="852"/>
      <c r="N46" s="1240"/>
      <c r="O46" s="1007">
        <f t="shared" si="9"/>
        <v>0</v>
      </c>
      <c r="P46" s="858">
        <f>+IFERROR(VLOOKUP(C46,'Equity - CIAP MA'!A:D,4,FALSE),0)</f>
        <v>0</v>
      </c>
      <c r="Q46" s="858">
        <f>+IFERROR(VLOOKUP(C46,'Equity - CIAP MA'!A:E,5,FALSE),0)</f>
        <v>0</v>
      </c>
      <c r="R46" s="1007">
        <f t="shared" si="64"/>
        <v>0</v>
      </c>
    </row>
    <row r="47" spans="2:18" x14ac:dyDescent="0.2">
      <c r="B47" s="635"/>
      <c r="C47" s="763"/>
      <c r="D47" s="187"/>
      <c r="E47" s="1119" t="e">
        <f t="shared" si="59"/>
        <v>#DIV/0!</v>
      </c>
      <c r="F47" s="890"/>
      <c r="G47" s="187"/>
      <c r="H47" s="766">
        <f t="shared" si="65"/>
        <v>0</v>
      </c>
      <c r="I47" s="489">
        <f t="shared" si="66"/>
        <v>0</v>
      </c>
      <c r="J47" s="1101"/>
      <c r="K47" s="637">
        <f t="shared" si="67"/>
        <v>0</v>
      </c>
      <c r="L47" s="595">
        <f t="shared" si="68"/>
        <v>0</v>
      </c>
      <c r="M47" s="852"/>
      <c r="N47" s="1240"/>
      <c r="O47" s="1007">
        <f t="shared" ref="O47" si="69">+I47-L47</f>
        <v>0</v>
      </c>
      <c r="P47" s="858">
        <f>+IFERROR(VLOOKUP(C47,'Equity - CIAP MA'!A:D,4,FALSE),0)</f>
        <v>0</v>
      </c>
      <c r="Q47" s="858">
        <f>+IFERROR(VLOOKUP(C47,'Equity - CIAP MA'!A:E,5,FALSE),0)</f>
        <v>0</v>
      </c>
      <c r="R47" s="1007">
        <f t="shared" ref="R47" si="70">+G47+J47-P47-Q47</f>
        <v>0</v>
      </c>
    </row>
    <row r="48" spans="2:18" x14ac:dyDescent="0.2">
      <c r="B48" s="635"/>
      <c r="C48" s="763"/>
      <c r="D48" s="187"/>
      <c r="E48" s="1119" t="e">
        <f t="shared" si="59"/>
        <v>#DIV/0!</v>
      </c>
      <c r="F48" s="890"/>
      <c r="G48" s="187"/>
      <c r="H48" s="766">
        <f t="shared" si="65"/>
        <v>0</v>
      </c>
      <c r="I48" s="489">
        <f t="shared" si="66"/>
        <v>0</v>
      </c>
      <c r="J48" s="1101"/>
      <c r="K48" s="637">
        <f t="shared" si="67"/>
        <v>0</v>
      </c>
      <c r="L48" s="595">
        <f t="shared" si="68"/>
        <v>0</v>
      </c>
      <c r="M48" s="852"/>
      <c r="N48" s="1240"/>
      <c r="O48" s="1007">
        <f t="shared" ref="O48" si="71">+I48-L48</f>
        <v>0</v>
      </c>
      <c r="P48" s="858">
        <f>+IFERROR(VLOOKUP(C48,'Equity - CIAP MA'!A:D,4,FALSE),0)</f>
        <v>0</v>
      </c>
      <c r="Q48" s="858">
        <f>+IFERROR(VLOOKUP(C48,'Equity - CIAP MA'!A:E,5,FALSE),0)</f>
        <v>0</v>
      </c>
      <c r="R48" s="1007">
        <f t="shared" ref="R48" si="72">+G48+J48-P48-Q48</f>
        <v>0</v>
      </c>
    </row>
    <row r="49" spans="2:18" x14ac:dyDescent="0.2">
      <c r="B49" s="635"/>
      <c r="C49" s="763"/>
      <c r="D49" s="187"/>
      <c r="E49" s="708"/>
      <c r="F49" s="890"/>
      <c r="G49" s="187"/>
      <c r="H49" s="766">
        <f t="shared" si="65"/>
        <v>0</v>
      </c>
      <c r="I49" s="489">
        <f t="shared" si="66"/>
        <v>0</v>
      </c>
      <c r="J49" s="1101"/>
      <c r="K49" s="637">
        <f t="shared" si="67"/>
        <v>0</v>
      </c>
      <c r="L49" s="595">
        <f t="shared" si="68"/>
        <v>0</v>
      </c>
      <c r="M49" s="852"/>
      <c r="N49" s="1240"/>
      <c r="O49" s="1007"/>
      <c r="P49"/>
      <c r="Q49"/>
      <c r="R49"/>
    </row>
    <row r="50" spans="2:18" x14ac:dyDescent="0.2">
      <c r="B50" s="635"/>
      <c r="C50" s="763"/>
      <c r="D50" s="187"/>
      <c r="E50" s="708">
        <v>91.524190459012246</v>
      </c>
      <c r="F50" s="890">
        <v>0</v>
      </c>
      <c r="G50" s="187"/>
      <c r="H50" s="766">
        <f t="shared" si="65"/>
        <v>0</v>
      </c>
      <c r="I50" s="489">
        <f t="shared" si="66"/>
        <v>0</v>
      </c>
      <c r="J50" s="1101"/>
      <c r="K50" s="637">
        <f t="shared" si="67"/>
        <v>0</v>
      </c>
      <c r="L50" s="595">
        <f t="shared" si="68"/>
        <v>0</v>
      </c>
      <c r="M50" s="852"/>
      <c r="N50" s="1240"/>
      <c r="O50" s="1007"/>
      <c r="P50"/>
      <c r="Q50"/>
      <c r="R50"/>
    </row>
    <row r="51" spans="2:18" x14ac:dyDescent="0.2">
      <c r="B51" s="635"/>
      <c r="C51" s="763"/>
      <c r="D51" s="187"/>
      <c r="E51" s="708"/>
      <c r="F51" s="890"/>
      <c r="G51" s="639"/>
      <c r="H51" s="766">
        <f t="shared" si="0"/>
        <v>0</v>
      </c>
      <c r="I51" s="489">
        <f t="shared" si="1"/>
        <v>0</v>
      </c>
      <c r="J51" s="640"/>
      <c r="K51" s="637">
        <f t="shared" si="2"/>
        <v>0</v>
      </c>
      <c r="L51" s="595">
        <f t="shared" si="3"/>
        <v>0</v>
      </c>
      <c r="M51" s="852"/>
      <c r="N51" s="1240"/>
      <c r="O51" s="1007">
        <f t="shared" ref="O51" si="73">+I51-L51</f>
        <v>0</v>
      </c>
      <c r="P51"/>
      <c r="Q51"/>
      <c r="R51"/>
    </row>
    <row r="52" spans="2:18" ht="12.75" thickBot="1" x14ac:dyDescent="0.25">
      <c r="B52" s="1102"/>
      <c r="C52" s="641"/>
      <c r="D52" s="642"/>
      <c r="E52" s="643"/>
      <c r="F52" s="643"/>
      <c r="G52" s="643"/>
      <c r="H52" s="643"/>
      <c r="I52" s="643"/>
      <c r="J52" s="643"/>
      <c r="K52" s="643"/>
      <c r="L52" s="839">
        <f>SUM(L33:L50)</f>
        <v>-7643876.1400000108</v>
      </c>
      <c r="M52" s="853"/>
      <c r="N52" s="1244"/>
      <c r="O52"/>
      <c r="P52"/>
      <c r="Q52"/>
      <c r="R52"/>
    </row>
    <row r="53" spans="2:18" x14ac:dyDescent="0.2">
      <c r="F53" s="148"/>
      <c r="N53" s="866"/>
      <c r="O53"/>
      <c r="P53"/>
      <c r="Q53"/>
      <c r="R53"/>
    </row>
    <row r="54" spans="2:18" x14ac:dyDescent="0.2">
      <c r="C54" s="149"/>
      <c r="D54" s="316"/>
      <c r="E54" s="149"/>
      <c r="F54" s="314"/>
      <c r="N54" s="866"/>
      <c r="O54"/>
      <c r="P54"/>
      <c r="Q54"/>
      <c r="R54"/>
    </row>
    <row r="55" spans="2:18" x14ac:dyDescent="0.2">
      <c r="F55" s="148"/>
    </row>
    <row r="57" spans="2:18" x14ac:dyDescent="0.2">
      <c r="C57" s="145"/>
    </row>
    <row r="203" spans="4:6" x14ac:dyDescent="0.2">
      <c r="D203" s="149">
        <f>SUM(D194:D202)</f>
        <v>0</v>
      </c>
      <c r="F203" s="149">
        <f>SUM(F194:F202)</f>
        <v>0</v>
      </c>
    </row>
  </sheetData>
  <mergeCells count="4">
    <mergeCell ref="B5:G5"/>
    <mergeCell ref="B30:M30"/>
    <mergeCell ref="G31:I31"/>
    <mergeCell ref="J31:L31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1306"/>
  <sheetViews>
    <sheetView topLeftCell="A258" zoomScaleSheetLayoutView="100" workbookViewId="0">
      <selection activeCell="B278" sqref="B278"/>
    </sheetView>
  </sheetViews>
  <sheetFormatPr defaultColWidth="9" defaultRowHeight="12.75" x14ac:dyDescent="0.2"/>
  <cols>
    <col min="1" max="1" width="2.625" style="733" customWidth="1"/>
    <col min="2" max="2" width="10.875" style="736" bestFit="1" customWidth="1"/>
    <col min="3" max="3" width="10.125" style="638" bestFit="1" customWidth="1"/>
    <col min="4" max="4" width="12.625" style="866" bestFit="1" customWidth="1"/>
    <col min="5" max="5" width="13.75" style="1260" bestFit="1" customWidth="1"/>
    <col min="6" max="6" width="15.5" style="871" bestFit="1" customWidth="1"/>
    <col min="7" max="7" width="12.75" style="733" bestFit="1" customWidth="1"/>
    <col min="8" max="8" width="15.5" style="868" bestFit="1" customWidth="1"/>
    <col min="9" max="9" width="11.75" style="733" bestFit="1" customWidth="1"/>
    <col min="10" max="16384" width="9" style="733"/>
  </cols>
  <sheetData>
    <row r="1" spans="2:8" x14ac:dyDescent="0.2">
      <c r="B1" s="734" t="s">
        <v>170</v>
      </c>
      <c r="D1" s="873"/>
      <c r="E1" s="1258"/>
      <c r="F1" s="870"/>
    </row>
    <row r="2" spans="2:8" x14ac:dyDescent="0.2">
      <c r="B2" s="734" t="s">
        <v>192</v>
      </c>
      <c r="D2" s="873"/>
      <c r="E2" s="1258"/>
      <c r="F2" s="870"/>
    </row>
    <row r="3" spans="2:8" x14ac:dyDescent="0.2">
      <c r="B3" s="734" t="s">
        <v>193</v>
      </c>
      <c r="D3" s="873"/>
      <c r="E3" s="1258"/>
      <c r="F3" s="870"/>
    </row>
    <row r="4" spans="2:8" x14ac:dyDescent="0.2">
      <c r="B4" s="735"/>
      <c r="D4" s="873"/>
      <c r="E4" s="1258"/>
      <c r="F4" s="870"/>
    </row>
    <row r="5" spans="2:8" x14ac:dyDescent="0.2">
      <c r="D5" s="865"/>
      <c r="E5" s="1258"/>
      <c r="F5" s="870"/>
    </row>
    <row r="6" spans="2:8" x14ac:dyDescent="0.2">
      <c r="D6" s="865"/>
      <c r="E6" s="1258"/>
      <c r="F6" s="870"/>
    </row>
    <row r="7" spans="2:8" x14ac:dyDescent="0.2">
      <c r="B7" s="728" t="s">
        <v>172</v>
      </c>
      <c r="C7" s="728" t="s">
        <v>67</v>
      </c>
      <c r="D7" s="1246" t="s">
        <v>173</v>
      </c>
      <c r="E7" s="1259" t="s">
        <v>23</v>
      </c>
      <c r="F7" s="1247" t="s">
        <v>2</v>
      </c>
      <c r="G7" s="728" t="s">
        <v>174</v>
      </c>
      <c r="H7" s="875" t="s">
        <v>428</v>
      </c>
    </row>
    <row r="8" spans="2:8" x14ac:dyDescent="0.2">
      <c r="B8" s="729"/>
      <c r="G8" s="729"/>
    </row>
    <row r="9" spans="2:8" x14ac:dyDescent="0.2">
      <c r="B9"/>
      <c r="G9"/>
      <c r="H9" s="876"/>
    </row>
    <row r="10" spans="2:8" ht="15" x14ac:dyDescent="0.25">
      <c r="B10" s="1012" t="s">
        <v>158</v>
      </c>
      <c r="C10" s="638">
        <v>44564</v>
      </c>
      <c r="D10" s="287">
        <v>25000</v>
      </c>
      <c r="E10" s="1261">
        <f>+F10/D10</f>
        <v>154.1105432</v>
      </c>
      <c r="F10" s="595">
        <v>3852763.58</v>
      </c>
      <c r="G10" s="751" t="s">
        <v>846</v>
      </c>
      <c r="H10" s="1116">
        <v>6530.44</v>
      </c>
    </row>
    <row r="11" spans="2:8" ht="15" x14ac:dyDescent="0.25">
      <c r="B11" s="1012" t="s">
        <v>158</v>
      </c>
      <c r="C11" s="638">
        <v>44568</v>
      </c>
      <c r="D11" s="287">
        <v>25000</v>
      </c>
      <c r="E11" s="1261">
        <f t="shared" ref="E11:E14" si="0">+F11/D11</f>
        <v>155.16862399999999</v>
      </c>
      <c r="F11" s="595">
        <v>3879215.5999999996</v>
      </c>
      <c r="G11" s="751" t="s">
        <v>849</v>
      </c>
      <c r="H11" s="1116">
        <v>6575.73</v>
      </c>
    </row>
    <row r="12" spans="2:8" ht="15" x14ac:dyDescent="0.25">
      <c r="B12" s="1012" t="s">
        <v>158</v>
      </c>
      <c r="C12" s="638">
        <v>44572</v>
      </c>
      <c r="D12" s="287">
        <v>50000</v>
      </c>
      <c r="E12" s="1261">
        <f t="shared" si="0"/>
        <v>162.4646716</v>
      </c>
      <c r="F12" s="595">
        <v>8123233.5800000001</v>
      </c>
      <c r="G12" s="751" t="s">
        <v>493</v>
      </c>
      <c r="H12" s="1116">
        <v>13770.9128</v>
      </c>
    </row>
    <row r="13" spans="2:8" ht="15" x14ac:dyDescent="0.25">
      <c r="B13" s="1012" t="s">
        <v>158</v>
      </c>
      <c r="C13" s="638">
        <v>44574</v>
      </c>
      <c r="D13" s="287">
        <v>50000</v>
      </c>
      <c r="E13" s="1261">
        <f t="shared" si="0"/>
        <v>162.03512900000001</v>
      </c>
      <c r="F13" s="595">
        <v>8101756.4500000002</v>
      </c>
      <c r="G13" s="751" t="s">
        <v>518</v>
      </c>
      <c r="H13" s="1116">
        <v>13732.8</v>
      </c>
    </row>
    <row r="14" spans="2:8" ht="15" x14ac:dyDescent="0.25">
      <c r="B14" s="1012" t="s">
        <v>158</v>
      </c>
      <c r="C14" s="638">
        <v>44578</v>
      </c>
      <c r="D14" s="287">
        <v>25000</v>
      </c>
      <c r="E14" s="1261">
        <f t="shared" si="0"/>
        <v>162.69152080000001</v>
      </c>
      <c r="F14" s="595">
        <v>4067288.02</v>
      </c>
      <c r="G14" s="751" t="s">
        <v>846</v>
      </c>
      <c r="H14" s="1116">
        <v>6894.05</v>
      </c>
    </row>
    <row r="15" spans="2:8" ht="15" x14ac:dyDescent="0.25">
      <c r="B15" s="1012"/>
      <c r="D15" s="287"/>
      <c r="E15" s="1261"/>
      <c r="F15" s="595"/>
      <c r="G15" s="751"/>
      <c r="H15" s="1116"/>
    </row>
    <row r="16" spans="2:8" ht="13.5" thickBot="1" x14ac:dyDescent="0.25">
      <c r="B16" s="1012"/>
      <c r="D16" s="867">
        <f>+SUM(D10:D15)</f>
        <v>175000</v>
      </c>
      <c r="F16" s="867">
        <f>+SUM(F10:F15)</f>
        <v>28024257.23</v>
      </c>
      <c r="G16"/>
      <c r="H16" s="867">
        <f>+SUM(H10:H15)</f>
        <v>47503.932799999995</v>
      </c>
    </row>
    <row r="17" spans="2:12" ht="15.75" thickTop="1" x14ac:dyDescent="0.25">
      <c r="B17" s="1012"/>
      <c r="D17" s="287"/>
      <c r="E17" s="1261"/>
      <c r="F17" s="595"/>
      <c r="G17" s="751"/>
      <c r="H17" s="1116"/>
    </row>
    <row r="18" spans="2:12" ht="15" x14ac:dyDescent="0.25">
      <c r="B18" s="1012" t="s">
        <v>148</v>
      </c>
      <c r="C18" s="638">
        <v>44564</v>
      </c>
      <c r="D18" s="287">
        <v>5000</v>
      </c>
      <c r="E18" s="1261">
        <f>+F18/D18</f>
        <v>383.87759999999997</v>
      </c>
      <c r="F18" s="595">
        <v>1919387.9999999998</v>
      </c>
      <c r="G18" s="751" t="s">
        <v>846</v>
      </c>
      <c r="H18" s="1116">
        <v>3253.3599999999997</v>
      </c>
    </row>
    <row r="19" spans="2:12" ht="15" x14ac:dyDescent="0.25">
      <c r="B19" s="1012" t="s">
        <v>148</v>
      </c>
      <c r="C19" s="638">
        <v>44566</v>
      </c>
      <c r="D19" s="287">
        <v>5000</v>
      </c>
      <c r="E19" s="1261">
        <f t="shared" ref="E19:E27" si="1">+F19/D19</f>
        <v>380.45319999999998</v>
      </c>
      <c r="F19" s="595">
        <v>1902266</v>
      </c>
      <c r="G19" s="751" t="s">
        <v>505</v>
      </c>
      <c r="H19" s="1116">
        <v>3224.3399999999997</v>
      </c>
    </row>
    <row r="20" spans="2:12" ht="15" x14ac:dyDescent="0.25">
      <c r="B20" s="1012" t="s">
        <v>148</v>
      </c>
      <c r="C20" s="638">
        <v>44567</v>
      </c>
      <c r="D20" s="287">
        <v>2000</v>
      </c>
      <c r="E20" s="1261">
        <f t="shared" si="1"/>
        <v>379.40600000000001</v>
      </c>
      <c r="F20" s="595">
        <v>758812</v>
      </c>
      <c r="G20" s="751" t="s">
        <v>685</v>
      </c>
      <c r="H20" s="1116">
        <v>1286.19</v>
      </c>
    </row>
    <row r="21" spans="2:12" ht="15" x14ac:dyDescent="0.25">
      <c r="B21" s="1012" t="s">
        <v>148</v>
      </c>
      <c r="C21" s="638">
        <v>44568</v>
      </c>
      <c r="D21" s="287">
        <v>5000</v>
      </c>
      <c r="E21" s="1261">
        <f t="shared" si="1"/>
        <v>380.10919999999999</v>
      </c>
      <c r="F21" s="595">
        <v>1900546</v>
      </c>
      <c r="G21" s="751" t="s">
        <v>846</v>
      </c>
      <c r="H21" s="1116">
        <v>3221.4300000000003</v>
      </c>
    </row>
    <row r="22" spans="2:12" ht="15" x14ac:dyDescent="0.25">
      <c r="B22" s="1012" t="s">
        <v>148</v>
      </c>
      <c r="C22" s="638">
        <v>44571</v>
      </c>
      <c r="D22" s="287">
        <v>20000</v>
      </c>
      <c r="E22" s="1261">
        <f t="shared" si="1"/>
        <v>387.89830000000001</v>
      </c>
      <c r="F22" s="595">
        <v>7757966</v>
      </c>
      <c r="G22" s="751" t="s">
        <v>685</v>
      </c>
      <c r="H22" s="1116">
        <v>13149.75</v>
      </c>
    </row>
    <row r="23" spans="2:12" ht="15" x14ac:dyDescent="0.25">
      <c r="B23" s="1012" t="s">
        <v>148</v>
      </c>
      <c r="C23" s="638">
        <v>44572</v>
      </c>
      <c r="D23" s="287">
        <v>22000</v>
      </c>
      <c r="E23" s="1261">
        <f t="shared" si="1"/>
        <v>385.64340909090907</v>
      </c>
      <c r="F23" s="595">
        <v>8484155</v>
      </c>
      <c r="G23" s="751" t="s">
        <v>526</v>
      </c>
      <c r="H23" s="1116">
        <v>14380.64</v>
      </c>
    </row>
    <row r="24" spans="2:12" ht="15" x14ac:dyDescent="0.25">
      <c r="B24" s="1012" t="s">
        <v>148</v>
      </c>
      <c r="C24" s="638">
        <v>44573</v>
      </c>
      <c r="D24" s="287">
        <v>10000</v>
      </c>
      <c r="E24" s="1261">
        <f t="shared" si="1"/>
        <v>388.71519999999998</v>
      </c>
      <c r="F24" s="595">
        <v>3887152</v>
      </c>
      <c r="G24" s="751" t="s">
        <v>518</v>
      </c>
      <c r="H24" s="1116">
        <v>6588.78</v>
      </c>
    </row>
    <row r="25" spans="2:12" ht="15" x14ac:dyDescent="0.25">
      <c r="B25" s="1012" t="s">
        <v>148</v>
      </c>
      <c r="C25" s="638">
        <v>44574</v>
      </c>
      <c r="D25" s="287">
        <v>5000</v>
      </c>
      <c r="E25" s="1261">
        <f t="shared" si="1"/>
        <v>390.55220000000003</v>
      </c>
      <c r="F25" s="595">
        <v>1952761.0000000002</v>
      </c>
      <c r="G25" s="751" t="s">
        <v>854</v>
      </c>
      <c r="H25" s="1116">
        <v>3309.93</v>
      </c>
    </row>
    <row r="26" spans="2:12" ht="15" x14ac:dyDescent="0.25">
      <c r="B26" s="1012" t="s">
        <v>148</v>
      </c>
      <c r="C26" s="638">
        <v>44578</v>
      </c>
      <c r="D26" s="287">
        <v>10000</v>
      </c>
      <c r="E26" s="1261">
        <f t="shared" si="1"/>
        <v>390.22770000000003</v>
      </c>
      <c r="F26" s="595">
        <v>3902277.0000000005</v>
      </c>
      <c r="G26" s="751" t="s">
        <v>685</v>
      </c>
      <c r="H26" s="1116">
        <v>6614.3600000000006</v>
      </c>
      <c r="J26" s="1303"/>
      <c r="K26" s="1303"/>
      <c r="L26" s="1303"/>
    </row>
    <row r="27" spans="2:12" ht="15" x14ac:dyDescent="0.25">
      <c r="B27" s="1012" t="s">
        <v>148</v>
      </c>
      <c r="C27" s="638">
        <v>44603</v>
      </c>
      <c r="D27" s="287">
        <v>7500</v>
      </c>
      <c r="E27" s="1261">
        <f t="shared" si="1"/>
        <v>369.47346666666664</v>
      </c>
      <c r="F27" s="595">
        <v>2771051</v>
      </c>
      <c r="G27" s="751" t="s">
        <v>729</v>
      </c>
      <c r="H27" s="1116">
        <v>4696.9265000000005</v>
      </c>
    </row>
    <row r="28" spans="2:12" ht="15" x14ac:dyDescent="0.25">
      <c r="B28" s="1012" t="s">
        <v>148</v>
      </c>
      <c r="C28" s="638">
        <v>44606</v>
      </c>
      <c r="D28" s="287">
        <v>5000</v>
      </c>
      <c r="E28" s="1261">
        <f>+F28/D28</f>
        <v>359.98939999999999</v>
      </c>
      <c r="F28" s="595">
        <v>1799947</v>
      </c>
      <c r="G28" s="751" t="s">
        <v>725</v>
      </c>
      <c r="H28" s="1116">
        <v>3050.9404999999997</v>
      </c>
    </row>
    <row r="29" spans="2:12" ht="15" x14ac:dyDescent="0.25">
      <c r="B29" s="1012" t="s">
        <v>148</v>
      </c>
      <c r="C29" s="638">
        <v>44610</v>
      </c>
      <c r="D29" s="287">
        <v>3800</v>
      </c>
      <c r="E29" s="1261">
        <f>+F29/D29</f>
        <v>363.05078947368423</v>
      </c>
      <c r="F29" s="595">
        <v>1379593</v>
      </c>
      <c r="G29" s="751" t="s">
        <v>729</v>
      </c>
      <c r="H29" s="1116">
        <v>2338.4095000000002</v>
      </c>
    </row>
    <row r="30" spans="2:12" ht="15" x14ac:dyDescent="0.25">
      <c r="B30" s="1012" t="s">
        <v>148</v>
      </c>
      <c r="C30" s="638">
        <v>44649</v>
      </c>
      <c r="D30" s="287">
        <v>15000</v>
      </c>
      <c r="E30" s="1261">
        <f t="shared" ref="E30" si="2">+F30/D30</f>
        <v>362.12279999999998</v>
      </c>
      <c r="F30" s="595">
        <v>5431842</v>
      </c>
      <c r="G30" s="751" t="s">
        <v>493</v>
      </c>
      <c r="H30" s="1116">
        <v>9207.16</v>
      </c>
    </row>
    <row r="31" spans="2:12" ht="15" x14ac:dyDescent="0.25">
      <c r="B31" s="1012" t="s">
        <v>148</v>
      </c>
      <c r="C31" s="638">
        <v>44650</v>
      </c>
      <c r="D31" s="287">
        <v>15000</v>
      </c>
      <c r="E31" s="1261">
        <f>+F31/D31</f>
        <v>361.21620000000001</v>
      </c>
      <c r="F31" s="595">
        <v>5418243</v>
      </c>
      <c r="G31" s="751" t="s">
        <v>910</v>
      </c>
      <c r="H31" s="1116">
        <v>9184.1400000000012</v>
      </c>
    </row>
    <row r="32" spans="2:12" ht="15" x14ac:dyDescent="0.25">
      <c r="B32" s="1012" t="s">
        <v>148</v>
      </c>
      <c r="C32" s="638">
        <v>44662</v>
      </c>
      <c r="D32" s="287">
        <v>18500</v>
      </c>
      <c r="E32" s="1261">
        <f>+F32/D32</f>
        <v>379.59702702702702</v>
      </c>
      <c r="F32" s="595">
        <v>7022545</v>
      </c>
      <c r="G32" s="751" t="s">
        <v>504</v>
      </c>
      <c r="H32" s="1116">
        <v>11903.22</v>
      </c>
    </row>
    <row r="33" spans="2:8" ht="15" x14ac:dyDescent="0.25">
      <c r="B33" s="1012" t="s">
        <v>148</v>
      </c>
      <c r="C33" s="638">
        <v>44663</v>
      </c>
      <c r="D33" s="287">
        <v>10000</v>
      </c>
      <c r="E33" s="1261">
        <f>+F33/D33</f>
        <v>379.66460000000001</v>
      </c>
      <c r="F33" s="595">
        <v>3796646</v>
      </c>
      <c r="G33" s="751" t="s">
        <v>505</v>
      </c>
      <c r="H33" s="1116">
        <v>6435.3166666666684</v>
      </c>
    </row>
    <row r="34" spans="2:8" ht="15" x14ac:dyDescent="0.25">
      <c r="B34" s="1012" t="s">
        <v>148</v>
      </c>
      <c r="C34" s="638">
        <v>44665</v>
      </c>
      <c r="D34" s="287">
        <v>20000</v>
      </c>
      <c r="E34" s="1261">
        <f>+F34/D34</f>
        <v>387.06225000000001</v>
      </c>
      <c r="F34" s="595">
        <v>7741245</v>
      </c>
      <c r="G34" s="751" t="s">
        <v>846</v>
      </c>
      <c r="H34" s="1116">
        <v>13121.41</v>
      </c>
    </row>
    <row r="35" spans="2:8" ht="15" x14ac:dyDescent="0.25">
      <c r="B35" s="1012" t="s">
        <v>148</v>
      </c>
      <c r="C35" s="638">
        <v>44666</v>
      </c>
      <c r="D35" s="287">
        <v>1250</v>
      </c>
      <c r="E35" s="1261">
        <f t="shared" ref="E35" si="3">+F35/D35</f>
        <v>386.75319999999999</v>
      </c>
      <c r="F35" s="595">
        <v>483441.5</v>
      </c>
      <c r="G35" s="751" t="s">
        <v>505</v>
      </c>
      <c r="H35" s="1116">
        <v>819.43</v>
      </c>
    </row>
    <row r="36" spans="2:8" ht="15" x14ac:dyDescent="0.25">
      <c r="B36" s="1012" t="s">
        <v>148</v>
      </c>
      <c r="C36" s="638">
        <v>44669</v>
      </c>
      <c r="D36" s="287">
        <v>5000</v>
      </c>
      <c r="E36" s="1261">
        <f>+F36/D36</f>
        <v>388.64240000000001</v>
      </c>
      <c r="F36" s="595">
        <v>1943212</v>
      </c>
      <c r="G36" s="751" t="s">
        <v>505</v>
      </c>
      <c r="H36" s="1116">
        <v>3293.75</v>
      </c>
    </row>
    <row r="37" spans="2:8" ht="15" x14ac:dyDescent="0.25">
      <c r="B37" s="1012" t="s">
        <v>148</v>
      </c>
      <c r="C37" s="638">
        <v>44673</v>
      </c>
      <c r="D37" s="287">
        <v>5000</v>
      </c>
      <c r="E37" s="1261">
        <f>+F37/D37</f>
        <v>374.50880000000001</v>
      </c>
      <c r="F37" s="595">
        <v>1872544</v>
      </c>
      <c r="G37" s="751" t="s">
        <v>849</v>
      </c>
      <c r="H37" s="1116">
        <v>3174.0699999999997</v>
      </c>
    </row>
    <row r="38" spans="2:8" ht="15" x14ac:dyDescent="0.25">
      <c r="B38" s="1012" t="s">
        <v>148</v>
      </c>
      <c r="C38" s="638">
        <v>44694</v>
      </c>
      <c r="D38" s="287">
        <v>7000</v>
      </c>
      <c r="E38" s="1261">
        <f t="shared" ref="E38:E41" si="4">+F38/D38</f>
        <v>353.36157142857144</v>
      </c>
      <c r="F38" s="595">
        <v>2473531</v>
      </c>
      <c r="G38" s="751" t="s">
        <v>846</v>
      </c>
      <c r="H38" s="1116">
        <v>4192.6400000000003</v>
      </c>
    </row>
    <row r="39" spans="2:8" ht="15" x14ac:dyDescent="0.25">
      <c r="B39" s="1012" t="s">
        <v>148</v>
      </c>
      <c r="C39" s="638">
        <v>44701</v>
      </c>
      <c r="D39" s="287">
        <v>1000</v>
      </c>
      <c r="E39" s="1261">
        <f t="shared" si="4"/>
        <v>347.34300000000002</v>
      </c>
      <c r="F39" s="595">
        <v>347343</v>
      </c>
      <c r="G39" s="751" t="s">
        <v>505</v>
      </c>
      <c r="H39" s="1116">
        <v>588.74</v>
      </c>
    </row>
    <row r="40" spans="2:8" ht="15" x14ac:dyDescent="0.25">
      <c r="B40" s="1012" t="s">
        <v>148</v>
      </c>
      <c r="C40" s="638">
        <v>44704</v>
      </c>
      <c r="D40" s="287">
        <v>3000</v>
      </c>
      <c r="E40" s="1261">
        <f t="shared" si="4"/>
        <v>339.87950000000001</v>
      </c>
      <c r="F40" s="595">
        <v>1019638.5</v>
      </c>
      <c r="G40" s="751" t="s">
        <v>689</v>
      </c>
      <c r="H40" s="1116">
        <v>1728.2900000000002</v>
      </c>
    </row>
    <row r="41" spans="2:8" ht="15" x14ac:dyDescent="0.25">
      <c r="B41" s="1012" t="s">
        <v>148</v>
      </c>
      <c r="C41" s="638">
        <v>44706</v>
      </c>
      <c r="D41" s="287">
        <v>5000</v>
      </c>
      <c r="E41" s="1261">
        <f t="shared" si="4"/>
        <v>327.99400000000003</v>
      </c>
      <c r="F41" s="595">
        <v>1639970.0000000002</v>
      </c>
      <c r="G41" s="751" t="s">
        <v>504</v>
      </c>
      <c r="H41" s="1116">
        <v>2779.7449999999999</v>
      </c>
    </row>
    <row r="42" spans="2:8" ht="15" x14ac:dyDescent="0.25">
      <c r="B42" s="1012" t="s">
        <v>148</v>
      </c>
      <c r="C42" s="638">
        <v>44711</v>
      </c>
      <c r="D42" s="287">
        <v>1200</v>
      </c>
      <c r="E42" s="1261">
        <f>+F42/D42</f>
        <v>328.69499999999999</v>
      </c>
      <c r="F42" s="595">
        <v>394434</v>
      </c>
      <c r="G42" s="751" t="s">
        <v>494</v>
      </c>
      <c r="H42" s="1116">
        <v>668.56</v>
      </c>
    </row>
    <row r="43" spans="2:8" ht="15" x14ac:dyDescent="0.25">
      <c r="B43" s="1012" t="s">
        <v>148</v>
      </c>
      <c r="C43" s="638">
        <v>44715</v>
      </c>
      <c r="D43" s="287">
        <v>5000</v>
      </c>
      <c r="E43" s="1261">
        <f t="shared" ref="E43:E44" si="5">+F43/D43</f>
        <v>290.17829999999998</v>
      </c>
      <c r="F43" s="595">
        <v>1450891.5</v>
      </c>
      <c r="G43" s="751" t="s">
        <v>505</v>
      </c>
      <c r="H43" s="1116">
        <v>2459.2550000000001</v>
      </c>
    </row>
    <row r="44" spans="2:8" ht="15" x14ac:dyDescent="0.25">
      <c r="B44" s="1012" t="s">
        <v>148</v>
      </c>
      <c r="C44" s="638">
        <v>44732</v>
      </c>
      <c r="D44" s="287">
        <v>2500</v>
      </c>
      <c r="E44" s="1261">
        <f t="shared" si="5"/>
        <v>269.98599999999999</v>
      </c>
      <c r="F44" s="595">
        <v>674965</v>
      </c>
      <c r="G44" s="751" t="s">
        <v>846</v>
      </c>
      <c r="H44" s="1116">
        <v>1144.0700000000002</v>
      </c>
    </row>
    <row r="45" spans="2:8" ht="15" x14ac:dyDescent="0.25">
      <c r="B45" s="1012" t="s">
        <v>148</v>
      </c>
      <c r="C45" s="638">
        <v>44733</v>
      </c>
      <c r="D45" s="287">
        <v>10000</v>
      </c>
      <c r="E45" s="1261">
        <f>+F45/D45</f>
        <v>275.86660000000001</v>
      </c>
      <c r="F45" s="595">
        <v>2758666</v>
      </c>
      <c r="G45" s="751" t="s">
        <v>505</v>
      </c>
      <c r="H45" s="1116">
        <v>4675.9400000000005</v>
      </c>
    </row>
    <row r="46" spans="2:8" ht="15" x14ac:dyDescent="0.25">
      <c r="B46" s="1012" t="s">
        <v>148</v>
      </c>
      <c r="C46" s="638">
        <v>44739</v>
      </c>
      <c r="D46" s="287">
        <v>5000</v>
      </c>
      <c r="E46" s="1261">
        <f>+F46/D46</f>
        <v>261.7364</v>
      </c>
      <c r="F46" s="595">
        <v>1308682</v>
      </c>
      <c r="G46" s="751" t="s">
        <v>689</v>
      </c>
      <c r="H46" s="1116">
        <v>2218.21</v>
      </c>
    </row>
    <row r="47" spans="2:8" ht="15" x14ac:dyDescent="0.25">
      <c r="B47" s="1012" t="s">
        <v>148</v>
      </c>
      <c r="C47" s="638">
        <v>44746</v>
      </c>
      <c r="D47" s="287">
        <v>5000</v>
      </c>
      <c r="E47" s="1261">
        <f>+F47/D47</f>
        <v>270.67399999999998</v>
      </c>
      <c r="F47" s="595">
        <v>1353370</v>
      </c>
      <c r="G47" s="751" t="s">
        <v>689</v>
      </c>
      <c r="H47" s="1116">
        <v>2293.9699999999998</v>
      </c>
    </row>
    <row r="48" spans="2:8" ht="15" x14ac:dyDescent="0.25">
      <c r="B48" s="1012" t="s">
        <v>148</v>
      </c>
      <c r="C48" s="638">
        <v>44756</v>
      </c>
      <c r="D48" s="287">
        <v>5000</v>
      </c>
      <c r="E48" s="1261">
        <f>+F48/D48</f>
        <v>265.15960000000001</v>
      </c>
      <c r="F48" s="595">
        <v>1325798</v>
      </c>
      <c r="G48" s="751" t="s">
        <v>436</v>
      </c>
      <c r="H48" s="1116">
        <v>2247.3150000000001</v>
      </c>
    </row>
    <row r="49" spans="2:9" x14ac:dyDescent="0.2">
      <c r="B49" s="750" t="s">
        <v>148</v>
      </c>
      <c r="C49" s="638">
        <v>44757</v>
      </c>
      <c r="D49" s="595">
        <v>3000</v>
      </c>
      <c r="E49" s="1120">
        <f t="shared" ref="E49:E50" si="6">+F49/D49</f>
        <v>263.55183333333332</v>
      </c>
      <c r="F49" s="595">
        <v>790655.5</v>
      </c>
      <c r="G49" s="1012" t="s">
        <v>436</v>
      </c>
      <c r="H49" s="1245">
        <v>1340.3153846153846</v>
      </c>
    </row>
    <row r="50" spans="2:9" x14ac:dyDescent="0.2">
      <c r="B50" s="750" t="s">
        <v>148</v>
      </c>
      <c r="C50" s="638">
        <v>44760</v>
      </c>
      <c r="D50" s="595">
        <v>5000</v>
      </c>
      <c r="E50" s="1120">
        <f t="shared" si="6"/>
        <v>262.81650000000002</v>
      </c>
      <c r="F50" s="595">
        <v>1314082.5</v>
      </c>
      <c r="G50" s="1012" t="s">
        <v>504</v>
      </c>
      <c r="H50" s="1245">
        <v>2227.3653846153848</v>
      </c>
      <c r="I50"/>
    </row>
    <row r="51" spans="2:9" ht="15" x14ac:dyDescent="0.25">
      <c r="B51" s="1012"/>
      <c r="D51" s="287"/>
      <c r="E51" s="1261"/>
      <c r="F51" s="595"/>
      <c r="G51" s="751"/>
      <c r="H51" s="1116"/>
    </row>
    <row r="52" spans="2:9" ht="13.5" thickBot="1" x14ac:dyDescent="0.25">
      <c r="B52" s="1012"/>
      <c r="D52" s="867">
        <f>+SUM(D18:D51)</f>
        <v>247750</v>
      </c>
      <c r="F52" s="867">
        <f>+SUM(F18:F51)</f>
        <v>88977659.5</v>
      </c>
      <c r="G52"/>
      <c r="H52" s="867">
        <f>+SUM(H18:H51)</f>
        <v>150817.96893589743</v>
      </c>
    </row>
    <row r="53" spans="2:9" ht="15.75" thickTop="1" x14ac:dyDescent="0.25">
      <c r="B53" s="1012"/>
      <c r="D53" s="287"/>
      <c r="E53" s="1261"/>
      <c r="F53" s="595"/>
      <c r="G53" s="751"/>
      <c r="H53" s="1116"/>
    </row>
    <row r="54" spans="2:9" ht="15" x14ac:dyDescent="0.25">
      <c r="B54" s="1012" t="s">
        <v>561</v>
      </c>
      <c r="C54" s="638">
        <v>44565</v>
      </c>
      <c r="D54" s="287">
        <v>475000</v>
      </c>
      <c r="E54" s="1261">
        <f t="shared" ref="E54" si="7">+F54/D54</f>
        <v>154.22902400000001</v>
      </c>
      <c r="F54" s="595">
        <v>73258786.400000006</v>
      </c>
      <c r="G54" s="751" t="s">
        <v>489</v>
      </c>
      <c r="H54" s="1116">
        <v>124174.18650000001</v>
      </c>
    </row>
    <row r="55" spans="2:9" ht="15" x14ac:dyDescent="0.25">
      <c r="B55" s="1012" t="s">
        <v>561</v>
      </c>
      <c r="C55" s="638">
        <v>44566</v>
      </c>
      <c r="D55" s="287">
        <v>25000</v>
      </c>
      <c r="E55" s="1261">
        <f>+F55/D55</f>
        <v>152</v>
      </c>
      <c r="F55" s="595">
        <v>3800000</v>
      </c>
      <c r="G55" s="751" t="s">
        <v>504</v>
      </c>
      <c r="H55" s="1116">
        <v>6441</v>
      </c>
    </row>
    <row r="56" spans="2:9" ht="15" x14ac:dyDescent="0.25">
      <c r="B56" s="1012"/>
      <c r="D56" s="287"/>
      <c r="E56" s="1261"/>
      <c r="F56" s="595"/>
      <c r="G56" s="751"/>
      <c r="H56" s="1116"/>
    </row>
    <row r="57" spans="2:9" ht="13.5" thickBot="1" x14ac:dyDescent="0.25">
      <c r="B57" s="1012"/>
      <c r="D57" s="867">
        <f>+SUM(D54:D56)</f>
        <v>500000</v>
      </c>
      <c r="F57" s="867">
        <f>+SUM(F54:F56)</f>
        <v>77058786.400000006</v>
      </c>
      <c r="G57"/>
      <c r="H57" s="867">
        <f>+SUM(H54:H56)</f>
        <v>130615.18650000001</v>
      </c>
    </row>
    <row r="58" spans="2:9" ht="13.5" thickTop="1" x14ac:dyDescent="0.2">
      <c r="B58" s="1012"/>
      <c r="D58" s="874"/>
      <c r="F58" s="874"/>
      <c r="G58"/>
      <c r="H58" s="874"/>
    </row>
    <row r="59" spans="2:9" ht="15" x14ac:dyDescent="0.25">
      <c r="B59" s="1012" t="s">
        <v>169</v>
      </c>
      <c r="C59" s="638">
        <v>44565</v>
      </c>
      <c r="D59" s="287">
        <v>25000</v>
      </c>
      <c r="E59" s="1261">
        <f>+F59/D59</f>
        <v>144.97615999999999</v>
      </c>
      <c r="F59" s="595">
        <v>3624404</v>
      </c>
      <c r="G59" s="751" t="s">
        <v>494</v>
      </c>
      <c r="H59" s="1116">
        <v>6143.39</v>
      </c>
    </row>
    <row r="60" spans="2:9" ht="15" x14ac:dyDescent="0.25">
      <c r="B60" s="1012" t="s">
        <v>169</v>
      </c>
      <c r="C60" s="638">
        <v>44566</v>
      </c>
      <c r="D60" s="287">
        <v>2000</v>
      </c>
      <c r="E60" s="1261">
        <f t="shared" ref="E60:E65" si="8">+F60/D60</f>
        <v>145.84899999999999</v>
      </c>
      <c r="F60" s="595">
        <v>291698</v>
      </c>
      <c r="G60" s="751" t="s">
        <v>846</v>
      </c>
      <c r="H60" s="1116">
        <v>494.43</v>
      </c>
    </row>
    <row r="61" spans="2:9" ht="15" x14ac:dyDescent="0.25">
      <c r="B61" s="1012" t="s">
        <v>169</v>
      </c>
      <c r="C61" s="638">
        <v>44567</v>
      </c>
      <c r="D61" s="287">
        <v>14000</v>
      </c>
      <c r="E61" s="1261">
        <f t="shared" si="8"/>
        <v>141.71857142857144</v>
      </c>
      <c r="F61" s="595">
        <v>1984060</v>
      </c>
      <c r="G61" s="751" t="s">
        <v>685</v>
      </c>
      <c r="H61" s="1116">
        <v>3362.98</v>
      </c>
    </row>
    <row r="62" spans="2:9" ht="15" x14ac:dyDescent="0.25">
      <c r="B62" s="1012" t="s">
        <v>169</v>
      </c>
      <c r="C62" s="638">
        <v>44568</v>
      </c>
      <c r="D62" s="287">
        <v>5000</v>
      </c>
      <c r="E62" s="1261">
        <f t="shared" si="8"/>
        <v>143.78880000000001</v>
      </c>
      <c r="F62" s="595">
        <v>718944</v>
      </c>
      <c r="G62" s="751" t="s">
        <v>846</v>
      </c>
      <c r="H62" s="1116">
        <v>1218.6100000000001</v>
      </c>
    </row>
    <row r="63" spans="2:9" ht="15" x14ac:dyDescent="0.25">
      <c r="B63" s="1012" t="s">
        <v>169</v>
      </c>
      <c r="C63" s="638">
        <v>44571</v>
      </c>
      <c r="D63" s="287">
        <v>15000</v>
      </c>
      <c r="E63" s="1261">
        <f t="shared" si="8"/>
        <v>147.761</v>
      </c>
      <c r="F63" s="595">
        <v>2216415</v>
      </c>
      <c r="G63" s="751" t="s">
        <v>849</v>
      </c>
      <c r="H63" s="1116">
        <v>3756.85</v>
      </c>
    </row>
    <row r="64" spans="2:9" ht="15" x14ac:dyDescent="0.25">
      <c r="B64" s="1012" t="s">
        <v>169</v>
      </c>
      <c r="C64" s="638">
        <v>44573</v>
      </c>
      <c r="D64" s="287">
        <v>5000</v>
      </c>
      <c r="E64" s="1261">
        <f t="shared" si="8"/>
        <v>152.6258</v>
      </c>
      <c r="F64" s="595">
        <v>763129</v>
      </c>
      <c r="G64" s="751" t="s">
        <v>689</v>
      </c>
      <c r="H64" s="1116">
        <v>1293.5</v>
      </c>
    </row>
    <row r="65" spans="2:8" ht="15" x14ac:dyDescent="0.25">
      <c r="B65" s="1012" t="s">
        <v>169</v>
      </c>
      <c r="C65" s="638">
        <v>44578</v>
      </c>
      <c r="D65" s="287">
        <v>5000</v>
      </c>
      <c r="E65" s="1261">
        <f t="shared" si="8"/>
        <v>145.74299999999999</v>
      </c>
      <c r="F65" s="595">
        <v>728715</v>
      </c>
      <c r="G65" s="751" t="s">
        <v>518</v>
      </c>
      <c r="H65" s="1116">
        <v>1235.1899999999998</v>
      </c>
    </row>
    <row r="66" spans="2:8" ht="15" x14ac:dyDescent="0.25">
      <c r="B66" s="1012" t="s">
        <v>169</v>
      </c>
      <c r="C66" s="638">
        <v>44630</v>
      </c>
      <c r="D66" s="287">
        <v>5800</v>
      </c>
      <c r="E66" s="1261">
        <f>+F66/D66</f>
        <v>144.02637931034482</v>
      </c>
      <c r="F66" s="595">
        <v>835353</v>
      </c>
      <c r="G66" s="751" t="s">
        <v>846</v>
      </c>
      <c r="H66" s="1116">
        <v>1415.92</v>
      </c>
    </row>
    <row r="67" spans="2:8" ht="15" x14ac:dyDescent="0.25">
      <c r="B67" s="1012" t="s">
        <v>169</v>
      </c>
      <c r="C67" s="638">
        <v>44631</v>
      </c>
      <c r="D67" s="287">
        <v>2000</v>
      </c>
      <c r="E67" s="1261">
        <v>144.27000000000001</v>
      </c>
      <c r="F67" s="595">
        <v>288540</v>
      </c>
      <c r="G67" s="751" t="s">
        <v>505</v>
      </c>
      <c r="H67" s="1116">
        <v>489.11615384615385</v>
      </c>
    </row>
    <row r="68" spans="2:8" ht="15" x14ac:dyDescent="0.25">
      <c r="B68" s="1012" t="s">
        <v>169</v>
      </c>
      <c r="C68" s="638">
        <v>44715</v>
      </c>
      <c r="D68" s="287">
        <v>6000</v>
      </c>
      <c r="E68" s="1261">
        <f t="shared" ref="E68" si="9">+F68/D68</f>
        <v>107.34816666666667</v>
      </c>
      <c r="F68" s="595">
        <v>644089</v>
      </c>
      <c r="G68" s="751" t="s">
        <v>505</v>
      </c>
      <c r="H68" s="1116">
        <v>1091.73</v>
      </c>
    </row>
    <row r="69" spans="2:8" ht="15" x14ac:dyDescent="0.25">
      <c r="B69" s="1012" t="s">
        <v>169</v>
      </c>
      <c r="C69" s="638">
        <v>44719</v>
      </c>
      <c r="D69" s="287">
        <v>1000</v>
      </c>
      <c r="E69" s="1261">
        <f>+F69/D69</f>
        <v>106.5</v>
      </c>
      <c r="F69" s="595">
        <v>106500</v>
      </c>
      <c r="G69" s="751" t="s">
        <v>505</v>
      </c>
      <c r="H69" s="1116">
        <v>180.52</v>
      </c>
    </row>
    <row r="70" spans="2:8" ht="15" x14ac:dyDescent="0.25">
      <c r="B70" s="1012" t="s">
        <v>169</v>
      </c>
      <c r="C70" s="638">
        <v>44736</v>
      </c>
      <c r="D70" s="287">
        <v>2000</v>
      </c>
      <c r="E70" s="1261">
        <f t="shared" ref="E70" si="10">+F70/D70</f>
        <v>110.99</v>
      </c>
      <c r="F70" s="595">
        <v>221980</v>
      </c>
      <c r="G70" s="751" t="s">
        <v>505</v>
      </c>
      <c r="H70" s="1116">
        <v>376.26000000000005</v>
      </c>
    </row>
    <row r="71" spans="2:8" ht="15" x14ac:dyDescent="0.25">
      <c r="B71" s="1012" t="s">
        <v>169</v>
      </c>
      <c r="C71" s="638">
        <v>44740</v>
      </c>
      <c r="D71" s="287">
        <v>3000</v>
      </c>
      <c r="E71" s="1261">
        <f>+F71/D71</f>
        <v>114.15566666666666</v>
      </c>
      <c r="F71" s="595">
        <v>342467</v>
      </c>
      <c r="G71" s="751" t="s">
        <v>729</v>
      </c>
      <c r="H71" s="1116">
        <v>580.48</v>
      </c>
    </row>
    <row r="72" spans="2:8" ht="15" x14ac:dyDescent="0.25">
      <c r="B72" s="1012" t="s">
        <v>169</v>
      </c>
      <c r="C72" s="638">
        <v>44742</v>
      </c>
      <c r="D72" s="287">
        <v>1500</v>
      </c>
      <c r="E72" s="1261">
        <f t="shared" ref="E72" si="11">+F72/D72</f>
        <v>112.916</v>
      </c>
      <c r="F72" s="595">
        <v>169374</v>
      </c>
      <c r="G72" s="751" t="s">
        <v>729</v>
      </c>
      <c r="H72" s="1116">
        <v>287.09000000000003</v>
      </c>
    </row>
    <row r="73" spans="2:8" ht="15" x14ac:dyDescent="0.25">
      <c r="B73" s="1012" t="s">
        <v>169</v>
      </c>
      <c r="C73" s="638">
        <v>44743</v>
      </c>
      <c r="D73" s="287">
        <v>3000</v>
      </c>
      <c r="E73" s="1261">
        <f>+F73/D73</f>
        <v>114.64</v>
      </c>
      <c r="F73" s="595">
        <v>343920</v>
      </c>
      <c r="G73" s="751" t="s">
        <v>846</v>
      </c>
      <c r="H73" s="1116">
        <v>582.94000000000005</v>
      </c>
    </row>
    <row r="74" spans="2:8" ht="15" x14ac:dyDescent="0.25">
      <c r="B74" s="1012" t="s">
        <v>169</v>
      </c>
      <c r="C74" s="638">
        <v>44749</v>
      </c>
      <c r="D74" s="287">
        <v>1000</v>
      </c>
      <c r="E74" s="1261">
        <f>+F74/D74</f>
        <v>117.527</v>
      </c>
      <c r="F74" s="595">
        <v>117527</v>
      </c>
      <c r="G74" s="751" t="s">
        <v>505</v>
      </c>
      <c r="H74" s="1116">
        <v>199.20999999999998</v>
      </c>
    </row>
    <row r="75" spans="2:8" ht="15" x14ac:dyDescent="0.25">
      <c r="B75" s="1012" t="s">
        <v>169</v>
      </c>
      <c r="C75" s="638">
        <v>44757</v>
      </c>
      <c r="D75" s="287">
        <v>2000</v>
      </c>
      <c r="E75" s="1261">
        <f t="shared" ref="E75:E77" si="12">+F75/D75</f>
        <v>113.7</v>
      </c>
      <c r="F75" s="595">
        <v>227400</v>
      </c>
      <c r="G75" s="751" t="s">
        <v>505</v>
      </c>
      <c r="H75" s="1116">
        <v>385.44000000000005</v>
      </c>
    </row>
    <row r="76" spans="2:8" x14ac:dyDescent="0.2">
      <c r="B76" s="1012" t="s">
        <v>169</v>
      </c>
      <c r="C76" s="638">
        <v>44761</v>
      </c>
      <c r="D76" s="595">
        <v>6000</v>
      </c>
      <c r="E76" s="1120">
        <f t="shared" si="12"/>
        <v>113.49716666666667</v>
      </c>
      <c r="F76" s="595">
        <v>680983</v>
      </c>
      <c r="G76" s="1012" t="s">
        <v>494</v>
      </c>
      <c r="H76" s="177">
        <v>1154.27</v>
      </c>
    </row>
    <row r="77" spans="2:8" ht="15" x14ac:dyDescent="0.25">
      <c r="B77" s="1012" t="s">
        <v>169</v>
      </c>
      <c r="C77" s="638">
        <v>44763</v>
      </c>
      <c r="D77" s="287">
        <v>3000</v>
      </c>
      <c r="E77" s="1261">
        <f t="shared" si="12"/>
        <v>111.16333333333333</v>
      </c>
      <c r="F77" s="595">
        <v>333490</v>
      </c>
      <c r="G77" s="751" t="s">
        <v>505</v>
      </c>
      <c r="H77" s="1116">
        <v>565.2700000000001</v>
      </c>
    </row>
    <row r="78" spans="2:8" ht="15" x14ac:dyDescent="0.25">
      <c r="B78" s="1012" t="s">
        <v>169</v>
      </c>
      <c r="C78" s="638">
        <v>44764</v>
      </c>
      <c r="D78" s="287">
        <v>5000</v>
      </c>
      <c r="E78" s="1261">
        <f>+F78/D78</f>
        <v>112.48399999999999</v>
      </c>
      <c r="F78" s="595">
        <v>562420</v>
      </c>
      <c r="G78" s="751" t="s">
        <v>689</v>
      </c>
      <c r="H78" s="1116">
        <v>953.29999999999984</v>
      </c>
    </row>
    <row r="79" spans="2:8" x14ac:dyDescent="0.2">
      <c r="B79" s="1012"/>
      <c r="D79" s="874"/>
      <c r="F79" s="874"/>
      <c r="G79"/>
      <c r="H79" s="874"/>
    </row>
    <row r="80" spans="2:8" ht="13.5" thickBot="1" x14ac:dyDescent="0.25">
      <c r="B80" s="1012"/>
      <c r="D80" s="867">
        <f>+SUM(D59:D79)</f>
        <v>112300</v>
      </c>
      <c r="F80" s="867">
        <f>+SUM(F59:F79)</f>
        <v>15201408</v>
      </c>
      <c r="G80"/>
      <c r="H80" s="867">
        <f>+SUM(H59:H79)</f>
        <v>25766.49615384615</v>
      </c>
    </row>
    <row r="81" spans="2:8" ht="15.75" thickTop="1" x14ac:dyDescent="0.25">
      <c r="B81" s="1012"/>
      <c r="D81" s="287"/>
      <c r="E81" s="1261"/>
      <c r="F81" s="595"/>
      <c r="G81" s="751"/>
      <c r="H81" s="1116"/>
    </row>
    <row r="82" spans="2:8" ht="15" x14ac:dyDescent="0.25">
      <c r="B82" s="1012" t="s">
        <v>644</v>
      </c>
      <c r="C82" s="638">
        <v>44565</v>
      </c>
      <c r="D82" s="287">
        <v>100000</v>
      </c>
      <c r="E82" s="1261">
        <f>+F82/D82</f>
        <v>33.1081</v>
      </c>
      <c r="F82" s="595">
        <v>3310810</v>
      </c>
      <c r="G82" s="751" t="s">
        <v>505</v>
      </c>
      <c r="H82" s="1116">
        <v>5611.83</v>
      </c>
    </row>
    <row r="83" spans="2:8" ht="15" x14ac:dyDescent="0.25">
      <c r="B83" s="1012" t="s">
        <v>644</v>
      </c>
      <c r="C83" s="638">
        <v>44567</v>
      </c>
      <c r="D83" s="287">
        <v>15000</v>
      </c>
      <c r="E83" s="1261">
        <f t="shared" ref="E83:E84" si="13">+F83/D83</f>
        <v>32.479666666666667</v>
      </c>
      <c r="F83" s="595">
        <v>487195</v>
      </c>
      <c r="G83" s="751" t="s">
        <v>849</v>
      </c>
      <c r="H83" s="1116">
        <v>826.48</v>
      </c>
    </row>
    <row r="84" spans="2:8" ht="15" x14ac:dyDescent="0.25">
      <c r="B84" s="1012" t="s">
        <v>644</v>
      </c>
      <c r="C84" s="638">
        <v>44578</v>
      </c>
      <c r="D84" s="287">
        <v>25000</v>
      </c>
      <c r="E84" s="1261">
        <f t="shared" si="13"/>
        <v>31.8444</v>
      </c>
      <c r="F84" s="595">
        <v>796110</v>
      </c>
      <c r="G84" s="751" t="s">
        <v>685</v>
      </c>
      <c r="H84" s="1116">
        <v>1349.41</v>
      </c>
    </row>
    <row r="85" spans="2:8" ht="15" x14ac:dyDescent="0.25">
      <c r="B85" s="1012"/>
      <c r="D85" s="287"/>
      <c r="E85" s="1261"/>
      <c r="F85" s="595"/>
      <c r="G85" s="751"/>
      <c r="H85" s="1116"/>
    </row>
    <row r="86" spans="2:8" ht="13.5" thickBot="1" x14ac:dyDescent="0.25">
      <c r="B86"/>
      <c r="D86" s="867">
        <f>+SUM(D82:D85)</f>
        <v>140000</v>
      </c>
      <c r="F86" s="867">
        <f>+SUM(F82:F85)</f>
        <v>4594115</v>
      </c>
      <c r="G86"/>
      <c r="H86" s="867">
        <f>+SUM(H82:H85)</f>
        <v>7787.7199999999993</v>
      </c>
    </row>
    <row r="87" spans="2:8" ht="13.5" thickTop="1" x14ac:dyDescent="0.2">
      <c r="B87"/>
      <c r="D87" s="874"/>
      <c r="F87" s="874"/>
      <c r="G87"/>
      <c r="H87" s="874"/>
    </row>
    <row r="88" spans="2:8" ht="15" x14ac:dyDescent="0.25">
      <c r="B88" s="1012" t="s">
        <v>781</v>
      </c>
      <c r="C88" s="638">
        <v>44566</v>
      </c>
      <c r="D88" s="287">
        <v>50000</v>
      </c>
      <c r="E88" s="1261">
        <f>+F88/D88</f>
        <v>33.985399999999998</v>
      </c>
      <c r="F88" s="595">
        <v>1699270</v>
      </c>
      <c r="G88" s="751" t="s">
        <v>685</v>
      </c>
      <c r="H88" s="1116">
        <v>2880.27</v>
      </c>
    </row>
    <row r="89" spans="2:8" ht="15" x14ac:dyDescent="0.25">
      <c r="B89" s="1012" t="s">
        <v>781</v>
      </c>
      <c r="C89" s="638">
        <v>44572</v>
      </c>
      <c r="D89" s="287">
        <v>50000</v>
      </c>
      <c r="E89" s="1261">
        <v>33.2697</v>
      </c>
      <c r="F89" s="595">
        <v>1663485</v>
      </c>
      <c r="G89" s="751" t="s">
        <v>493</v>
      </c>
      <c r="H89" s="1116">
        <v>2820.42</v>
      </c>
    </row>
    <row r="90" spans="2:8" ht="15" x14ac:dyDescent="0.25">
      <c r="B90" s="1012" t="s">
        <v>781</v>
      </c>
      <c r="C90" s="638">
        <v>44665</v>
      </c>
      <c r="D90" s="287">
        <v>50000</v>
      </c>
      <c r="E90" s="1261">
        <f>+F90/D90</f>
        <v>31.9466</v>
      </c>
      <c r="F90" s="595">
        <v>1597330</v>
      </c>
      <c r="G90" s="751" t="s">
        <v>505</v>
      </c>
      <c r="H90" s="1116">
        <v>2707.48</v>
      </c>
    </row>
    <row r="91" spans="2:8" x14ac:dyDescent="0.2">
      <c r="B91"/>
      <c r="D91" s="874"/>
      <c r="F91" s="874"/>
      <c r="G91"/>
      <c r="H91" s="874"/>
    </row>
    <row r="92" spans="2:8" ht="13.5" thickBot="1" x14ac:dyDescent="0.25">
      <c r="B92"/>
      <c r="D92" s="867">
        <f>+SUM(D88:D91)</f>
        <v>150000</v>
      </c>
      <c r="F92" s="867">
        <f>+SUM(F88:F91)</f>
        <v>4960085</v>
      </c>
      <c r="G92"/>
      <c r="H92" s="867">
        <f>+SUM(H88:H91)</f>
        <v>8408.17</v>
      </c>
    </row>
    <row r="93" spans="2:8" ht="13.5" thickTop="1" x14ac:dyDescent="0.2">
      <c r="B93"/>
      <c r="D93" s="874"/>
      <c r="F93" s="874"/>
      <c r="G93"/>
      <c r="H93" s="874"/>
    </row>
    <row r="94" spans="2:8" ht="15" x14ac:dyDescent="0.25">
      <c r="B94" s="1012" t="s">
        <v>483</v>
      </c>
      <c r="C94" s="638">
        <v>44567</v>
      </c>
      <c r="D94" s="287">
        <v>3000</v>
      </c>
      <c r="E94" s="1261">
        <f>+F94/D94</f>
        <v>189.49533333333332</v>
      </c>
      <c r="F94" s="595">
        <v>568486</v>
      </c>
      <c r="G94" s="751" t="s">
        <v>846</v>
      </c>
      <c r="H94" s="1116">
        <v>963.58</v>
      </c>
    </row>
    <row r="95" spans="2:8" ht="15" x14ac:dyDescent="0.25">
      <c r="B95" s="1012" t="s">
        <v>483</v>
      </c>
      <c r="C95" s="638">
        <v>44571</v>
      </c>
      <c r="D95" s="287">
        <v>20000</v>
      </c>
      <c r="E95" s="1261">
        <f>+F95/D95</f>
        <v>189.80865</v>
      </c>
      <c r="F95" s="595">
        <v>3796173</v>
      </c>
      <c r="G95" s="751" t="s">
        <v>846</v>
      </c>
      <c r="H95" s="1116">
        <v>6434.51</v>
      </c>
    </row>
    <row r="96" spans="2:8" ht="15" x14ac:dyDescent="0.25">
      <c r="B96" s="1012" t="s">
        <v>483</v>
      </c>
      <c r="C96" s="638">
        <v>44631</v>
      </c>
      <c r="D96" s="287">
        <v>1000</v>
      </c>
      <c r="E96" s="1261">
        <v>195.49601923076921</v>
      </c>
      <c r="F96" s="595">
        <v>195496.01923076922</v>
      </c>
      <c r="G96" s="751" t="s">
        <v>846</v>
      </c>
      <c r="H96" s="1116">
        <v>331.35076923076923</v>
      </c>
    </row>
    <row r="97" spans="2:8" ht="15" x14ac:dyDescent="0.25">
      <c r="B97" s="1012" t="s">
        <v>483</v>
      </c>
      <c r="C97" s="638">
        <v>44649</v>
      </c>
      <c r="D97" s="287">
        <v>5000</v>
      </c>
      <c r="E97" s="1261">
        <f t="shared" ref="E97" si="14">+F97/D97</f>
        <v>188.88120000000001</v>
      </c>
      <c r="F97" s="595">
        <v>944406</v>
      </c>
      <c r="G97" s="751" t="s">
        <v>685</v>
      </c>
      <c r="H97" s="1116">
        <v>1600.77</v>
      </c>
    </row>
    <row r="98" spans="2:8" ht="15" x14ac:dyDescent="0.25">
      <c r="B98" s="1012" t="s">
        <v>483</v>
      </c>
      <c r="C98" s="638">
        <v>44650</v>
      </c>
      <c r="D98" s="287">
        <v>7000</v>
      </c>
      <c r="E98" s="1261">
        <f>+F98/D98</f>
        <v>192.166</v>
      </c>
      <c r="F98" s="595">
        <v>1345162</v>
      </c>
      <c r="G98" s="751" t="s">
        <v>689</v>
      </c>
      <c r="H98" s="1116">
        <v>2280.0499999999997</v>
      </c>
    </row>
    <row r="99" spans="2:8" ht="15" x14ac:dyDescent="0.25">
      <c r="B99" s="1012" t="s">
        <v>483</v>
      </c>
      <c r="C99" s="638">
        <v>44651</v>
      </c>
      <c r="D99" s="287">
        <v>3000</v>
      </c>
      <c r="E99" s="1261">
        <f t="shared" ref="E99:E100" si="15">+F99/D99</f>
        <v>193</v>
      </c>
      <c r="F99" s="595">
        <v>579000</v>
      </c>
      <c r="G99" s="751" t="s">
        <v>685</v>
      </c>
      <c r="H99" s="1116">
        <v>981.40999999999985</v>
      </c>
    </row>
    <row r="100" spans="2:8" ht="15" x14ac:dyDescent="0.25">
      <c r="B100" s="1012" t="s">
        <v>483</v>
      </c>
      <c r="C100" s="638">
        <v>44655</v>
      </c>
      <c r="D100" s="287">
        <v>3000</v>
      </c>
      <c r="E100" s="1261">
        <f t="shared" si="15"/>
        <v>196.15066666666667</v>
      </c>
      <c r="F100" s="595">
        <v>588452</v>
      </c>
      <c r="G100" s="751" t="s">
        <v>846</v>
      </c>
      <c r="H100" s="1116">
        <v>997.43</v>
      </c>
    </row>
    <row r="101" spans="2:8" ht="15" x14ac:dyDescent="0.25">
      <c r="B101" s="1012" t="s">
        <v>483</v>
      </c>
      <c r="C101" s="638">
        <v>44656</v>
      </c>
      <c r="D101" s="287">
        <v>5000</v>
      </c>
      <c r="E101" s="1261">
        <f>+F101/D101</f>
        <v>194.06479999999999</v>
      </c>
      <c r="F101" s="595">
        <v>970324</v>
      </c>
      <c r="G101" s="751" t="s">
        <v>846</v>
      </c>
      <c r="H101" s="1116">
        <v>1644.7</v>
      </c>
    </row>
    <row r="102" spans="2:8" ht="15" x14ac:dyDescent="0.25">
      <c r="B102" s="1012" t="s">
        <v>483</v>
      </c>
      <c r="C102" s="638">
        <v>44657</v>
      </c>
      <c r="D102" s="287">
        <v>3000</v>
      </c>
      <c r="E102" s="1261">
        <f>+F102/D102</f>
        <v>192.86666666666667</v>
      </c>
      <c r="F102" s="595">
        <v>578600</v>
      </c>
      <c r="G102" s="751" t="s">
        <v>436</v>
      </c>
      <c r="H102" s="1116">
        <v>980.84</v>
      </c>
    </row>
    <row r="103" spans="2:8" ht="15" x14ac:dyDescent="0.25">
      <c r="B103" s="1012" t="s">
        <v>483</v>
      </c>
      <c r="C103" s="638">
        <v>44658</v>
      </c>
      <c r="D103" s="287">
        <v>10000</v>
      </c>
      <c r="E103" s="1261">
        <f>+F103/D103</f>
        <v>196.74629999999999</v>
      </c>
      <c r="F103" s="595">
        <v>1967463</v>
      </c>
      <c r="G103" s="751" t="s">
        <v>689</v>
      </c>
      <c r="H103" s="1116">
        <v>3334.84</v>
      </c>
    </row>
    <row r="104" spans="2:8" ht="15" x14ac:dyDescent="0.25">
      <c r="B104" s="1012" t="s">
        <v>483</v>
      </c>
      <c r="C104" s="638">
        <v>44662</v>
      </c>
      <c r="D104" s="287">
        <v>20000</v>
      </c>
      <c r="E104" s="1261">
        <f>+F104/D104</f>
        <v>201.86965000000001</v>
      </c>
      <c r="F104" s="595">
        <v>4037393</v>
      </c>
      <c r="G104" s="751" t="s">
        <v>846</v>
      </c>
      <c r="H104" s="1116">
        <v>6843.380000000001</v>
      </c>
    </row>
    <row r="105" spans="2:8" ht="15" x14ac:dyDescent="0.25">
      <c r="B105" s="1012" t="s">
        <v>483</v>
      </c>
      <c r="C105" s="638">
        <v>44669</v>
      </c>
      <c r="D105" s="287">
        <v>5000</v>
      </c>
      <c r="E105" s="1261">
        <f t="shared" ref="E105:E107" si="16">+F105/D105</f>
        <v>201.19980000000001</v>
      </c>
      <c r="F105" s="595">
        <v>1005999</v>
      </c>
      <c r="G105" s="751" t="s">
        <v>846</v>
      </c>
      <c r="H105" s="1116">
        <v>1705.17</v>
      </c>
    </row>
    <row r="106" spans="2:8" ht="15" x14ac:dyDescent="0.25">
      <c r="B106" s="1012" t="s">
        <v>483</v>
      </c>
      <c r="C106" s="638">
        <v>44691</v>
      </c>
      <c r="D106" s="287">
        <v>10000</v>
      </c>
      <c r="E106" s="1261">
        <f t="shared" si="16"/>
        <v>182.40020000000001</v>
      </c>
      <c r="F106" s="595">
        <v>1824002.0000000002</v>
      </c>
      <c r="G106" s="751" t="s">
        <v>846</v>
      </c>
      <c r="H106" s="1116">
        <v>3091.68</v>
      </c>
    </row>
    <row r="107" spans="2:8" ht="15" x14ac:dyDescent="0.25">
      <c r="B107" s="1012" t="s">
        <v>483</v>
      </c>
      <c r="C107" s="638">
        <v>44694</v>
      </c>
      <c r="D107" s="287">
        <v>5000</v>
      </c>
      <c r="E107" s="1261">
        <f t="shared" si="16"/>
        <v>183.79140000000001</v>
      </c>
      <c r="F107" s="595">
        <v>918957</v>
      </c>
      <c r="G107" s="751" t="s">
        <v>846</v>
      </c>
      <c r="H107" s="1116">
        <v>1557.64</v>
      </c>
    </row>
    <row r="108" spans="2:8" ht="15" x14ac:dyDescent="0.25">
      <c r="B108" s="1012" t="s">
        <v>483</v>
      </c>
      <c r="C108" s="638">
        <v>44697</v>
      </c>
      <c r="D108" s="287">
        <v>500</v>
      </c>
      <c r="E108" s="1261">
        <f>+F108/D108</f>
        <v>181.75</v>
      </c>
      <c r="F108" s="595">
        <v>90875</v>
      </c>
      <c r="G108" s="751" t="s">
        <v>846</v>
      </c>
      <c r="H108" s="1116">
        <v>154.03</v>
      </c>
    </row>
    <row r="109" spans="2:8" ht="15" x14ac:dyDescent="0.25">
      <c r="B109" s="1012" t="s">
        <v>483</v>
      </c>
      <c r="C109" s="638">
        <v>44698</v>
      </c>
      <c r="D109" s="287">
        <v>1100</v>
      </c>
      <c r="E109" s="1261">
        <f>+F109/D109</f>
        <v>182.02818181818182</v>
      </c>
      <c r="F109" s="595">
        <v>200231</v>
      </c>
      <c r="G109" s="751" t="s">
        <v>846</v>
      </c>
      <c r="H109" s="1116">
        <v>339.40000000000003</v>
      </c>
    </row>
    <row r="110" spans="2:8" ht="15" x14ac:dyDescent="0.25">
      <c r="B110" s="1012" t="s">
        <v>483</v>
      </c>
      <c r="C110" s="638">
        <v>44699</v>
      </c>
      <c r="D110" s="287">
        <v>5000</v>
      </c>
      <c r="E110" s="1261">
        <f t="shared" ref="E110:E111" si="17">+F110/D110</f>
        <v>181.97649999999999</v>
      </c>
      <c r="F110" s="595">
        <v>909882.49999999988</v>
      </c>
      <c r="G110" s="751" t="s">
        <v>846</v>
      </c>
      <c r="H110" s="1116">
        <v>1542.2550000000001</v>
      </c>
    </row>
    <row r="111" spans="2:8" ht="15" x14ac:dyDescent="0.25">
      <c r="B111" s="1012" t="s">
        <v>483</v>
      </c>
      <c r="C111" s="638">
        <v>44701</v>
      </c>
      <c r="D111" s="287">
        <v>1500</v>
      </c>
      <c r="E111" s="1261">
        <f t="shared" si="17"/>
        <v>181.99666666666667</v>
      </c>
      <c r="F111" s="595">
        <v>272995</v>
      </c>
      <c r="G111" s="751" t="s">
        <v>849</v>
      </c>
      <c r="H111" s="1116">
        <v>462.74000000000007</v>
      </c>
    </row>
    <row r="112" spans="2:8" ht="15" x14ac:dyDescent="0.25">
      <c r="B112" s="1012" t="s">
        <v>483</v>
      </c>
      <c r="C112" s="638">
        <v>44704</v>
      </c>
      <c r="D112" s="287">
        <v>1000</v>
      </c>
      <c r="E112" s="1261">
        <f>+F112/D112</f>
        <v>181.989</v>
      </c>
      <c r="F112" s="595">
        <v>181989</v>
      </c>
      <c r="G112" s="751" t="s">
        <v>494</v>
      </c>
      <c r="H112" s="1116">
        <v>308.47000000000003</v>
      </c>
    </row>
    <row r="113" spans="2:8" ht="15" x14ac:dyDescent="0.25">
      <c r="B113" s="1012" t="s">
        <v>483</v>
      </c>
      <c r="C113" s="638">
        <v>44707</v>
      </c>
      <c r="D113" s="287">
        <v>5000</v>
      </c>
      <c r="E113" s="1261">
        <f t="shared" ref="E113" si="18">+F113/D113</f>
        <v>179.36680000000001</v>
      </c>
      <c r="F113" s="595">
        <v>896834.00000000012</v>
      </c>
      <c r="G113" s="751" t="s">
        <v>505</v>
      </c>
      <c r="H113" s="1116">
        <v>1520.13</v>
      </c>
    </row>
    <row r="114" spans="2:8" ht="15" x14ac:dyDescent="0.25">
      <c r="B114" s="1012" t="s">
        <v>483</v>
      </c>
      <c r="C114" s="638">
        <v>44712</v>
      </c>
      <c r="D114" s="287">
        <v>1000</v>
      </c>
      <c r="E114" s="1261">
        <f>+F114/D114</f>
        <v>179.999</v>
      </c>
      <c r="F114" s="595">
        <v>179999</v>
      </c>
      <c r="G114" s="751" t="s">
        <v>505</v>
      </c>
      <c r="H114" s="1116">
        <v>305.10000000000002</v>
      </c>
    </row>
    <row r="115" spans="2:8" ht="15" x14ac:dyDescent="0.25">
      <c r="B115" s="1012" t="s">
        <v>483</v>
      </c>
      <c r="C115" s="638">
        <v>44713</v>
      </c>
      <c r="D115" s="287">
        <v>1000</v>
      </c>
      <c r="E115" s="1261">
        <f>+F115/D115</f>
        <v>179.49700000000001</v>
      </c>
      <c r="F115" s="595">
        <v>179497</v>
      </c>
      <c r="G115" s="751" t="s">
        <v>504</v>
      </c>
      <c r="H115" s="1116">
        <v>304.25</v>
      </c>
    </row>
    <row r="116" spans="2:8" ht="15" x14ac:dyDescent="0.25">
      <c r="B116" s="1012" t="s">
        <v>483</v>
      </c>
      <c r="C116" s="638">
        <v>44714</v>
      </c>
      <c r="D116" s="287">
        <v>500</v>
      </c>
      <c r="E116" s="1261">
        <f>+F116/D116</f>
        <v>178.994</v>
      </c>
      <c r="F116" s="595">
        <v>89497</v>
      </c>
      <c r="G116" s="751" t="s">
        <v>729</v>
      </c>
      <c r="H116" s="1116">
        <v>151.69999999999999</v>
      </c>
    </row>
    <row r="117" spans="2:8" ht="15" x14ac:dyDescent="0.25">
      <c r="B117" s="1012" t="s">
        <v>483</v>
      </c>
      <c r="C117" s="638">
        <v>44722</v>
      </c>
      <c r="D117" s="287">
        <v>5000</v>
      </c>
      <c r="E117" s="1261">
        <f t="shared" ref="E117:E118" si="19">+F117/D117</f>
        <v>180.4684</v>
      </c>
      <c r="F117" s="595">
        <v>902342</v>
      </c>
      <c r="G117" s="751" t="s">
        <v>846</v>
      </c>
      <c r="H117" s="1116">
        <v>1529.47</v>
      </c>
    </row>
    <row r="118" spans="2:8" ht="15" x14ac:dyDescent="0.25">
      <c r="B118" s="1012" t="s">
        <v>483</v>
      </c>
      <c r="C118" s="638">
        <v>44732</v>
      </c>
      <c r="D118" s="287">
        <v>1000</v>
      </c>
      <c r="E118" s="1261">
        <f t="shared" si="19"/>
        <v>178.12</v>
      </c>
      <c r="F118" s="595">
        <v>178120</v>
      </c>
      <c r="G118" s="751" t="s">
        <v>846</v>
      </c>
      <c r="H118" s="1116">
        <v>301.91000000000003</v>
      </c>
    </row>
    <row r="119" spans="2:8" ht="15" x14ac:dyDescent="0.25">
      <c r="B119" s="1012" t="s">
        <v>483</v>
      </c>
      <c r="C119" s="638">
        <v>44740</v>
      </c>
      <c r="D119" s="287">
        <v>4000</v>
      </c>
      <c r="E119" s="1261">
        <f>+F119/D119</f>
        <v>179.92500000000001</v>
      </c>
      <c r="F119" s="595">
        <v>719700</v>
      </c>
      <c r="G119" s="751" t="s">
        <v>505</v>
      </c>
      <c r="H119" s="1116">
        <v>1219.8899999999999</v>
      </c>
    </row>
    <row r="120" spans="2:8" ht="15" x14ac:dyDescent="0.25">
      <c r="B120" s="1012" t="s">
        <v>483</v>
      </c>
      <c r="C120" s="638">
        <v>44742</v>
      </c>
      <c r="D120" s="287">
        <v>1000</v>
      </c>
      <c r="E120" s="1261">
        <f t="shared" ref="E120:E121" si="20">+F120/D120</f>
        <v>179.994</v>
      </c>
      <c r="F120" s="595">
        <v>179994</v>
      </c>
      <c r="G120" s="751" t="s">
        <v>729</v>
      </c>
      <c r="H120" s="1116">
        <v>305.09000000000003</v>
      </c>
    </row>
    <row r="121" spans="2:8" ht="15" x14ac:dyDescent="0.25">
      <c r="B121" s="1012" t="s">
        <v>483</v>
      </c>
      <c r="C121" s="638">
        <v>44743</v>
      </c>
      <c r="D121" s="287">
        <v>200</v>
      </c>
      <c r="E121" s="1261">
        <f t="shared" si="20"/>
        <v>179.48</v>
      </c>
      <c r="F121" s="595">
        <v>35896</v>
      </c>
      <c r="G121" s="751" t="s">
        <v>505</v>
      </c>
      <c r="H121" s="1116">
        <v>60.839999999999996</v>
      </c>
    </row>
    <row r="122" spans="2:8" ht="15" x14ac:dyDescent="0.25">
      <c r="B122" s="1012" t="s">
        <v>483</v>
      </c>
      <c r="C122" s="638">
        <v>44748</v>
      </c>
      <c r="D122" s="287">
        <v>500</v>
      </c>
      <c r="E122" s="1261">
        <f>+F122/D122</f>
        <v>178.86</v>
      </c>
      <c r="F122" s="595">
        <v>89430</v>
      </c>
      <c r="G122" s="751" t="s">
        <v>505</v>
      </c>
      <c r="H122" s="1116">
        <v>151.59</v>
      </c>
    </row>
    <row r="123" spans="2:8" ht="15" x14ac:dyDescent="0.25">
      <c r="B123" s="1012" t="s">
        <v>483</v>
      </c>
      <c r="C123" s="638">
        <v>44755</v>
      </c>
      <c r="D123" s="287">
        <v>1000</v>
      </c>
      <c r="E123" s="1261">
        <f t="shared" ref="E123" si="21">+F123/D123</f>
        <v>178.99799999999999</v>
      </c>
      <c r="F123" s="595">
        <v>178998</v>
      </c>
      <c r="G123" s="751" t="s">
        <v>689</v>
      </c>
      <c r="H123" s="1116">
        <v>303.40999999999997</v>
      </c>
    </row>
    <row r="124" spans="2:8" ht="15" x14ac:dyDescent="0.25">
      <c r="B124" s="1012" t="s">
        <v>483</v>
      </c>
      <c r="C124" s="638">
        <v>44756</v>
      </c>
      <c r="D124" s="287">
        <v>500</v>
      </c>
      <c r="E124" s="1261">
        <f>+F124/D124</f>
        <v>178.38200000000001</v>
      </c>
      <c r="F124" s="595">
        <v>89191</v>
      </c>
      <c r="G124" s="751" t="s">
        <v>493</v>
      </c>
      <c r="H124" s="1116">
        <v>151.19649999999999</v>
      </c>
    </row>
    <row r="125" spans="2:8" ht="15" x14ac:dyDescent="0.25">
      <c r="B125" s="1012" t="s">
        <v>483</v>
      </c>
      <c r="C125" s="638">
        <v>44761</v>
      </c>
      <c r="D125" s="287">
        <v>4000</v>
      </c>
      <c r="E125" s="1261">
        <f t="shared" ref="E125" si="22">+F125/D125</f>
        <v>177.87225000000001</v>
      </c>
      <c r="F125" s="595">
        <v>711489</v>
      </c>
      <c r="G125" s="751" t="s">
        <v>854</v>
      </c>
      <c r="H125" s="1116">
        <v>1205.97</v>
      </c>
    </row>
    <row r="126" spans="2:8" ht="15" x14ac:dyDescent="0.25">
      <c r="B126" s="1012" t="s">
        <v>483</v>
      </c>
      <c r="C126" s="638">
        <v>44762</v>
      </c>
      <c r="D126" s="287">
        <v>1000</v>
      </c>
      <c r="E126" s="1261">
        <f>+F126/D126</f>
        <v>177.99700000000001</v>
      </c>
      <c r="F126" s="595">
        <v>177997</v>
      </c>
      <c r="G126" s="751" t="s">
        <v>505</v>
      </c>
      <c r="H126" s="1116">
        <v>301.70999999999998</v>
      </c>
    </row>
    <row r="127" spans="2:8" x14ac:dyDescent="0.2">
      <c r="B127" s="892"/>
      <c r="C127" s="1024"/>
      <c r="D127" s="874"/>
      <c r="E127" s="1264"/>
      <c r="F127" s="874"/>
      <c r="G127" s="892"/>
      <c r="H127" s="874"/>
    </row>
    <row r="128" spans="2:8" ht="13.5" thickBot="1" x14ac:dyDescent="0.25">
      <c r="B128" s="892"/>
      <c r="C128" s="1024"/>
      <c r="D128" s="867">
        <f>+SUM(D94:D127)</f>
        <v>134800</v>
      </c>
      <c r="F128" s="867">
        <f>+SUM(F94:F127)</f>
        <v>25584869.519230768</v>
      </c>
      <c r="G128"/>
      <c r="H128" s="867">
        <f>+SUM(H94:H127)</f>
        <v>43366.502269230754</v>
      </c>
    </row>
    <row r="129" spans="2:8" ht="13.5" thickTop="1" x14ac:dyDescent="0.2">
      <c r="B129" s="892"/>
      <c r="C129" s="1024"/>
      <c r="D129" s="874"/>
      <c r="F129" s="874"/>
      <c r="G129"/>
      <c r="H129" s="874"/>
    </row>
    <row r="130" spans="2:8" ht="15" x14ac:dyDescent="0.25">
      <c r="B130" s="1012" t="s">
        <v>656</v>
      </c>
      <c r="C130" s="638">
        <v>44567</v>
      </c>
      <c r="D130" s="287">
        <v>50000</v>
      </c>
      <c r="E130" s="1261">
        <f>+F130/D130</f>
        <v>26.127500000000001</v>
      </c>
      <c r="F130" s="595">
        <v>1306375</v>
      </c>
      <c r="G130" s="751" t="s">
        <v>505</v>
      </c>
      <c r="H130" s="1116">
        <v>2214.2999999999997</v>
      </c>
    </row>
    <row r="131" spans="2:8" ht="15" x14ac:dyDescent="0.25">
      <c r="B131" s="1012" t="s">
        <v>656</v>
      </c>
      <c r="C131" s="638">
        <v>44568</v>
      </c>
      <c r="D131" s="287">
        <v>50000</v>
      </c>
      <c r="E131" s="1261">
        <f t="shared" ref="E131:E134" si="23">+F131/D131</f>
        <v>26.513000000000002</v>
      </c>
      <c r="F131" s="595">
        <v>1325650</v>
      </c>
      <c r="G131" s="751" t="s">
        <v>685</v>
      </c>
      <c r="H131" s="1116">
        <v>2246.98</v>
      </c>
    </row>
    <row r="132" spans="2:8" ht="15" x14ac:dyDescent="0.25">
      <c r="B132" s="1012" t="s">
        <v>656</v>
      </c>
      <c r="C132" s="638">
        <v>44571</v>
      </c>
      <c r="D132" s="287">
        <v>50000</v>
      </c>
      <c r="E132" s="1261">
        <f t="shared" si="23"/>
        <v>26.9573</v>
      </c>
      <c r="F132" s="595">
        <v>1347865</v>
      </c>
      <c r="G132" s="751" t="s">
        <v>666</v>
      </c>
      <c r="H132" s="1116">
        <v>2284.8599999999997</v>
      </c>
    </row>
    <row r="133" spans="2:8" ht="15" x14ac:dyDescent="0.25">
      <c r="B133" s="1012" t="s">
        <v>656</v>
      </c>
      <c r="C133" s="638">
        <v>44575</v>
      </c>
      <c r="D133" s="287">
        <v>12500</v>
      </c>
      <c r="E133" s="1261">
        <f t="shared" si="23"/>
        <v>26.094000000000001</v>
      </c>
      <c r="F133" s="595">
        <v>326175</v>
      </c>
      <c r="G133" s="751" t="s">
        <v>685</v>
      </c>
      <c r="H133" s="1116">
        <v>552.86500000000001</v>
      </c>
    </row>
    <row r="134" spans="2:8" ht="15" x14ac:dyDescent="0.25">
      <c r="B134" s="1012" t="s">
        <v>656</v>
      </c>
      <c r="C134" s="638">
        <v>44578</v>
      </c>
      <c r="D134" s="287">
        <v>3000</v>
      </c>
      <c r="E134" s="1261">
        <f t="shared" si="23"/>
        <v>25.971666666666668</v>
      </c>
      <c r="F134" s="595">
        <v>77915</v>
      </c>
      <c r="G134" s="751" t="s">
        <v>518</v>
      </c>
      <c r="H134" s="1116">
        <v>132.17000000000002</v>
      </c>
    </row>
    <row r="135" spans="2:8" ht="15" x14ac:dyDescent="0.25">
      <c r="B135" s="1012" t="s">
        <v>656</v>
      </c>
      <c r="C135" s="638">
        <v>44622</v>
      </c>
      <c r="D135" s="287">
        <v>1000</v>
      </c>
      <c r="E135" s="1261">
        <f>+F135/D135</f>
        <v>20.797999999999998</v>
      </c>
      <c r="F135" s="595">
        <v>20798</v>
      </c>
      <c r="G135" s="751" t="s">
        <v>518</v>
      </c>
      <c r="H135" s="1116">
        <v>35.26</v>
      </c>
    </row>
    <row r="136" spans="2:8" ht="15" x14ac:dyDescent="0.25">
      <c r="B136" s="1012"/>
      <c r="D136" s="287"/>
      <c r="E136" s="1261"/>
      <c r="F136" s="595"/>
      <c r="G136" s="751"/>
      <c r="H136" s="1116"/>
    </row>
    <row r="137" spans="2:8" ht="13.5" thickBot="1" x14ac:dyDescent="0.25">
      <c r="B137" s="1012"/>
      <c r="D137" s="867">
        <f>+SUM(D130:D136)</f>
        <v>166500</v>
      </c>
      <c r="F137" s="867">
        <f>+SUM(F130:F136)</f>
        <v>4404778</v>
      </c>
      <c r="G137" s="751"/>
      <c r="H137" s="867">
        <f>+SUM(H130:H136)</f>
        <v>7466.4349999999995</v>
      </c>
    </row>
    <row r="138" spans="2:8" ht="15.75" thickTop="1" x14ac:dyDescent="0.25">
      <c r="B138" s="1012"/>
      <c r="D138" s="287"/>
      <c r="E138" s="1261"/>
      <c r="F138" s="595"/>
      <c r="G138" s="751"/>
      <c r="H138" s="1116"/>
    </row>
    <row r="139" spans="2:8" ht="15" x14ac:dyDescent="0.25">
      <c r="B139" s="1012" t="s">
        <v>343</v>
      </c>
      <c r="C139" s="638">
        <v>44568</v>
      </c>
      <c r="D139" s="287">
        <v>7500</v>
      </c>
      <c r="E139" s="1261">
        <f t="shared" ref="E139:E140" si="24">+F139/D139</f>
        <v>743.49959999999999</v>
      </c>
      <c r="F139" s="595">
        <v>5576247</v>
      </c>
      <c r="G139" s="751" t="s">
        <v>689</v>
      </c>
      <c r="H139" s="1116">
        <v>9451.7400000000016</v>
      </c>
    </row>
    <row r="140" spans="2:8" ht="15" x14ac:dyDescent="0.25">
      <c r="B140" s="1012" t="s">
        <v>343</v>
      </c>
      <c r="C140" s="638">
        <v>44572</v>
      </c>
      <c r="D140" s="287">
        <v>8150</v>
      </c>
      <c r="E140" s="1261">
        <f t="shared" si="24"/>
        <v>751.13840490797543</v>
      </c>
      <c r="F140" s="595">
        <v>6121778</v>
      </c>
      <c r="G140" s="751" t="s">
        <v>526</v>
      </c>
      <c r="H140" s="1116">
        <v>10376.42</v>
      </c>
    </row>
    <row r="141" spans="2:8" ht="15" x14ac:dyDescent="0.25">
      <c r="B141" s="1012" t="s">
        <v>343</v>
      </c>
      <c r="C141" s="638">
        <v>44600</v>
      </c>
      <c r="D141" s="287">
        <v>2500</v>
      </c>
      <c r="E141" s="1261">
        <f t="shared" ref="E141:E148" si="25">+F141/D141</f>
        <v>738.09839999999997</v>
      </c>
      <c r="F141" s="595">
        <v>1845246</v>
      </c>
      <c r="G141" s="751" t="s">
        <v>518</v>
      </c>
      <c r="H141" s="1116">
        <v>3127.7400000000002</v>
      </c>
    </row>
    <row r="142" spans="2:8" ht="15" x14ac:dyDescent="0.25">
      <c r="B142" s="1012" t="s">
        <v>343</v>
      </c>
      <c r="C142" s="638">
        <v>44602</v>
      </c>
      <c r="D142" s="287">
        <v>1000</v>
      </c>
      <c r="E142" s="1261">
        <f t="shared" si="25"/>
        <v>739.68399999999997</v>
      </c>
      <c r="F142" s="595">
        <v>739684</v>
      </c>
      <c r="G142" s="751" t="s">
        <v>872</v>
      </c>
      <c r="H142" s="1116">
        <v>1253.75</v>
      </c>
    </row>
    <row r="143" spans="2:8" ht="15" x14ac:dyDescent="0.25">
      <c r="B143" s="1012" t="s">
        <v>343</v>
      </c>
      <c r="C143" s="638">
        <v>44624</v>
      </c>
      <c r="D143" s="287">
        <v>100</v>
      </c>
      <c r="E143" s="1261">
        <f t="shared" si="25"/>
        <v>698.69799999999998</v>
      </c>
      <c r="F143" s="595">
        <v>69869.8</v>
      </c>
      <c r="G143" s="751" t="s">
        <v>725</v>
      </c>
      <c r="H143" s="1116">
        <v>118.43799999999999</v>
      </c>
    </row>
    <row r="144" spans="2:8" ht="15" x14ac:dyDescent="0.25">
      <c r="B144" s="1012" t="s">
        <v>343</v>
      </c>
      <c r="C144" s="638">
        <v>44651</v>
      </c>
      <c r="D144" s="287">
        <v>2000</v>
      </c>
      <c r="E144" s="1261">
        <f t="shared" si="25"/>
        <v>697.99</v>
      </c>
      <c r="F144" s="595">
        <v>1395980</v>
      </c>
      <c r="G144" s="751" t="s">
        <v>505</v>
      </c>
      <c r="H144" s="1116">
        <v>2366.1899999999996</v>
      </c>
    </row>
    <row r="145" spans="2:8" ht="15" x14ac:dyDescent="0.25">
      <c r="B145" s="1012" t="s">
        <v>343</v>
      </c>
      <c r="C145" s="638">
        <v>44652</v>
      </c>
      <c r="D145" s="287">
        <v>500</v>
      </c>
      <c r="E145" s="1261">
        <f t="shared" si="25"/>
        <v>699.78899999999999</v>
      </c>
      <c r="F145" s="595">
        <v>349894.5</v>
      </c>
      <c r="G145" s="751" t="s">
        <v>505</v>
      </c>
      <c r="H145" s="1116">
        <v>593.07000000000005</v>
      </c>
    </row>
    <row r="146" spans="2:8" ht="15" x14ac:dyDescent="0.25">
      <c r="B146" s="1012" t="s">
        <v>343</v>
      </c>
      <c r="C146" s="638">
        <v>44666</v>
      </c>
      <c r="D146" s="287">
        <v>1000</v>
      </c>
      <c r="E146" s="1261">
        <f t="shared" si="25"/>
        <v>692.5</v>
      </c>
      <c r="F146" s="595">
        <v>692500</v>
      </c>
      <c r="G146" s="751" t="s">
        <v>846</v>
      </c>
      <c r="H146" s="1116">
        <v>1173.79</v>
      </c>
    </row>
    <row r="147" spans="2:8" ht="15" x14ac:dyDescent="0.25">
      <c r="B147" s="1012" t="s">
        <v>343</v>
      </c>
      <c r="C147" s="638">
        <v>44669</v>
      </c>
      <c r="D147" s="287">
        <v>2000</v>
      </c>
      <c r="E147" s="1261">
        <f t="shared" si="25"/>
        <v>694.99</v>
      </c>
      <c r="F147" s="595">
        <v>1389980</v>
      </c>
      <c r="G147" s="751" t="s">
        <v>505</v>
      </c>
      <c r="H147" s="1116">
        <v>2356.02</v>
      </c>
    </row>
    <row r="148" spans="2:8" ht="15" x14ac:dyDescent="0.25">
      <c r="B148" s="1012" t="s">
        <v>343</v>
      </c>
      <c r="C148" s="638">
        <v>44687</v>
      </c>
      <c r="D148" s="287">
        <v>1000</v>
      </c>
      <c r="E148" s="1261">
        <f t="shared" si="25"/>
        <v>685</v>
      </c>
      <c r="F148" s="595">
        <v>685000</v>
      </c>
      <c r="G148" s="751" t="s">
        <v>685</v>
      </c>
      <c r="H148" s="1116">
        <v>1161.08</v>
      </c>
    </row>
    <row r="149" spans="2:8" ht="15" x14ac:dyDescent="0.25">
      <c r="B149" s="1012" t="s">
        <v>343</v>
      </c>
      <c r="C149" s="638">
        <v>44691</v>
      </c>
      <c r="D149" s="287">
        <v>2000</v>
      </c>
      <c r="E149" s="1261">
        <v>672.19799999999998</v>
      </c>
      <c r="F149" s="595">
        <v>1344396</v>
      </c>
      <c r="G149" s="751" t="s">
        <v>504</v>
      </c>
      <c r="H149" s="1116">
        <v>2278.75</v>
      </c>
    </row>
    <row r="150" spans="2:8" ht="15" x14ac:dyDescent="0.25">
      <c r="B150" s="1012" t="s">
        <v>343</v>
      </c>
      <c r="C150" s="638">
        <v>44694</v>
      </c>
      <c r="D150" s="287">
        <v>5000</v>
      </c>
      <c r="E150" s="1261">
        <f t="shared" ref="E150:E155" si="26">+F150/D150</f>
        <v>666.73260000000005</v>
      </c>
      <c r="F150" s="595">
        <v>3333663.0000000005</v>
      </c>
      <c r="G150" s="751" t="s">
        <v>493</v>
      </c>
      <c r="H150" s="1116">
        <v>5650.6644999999999</v>
      </c>
    </row>
    <row r="151" spans="2:8" ht="15" x14ac:dyDescent="0.25">
      <c r="B151" s="1012" t="s">
        <v>343</v>
      </c>
      <c r="C151" s="638">
        <v>44700</v>
      </c>
      <c r="D151" s="287">
        <v>2500</v>
      </c>
      <c r="E151" s="1261">
        <f t="shared" si="26"/>
        <v>640.92460000000005</v>
      </c>
      <c r="F151" s="595">
        <v>1602311.5000000002</v>
      </c>
      <c r="G151" s="751" t="s">
        <v>849</v>
      </c>
      <c r="H151" s="1116">
        <v>2715.93</v>
      </c>
    </row>
    <row r="152" spans="2:8" ht="15" x14ac:dyDescent="0.25">
      <c r="B152" s="1012" t="s">
        <v>343</v>
      </c>
      <c r="C152" s="638">
        <v>44701</v>
      </c>
      <c r="D152" s="287">
        <v>1500</v>
      </c>
      <c r="E152" s="1261">
        <f t="shared" si="26"/>
        <v>642</v>
      </c>
      <c r="F152" s="595">
        <v>963000</v>
      </c>
      <c r="G152" s="751" t="s">
        <v>505</v>
      </c>
      <c r="H152" s="1116">
        <v>1632.29</v>
      </c>
    </row>
    <row r="153" spans="2:8" ht="15" x14ac:dyDescent="0.25">
      <c r="B153" s="1012" t="s">
        <v>343</v>
      </c>
      <c r="C153" s="638">
        <v>44705</v>
      </c>
      <c r="D153" s="287">
        <v>1500</v>
      </c>
      <c r="E153" s="1261">
        <f t="shared" si="26"/>
        <v>636.29166666666663</v>
      </c>
      <c r="F153" s="595">
        <v>954437.5</v>
      </c>
      <c r="G153" s="751" t="s">
        <v>505</v>
      </c>
      <c r="H153" s="1116">
        <v>1617.7800000000002</v>
      </c>
    </row>
    <row r="154" spans="2:8" ht="15" x14ac:dyDescent="0.25">
      <c r="B154" s="1012" t="s">
        <v>343</v>
      </c>
      <c r="C154" s="638">
        <v>44706</v>
      </c>
      <c r="D154" s="287">
        <v>1000</v>
      </c>
      <c r="E154" s="1261">
        <f t="shared" si="26"/>
        <v>640.69600000000003</v>
      </c>
      <c r="F154" s="595">
        <v>640696</v>
      </c>
      <c r="G154" s="751" t="s">
        <v>729</v>
      </c>
      <c r="H154" s="1116">
        <v>1085.98</v>
      </c>
    </row>
    <row r="155" spans="2:8" ht="15" x14ac:dyDescent="0.25">
      <c r="B155" s="1012" t="s">
        <v>343</v>
      </c>
      <c r="C155" s="638">
        <v>44707</v>
      </c>
      <c r="D155" s="287">
        <v>1200</v>
      </c>
      <c r="E155" s="1261">
        <f t="shared" si="26"/>
        <v>641.99166666666667</v>
      </c>
      <c r="F155" s="595">
        <v>770390</v>
      </c>
      <c r="G155" s="751" t="s">
        <v>689</v>
      </c>
      <c r="H155" s="1116">
        <v>1305.82</v>
      </c>
    </row>
    <row r="156" spans="2:8" ht="15" x14ac:dyDescent="0.25">
      <c r="B156" s="1012" t="s">
        <v>343</v>
      </c>
      <c r="C156" s="638">
        <v>44713</v>
      </c>
      <c r="D156" s="287">
        <v>2500</v>
      </c>
      <c r="E156" s="1261">
        <f>+F156/D156</f>
        <v>678.74080000000004</v>
      </c>
      <c r="F156" s="595">
        <v>1696852</v>
      </c>
      <c r="G156" s="751" t="s">
        <v>504</v>
      </c>
      <c r="H156" s="1116">
        <v>2876.17</v>
      </c>
    </row>
    <row r="157" spans="2:8" ht="15" x14ac:dyDescent="0.25">
      <c r="B157" s="1012" t="s">
        <v>343</v>
      </c>
      <c r="C157" s="638">
        <v>44715</v>
      </c>
      <c r="D157" s="287">
        <v>2500</v>
      </c>
      <c r="E157" s="1261">
        <f>+F157/D157</f>
        <v>661.02189999999996</v>
      </c>
      <c r="F157" s="595">
        <v>1652554.75</v>
      </c>
      <c r="G157" s="751" t="s">
        <v>504</v>
      </c>
      <c r="H157" s="1116">
        <v>2801.08</v>
      </c>
    </row>
    <row r="158" spans="2:8" ht="15" x14ac:dyDescent="0.25">
      <c r="B158" s="1012" t="s">
        <v>343</v>
      </c>
      <c r="C158" s="638">
        <v>44721</v>
      </c>
      <c r="D158" s="287">
        <v>2500</v>
      </c>
      <c r="E158" s="1261">
        <f>+F158/D158</f>
        <v>648.30119999999999</v>
      </c>
      <c r="F158" s="595">
        <v>1620753</v>
      </c>
      <c r="G158" s="751" t="s">
        <v>494</v>
      </c>
      <c r="H158" s="1116">
        <v>2747.1800000000003</v>
      </c>
    </row>
    <row r="159" spans="2:8" ht="15" x14ac:dyDescent="0.25">
      <c r="B159" s="1012" t="s">
        <v>343</v>
      </c>
      <c r="C159" s="638">
        <v>44722</v>
      </c>
      <c r="D159" s="287">
        <v>5000</v>
      </c>
      <c r="E159" s="1261">
        <f t="shared" ref="E159" si="27">+F159/D159</f>
        <v>670.45925</v>
      </c>
      <c r="F159" s="595">
        <v>3352296.25</v>
      </c>
      <c r="G159" s="751" t="s">
        <v>505</v>
      </c>
      <c r="H159" s="1116">
        <v>5682.1437500000002</v>
      </c>
    </row>
    <row r="160" spans="2:8" ht="15" x14ac:dyDescent="0.25">
      <c r="B160" s="1012" t="s">
        <v>343</v>
      </c>
      <c r="C160" s="638">
        <v>44725</v>
      </c>
      <c r="D160" s="287">
        <v>3750</v>
      </c>
      <c r="E160" s="1261">
        <f>+F160/D160</f>
        <v>659.12533333333329</v>
      </c>
      <c r="F160" s="595">
        <v>2471720</v>
      </c>
      <c r="G160" s="751" t="s">
        <v>846</v>
      </c>
      <c r="H160" s="1116">
        <v>4189.57</v>
      </c>
    </row>
    <row r="161" spans="2:8" ht="15" x14ac:dyDescent="0.25">
      <c r="B161" s="1012" t="s">
        <v>343</v>
      </c>
      <c r="C161" s="638">
        <v>44726</v>
      </c>
      <c r="D161" s="287">
        <v>5000</v>
      </c>
      <c r="E161" s="1261">
        <f>+F161/D161</f>
        <v>669.09849999999994</v>
      </c>
      <c r="F161" s="595">
        <v>3345492.4999999995</v>
      </c>
      <c r="G161" s="751" t="s">
        <v>505</v>
      </c>
      <c r="H161" s="1116">
        <v>5670.61</v>
      </c>
    </row>
    <row r="162" spans="2:8" ht="15" x14ac:dyDescent="0.25">
      <c r="B162" s="1012" t="s">
        <v>343</v>
      </c>
      <c r="C162" s="638">
        <v>44728</v>
      </c>
      <c r="D162" s="287">
        <v>2500</v>
      </c>
      <c r="E162" s="1261">
        <f>+F162/D162</f>
        <v>658.84580000000005</v>
      </c>
      <c r="F162" s="595">
        <v>1647114.5000000002</v>
      </c>
      <c r="G162" s="751" t="s">
        <v>505</v>
      </c>
      <c r="H162" s="1116">
        <v>2791.86</v>
      </c>
    </row>
    <row r="163" spans="2:8" ht="15" x14ac:dyDescent="0.25">
      <c r="B163" s="1012" t="s">
        <v>343</v>
      </c>
      <c r="C163" s="638">
        <v>44729</v>
      </c>
      <c r="D163" s="287">
        <v>10000</v>
      </c>
      <c r="E163" s="1261">
        <f>+F163/D163</f>
        <v>659.63909999999998</v>
      </c>
      <c r="F163" s="595">
        <v>6596391</v>
      </c>
      <c r="G163" s="751" t="s">
        <v>505</v>
      </c>
      <c r="H163" s="1116">
        <v>11180.89</v>
      </c>
    </row>
    <row r="164" spans="2:8" ht="15" x14ac:dyDescent="0.25">
      <c r="B164" s="1012" t="s">
        <v>343</v>
      </c>
      <c r="C164" s="638">
        <v>44732</v>
      </c>
      <c r="D164" s="287">
        <v>5000</v>
      </c>
      <c r="E164" s="1261">
        <f t="shared" ref="E164" si="28">+F164/D164</f>
        <v>656.01990000000001</v>
      </c>
      <c r="F164" s="595">
        <v>3280099.5</v>
      </c>
      <c r="G164" s="751" t="s">
        <v>505</v>
      </c>
      <c r="H164" s="1116">
        <v>5559.7699999999995</v>
      </c>
    </row>
    <row r="165" spans="2:8" ht="15" x14ac:dyDescent="0.25">
      <c r="B165" s="1012" t="s">
        <v>343</v>
      </c>
      <c r="C165" s="638">
        <v>44733</v>
      </c>
      <c r="D165" s="287">
        <v>9000</v>
      </c>
      <c r="E165" s="1261">
        <f t="shared" ref="E165:E170" si="29">+F165/D165</f>
        <v>661.83427777777774</v>
      </c>
      <c r="F165" s="595">
        <v>5956508.5</v>
      </c>
      <c r="G165" s="751" t="s">
        <v>729</v>
      </c>
      <c r="H165" s="1116">
        <v>10096.280000000001</v>
      </c>
    </row>
    <row r="166" spans="2:8" ht="15" x14ac:dyDescent="0.25">
      <c r="B166" s="1012" t="s">
        <v>343</v>
      </c>
      <c r="C166" s="638">
        <v>44734</v>
      </c>
      <c r="D166" s="287">
        <v>7500</v>
      </c>
      <c r="E166" s="1261">
        <f t="shared" si="29"/>
        <v>663.32219999999995</v>
      </c>
      <c r="F166" s="595">
        <v>4974916.5</v>
      </c>
      <c r="G166" s="751" t="s">
        <v>846</v>
      </c>
      <c r="H166" s="1116">
        <v>8432.48</v>
      </c>
    </row>
    <row r="167" spans="2:8" ht="15" x14ac:dyDescent="0.25">
      <c r="B167" s="1012" t="s">
        <v>343</v>
      </c>
      <c r="C167" s="638">
        <v>44736</v>
      </c>
      <c r="D167" s="287">
        <v>5000</v>
      </c>
      <c r="E167" s="1261">
        <f t="shared" si="29"/>
        <v>637.96619999999996</v>
      </c>
      <c r="F167" s="595">
        <v>3189831</v>
      </c>
      <c r="G167" s="751" t="s">
        <v>846</v>
      </c>
      <c r="H167" s="1116">
        <v>5406.77</v>
      </c>
    </row>
    <row r="168" spans="2:8" ht="15" x14ac:dyDescent="0.25">
      <c r="B168" s="1012" t="s">
        <v>343</v>
      </c>
      <c r="C168" s="638">
        <v>44739</v>
      </c>
      <c r="D168" s="287">
        <v>10000</v>
      </c>
      <c r="E168" s="1261">
        <f t="shared" si="29"/>
        <v>664.79984999999999</v>
      </c>
      <c r="F168" s="595">
        <v>6647998.5</v>
      </c>
      <c r="G168" s="751" t="s">
        <v>729</v>
      </c>
      <c r="H168" s="1116">
        <v>11268.36</v>
      </c>
    </row>
    <row r="169" spans="2:8" ht="15" x14ac:dyDescent="0.25">
      <c r="B169" s="1012" t="s">
        <v>343</v>
      </c>
      <c r="C169" s="638">
        <v>44742</v>
      </c>
      <c r="D169" s="287">
        <v>21000</v>
      </c>
      <c r="E169" s="1261">
        <f t="shared" si="29"/>
        <v>654.94097619047614</v>
      </c>
      <c r="F169" s="595">
        <v>13753760.499999998</v>
      </c>
      <c r="G169" s="751" t="s">
        <v>729</v>
      </c>
      <c r="H169" s="1116">
        <v>23312.62</v>
      </c>
    </row>
    <row r="170" spans="2:8" ht="15" x14ac:dyDescent="0.25">
      <c r="B170" s="1012" t="s">
        <v>343</v>
      </c>
      <c r="C170" s="638">
        <v>44749</v>
      </c>
      <c r="D170" s="287">
        <v>5000</v>
      </c>
      <c r="E170" s="1261">
        <f t="shared" si="29"/>
        <v>662.2097</v>
      </c>
      <c r="F170" s="595">
        <v>3311048.5</v>
      </c>
      <c r="G170" s="751" t="s">
        <v>689</v>
      </c>
      <c r="H170" s="1116">
        <v>5612.2199999999993</v>
      </c>
    </row>
    <row r="171" spans="2:8" ht="15" x14ac:dyDescent="0.25">
      <c r="B171" s="1012" t="s">
        <v>343</v>
      </c>
      <c r="C171" s="638">
        <v>44755</v>
      </c>
      <c r="D171" s="287">
        <v>3000</v>
      </c>
      <c r="E171" s="1261">
        <f>+F171/D171</f>
        <v>653.52516666666668</v>
      </c>
      <c r="F171" s="595">
        <v>1960575.5</v>
      </c>
      <c r="G171" s="751" t="s">
        <v>505</v>
      </c>
      <c r="H171" s="1116">
        <v>3323.17</v>
      </c>
    </row>
    <row r="172" spans="2:8" ht="15" x14ac:dyDescent="0.25">
      <c r="B172" s="1012" t="s">
        <v>343</v>
      </c>
      <c r="C172" s="638">
        <v>44757</v>
      </c>
      <c r="D172" s="287">
        <v>3500</v>
      </c>
      <c r="E172" s="1261">
        <f>+F172/D172</f>
        <v>644.67650142857144</v>
      </c>
      <c r="F172" s="595">
        <v>2256367.7549999999</v>
      </c>
      <c r="G172" s="751" t="s">
        <v>504</v>
      </c>
      <c r="H172" s="1116">
        <v>3824.54</v>
      </c>
    </row>
    <row r="173" spans="2:8" ht="15" x14ac:dyDescent="0.25">
      <c r="B173" s="1012" t="s">
        <v>343</v>
      </c>
      <c r="C173" s="638">
        <v>44760</v>
      </c>
      <c r="D173" s="287">
        <v>500</v>
      </c>
      <c r="E173" s="1261">
        <f>+F173/D173</f>
        <v>646.08299999999997</v>
      </c>
      <c r="F173" s="595">
        <v>323041.5</v>
      </c>
      <c r="G173" s="751" t="s">
        <v>689</v>
      </c>
      <c r="H173" s="1116">
        <v>547.52846153846156</v>
      </c>
    </row>
    <row r="174" spans="2:8" ht="15" x14ac:dyDescent="0.25">
      <c r="B174" s="1012" t="s">
        <v>343</v>
      </c>
      <c r="C174" s="638">
        <v>44761</v>
      </c>
      <c r="D174" s="287">
        <v>3000</v>
      </c>
      <c r="E174" s="1261">
        <f>+F174/D174</f>
        <v>648.49816666666663</v>
      </c>
      <c r="F174" s="595">
        <v>1945494.5</v>
      </c>
      <c r="G174" s="751" t="s">
        <v>505</v>
      </c>
      <c r="H174" s="1116">
        <v>3297.6099999999997</v>
      </c>
    </row>
    <row r="175" spans="2:8" ht="15" x14ac:dyDescent="0.25">
      <c r="B175" s="1012" t="s">
        <v>343</v>
      </c>
      <c r="C175" s="638">
        <v>44763</v>
      </c>
      <c r="D175" s="287">
        <v>6000</v>
      </c>
      <c r="E175" s="1261">
        <f t="shared" ref="E175" si="30">+F175/D175</f>
        <v>633.1</v>
      </c>
      <c r="F175" s="595">
        <v>3798600</v>
      </c>
      <c r="G175" s="751" t="s">
        <v>505</v>
      </c>
      <c r="H175" s="1116">
        <v>6438.6299999999992</v>
      </c>
    </row>
    <row r="176" spans="2:8" ht="15" x14ac:dyDescent="0.25">
      <c r="B176" s="1012" t="s">
        <v>343</v>
      </c>
      <c r="C176" s="638">
        <v>44764</v>
      </c>
      <c r="D176" s="287">
        <v>7500</v>
      </c>
      <c r="E176" s="1261">
        <f>+F176/D176</f>
        <v>626.79999999999995</v>
      </c>
      <c r="F176" s="595">
        <v>4701000</v>
      </c>
      <c r="G176" s="751" t="s">
        <v>689</v>
      </c>
      <c r="H176" s="1116">
        <v>7968.1999999999989</v>
      </c>
    </row>
    <row r="177" spans="2:8" ht="15" x14ac:dyDescent="0.25">
      <c r="B177" s="1012"/>
      <c r="D177" s="287"/>
      <c r="E177" s="1261"/>
      <c r="F177" s="595"/>
      <c r="G177" s="751"/>
      <c r="H177" s="1116"/>
    </row>
    <row r="178" spans="2:8" ht="13.5" thickBot="1" x14ac:dyDescent="0.25">
      <c r="B178" s="1012"/>
      <c r="D178" s="867">
        <f>+SUM(D139:D177)</f>
        <v>160200</v>
      </c>
      <c r="F178" s="867">
        <f>+SUM(F139:F177)</f>
        <v>106957489.55499999</v>
      </c>
      <c r="G178"/>
      <c r="H178" s="867">
        <f>+SUM(H139:H177)</f>
        <v>181293.1347115385</v>
      </c>
    </row>
    <row r="179" spans="2:8" ht="15.75" thickTop="1" x14ac:dyDescent="0.25">
      <c r="B179" s="1012"/>
      <c r="D179" s="287"/>
      <c r="E179" s="1261"/>
      <c r="F179" s="595"/>
      <c r="G179" s="751"/>
      <c r="H179" s="1116"/>
    </row>
    <row r="180" spans="2:8" ht="15" x14ac:dyDescent="0.25">
      <c r="B180" s="1012" t="s">
        <v>153</v>
      </c>
      <c r="C180" s="638">
        <v>44571</v>
      </c>
      <c r="D180" s="287">
        <v>4000</v>
      </c>
      <c r="E180" s="1261">
        <f>+F180/D180</f>
        <v>648.19449999999995</v>
      </c>
      <c r="F180" s="595">
        <v>2592778</v>
      </c>
      <c r="G180" s="751" t="s">
        <v>685</v>
      </c>
      <c r="H180" s="1116">
        <v>4394.76</v>
      </c>
    </row>
    <row r="181" spans="2:8" ht="15" x14ac:dyDescent="0.25">
      <c r="B181" s="1012" t="s">
        <v>153</v>
      </c>
      <c r="C181" s="638">
        <v>44649</v>
      </c>
      <c r="D181" s="287">
        <v>4000</v>
      </c>
      <c r="E181" s="1261">
        <f>+F181/D181</f>
        <v>620</v>
      </c>
      <c r="F181" s="595">
        <v>2480000</v>
      </c>
      <c r="G181" s="751" t="s">
        <v>493</v>
      </c>
      <c r="H181" s="1116">
        <v>4203.6000000000004</v>
      </c>
    </row>
    <row r="182" spans="2:8" ht="15" x14ac:dyDescent="0.25">
      <c r="B182" s="1012" t="s">
        <v>153</v>
      </c>
      <c r="C182" s="638">
        <v>44651</v>
      </c>
      <c r="D182" s="287">
        <v>10000</v>
      </c>
      <c r="E182" s="1261">
        <f t="shared" ref="E182" si="31">+F182/D182</f>
        <v>629.8057</v>
      </c>
      <c r="F182" s="595">
        <v>6298057</v>
      </c>
      <c r="G182" s="751" t="s">
        <v>846</v>
      </c>
      <c r="H182" s="1116">
        <v>10675.21</v>
      </c>
    </row>
    <row r="183" spans="2:8" ht="15" x14ac:dyDescent="0.25">
      <c r="B183" s="1012" t="s">
        <v>153</v>
      </c>
      <c r="C183" s="638">
        <v>44658</v>
      </c>
      <c r="D183" s="287">
        <v>91514</v>
      </c>
      <c r="E183" s="1261">
        <v>0</v>
      </c>
      <c r="F183" s="595">
        <v>0</v>
      </c>
      <c r="G183" s="751" t="s">
        <v>312</v>
      </c>
      <c r="H183" s="1116"/>
    </row>
    <row r="184" spans="2:8" ht="15" x14ac:dyDescent="0.25">
      <c r="B184" s="1012" t="s">
        <v>153</v>
      </c>
      <c r="C184" s="638">
        <v>44659</v>
      </c>
      <c r="D184" s="287">
        <v>2000</v>
      </c>
      <c r="E184" s="1261">
        <f>+F184/D184</f>
        <v>568.98325</v>
      </c>
      <c r="F184" s="595">
        <v>1137966.5</v>
      </c>
      <c r="G184" s="751" t="s">
        <v>729</v>
      </c>
      <c r="H184" s="1116">
        <v>1928.8500000000001</v>
      </c>
    </row>
    <row r="185" spans="2:8" ht="15" x14ac:dyDescent="0.25">
      <c r="B185" s="1012" t="s">
        <v>153</v>
      </c>
      <c r="C185" s="638">
        <v>44691</v>
      </c>
      <c r="D185" s="287">
        <v>2500</v>
      </c>
      <c r="E185" s="1261">
        <f t="shared" ref="E185" si="32">+F185/D185</f>
        <v>563.52639999999997</v>
      </c>
      <c r="F185" s="595">
        <v>1408816</v>
      </c>
      <c r="G185" s="751" t="s">
        <v>493</v>
      </c>
      <c r="H185" s="1116">
        <v>2387.9549999999999</v>
      </c>
    </row>
    <row r="186" spans="2:8" ht="15" x14ac:dyDescent="0.25">
      <c r="B186" s="1012" t="s">
        <v>153</v>
      </c>
      <c r="C186" s="638">
        <v>44693</v>
      </c>
      <c r="D186" s="287">
        <v>5000</v>
      </c>
      <c r="E186" s="1261">
        <f>+F186/D186</f>
        <v>553.4769</v>
      </c>
      <c r="F186" s="595">
        <v>2767384.5</v>
      </c>
      <c r="G186" s="751" t="s">
        <v>846</v>
      </c>
      <c r="H186" s="1116">
        <v>4690.72</v>
      </c>
    </row>
    <row r="187" spans="2:8" ht="15" x14ac:dyDescent="0.25">
      <c r="B187" s="1012" t="s">
        <v>153</v>
      </c>
      <c r="C187" s="638">
        <v>44694</v>
      </c>
      <c r="D187" s="287">
        <v>250</v>
      </c>
      <c r="E187" s="1261">
        <f t="shared" ref="E187" si="33">+F187/D187</f>
        <v>563.70000000000005</v>
      </c>
      <c r="F187" s="595">
        <v>140925</v>
      </c>
      <c r="G187" s="751" t="s">
        <v>526</v>
      </c>
      <c r="H187" s="1116">
        <v>238.88</v>
      </c>
    </row>
    <row r="188" spans="2:8" ht="15" x14ac:dyDescent="0.25">
      <c r="B188" s="1012" t="s">
        <v>153</v>
      </c>
      <c r="C188" s="638">
        <v>44698</v>
      </c>
      <c r="D188" s="287">
        <v>300</v>
      </c>
      <c r="E188" s="1261">
        <f>+F188/D188</f>
        <v>524.79999999999995</v>
      </c>
      <c r="F188" s="595">
        <v>157440</v>
      </c>
      <c r="G188" s="751" t="s">
        <v>505</v>
      </c>
      <c r="H188" s="1116">
        <v>266.86</v>
      </c>
    </row>
    <row r="189" spans="2:8" ht="15" x14ac:dyDescent="0.25">
      <c r="B189" s="1012" t="s">
        <v>153</v>
      </c>
      <c r="C189" s="638">
        <v>44699</v>
      </c>
      <c r="D189" s="287">
        <v>5000</v>
      </c>
      <c r="E189" s="1261">
        <f>+F189/D189</f>
        <v>540.03750000000002</v>
      </c>
      <c r="F189" s="595">
        <v>2700187.5</v>
      </c>
      <c r="G189" s="751" t="s">
        <v>854</v>
      </c>
      <c r="H189" s="1116">
        <v>4576.82</v>
      </c>
    </row>
    <row r="190" spans="2:8" ht="15" x14ac:dyDescent="0.25">
      <c r="B190" s="1012" t="s">
        <v>153</v>
      </c>
      <c r="C190" s="638">
        <v>44700</v>
      </c>
      <c r="D190" s="287">
        <v>5000</v>
      </c>
      <c r="E190" s="1261">
        <f>+F190/D190</f>
        <v>537.28560000000004</v>
      </c>
      <c r="F190" s="595">
        <v>2686428</v>
      </c>
      <c r="G190" s="751" t="s">
        <v>854</v>
      </c>
      <c r="H190" s="1116">
        <v>4553.4920000000002</v>
      </c>
    </row>
    <row r="191" spans="2:8" ht="15" x14ac:dyDescent="0.25">
      <c r="B191" s="1012" t="s">
        <v>153</v>
      </c>
      <c r="C191" s="638">
        <v>44701</v>
      </c>
      <c r="D191" s="287">
        <v>2500</v>
      </c>
      <c r="E191" s="1261">
        <f t="shared" ref="E191:E192" si="34">+F191/D191</f>
        <v>537.59360000000004</v>
      </c>
      <c r="F191" s="595">
        <v>1343984</v>
      </c>
      <c r="G191" s="751" t="s">
        <v>493</v>
      </c>
      <c r="H191" s="1116">
        <v>2278.056</v>
      </c>
    </row>
    <row r="192" spans="2:8" ht="15" x14ac:dyDescent="0.25">
      <c r="B192" s="1012" t="s">
        <v>153</v>
      </c>
      <c r="C192" s="638">
        <v>44704</v>
      </c>
      <c r="D192" s="287">
        <v>1000</v>
      </c>
      <c r="E192" s="1261">
        <f t="shared" si="34"/>
        <v>529.64237500000002</v>
      </c>
      <c r="F192" s="595">
        <v>529642.375</v>
      </c>
      <c r="G192" s="751" t="s">
        <v>494</v>
      </c>
      <c r="H192" s="1116">
        <v>897.745</v>
      </c>
    </row>
    <row r="193" spans="2:8" ht="15" x14ac:dyDescent="0.25">
      <c r="B193" s="1012" t="s">
        <v>153</v>
      </c>
      <c r="C193" s="638">
        <v>44705</v>
      </c>
      <c r="D193" s="287">
        <v>2500</v>
      </c>
      <c r="E193" s="1261">
        <f>+F193/D193</f>
        <v>523.98099999999999</v>
      </c>
      <c r="F193" s="595">
        <v>1309952.5</v>
      </c>
      <c r="G193" s="751" t="s">
        <v>505</v>
      </c>
      <c r="H193" s="1116">
        <v>2220.37</v>
      </c>
    </row>
    <row r="194" spans="2:8" ht="15" x14ac:dyDescent="0.25">
      <c r="B194" s="1012" t="s">
        <v>153</v>
      </c>
      <c r="C194" s="638">
        <v>44707</v>
      </c>
      <c r="D194" s="287">
        <v>1000</v>
      </c>
      <c r="E194" s="1261">
        <f t="shared" ref="E194" si="35">+F194/D194</f>
        <v>523</v>
      </c>
      <c r="F194" s="595">
        <v>523000</v>
      </c>
      <c r="G194" s="751" t="s">
        <v>505</v>
      </c>
      <c r="H194" s="1116">
        <v>886.49</v>
      </c>
    </row>
    <row r="195" spans="2:8" ht="15" x14ac:dyDescent="0.25">
      <c r="B195" s="1012" t="s">
        <v>153</v>
      </c>
      <c r="C195" s="638">
        <v>44708</v>
      </c>
      <c r="D195" s="287">
        <v>4000</v>
      </c>
      <c r="E195" s="1261">
        <f>+F195/D195</f>
        <v>529.76525000000004</v>
      </c>
      <c r="F195" s="595">
        <v>2119061</v>
      </c>
      <c r="G195" s="751" t="s">
        <v>846</v>
      </c>
      <c r="H195" s="1116">
        <v>3591.8100000000004</v>
      </c>
    </row>
    <row r="196" spans="2:8" ht="15" x14ac:dyDescent="0.25">
      <c r="B196" s="1012" t="s">
        <v>153</v>
      </c>
      <c r="C196" s="638">
        <v>44714</v>
      </c>
      <c r="D196" s="287">
        <v>2000</v>
      </c>
      <c r="E196" s="1261">
        <f>+F196/D196</f>
        <v>524.59249999999997</v>
      </c>
      <c r="F196" s="595">
        <v>1049185</v>
      </c>
      <c r="G196" s="751" t="s">
        <v>505</v>
      </c>
      <c r="H196" s="1116">
        <v>1778.37</v>
      </c>
    </row>
    <row r="197" spans="2:8" ht="15" x14ac:dyDescent="0.25">
      <c r="B197" s="1012" t="s">
        <v>153</v>
      </c>
      <c r="C197" s="638">
        <v>44722</v>
      </c>
      <c r="D197" s="287">
        <v>5000</v>
      </c>
      <c r="E197" s="1261">
        <f t="shared" ref="E197" si="36">+F197/D197</f>
        <v>516.83720000000005</v>
      </c>
      <c r="F197" s="595">
        <v>2584186.0000000005</v>
      </c>
      <c r="G197" s="751" t="s">
        <v>505</v>
      </c>
      <c r="H197" s="1116">
        <v>4380.2</v>
      </c>
    </row>
    <row r="198" spans="2:8" ht="15" x14ac:dyDescent="0.25">
      <c r="B198" s="1012" t="s">
        <v>153</v>
      </c>
      <c r="C198" s="638">
        <v>44725</v>
      </c>
      <c r="D198" s="287">
        <v>7500</v>
      </c>
      <c r="E198" s="1261">
        <f>+F198/D198</f>
        <v>527.68979999999999</v>
      </c>
      <c r="F198" s="595">
        <v>3957673.5</v>
      </c>
      <c r="G198" s="751" t="s">
        <v>846</v>
      </c>
      <c r="H198" s="1116">
        <v>6708.26</v>
      </c>
    </row>
    <row r="199" spans="2:8" ht="15" x14ac:dyDescent="0.25">
      <c r="B199" s="1012" t="s">
        <v>153</v>
      </c>
      <c r="C199" s="638">
        <v>44728</v>
      </c>
      <c r="D199" s="287">
        <v>5000</v>
      </c>
      <c r="E199" s="1261">
        <f>+F199/D199</f>
        <v>519.99980000000005</v>
      </c>
      <c r="F199" s="595">
        <v>2599999.0000000005</v>
      </c>
      <c r="G199" s="751" t="s">
        <v>505</v>
      </c>
      <c r="H199" s="1116">
        <v>4407</v>
      </c>
    </row>
    <row r="200" spans="2:8" ht="15" x14ac:dyDescent="0.25">
      <c r="B200" s="1012" t="s">
        <v>153</v>
      </c>
      <c r="C200" s="638">
        <v>44729</v>
      </c>
      <c r="D200" s="287">
        <v>6000</v>
      </c>
      <c r="E200" s="1261">
        <f>+F200/D200</f>
        <v>518.73024999999996</v>
      </c>
      <c r="F200" s="595">
        <v>3112381.4999999995</v>
      </c>
      <c r="G200" s="751" t="s">
        <v>505</v>
      </c>
      <c r="H200" s="1116">
        <v>5275.48</v>
      </c>
    </row>
    <row r="201" spans="2:8" ht="15" x14ac:dyDescent="0.25">
      <c r="B201" s="1012" t="s">
        <v>153</v>
      </c>
      <c r="C201" s="638">
        <v>44732</v>
      </c>
      <c r="D201" s="287">
        <v>2000</v>
      </c>
      <c r="E201" s="1261">
        <f t="shared" ref="E201" si="37">+F201/D201</f>
        <v>517.19899999999996</v>
      </c>
      <c r="F201" s="595">
        <v>1034397.9999999999</v>
      </c>
      <c r="G201" s="751" t="s">
        <v>505</v>
      </c>
      <c r="H201" s="1116">
        <v>1753.31</v>
      </c>
    </row>
    <row r="202" spans="2:8" ht="15" x14ac:dyDescent="0.25">
      <c r="B202" s="1012" t="s">
        <v>153</v>
      </c>
      <c r="C202" s="638">
        <v>44733</v>
      </c>
      <c r="D202" s="287">
        <v>10000</v>
      </c>
      <c r="E202" s="1261">
        <f>+F202/D202</f>
        <v>527.09164999999996</v>
      </c>
      <c r="F202" s="595">
        <v>5270916.5</v>
      </c>
      <c r="G202" s="751" t="s">
        <v>505</v>
      </c>
      <c r="H202" s="1116">
        <v>8934.2000000000007</v>
      </c>
    </row>
    <row r="203" spans="2:8" ht="15" x14ac:dyDescent="0.25">
      <c r="B203" s="1012" t="s">
        <v>153</v>
      </c>
      <c r="C203" s="638">
        <v>44735</v>
      </c>
      <c r="D203" s="287">
        <v>2500</v>
      </c>
      <c r="E203" s="1261">
        <f>+F203/D203</f>
        <v>535.53359999999998</v>
      </c>
      <c r="F203" s="595">
        <v>1338834</v>
      </c>
      <c r="G203" s="751" t="s">
        <v>846</v>
      </c>
      <c r="H203" s="1116">
        <v>2269.3200000000002</v>
      </c>
    </row>
    <row r="204" spans="2:8" ht="15" x14ac:dyDescent="0.25">
      <c r="B204" s="1012" t="s">
        <v>153</v>
      </c>
      <c r="C204" s="638">
        <v>44736</v>
      </c>
      <c r="D204" s="287">
        <v>10000</v>
      </c>
      <c r="E204" s="1261">
        <f t="shared" ref="E204" si="38">+F204/D204</f>
        <v>512.03949999999998</v>
      </c>
      <c r="F204" s="595">
        <v>5120395</v>
      </c>
      <c r="G204" s="751" t="s">
        <v>505</v>
      </c>
      <c r="H204" s="1116">
        <v>8679.07</v>
      </c>
    </row>
    <row r="205" spans="2:8" ht="15" x14ac:dyDescent="0.25">
      <c r="B205" s="1012" t="s">
        <v>153</v>
      </c>
      <c r="C205" s="638">
        <v>44739</v>
      </c>
      <c r="D205" s="287">
        <v>15000</v>
      </c>
      <c r="E205" s="1261">
        <f>+F205/D205</f>
        <v>526.62869999999998</v>
      </c>
      <c r="F205" s="595">
        <v>7899430.5</v>
      </c>
      <c r="G205" s="751" t="s">
        <v>505</v>
      </c>
      <c r="H205" s="1116">
        <v>13389.539999999999</v>
      </c>
    </row>
    <row r="206" spans="2:8" ht="15" x14ac:dyDescent="0.25">
      <c r="B206" s="1012" t="s">
        <v>153</v>
      </c>
      <c r="C206" s="638">
        <v>44741</v>
      </c>
      <c r="D206" s="287">
        <v>5000</v>
      </c>
      <c r="E206" s="1261">
        <f>+F206/D206</f>
        <v>529.56290000000001</v>
      </c>
      <c r="F206" s="595">
        <v>2647814.5</v>
      </c>
      <c r="G206" s="751" t="s">
        <v>825</v>
      </c>
      <c r="H206" s="1116">
        <v>4488.04</v>
      </c>
    </row>
    <row r="207" spans="2:8" ht="15" x14ac:dyDescent="0.25">
      <c r="B207" s="1012" t="s">
        <v>153</v>
      </c>
      <c r="C207" s="638">
        <v>44742</v>
      </c>
      <c r="D207" s="287">
        <v>4500</v>
      </c>
      <c r="E207" s="1261">
        <f t="shared" ref="E207:E208" si="39">+F207/D207</f>
        <v>529.92988888888885</v>
      </c>
      <c r="F207" s="595">
        <v>2384684.5</v>
      </c>
      <c r="G207" s="751" t="s">
        <v>729</v>
      </c>
      <c r="H207" s="1116">
        <v>4042.04</v>
      </c>
    </row>
    <row r="208" spans="2:8" ht="15" x14ac:dyDescent="0.25">
      <c r="B208" s="1012" t="s">
        <v>153</v>
      </c>
      <c r="C208" s="638">
        <v>44743</v>
      </c>
      <c r="D208" s="287">
        <v>2000</v>
      </c>
      <c r="E208" s="1261">
        <f t="shared" si="39"/>
        <v>534.54250000000002</v>
      </c>
      <c r="F208" s="595">
        <v>1069085</v>
      </c>
      <c r="G208" s="751" t="s">
        <v>846</v>
      </c>
      <c r="H208" s="1116">
        <v>1812.0975000000001</v>
      </c>
    </row>
    <row r="209" spans="2:8" ht="15" x14ac:dyDescent="0.25">
      <c r="B209" s="1012" t="s">
        <v>153</v>
      </c>
      <c r="C209" s="638">
        <v>44749</v>
      </c>
      <c r="D209" s="287">
        <v>2000</v>
      </c>
      <c r="E209" s="1261">
        <f>+F209/D209</f>
        <v>542.71900000000005</v>
      </c>
      <c r="F209" s="595">
        <v>1085438</v>
      </c>
      <c r="G209" s="751" t="s">
        <v>505</v>
      </c>
      <c r="H209" s="1116">
        <v>1839.8200000000002</v>
      </c>
    </row>
    <row r="210" spans="2:8" ht="15" x14ac:dyDescent="0.25">
      <c r="B210" s="1012" t="s">
        <v>153</v>
      </c>
      <c r="C210" s="638">
        <v>44755</v>
      </c>
      <c r="D210" s="287">
        <v>2000</v>
      </c>
      <c r="E210" s="1261">
        <f t="shared" ref="E210" si="40">+F210/D210</f>
        <v>540.05499999999995</v>
      </c>
      <c r="F210" s="595">
        <v>1080110</v>
      </c>
      <c r="G210" s="751" t="s">
        <v>689</v>
      </c>
      <c r="H210" s="1116">
        <v>1830.79</v>
      </c>
    </row>
    <row r="211" spans="2:8" ht="15" x14ac:dyDescent="0.25">
      <c r="B211" s="1012" t="s">
        <v>153</v>
      </c>
      <c r="C211" s="638">
        <v>44756</v>
      </c>
      <c r="D211" s="287">
        <v>5000</v>
      </c>
      <c r="E211" s="1261">
        <f>+F211/D211</f>
        <v>543.6259</v>
      </c>
      <c r="F211" s="595">
        <v>2718129.5</v>
      </c>
      <c r="G211" s="751" t="s">
        <v>493</v>
      </c>
      <c r="H211" s="1116">
        <v>4607.3042500000001</v>
      </c>
    </row>
    <row r="212" spans="2:8" ht="15" x14ac:dyDescent="0.25">
      <c r="B212" s="1012" t="s">
        <v>153</v>
      </c>
      <c r="C212" s="638">
        <v>44757</v>
      </c>
      <c r="D212" s="287">
        <v>500</v>
      </c>
      <c r="E212" s="1261">
        <f t="shared" ref="E212:E214" si="41">+F212/D212</f>
        <v>546.18949999999995</v>
      </c>
      <c r="F212" s="595">
        <v>273094.75</v>
      </c>
      <c r="G212" s="751" t="s">
        <v>505</v>
      </c>
      <c r="H212" s="1116">
        <v>462.89</v>
      </c>
    </row>
    <row r="213" spans="2:8" ht="15" x14ac:dyDescent="0.25">
      <c r="B213" s="1012" t="s">
        <v>153</v>
      </c>
      <c r="C213" s="638">
        <v>44760</v>
      </c>
      <c r="D213" s="287">
        <v>5000</v>
      </c>
      <c r="E213" s="1261">
        <f t="shared" si="41"/>
        <v>548.27700000000004</v>
      </c>
      <c r="F213" s="595">
        <v>2741385</v>
      </c>
      <c r="G213" s="751" t="s">
        <v>504</v>
      </c>
      <c r="H213" s="1116">
        <v>4646.6469230769226</v>
      </c>
    </row>
    <row r="214" spans="2:8" ht="15" x14ac:dyDescent="0.25">
      <c r="B214" s="1012" t="s">
        <v>153</v>
      </c>
      <c r="C214" s="638">
        <v>44761</v>
      </c>
      <c r="D214" s="287">
        <v>6000</v>
      </c>
      <c r="E214" s="1261">
        <f t="shared" si="41"/>
        <v>542.76608333333331</v>
      </c>
      <c r="F214" s="595">
        <v>3256596.5</v>
      </c>
      <c r="G214" s="751" t="s">
        <v>505</v>
      </c>
      <c r="H214" s="1116">
        <v>5519.93</v>
      </c>
    </row>
    <row r="215" spans="2:8" ht="15" x14ac:dyDescent="0.25">
      <c r="B215" s="1012" t="s">
        <v>153</v>
      </c>
      <c r="C215" s="638">
        <v>44762</v>
      </c>
      <c r="D215" s="287">
        <v>400</v>
      </c>
      <c r="E215" s="1261">
        <f>+F215/D215</f>
        <v>548.35874999999999</v>
      </c>
      <c r="F215" s="595">
        <v>219343.5</v>
      </c>
      <c r="G215" s="751" t="s">
        <v>504</v>
      </c>
      <c r="H215" s="1116">
        <v>371.78999999999996</v>
      </c>
    </row>
    <row r="216" spans="2:8" ht="15" x14ac:dyDescent="0.25">
      <c r="B216" s="1012" t="s">
        <v>153</v>
      </c>
      <c r="C216" s="638">
        <v>44763</v>
      </c>
      <c r="D216" s="287">
        <v>4000</v>
      </c>
      <c r="E216" s="1261">
        <f>+F216/D216</f>
        <v>544.44242500000007</v>
      </c>
      <c r="F216" s="595">
        <v>2177769.7000000002</v>
      </c>
      <c r="G216" s="751" t="s">
        <v>729</v>
      </c>
      <c r="H216" s="1116">
        <v>3691.415</v>
      </c>
    </row>
    <row r="217" spans="2:8" ht="15" x14ac:dyDescent="0.25">
      <c r="B217" s="1012"/>
      <c r="D217" s="287"/>
      <c r="E217" s="1261"/>
      <c r="F217" s="595"/>
      <c r="G217" s="751"/>
      <c r="H217" s="1116"/>
    </row>
    <row r="218" spans="2:8" ht="13.5" thickBot="1" x14ac:dyDescent="0.25">
      <c r="B218" s="1012"/>
      <c r="D218" s="867">
        <f>+SUM(D180:D217)</f>
        <v>241964</v>
      </c>
      <c r="F218" s="867">
        <f>+SUM(F180:F217)</f>
        <v>81816472.325000003</v>
      </c>
      <c r="G218"/>
      <c r="H218" s="867">
        <f>+SUM(H180:H217)</f>
        <v>138679.13167307695</v>
      </c>
    </row>
    <row r="219" spans="2:8" ht="15.75" thickTop="1" x14ac:dyDescent="0.25">
      <c r="B219" s="1012"/>
      <c r="D219" s="287"/>
      <c r="E219" s="1261"/>
      <c r="F219" s="595"/>
      <c r="G219" s="751"/>
      <c r="H219" s="1116"/>
    </row>
    <row r="220" spans="2:8" ht="15" x14ac:dyDescent="0.25">
      <c r="B220" s="1012" t="s">
        <v>162</v>
      </c>
      <c r="C220" s="638">
        <v>44578</v>
      </c>
      <c r="D220" s="287">
        <v>10000</v>
      </c>
      <c r="E220" s="1261">
        <f>+F220/D220</f>
        <v>186.296413</v>
      </c>
      <c r="F220" s="595">
        <v>1862964.1300000001</v>
      </c>
      <c r="G220" s="751" t="s">
        <v>518</v>
      </c>
      <c r="H220" s="1116">
        <v>3157.55</v>
      </c>
    </row>
    <row r="221" spans="2:8" ht="15" x14ac:dyDescent="0.25">
      <c r="B221" s="1012" t="s">
        <v>162</v>
      </c>
      <c r="C221" s="638">
        <v>44601</v>
      </c>
      <c r="D221" s="287">
        <v>39903</v>
      </c>
      <c r="E221" s="1261">
        <f>+F221/D221</f>
        <v>195.69233015061525</v>
      </c>
      <c r="F221" s="595">
        <v>7808711.0499999998</v>
      </c>
      <c r="G221" s="751" t="s">
        <v>505</v>
      </c>
      <c r="H221" s="1116">
        <v>13235.77</v>
      </c>
    </row>
    <row r="222" spans="2:8" ht="15" x14ac:dyDescent="0.25">
      <c r="B222" s="1012"/>
      <c r="D222" s="287"/>
      <c r="E222" s="1261"/>
      <c r="F222" s="595"/>
      <c r="G222" s="751"/>
      <c r="H222" s="1116"/>
    </row>
    <row r="223" spans="2:8" ht="13.5" thickBot="1" x14ac:dyDescent="0.25">
      <c r="B223" s="1012"/>
      <c r="D223" s="867">
        <f>+SUM(D220:D222)</f>
        <v>49903</v>
      </c>
      <c r="F223" s="867">
        <f>+SUM(F220:F222)</f>
        <v>9671675.1799999997</v>
      </c>
      <c r="G223"/>
      <c r="H223" s="867">
        <f>+SUM(H220:H222)</f>
        <v>16393.32</v>
      </c>
    </row>
    <row r="224" spans="2:8" ht="15.75" thickTop="1" x14ac:dyDescent="0.25">
      <c r="B224" s="1012"/>
      <c r="D224" s="287"/>
      <c r="E224" s="1261"/>
      <c r="F224" s="595"/>
      <c r="G224" s="751"/>
      <c r="H224" s="1116"/>
    </row>
    <row r="225" spans="2:8" ht="15" x14ac:dyDescent="0.25">
      <c r="B225" s="1012" t="s">
        <v>589</v>
      </c>
      <c r="C225" s="638">
        <v>44601</v>
      </c>
      <c r="D225" s="287">
        <v>200000</v>
      </c>
      <c r="E225" s="1261">
        <f>+F225/D225</f>
        <v>50.130274999999997</v>
      </c>
      <c r="F225" s="595">
        <v>10026055</v>
      </c>
      <c r="G225" s="751" t="s">
        <v>825</v>
      </c>
      <c r="H225" s="1116">
        <v>16994.16</v>
      </c>
    </row>
    <row r="226" spans="2:8" ht="15" x14ac:dyDescent="0.25">
      <c r="B226" s="1012"/>
      <c r="D226" s="287"/>
      <c r="E226" s="1261"/>
      <c r="F226" s="595"/>
      <c r="G226" s="751"/>
      <c r="H226" s="1116"/>
    </row>
    <row r="227" spans="2:8" ht="13.5" thickBot="1" x14ac:dyDescent="0.25">
      <c r="B227" s="1012"/>
      <c r="D227" s="867">
        <f>+SUM(D225:D226)</f>
        <v>200000</v>
      </c>
      <c r="F227" s="867">
        <f>+SUM(F225:F226)</f>
        <v>10026055</v>
      </c>
      <c r="G227"/>
      <c r="H227" s="867">
        <f>+SUM(H225:H226)</f>
        <v>16994.16</v>
      </c>
    </row>
    <row r="228" spans="2:8" ht="13.5" thickTop="1" x14ac:dyDescent="0.2">
      <c r="B228" s="1012"/>
      <c r="D228" s="874"/>
      <c r="F228" s="874"/>
      <c r="G228"/>
      <c r="H228" s="874"/>
    </row>
    <row r="229" spans="2:8" ht="15" x14ac:dyDescent="0.25">
      <c r="B229" s="1012"/>
      <c r="D229" s="287"/>
      <c r="E229" s="1261"/>
      <c r="F229" s="595"/>
      <c r="G229" s="751"/>
      <c r="H229" s="1116"/>
    </row>
    <row r="230" spans="2:8" ht="15" x14ac:dyDescent="0.25">
      <c r="B230" s="1012" t="s">
        <v>622</v>
      </c>
      <c r="C230" s="638">
        <v>44609</v>
      </c>
      <c r="D230" s="287">
        <v>6807</v>
      </c>
      <c r="E230" s="1261">
        <f t="shared" ref="E230:E235" si="42">+F230/D230</f>
        <v>685.32290289407968</v>
      </c>
      <c r="F230" s="595">
        <v>4664993</v>
      </c>
      <c r="G230" s="751" t="s">
        <v>494</v>
      </c>
      <c r="H230" s="1116">
        <v>7907.165</v>
      </c>
    </row>
    <row r="231" spans="2:8" ht="15" x14ac:dyDescent="0.25">
      <c r="B231" s="1012" t="s">
        <v>622</v>
      </c>
      <c r="C231" s="638">
        <v>44609</v>
      </c>
      <c r="D231" s="287">
        <v>50000</v>
      </c>
      <c r="E231" s="1261">
        <f t="shared" si="42"/>
        <v>686</v>
      </c>
      <c r="F231" s="595">
        <v>34300000</v>
      </c>
      <c r="G231" s="751" t="s">
        <v>854</v>
      </c>
      <c r="H231" s="1116">
        <v>58138.499999999993</v>
      </c>
    </row>
    <row r="232" spans="2:8" ht="15" x14ac:dyDescent="0.25">
      <c r="B232" s="1012" t="s">
        <v>622</v>
      </c>
      <c r="C232" s="638">
        <v>44614</v>
      </c>
      <c r="D232" s="287">
        <v>25000</v>
      </c>
      <c r="E232" s="1261">
        <f t="shared" si="42"/>
        <v>672</v>
      </c>
      <c r="F232" s="595">
        <v>16800000</v>
      </c>
      <c r="G232" s="751" t="s">
        <v>504</v>
      </c>
      <c r="H232" s="1116">
        <v>28476</v>
      </c>
    </row>
    <row r="233" spans="2:8" ht="15" x14ac:dyDescent="0.25">
      <c r="B233" s="1012" t="s">
        <v>622</v>
      </c>
      <c r="C233" s="638">
        <v>44614</v>
      </c>
      <c r="D233" s="287">
        <v>3500</v>
      </c>
      <c r="E233" s="1261">
        <f t="shared" si="42"/>
        <v>669.8195828571429</v>
      </c>
      <c r="F233" s="595">
        <v>2344368.54</v>
      </c>
      <c r="G233" s="751" t="s">
        <v>877</v>
      </c>
      <c r="H233" s="1116">
        <v>3973.72</v>
      </c>
    </row>
    <row r="234" spans="2:8" ht="15" x14ac:dyDescent="0.25">
      <c r="B234" s="1012" t="s">
        <v>622</v>
      </c>
      <c r="C234" s="638">
        <v>44616</v>
      </c>
      <c r="D234" s="287">
        <v>25000</v>
      </c>
      <c r="E234" s="1261">
        <f t="shared" si="42"/>
        <v>654.99896000000001</v>
      </c>
      <c r="F234" s="595">
        <v>16374974</v>
      </c>
      <c r="G234" s="751" t="s">
        <v>436</v>
      </c>
      <c r="H234" s="1116">
        <v>27755.581000000002</v>
      </c>
    </row>
    <row r="235" spans="2:8" ht="15" x14ac:dyDescent="0.25">
      <c r="B235" s="1012" t="s">
        <v>622</v>
      </c>
      <c r="C235" s="638">
        <v>44616</v>
      </c>
      <c r="D235" s="287">
        <v>25000</v>
      </c>
      <c r="E235" s="1261">
        <f t="shared" si="42"/>
        <v>649.99970859999996</v>
      </c>
      <c r="F235" s="595">
        <v>16249992.715</v>
      </c>
      <c r="G235" s="751" t="s">
        <v>505</v>
      </c>
      <c r="H235" s="1116">
        <v>27543.7390725</v>
      </c>
    </row>
    <row r="236" spans="2:8" ht="15" x14ac:dyDescent="0.25">
      <c r="B236" s="1012" t="s">
        <v>622</v>
      </c>
      <c r="C236" s="638">
        <v>44621</v>
      </c>
      <c r="D236" s="287">
        <v>22750</v>
      </c>
      <c r="E236" s="1261">
        <f>+F236/D236</f>
        <v>651.96658901098908</v>
      </c>
      <c r="F236" s="595">
        <v>14832239.900000002</v>
      </c>
      <c r="G236" s="751" t="s">
        <v>729</v>
      </c>
      <c r="H236" s="1116">
        <v>25140.65</v>
      </c>
    </row>
    <row r="237" spans="2:8" ht="15" x14ac:dyDescent="0.25">
      <c r="B237" s="1012" t="s">
        <v>622</v>
      </c>
      <c r="C237" s="638">
        <v>44622</v>
      </c>
      <c r="D237" s="287">
        <v>28000</v>
      </c>
      <c r="E237" s="1261">
        <f>+F237/D237</f>
        <v>639.37249999999995</v>
      </c>
      <c r="F237" s="595">
        <v>17902430</v>
      </c>
      <c r="G237" s="751" t="s">
        <v>849</v>
      </c>
      <c r="H237" s="1116">
        <v>30344.739999999998</v>
      </c>
    </row>
    <row r="238" spans="2:8" ht="15" x14ac:dyDescent="0.25">
      <c r="B238" s="1012" t="s">
        <v>622</v>
      </c>
      <c r="C238" s="638">
        <v>44630</v>
      </c>
      <c r="D238" s="287">
        <v>25000</v>
      </c>
      <c r="E238" s="1261">
        <f t="shared" ref="E238:E239" si="43">+F238/D238</f>
        <v>665</v>
      </c>
      <c r="F238" s="595">
        <v>16625000</v>
      </c>
      <c r="G238" s="751" t="s">
        <v>729</v>
      </c>
      <c r="H238" s="1116">
        <v>28179.38</v>
      </c>
    </row>
    <row r="239" spans="2:8" ht="15" x14ac:dyDescent="0.25">
      <c r="B239" s="1012" t="s">
        <v>622</v>
      </c>
      <c r="C239" s="638">
        <v>44630</v>
      </c>
      <c r="D239" s="287">
        <v>2000</v>
      </c>
      <c r="E239" s="1261">
        <f t="shared" si="43"/>
        <v>665</v>
      </c>
      <c r="F239" s="595">
        <v>1330000</v>
      </c>
      <c r="G239" s="751" t="s">
        <v>854</v>
      </c>
      <c r="H239" s="1116">
        <v>2254.35</v>
      </c>
    </row>
    <row r="240" spans="2:8" ht="15" x14ac:dyDescent="0.25">
      <c r="B240" s="1012" t="s">
        <v>622</v>
      </c>
      <c r="C240" s="638">
        <v>44651</v>
      </c>
      <c r="D240" s="287">
        <v>213057</v>
      </c>
      <c r="E240" s="1261">
        <v>0</v>
      </c>
      <c r="F240" s="595">
        <v>0</v>
      </c>
      <c r="G240" s="751" t="s">
        <v>911</v>
      </c>
      <c r="H240" s="1116"/>
    </row>
    <row r="241" spans="2:8" ht="15" x14ac:dyDescent="0.25">
      <c r="B241" s="1012"/>
      <c r="D241" s="287"/>
      <c r="E241" s="1261"/>
      <c r="F241" s="595"/>
      <c r="G241" s="751"/>
      <c r="H241" s="1116"/>
    </row>
    <row r="242" spans="2:8" ht="13.5" thickBot="1" x14ac:dyDescent="0.25">
      <c r="B242" s="1012"/>
      <c r="D242" s="867">
        <f>+SUM(D230:D241)</f>
        <v>426114</v>
      </c>
      <c r="F242" s="867">
        <f>+SUM(F230:F241)</f>
        <v>141423998.155</v>
      </c>
      <c r="G242"/>
      <c r="H242" s="867">
        <f>+SUM(H230:H241)</f>
        <v>239713.82507249998</v>
      </c>
    </row>
    <row r="243" spans="2:8" ht="15.75" thickTop="1" x14ac:dyDescent="0.25">
      <c r="B243" s="1012"/>
      <c r="D243" s="287"/>
      <c r="E243" s="1261"/>
      <c r="F243" s="595"/>
      <c r="G243" s="751"/>
      <c r="H243" s="1116"/>
    </row>
    <row r="244" spans="2:8" ht="15" x14ac:dyDescent="0.25">
      <c r="B244" s="1012" t="s">
        <v>167</v>
      </c>
      <c r="C244" s="638">
        <v>44620</v>
      </c>
      <c r="D244" s="287">
        <v>4000</v>
      </c>
      <c r="E244" s="1261">
        <f>+F244/D244</f>
        <v>328.66300000000001</v>
      </c>
      <c r="F244" s="595">
        <v>1314652</v>
      </c>
      <c r="G244" s="751" t="s">
        <v>666</v>
      </c>
      <c r="H244" s="1116">
        <v>2228.44</v>
      </c>
    </row>
    <row r="245" spans="2:8" ht="15" x14ac:dyDescent="0.25">
      <c r="B245" s="1012" t="s">
        <v>167</v>
      </c>
      <c r="C245" s="638">
        <v>44635</v>
      </c>
      <c r="D245" s="287">
        <v>5000</v>
      </c>
      <c r="E245" s="1261">
        <f>+F245/D245</f>
        <v>326.2176</v>
      </c>
      <c r="F245" s="595">
        <v>1631088</v>
      </c>
      <c r="G245" s="751" t="s">
        <v>505</v>
      </c>
      <c r="H245" s="1116">
        <v>2764.692</v>
      </c>
    </row>
    <row r="246" spans="2:8" ht="15" x14ac:dyDescent="0.25">
      <c r="B246" s="1012" t="s">
        <v>167</v>
      </c>
      <c r="C246" s="638">
        <v>44649</v>
      </c>
      <c r="D246" s="287">
        <v>5000</v>
      </c>
      <c r="E246" s="1261">
        <f t="shared" ref="E246" si="44">+F246/D246</f>
        <v>321.81900000000002</v>
      </c>
      <c r="F246" s="595">
        <v>1609095</v>
      </c>
      <c r="G246" s="751" t="s">
        <v>685</v>
      </c>
      <c r="H246" s="1116">
        <v>2727.41</v>
      </c>
    </row>
    <row r="247" spans="2:8" ht="15" x14ac:dyDescent="0.25">
      <c r="B247" s="1012" t="s">
        <v>167</v>
      </c>
      <c r="C247" s="638">
        <v>44650</v>
      </c>
      <c r="D247" s="287">
        <v>5000</v>
      </c>
      <c r="E247" s="1261">
        <f>+F247/D247</f>
        <v>322.01760000000002</v>
      </c>
      <c r="F247" s="595">
        <v>1610088</v>
      </c>
      <c r="G247" s="751" t="s">
        <v>689</v>
      </c>
      <c r="H247" s="1116">
        <v>2729.1000000000004</v>
      </c>
    </row>
    <row r="248" spans="2:8" ht="15" x14ac:dyDescent="0.25">
      <c r="B248" s="1012" t="s">
        <v>167</v>
      </c>
      <c r="C248" s="638">
        <v>44651</v>
      </c>
      <c r="D248" s="287">
        <v>10000</v>
      </c>
      <c r="E248" s="1261">
        <f t="shared" ref="E248:E249" si="45">+F248/D248</f>
        <v>327.8032</v>
      </c>
      <c r="F248" s="595">
        <v>3278032</v>
      </c>
      <c r="G248" s="751" t="s">
        <v>436</v>
      </c>
      <c r="H248" s="1116">
        <v>5556.4500000000007</v>
      </c>
    </row>
    <row r="249" spans="2:8" ht="15" x14ac:dyDescent="0.25">
      <c r="B249" s="1012" t="s">
        <v>167</v>
      </c>
      <c r="C249" s="638">
        <v>44655</v>
      </c>
      <c r="D249" s="287">
        <v>1000</v>
      </c>
      <c r="E249" s="1261">
        <f t="shared" si="45"/>
        <v>323.38900000000001</v>
      </c>
      <c r="F249" s="595">
        <v>323389</v>
      </c>
      <c r="G249" s="751" t="s">
        <v>910</v>
      </c>
      <c r="H249" s="1116">
        <v>548.14</v>
      </c>
    </row>
    <row r="250" spans="2:8" ht="15" x14ac:dyDescent="0.25">
      <c r="B250" s="1012" t="s">
        <v>167</v>
      </c>
      <c r="C250" s="638">
        <v>44656</v>
      </c>
      <c r="D250" s="287">
        <v>2500</v>
      </c>
      <c r="E250" s="1261">
        <f>+F250/D250</f>
        <v>322.59640000000002</v>
      </c>
      <c r="F250" s="595">
        <v>806491</v>
      </c>
      <c r="G250" s="751" t="s">
        <v>518</v>
      </c>
      <c r="H250" s="1116">
        <v>1367.02</v>
      </c>
    </row>
    <row r="251" spans="2:8" ht="15" x14ac:dyDescent="0.25">
      <c r="B251" s="1012" t="s">
        <v>167</v>
      </c>
      <c r="C251" s="638">
        <v>44657</v>
      </c>
      <c r="D251" s="287">
        <v>2000</v>
      </c>
      <c r="E251" s="1261">
        <f>+F251/D251</f>
        <v>324.42750000000001</v>
      </c>
      <c r="F251" s="595">
        <v>648855</v>
      </c>
      <c r="G251" s="751" t="s">
        <v>436</v>
      </c>
      <c r="H251" s="1116">
        <v>1099.8425</v>
      </c>
    </row>
    <row r="252" spans="2:8" ht="15" x14ac:dyDescent="0.25">
      <c r="B252" s="1012" t="s">
        <v>167</v>
      </c>
      <c r="C252" s="638">
        <v>44658</v>
      </c>
      <c r="D252" s="287">
        <v>10000</v>
      </c>
      <c r="E252" s="1261">
        <f>+F252/D252</f>
        <v>326.52719999999999</v>
      </c>
      <c r="F252" s="595">
        <v>3265272</v>
      </c>
      <c r="G252" s="751" t="s">
        <v>846</v>
      </c>
      <c r="H252" s="1116">
        <v>5534.6399999999994</v>
      </c>
    </row>
    <row r="253" spans="2:8" ht="15" x14ac:dyDescent="0.25">
      <c r="B253" s="1012" t="s">
        <v>167</v>
      </c>
      <c r="C253" s="638">
        <v>44687</v>
      </c>
      <c r="D253" s="287">
        <v>500</v>
      </c>
      <c r="E253" s="1261">
        <f t="shared" ref="E253:E254" si="46">+F253/D253</f>
        <v>316.58600000000001</v>
      </c>
      <c r="F253" s="595">
        <v>158293</v>
      </c>
      <c r="G253" s="751" t="s">
        <v>493</v>
      </c>
      <c r="H253" s="1116">
        <v>268.30950000000001</v>
      </c>
    </row>
    <row r="254" spans="2:8" ht="15" x14ac:dyDescent="0.25">
      <c r="B254" s="1012" t="s">
        <v>167</v>
      </c>
      <c r="C254" s="638">
        <v>44691</v>
      </c>
      <c r="D254" s="287">
        <v>4000</v>
      </c>
      <c r="E254" s="1261">
        <f t="shared" si="46"/>
        <v>298.7235</v>
      </c>
      <c r="F254" s="595">
        <v>1194894</v>
      </c>
      <c r="G254" s="751" t="s">
        <v>689</v>
      </c>
      <c r="H254" s="1116">
        <v>2025.34</v>
      </c>
    </row>
    <row r="255" spans="2:8" ht="15" x14ac:dyDescent="0.25">
      <c r="B255" s="1012" t="s">
        <v>167</v>
      </c>
      <c r="C255" s="638">
        <v>44692</v>
      </c>
      <c r="D255" s="287">
        <v>2500</v>
      </c>
      <c r="E255" s="1261">
        <f>+F255/D255</f>
        <v>293.68200000000002</v>
      </c>
      <c r="F255" s="595">
        <v>734205</v>
      </c>
      <c r="G255" s="751" t="s">
        <v>846</v>
      </c>
      <c r="H255" s="1116">
        <v>1244.48</v>
      </c>
    </row>
    <row r="256" spans="2:8" ht="15" x14ac:dyDescent="0.25">
      <c r="B256" s="1012" t="s">
        <v>167</v>
      </c>
      <c r="C256" s="638">
        <v>44693</v>
      </c>
      <c r="D256" s="287">
        <v>10000</v>
      </c>
      <c r="E256" s="1261">
        <f>+F256/D256</f>
        <v>299.99340000000001</v>
      </c>
      <c r="F256" s="595">
        <v>2999934</v>
      </c>
      <c r="G256" s="751" t="s">
        <v>689</v>
      </c>
      <c r="H256" s="1116">
        <v>5084.8899999999994</v>
      </c>
    </row>
    <row r="257" spans="2:8" ht="15" x14ac:dyDescent="0.25">
      <c r="B257" s="1012" t="s">
        <v>167</v>
      </c>
      <c r="C257" s="638">
        <v>44694</v>
      </c>
      <c r="D257" s="287">
        <v>1500</v>
      </c>
      <c r="E257" s="1261">
        <f t="shared" ref="E257:E261" si="47">+F257/D257</f>
        <v>299.96533333333332</v>
      </c>
      <c r="F257" s="595">
        <v>449948</v>
      </c>
      <c r="G257" s="751" t="s">
        <v>493</v>
      </c>
      <c r="H257" s="1116">
        <v>762.702</v>
      </c>
    </row>
    <row r="258" spans="2:8" ht="15" x14ac:dyDescent="0.25">
      <c r="B258" s="1012" t="s">
        <v>167</v>
      </c>
      <c r="C258" s="638">
        <v>44699</v>
      </c>
      <c r="D258" s="287">
        <v>7500</v>
      </c>
      <c r="E258" s="1261">
        <f t="shared" si="47"/>
        <v>270.32133333333331</v>
      </c>
      <c r="F258" s="595">
        <v>2027409.9999999998</v>
      </c>
      <c r="G258" s="751" t="s">
        <v>846</v>
      </c>
      <c r="H258" s="1116">
        <v>3436.47</v>
      </c>
    </row>
    <row r="259" spans="2:8" ht="15" x14ac:dyDescent="0.25">
      <c r="B259" s="1012" t="s">
        <v>167</v>
      </c>
      <c r="C259" s="638">
        <v>44701</v>
      </c>
      <c r="D259" s="287">
        <v>2500</v>
      </c>
      <c r="E259" s="1261">
        <f t="shared" si="47"/>
        <v>262.53199999999998</v>
      </c>
      <c r="F259" s="595">
        <v>656330</v>
      </c>
      <c r="G259" s="751" t="s">
        <v>849</v>
      </c>
      <c r="H259" s="1116">
        <v>1112.52</v>
      </c>
    </row>
    <row r="260" spans="2:8" ht="15" x14ac:dyDescent="0.25">
      <c r="B260" s="1012" t="s">
        <v>167</v>
      </c>
      <c r="C260" s="638">
        <v>44704</v>
      </c>
      <c r="D260" s="287">
        <v>5000</v>
      </c>
      <c r="E260" s="1261">
        <f t="shared" si="47"/>
        <v>257.64100000000002</v>
      </c>
      <c r="F260" s="595">
        <v>1288205</v>
      </c>
      <c r="G260" s="751" t="s">
        <v>505</v>
      </c>
      <c r="H260" s="1116">
        <v>2183.5099999999998</v>
      </c>
    </row>
    <row r="261" spans="2:8" ht="15" x14ac:dyDescent="0.25">
      <c r="B261" s="1012" t="s">
        <v>167</v>
      </c>
      <c r="C261" s="638">
        <v>44707</v>
      </c>
      <c r="D261" s="287">
        <v>1500</v>
      </c>
      <c r="E261" s="1261">
        <f t="shared" si="47"/>
        <v>255.04133333333334</v>
      </c>
      <c r="F261" s="595">
        <v>382562</v>
      </c>
      <c r="G261" s="751" t="s">
        <v>849</v>
      </c>
      <c r="H261" s="1116">
        <v>648.45000000000005</v>
      </c>
    </row>
    <row r="262" spans="2:8" ht="15" x14ac:dyDescent="0.25">
      <c r="B262" s="1012" t="s">
        <v>167</v>
      </c>
      <c r="C262" s="638">
        <v>44708</v>
      </c>
      <c r="D262" s="287">
        <v>5000</v>
      </c>
      <c r="E262" s="1261">
        <f>+F262/D262</f>
        <v>251.9906</v>
      </c>
      <c r="F262" s="595">
        <v>1259953</v>
      </c>
      <c r="G262" s="751" t="s">
        <v>505</v>
      </c>
      <c r="H262" s="1116">
        <v>2135.62</v>
      </c>
    </row>
    <row r="263" spans="2:8" ht="15" x14ac:dyDescent="0.25">
      <c r="B263" s="1012" t="s">
        <v>167</v>
      </c>
      <c r="C263" s="638">
        <v>44712</v>
      </c>
      <c r="D263" s="287">
        <v>5000</v>
      </c>
      <c r="E263" s="1261">
        <f>+F263/D263</f>
        <v>251.9872</v>
      </c>
      <c r="F263" s="595">
        <v>1259936</v>
      </c>
      <c r="G263" s="751" t="s">
        <v>729</v>
      </c>
      <c r="H263" s="1116">
        <v>2135.59</v>
      </c>
    </row>
    <row r="264" spans="2:8" ht="15" x14ac:dyDescent="0.25">
      <c r="B264" s="1012" t="s">
        <v>167</v>
      </c>
      <c r="C264" s="638">
        <v>44715</v>
      </c>
      <c r="D264" s="287">
        <v>5000</v>
      </c>
      <c r="E264" s="1261">
        <f t="shared" ref="E264" si="48">+F264/D264</f>
        <v>250.01900000000001</v>
      </c>
      <c r="F264" s="595">
        <v>1250095</v>
      </c>
      <c r="G264" s="751" t="s">
        <v>504</v>
      </c>
      <c r="H264" s="1116">
        <v>2118.9100000000003</v>
      </c>
    </row>
    <row r="265" spans="2:8" ht="15" x14ac:dyDescent="0.25">
      <c r="B265" s="1012" t="s">
        <v>167</v>
      </c>
      <c r="C265" s="638">
        <v>44722</v>
      </c>
      <c r="D265" s="287">
        <v>5000</v>
      </c>
      <c r="E265" s="1261">
        <f>+F265/D265</f>
        <v>265.34859999999998</v>
      </c>
      <c r="F265" s="595">
        <v>1326742.9999999998</v>
      </c>
      <c r="G265" s="751" t="s">
        <v>436</v>
      </c>
      <c r="H265" s="1116">
        <v>2248.9144999999999</v>
      </c>
    </row>
    <row r="266" spans="2:8" ht="15" x14ac:dyDescent="0.25">
      <c r="B266" s="1012" t="s">
        <v>167</v>
      </c>
      <c r="C266" s="638">
        <v>44729</v>
      </c>
      <c r="D266" s="287">
        <v>10000</v>
      </c>
      <c r="E266" s="1261">
        <f>+F266/D266</f>
        <v>273.77</v>
      </c>
      <c r="F266" s="595">
        <v>2737700</v>
      </c>
      <c r="G266" s="751" t="s">
        <v>685</v>
      </c>
      <c r="H266" s="1116">
        <v>4640.4000000000005</v>
      </c>
    </row>
    <row r="267" spans="2:8" ht="15" x14ac:dyDescent="0.25">
      <c r="B267" s="1012" t="s">
        <v>167</v>
      </c>
      <c r="C267" s="638">
        <v>44732</v>
      </c>
      <c r="D267" s="287">
        <v>5000</v>
      </c>
      <c r="E267" s="1261">
        <f t="shared" ref="E267" si="49">+F267/D267</f>
        <v>271.81220000000002</v>
      </c>
      <c r="F267" s="595">
        <v>1359061</v>
      </c>
      <c r="G267" s="751" t="s">
        <v>504</v>
      </c>
      <c r="H267" s="1116">
        <v>2303.6099999999997</v>
      </c>
    </row>
    <row r="268" spans="2:8" ht="15" x14ac:dyDescent="0.25">
      <c r="B268" s="1012" t="s">
        <v>167</v>
      </c>
      <c r="C268" s="638">
        <v>44741</v>
      </c>
      <c r="D268" s="287">
        <v>5000</v>
      </c>
      <c r="E268" s="1261">
        <f>+F268/D268</f>
        <v>265.34980000000002</v>
      </c>
      <c r="F268" s="595">
        <v>1326749</v>
      </c>
      <c r="G268" s="751" t="s">
        <v>825</v>
      </c>
      <c r="H268" s="1116">
        <v>2248.84</v>
      </c>
    </row>
    <row r="269" spans="2:8" ht="15" x14ac:dyDescent="0.25">
      <c r="B269" s="1012" t="s">
        <v>167</v>
      </c>
      <c r="C269" s="638">
        <v>44742</v>
      </c>
      <c r="D269" s="287">
        <v>10000</v>
      </c>
      <c r="E269" s="1261">
        <f t="shared" ref="E269" si="50">+F269/D269</f>
        <v>269.4332</v>
      </c>
      <c r="F269" s="595">
        <v>2694332</v>
      </c>
      <c r="G269" s="751" t="s">
        <v>729</v>
      </c>
      <c r="H269" s="1116">
        <v>4566.8999999999996</v>
      </c>
    </row>
    <row r="270" spans="2:8" ht="15" x14ac:dyDescent="0.25">
      <c r="B270" s="1012" t="s">
        <v>167</v>
      </c>
      <c r="C270" s="638">
        <v>44746</v>
      </c>
      <c r="D270" s="287">
        <v>2500</v>
      </c>
      <c r="E270" s="1261">
        <f>+F270/D270</f>
        <v>265.84320000000002</v>
      </c>
      <c r="F270" s="595">
        <v>664608.00000000012</v>
      </c>
      <c r="G270" s="751" t="s">
        <v>505</v>
      </c>
      <c r="H270" s="1116">
        <v>1126.51</v>
      </c>
    </row>
    <row r="271" spans="2:8" ht="15" x14ac:dyDescent="0.25">
      <c r="B271" s="1012" t="s">
        <v>167</v>
      </c>
      <c r="C271" s="638">
        <v>44756</v>
      </c>
      <c r="D271" s="287">
        <v>5000</v>
      </c>
      <c r="E271" s="1261">
        <f>+F271/D271</f>
        <v>267.45339999999999</v>
      </c>
      <c r="F271" s="595">
        <v>1337267</v>
      </c>
      <c r="G271" s="751" t="s">
        <v>505</v>
      </c>
      <c r="H271" s="1116">
        <v>2266.67</v>
      </c>
    </row>
    <row r="272" spans="2:8" ht="15" x14ac:dyDescent="0.25">
      <c r="B272" s="1012" t="s">
        <v>167</v>
      </c>
      <c r="C272" s="638">
        <v>44757</v>
      </c>
      <c r="D272" s="287">
        <v>2500</v>
      </c>
      <c r="E272" s="1261">
        <f t="shared" ref="E272:E274" si="51">+F272/D272</f>
        <v>267.95319999999998</v>
      </c>
      <c r="F272" s="595">
        <v>669883</v>
      </c>
      <c r="G272" s="751" t="s">
        <v>504</v>
      </c>
      <c r="H272" s="1116">
        <v>1135.45</v>
      </c>
    </row>
    <row r="273" spans="2:8" ht="15" x14ac:dyDescent="0.25">
      <c r="B273" s="1012" t="s">
        <v>167</v>
      </c>
      <c r="C273" s="638">
        <v>44760</v>
      </c>
      <c r="D273" s="287">
        <v>3000</v>
      </c>
      <c r="E273" s="1261">
        <f t="shared" si="51"/>
        <v>267.42666666666668</v>
      </c>
      <c r="F273" s="595">
        <v>802280</v>
      </c>
      <c r="G273" s="751" t="s">
        <v>505</v>
      </c>
      <c r="H273" s="1116">
        <v>1359.8246153846153</v>
      </c>
    </row>
    <row r="274" spans="2:8" ht="15" x14ac:dyDescent="0.25">
      <c r="B274" s="1012" t="s">
        <v>167</v>
      </c>
      <c r="C274" s="638">
        <v>44761</v>
      </c>
      <c r="D274" s="287">
        <v>2500</v>
      </c>
      <c r="E274" s="1261">
        <f t="shared" si="51"/>
        <v>263.82679999999999</v>
      </c>
      <c r="F274" s="595">
        <v>659567</v>
      </c>
      <c r="G274" s="751" t="s">
        <v>494</v>
      </c>
      <c r="H274" s="1116">
        <v>1117.9700000000003</v>
      </c>
    </row>
    <row r="275" spans="2:8" ht="15" x14ac:dyDescent="0.25">
      <c r="B275" s="1012" t="s">
        <v>167</v>
      </c>
      <c r="C275" s="638">
        <v>44762</v>
      </c>
      <c r="D275" s="287">
        <v>5000</v>
      </c>
      <c r="E275" s="1261">
        <f>+F275/D275</f>
        <v>266.60019999999997</v>
      </c>
      <c r="F275" s="595">
        <v>1333000.9999999998</v>
      </c>
      <c r="G275" s="751" t="s">
        <v>505</v>
      </c>
      <c r="H275" s="1116">
        <v>2259.44</v>
      </c>
    </row>
    <row r="276" spans="2:8" ht="15" x14ac:dyDescent="0.25">
      <c r="B276" s="1012" t="s">
        <v>167</v>
      </c>
      <c r="C276" s="638">
        <v>44763</v>
      </c>
      <c r="D276" s="287">
        <v>3000</v>
      </c>
      <c r="E276" s="1261">
        <f t="shared" ref="E276" si="52">+F276/D276</f>
        <v>261.41933333333333</v>
      </c>
      <c r="F276" s="595">
        <v>784258</v>
      </c>
      <c r="G276" s="751" t="s">
        <v>729</v>
      </c>
      <c r="H276" s="1116">
        <v>1329.3200000000002</v>
      </c>
    </row>
    <row r="277" spans="2:8" ht="15" x14ac:dyDescent="0.25">
      <c r="B277" s="1012" t="s">
        <v>167</v>
      </c>
      <c r="C277" s="638">
        <v>44764</v>
      </c>
      <c r="D277" s="287">
        <v>200</v>
      </c>
      <c r="E277" s="1261">
        <f>+F277/D277</f>
        <v>264.32</v>
      </c>
      <c r="F277" s="595">
        <v>52864</v>
      </c>
      <c r="G277" s="751" t="s">
        <v>505</v>
      </c>
      <c r="H277" s="1116">
        <v>89.61</v>
      </c>
    </row>
    <row r="278" spans="2:8" ht="15" x14ac:dyDescent="0.25">
      <c r="B278" s="1012"/>
      <c r="D278" s="287"/>
      <c r="E278" s="1261"/>
      <c r="F278" s="595"/>
      <c r="G278" s="751"/>
      <c r="H278" s="1116"/>
    </row>
    <row r="279" spans="2:8" ht="13.5" thickBot="1" x14ac:dyDescent="0.25">
      <c r="B279" s="1012"/>
      <c r="D279" s="867">
        <f>+SUM(D244:D278)</f>
        <v>153200</v>
      </c>
      <c r="F279" s="867">
        <f>+SUM(F244:F278)</f>
        <v>43897040</v>
      </c>
      <c r="G279"/>
      <c r="H279" s="867">
        <f>+SUM(H244:H278)</f>
        <v>74405.985115384625</v>
      </c>
    </row>
    <row r="280" spans="2:8" ht="13.5" thickTop="1" x14ac:dyDescent="0.2">
      <c r="B280" s="1012"/>
      <c r="D280" s="874"/>
      <c r="F280" s="874"/>
      <c r="G280"/>
      <c r="H280" s="874"/>
    </row>
    <row r="281" spans="2:8" x14ac:dyDescent="0.2">
      <c r="B281" s="1012" t="s">
        <v>440</v>
      </c>
      <c r="C281" s="638">
        <v>44649</v>
      </c>
      <c r="D281" s="1305">
        <v>5000</v>
      </c>
      <c r="E281" s="1306">
        <f t="shared" ref="E281:E282" si="53">+F281/D281</f>
        <v>782.94899999999996</v>
      </c>
      <c r="F281" s="1305">
        <v>3914745</v>
      </c>
      <c r="G281" s="1008" t="s">
        <v>689</v>
      </c>
      <c r="H281" s="1305">
        <v>6635.5</v>
      </c>
    </row>
    <row r="282" spans="2:8" x14ac:dyDescent="0.2">
      <c r="B282" s="1012" t="s">
        <v>440</v>
      </c>
      <c r="C282" s="638">
        <v>44652</v>
      </c>
      <c r="D282" s="1305">
        <v>1000</v>
      </c>
      <c r="E282" s="1306">
        <f t="shared" si="53"/>
        <v>781.42</v>
      </c>
      <c r="F282" s="1305">
        <v>781420</v>
      </c>
      <c r="G282" s="1008" t="s">
        <v>505</v>
      </c>
      <c r="H282" s="1305">
        <v>1324.5100000000002</v>
      </c>
    </row>
    <row r="283" spans="2:8" x14ac:dyDescent="0.2">
      <c r="B283" s="1012" t="s">
        <v>440</v>
      </c>
      <c r="C283" s="638">
        <v>44655</v>
      </c>
      <c r="D283" s="1305">
        <v>3000</v>
      </c>
      <c r="E283" s="1306">
        <f>+F283/D283</f>
        <v>781.35400000000004</v>
      </c>
      <c r="F283" s="1305">
        <v>2344062</v>
      </c>
      <c r="G283" s="1008" t="s">
        <v>505</v>
      </c>
      <c r="H283" s="1305">
        <v>3973.1800000000007</v>
      </c>
    </row>
    <row r="284" spans="2:8" x14ac:dyDescent="0.2">
      <c r="B284" s="1012" t="s">
        <v>440</v>
      </c>
      <c r="C284" s="638">
        <v>44663</v>
      </c>
      <c r="D284" s="1305">
        <v>5000</v>
      </c>
      <c r="E284" s="1306">
        <f>+F284/D284</f>
        <v>785.46844999999996</v>
      </c>
      <c r="F284" s="1305">
        <v>3927342.25</v>
      </c>
      <c r="G284" s="1008" t="s">
        <v>846</v>
      </c>
      <c r="H284" s="1305">
        <v>6656.8450000000003</v>
      </c>
    </row>
    <row r="285" spans="2:8" x14ac:dyDescent="0.2">
      <c r="B285" s="1012" t="s">
        <v>440</v>
      </c>
      <c r="C285" s="638">
        <v>44664</v>
      </c>
      <c r="D285" s="1305">
        <v>2000</v>
      </c>
      <c r="E285" s="1306">
        <f>+F285/D285</f>
        <v>798.16449999999998</v>
      </c>
      <c r="F285" s="1305">
        <v>1596329</v>
      </c>
      <c r="G285" s="1008" t="s">
        <v>505</v>
      </c>
      <c r="H285" s="1305">
        <v>2705.7699999999995</v>
      </c>
    </row>
    <row r="286" spans="2:8" x14ac:dyDescent="0.2">
      <c r="B286" s="1012" t="s">
        <v>440</v>
      </c>
      <c r="C286" s="638">
        <v>44666</v>
      </c>
      <c r="D286" s="1305">
        <v>5000</v>
      </c>
      <c r="E286" s="1306">
        <f t="shared" ref="E286:E288" si="54">+F286/D286</f>
        <v>826.57299999999998</v>
      </c>
      <c r="F286" s="1305">
        <v>4132865</v>
      </c>
      <c r="G286" s="1008" t="s">
        <v>729</v>
      </c>
      <c r="H286" s="1305">
        <v>7005.21</v>
      </c>
    </row>
    <row r="287" spans="2:8" x14ac:dyDescent="0.2">
      <c r="B287" s="1012" t="s">
        <v>440</v>
      </c>
      <c r="C287" s="638">
        <v>44669</v>
      </c>
      <c r="D287" s="1305">
        <v>2000</v>
      </c>
      <c r="E287" s="1306">
        <f t="shared" si="54"/>
        <v>827.65224999999998</v>
      </c>
      <c r="F287" s="1305">
        <v>1655304.5</v>
      </c>
      <c r="G287" s="1008" t="s">
        <v>846</v>
      </c>
      <c r="H287" s="1305">
        <v>2805.74</v>
      </c>
    </row>
    <row r="288" spans="2:8" x14ac:dyDescent="0.2">
      <c r="B288" s="1012" t="s">
        <v>440</v>
      </c>
      <c r="C288" s="638">
        <v>44701</v>
      </c>
      <c r="D288" s="1305">
        <v>1000</v>
      </c>
      <c r="E288" s="1306">
        <f t="shared" si="54"/>
        <v>743.33450000000005</v>
      </c>
      <c r="F288" s="1305">
        <v>743334.5</v>
      </c>
      <c r="G288" s="1008" t="s">
        <v>505</v>
      </c>
      <c r="H288" s="1305">
        <v>1259.95</v>
      </c>
    </row>
    <row r="289" spans="2:8" x14ac:dyDescent="0.2">
      <c r="B289" s="1012" t="s">
        <v>440</v>
      </c>
      <c r="C289" s="638">
        <v>44705</v>
      </c>
      <c r="D289" s="1305">
        <v>1000</v>
      </c>
      <c r="E289" s="1306">
        <f>+F289/D289</f>
        <v>712.4</v>
      </c>
      <c r="F289" s="1305">
        <v>712400</v>
      </c>
      <c r="G289" s="1008" t="s">
        <v>505</v>
      </c>
      <c r="H289" s="1305">
        <v>1207.52</v>
      </c>
    </row>
    <row r="290" spans="2:8" x14ac:dyDescent="0.2">
      <c r="B290" s="1012" t="s">
        <v>440</v>
      </c>
      <c r="C290" s="638">
        <v>44706</v>
      </c>
      <c r="D290" s="1305">
        <v>5000</v>
      </c>
      <c r="E290" s="1306">
        <f t="shared" ref="E290:E291" si="55">+F290/D290</f>
        <v>717.28359999999998</v>
      </c>
      <c r="F290" s="1305">
        <v>3586418</v>
      </c>
      <c r="G290" s="1008" t="s">
        <v>504</v>
      </c>
      <c r="H290" s="1305">
        <v>6078.9750000000004</v>
      </c>
    </row>
    <row r="291" spans="2:8" x14ac:dyDescent="0.2">
      <c r="B291" s="1012" t="s">
        <v>440</v>
      </c>
      <c r="C291" s="638">
        <v>44722</v>
      </c>
      <c r="D291" s="1305">
        <v>8500</v>
      </c>
      <c r="E291" s="1306">
        <f t="shared" si="55"/>
        <v>740.52769999999998</v>
      </c>
      <c r="F291" s="1305">
        <v>6294485.4500000002</v>
      </c>
      <c r="G291" s="1008" t="s">
        <v>846</v>
      </c>
      <c r="H291" s="1305">
        <v>10669.162</v>
      </c>
    </row>
    <row r="292" spans="2:8" x14ac:dyDescent="0.2">
      <c r="B292" s="1012" t="s">
        <v>440</v>
      </c>
      <c r="C292" s="638">
        <v>44726</v>
      </c>
      <c r="D292" s="1305">
        <v>5000</v>
      </c>
      <c r="E292" s="1306">
        <f t="shared" ref="E292:E297" si="56">+F292/D292</f>
        <v>707.70690000000002</v>
      </c>
      <c r="F292" s="1305">
        <v>3538534.5</v>
      </c>
      <c r="G292" s="1008" t="s">
        <v>505</v>
      </c>
      <c r="H292" s="1305">
        <v>5997.81</v>
      </c>
    </row>
    <row r="293" spans="2:8" x14ac:dyDescent="0.2">
      <c r="B293" s="1012" t="s">
        <v>440</v>
      </c>
      <c r="C293" s="638">
        <v>44727</v>
      </c>
      <c r="D293" s="1305">
        <v>2500</v>
      </c>
      <c r="E293" s="1306">
        <f t="shared" si="56"/>
        <v>722.94060000000002</v>
      </c>
      <c r="F293" s="1305">
        <v>1807351.5</v>
      </c>
      <c r="G293" s="1008" t="s">
        <v>504</v>
      </c>
      <c r="H293" s="1305">
        <v>3063.46</v>
      </c>
    </row>
    <row r="294" spans="2:8" x14ac:dyDescent="0.2">
      <c r="B294" s="1012" t="s">
        <v>440</v>
      </c>
      <c r="C294" s="638">
        <v>44728</v>
      </c>
      <c r="D294" s="1305">
        <v>2000</v>
      </c>
      <c r="E294" s="1306">
        <f t="shared" si="56"/>
        <v>724.54674999999997</v>
      </c>
      <c r="F294" s="1305">
        <v>1449093.5</v>
      </c>
      <c r="G294" s="1008" t="s">
        <v>729</v>
      </c>
      <c r="H294" s="1305">
        <v>2456.21</v>
      </c>
    </row>
    <row r="295" spans="2:8" x14ac:dyDescent="0.2">
      <c r="B295" s="1012" t="s">
        <v>440</v>
      </c>
      <c r="C295" s="638">
        <v>44729</v>
      </c>
      <c r="D295" s="1305">
        <v>3000</v>
      </c>
      <c r="E295" s="1306">
        <f t="shared" si="56"/>
        <v>725</v>
      </c>
      <c r="F295" s="1305">
        <v>2175000</v>
      </c>
      <c r="G295" s="1008" t="s">
        <v>505</v>
      </c>
      <c r="H295" s="1305">
        <v>3686.6299999999997</v>
      </c>
    </row>
    <row r="296" spans="2:8" x14ac:dyDescent="0.2">
      <c r="B296" s="1012" t="s">
        <v>440</v>
      </c>
      <c r="C296" s="638">
        <v>44732</v>
      </c>
      <c r="D296" s="1305">
        <v>2500</v>
      </c>
      <c r="E296" s="1306">
        <f t="shared" si="56"/>
        <v>731.82640000000004</v>
      </c>
      <c r="F296" s="1305">
        <v>1829566</v>
      </c>
      <c r="G296" s="1008" t="s">
        <v>846</v>
      </c>
      <c r="H296" s="1305">
        <v>3101.12</v>
      </c>
    </row>
    <row r="297" spans="2:8" x14ac:dyDescent="0.2">
      <c r="B297" s="1012" t="s">
        <v>440</v>
      </c>
      <c r="C297" s="638">
        <v>44733</v>
      </c>
      <c r="D297" s="1305">
        <v>10000</v>
      </c>
      <c r="E297" s="1306">
        <f t="shared" si="56"/>
        <v>739.66565000000003</v>
      </c>
      <c r="F297" s="1305">
        <v>7396656.5</v>
      </c>
      <c r="G297" s="1008" t="s">
        <v>846</v>
      </c>
      <c r="H297" s="1305">
        <v>12537.33</v>
      </c>
    </row>
    <row r="298" spans="2:8" x14ac:dyDescent="0.2">
      <c r="B298" s="1012" t="s">
        <v>440</v>
      </c>
      <c r="C298" s="638">
        <v>44734</v>
      </c>
      <c r="D298" s="1305">
        <v>5000</v>
      </c>
      <c r="E298" s="1306">
        <f>+F298/D298</f>
        <v>740.39520000000005</v>
      </c>
      <c r="F298" s="1305">
        <v>3701976</v>
      </c>
      <c r="G298" s="1008" t="s">
        <v>689</v>
      </c>
      <c r="H298" s="1305">
        <v>6274.84</v>
      </c>
    </row>
    <row r="299" spans="2:8" x14ac:dyDescent="0.2">
      <c r="B299" s="1012" t="s">
        <v>440</v>
      </c>
      <c r="C299" s="638">
        <v>44736</v>
      </c>
      <c r="D299" s="1305">
        <v>5000</v>
      </c>
      <c r="E299" s="1306">
        <f t="shared" ref="E299" si="57">+F299/D299</f>
        <v>726.28899999999999</v>
      </c>
      <c r="F299" s="1305">
        <v>3631445</v>
      </c>
      <c r="G299" s="1008" t="s">
        <v>846</v>
      </c>
      <c r="H299" s="1305">
        <v>6155.3</v>
      </c>
    </row>
    <row r="300" spans="2:8" x14ac:dyDescent="0.2">
      <c r="B300" s="1012" t="s">
        <v>440</v>
      </c>
      <c r="C300" s="638">
        <v>44739</v>
      </c>
      <c r="D300" s="1305">
        <v>5000</v>
      </c>
      <c r="E300" s="1306">
        <f>+F300/D300</f>
        <v>743.64945</v>
      </c>
      <c r="F300" s="1305">
        <v>3718247.25</v>
      </c>
      <c r="G300" s="1008" t="s">
        <v>505</v>
      </c>
      <c r="H300" s="1305">
        <v>6302.43</v>
      </c>
    </row>
    <row r="301" spans="2:8" x14ac:dyDescent="0.2">
      <c r="B301" s="1012" t="s">
        <v>440</v>
      </c>
      <c r="C301" s="638">
        <v>44740</v>
      </c>
      <c r="D301" s="1305">
        <v>2500</v>
      </c>
      <c r="E301" s="1306">
        <f>+F301/D301</f>
        <v>742.99680000000001</v>
      </c>
      <c r="F301" s="1305">
        <v>1857492</v>
      </c>
      <c r="G301" s="1008" t="s">
        <v>505</v>
      </c>
      <c r="H301" s="1305">
        <v>3148.45</v>
      </c>
    </row>
    <row r="302" spans="2:8" x14ac:dyDescent="0.2">
      <c r="B302" s="1012" t="s">
        <v>440</v>
      </c>
      <c r="C302" s="638">
        <v>44742</v>
      </c>
      <c r="D302" s="1305">
        <v>7500</v>
      </c>
      <c r="E302" s="1306">
        <f t="shared" ref="E302" si="58">+F302/D302</f>
        <v>725.56586666666669</v>
      </c>
      <c r="F302" s="1305">
        <v>5441744</v>
      </c>
      <c r="G302" s="1008" t="s">
        <v>729</v>
      </c>
      <c r="H302" s="1305">
        <v>9223.7549999999992</v>
      </c>
    </row>
    <row r="303" spans="2:8" x14ac:dyDescent="0.2">
      <c r="B303" s="1012" t="s">
        <v>440</v>
      </c>
      <c r="C303" s="638">
        <v>44746</v>
      </c>
      <c r="D303" s="1305">
        <v>4000</v>
      </c>
      <c r="E303" s="1306">
        <f>+F303/D303</f>
        <v>732.91800000000001</v>
      </c>
      <c r="F303" s="1305">
        <v>2931672</v>
      </c>
      <c r="G303" s="1008" t="s">
        <v>689</v>
      </c>
      <c r="H303" s="1305">
        <v>4969.1900000000005</v>
      </c>
    </row>
    <row r="304" spans="2:8" x14ac:dyDescent="0.2">
      <c r="B304" s="1012" t="s">
        <v>440</v>
      </c>
      <c r="C304" s="638">
        <v>44747</v>
      </c>
      <c r="D304" s="1305">
        <v>250</v>
      </c>
      <c r="E304" s="1306">
        <f>+F304/D304</f>
        <v>744.8</v>
      </c>
      <c r="F304" s="1305">
        <v>186200</v>
      </c>
      <c r="G304" s="1008" t="s">
        <v>854</v>
      </c>
      <c r="H304" s="1305">
        <v>315.61</v>
      </c>
    </row>
    <row r="305" spans="2:8" x14ac:dyDescent="0.2">
      <c r="B305" s="1012" t="s">
        <v>440</v>
      </c>
      <c r="C305" s="638">
        <v>44748</v>
      </c>
      <c r="D305" s="1305">
        <v>500</v>
      </c>
      <c r="E305" s="1306">
        <f>+F305/D305</f>
        <v>746.61</v>
      </c>
      <c r="F305" s="1305">
        <v>373305</v>
      </c>
      <c r="G305" s="1008" t="s">
        <v>505</v>
      </c>
      <c r="H305" s="1305">
        <v>632.75</v>
      </c>
    </row>
    <row r="306" spans="2:8" x14ac:dyDescent="0.2">
      <c r="B306" s="1012" t="s">
        <v>440</v>
      </c>
      <c r="C306" s="638">
        <v>44755</v>
      </c>
      <c r="D306" s="1305">
        <v>2000</v>
      </c>
      <c r="E306" s="1306">
        <f t="shared" ref="E306" si="59">+F306/D306</f>
        <v>748.37850000000003</v>
      </c>
      <c r="F306" s="1305">
        <v>1496757</v>
      </c>
      <c r="G306" s="1008" t="s">
        <v>505</v>
      </c>
      <c r="H306" s="1305">
        <v>2537.0099999999998</v>
      </c>
    </row>
    <row r="307" spans="2:8" x14ac:dyDescent="0.2">
      <c r="B307" s="1012" t="s">
        <v>440</v>
      </c>
      <c r="C307" s="638">
        <v>44756</v>
      </c>
      <c r="D307" s="1305">
        <v>2500</v>
      </c>
      <c r="E307" s="1306">
        <f>+F307/D307</f>
        <v>764.87</v>
      </c>
      <c r="F307" s="1305">
        <v>1912175</v>
      </c>
      <c r="G307" s="1008" t="s">
        <v>505</v>
      </c>
      <c r="H307" s="1305">
        <v>3241.13</v>
      </c>
    </row>
    <row r="308" spans="2:8" x14ac:dyDescent="0.2">
      <c r="B308" s="1012"/>
      <c r="D308" s="874"/>
      <c r="F308" s="874"/>
      <c r="G308"/>
      <c r="H308" s="874"/>
    </row>
    <row r="309" spans="2:8" ht="13.5" thickBot="1" x14ac:dyDescent="0.25">
      <c r="B309" s="1012"/>
      <c r="D309" s="867">
        <f>+SUM(D281:D308)</f>
        <v>97750</v>
      </c>
      <c r="F309" s="867">
        <f>+SUM(F281:F308)</f>
        <v>73135920.950000003</v>
      </c>
      <c r="G309"/>
      <c r="H309" s="867">
        <f>+SUM(H281:H308)</f>
        <v>123965.387</v>
      </c>
    </row>
    <row r="310" spans="2:8" ht="13.5" thickTop="1" x14ac:dyDescent="0.2">
      <c r="B310" s="1012"/>
      <c r="D310" s="874"/>
      <c r="F310" s="874"/>
      <c r="G310"/>
      <c r="H310" s="874"/>
    </row>
    <row r="311" spans="2:8" x14ac:dyDescent="0.2">
      <c r="B311" s="1012" t="s">
        <v>572</v>
      </c>
      <c r="C311" s="638">
        <v>44666</v>
      </c>
      <c r="D311" s="1305">
        <v>200000</v>
      </c>
      <c r="E311" s="1306">
        <f t="shared" ref="E311" si="60">+F311/D311</f>
        <v>76.143169499999999</v>
      </c>
      <c r="F311" s="1305">
        <v>15228633.9</v>
      </c>
      <c r="G311" s="1008" t="s">
        <v>518</v>
      </c>
      <c r="H311" s="1305">
        <v>25815</v>
      </c>
    </row>
    <row r="312" spans="2:8" x14ac:dyDescent="0.2">
      <c r="B312" s="1012"/>
      <c r="D312" s="874"/>
      <c r="F312" s="874"/>
      <c r="G312"/>
      <c r="H312" s="874"/>
    </row>
    <row r="313" spans="2:8" ht="13.5" thickBot="1" x14ac:dyDescent="0.25">
      <c r="B313" s="1012"/>
      <c r="D313" s="867">
        <f>+SUM(D311:D312)</f>
        <v>200000</v>
      </c>
      <c r="F313" s="867">
        <f>+SUM(F311:F312)</f>
        <v>15228633.9</v>
      </c>
      <c r="G313"/>
      <c r="H313" s="867">
        <f>+SUM(H311:H312)</f>
        <v>25815</v>
      </c>
    </row>
    <row r="314" spans="2:8" ht="13.5" thickTop="1" x14ac:dyDescent="0.2">
      <c r="B314" s="1012"/>
      <c r="D314" s="874"/>
      <c r="F314" s="874"/>
      <c r="G314"/>
      <c r="H314" s="874"/>
    </row>
    <row r="315" spans="2:8" x14ac:dyDescent="0.2">
      <c r="B315" s="1012" t="s">
        <v>610</v>
      </c>
      <c r="C315" s="638">
        <v>44671</v>
      </c>
      <c r="D315" s="1305">
        <v>49450</v>
      </c>
      <c r="E315" s="1306">
        <v>0</v>
      </c>
      <c r="F315" s="1305">
        <v>0</v>
      </c>
      <c r="G315" s="1008" t="s">
        <v>312</v>
      </c>
      <c r="H315" s="1305"/>
    </row>
    <row r="316" spans="2:8" x14ac:dyDescent="0.2">
      <c r="B316" s="1012"/>
      <c r="D316" s="874"/>
      <c r="F316" s="874"/>
      <c r="G316"/>
      <c r="H316" s="874"/>
    </row>
    <row r="317" spans="2:8" ht="13.5" thickBot="1" x14ac:dyDescent="0.25">
      <c r="B317" s="1012"/>
      <c r="D317" s="867">
        <f>+SUM(D315:D316)</f>
        <v>49450</v>
      </c>
      <c r="F317" s="867">
        <f>+SUM(F315:F316)</f>
        <v>0</v>
      </c>
      <c r="G317"/>
      <c r="H317" s="867">
        <f>+SUM(H315:H316)</f>
        <v>0</v>
      </c>
    </row>
    <row r="318" spans="2:8" ht="13.5" thickTop="1" x14ac:dyDescent="0.2">
      <c r="B318" s="1012"/>
      <c r="D318" s="874"/>
      <c r="F318" s="874"/>
      <c r="G318"/>
      <c r="H318" s="874"/>
    </row>
    <row r="319" spans="2:8" x14ac:dyDescent="0.2">
      <c r="B319" s="1012" t="s">
        <v>540</v>
      </c>
      <c r="C319" s="638">
        <v>44687</v>
      </c>
      <c r="D319" s="1305">
        <v>687500</v>
      </c>
      <c r="E319" s="1306">
        <f>+F319/D319</f>
        <v>138.25</v>
      </c>
      <c r="F319" s="1305">
        <v>95046875</v>
      </c>
      <c r="G319" s="1008" t="s">
        <v>779</v>
      </c>
      <c r="H319" s="1305">
        <v>161104.45250000001</v>
      </c>
    </row>
    <row r="320" spans="2:8" x14ac:dyDescent="0.2">
      <c r="B320" s="1012" t="s">
        <v>540</v>
      </c>
      <c r="C320" s="638">
        <v>44687</v>
      </c>
      <c r="D320" s="1305">
        <v>862500</v>
      </c>
      <c r="E320" s="1306">
        <f t="shared" ref="E320" si="61">+F320/D320</f>
        <v>138.18753740645161</v>
      </c>
      <c r="F320" s="1305">
        <v>119186751.01306452</v>
      </c>
      <c r="G320" s="1008" t="s">
        <v>685</v>
      </c>
      <c r="H320" s="1305">
        <v>202021.54403225804</v>
      </c>
    </row>
    <row r="321" spans="2:8" x14ac:dyDescent="0.2">
      <c r="B321" s="1012"/>
      <c r="D321" s="874"/>
      <c r="F321" s="874"/>
      <c r="G321"/>
      <c r="H321" s="874"/>
    </row>
    <row r="322" spans="2:8" ht="13.5" thickBot="1" x14ac:dyDescent="0.25">
      <c r="B322" s="1012"/>
      <c r="D322" s="867">
        <f>+SUM(D319:D321)</f>
        <v>1550000</v>
      </c>
      <c r="F322" s="867">
        <f>+SUM(F319:F321)</f>
        <v>214233626.0130645</v>
      </c>
      <c r="G322"/>
      <c r="H322" s="874"/>
    </row>
    <row r="323" spans="2:8" ht="13.5" thickTop="1" x14ac:dyDescent="0.2">
      <c r="B323" s="1012"/>
      <c r="D323" s="874"/>
      <c r="F323" s="874"/>
      <c r="G323"/>
      <c r="H323" s="874"/>
    </row>
    <row r="324" spans="2:8" x14ac:dyDescent="0.2">
      <c r="B324" s="1012"/>
      <c r="D324" s="874"/>
      <c r="F324" s="874"/>
      <c r="G324"/>
      <c r="H324" s="874"/>
    </row>
    <row r="325" spans="2:8" x14ac:dyDescent="0.2">
      <c r="B325" s="1012" t="s">
        <v>1302</v>
      </c>
      <c r="C325" s="638">
        <v>44741</v>
      </c>
      <c r="D325" s="1305">
        <v>14820992.0579</v>
      </c>
      <c r="E325" s="1306">
        <f>+F325/D325</f>
        <v>101.20780000016654</v>
      </c>
      <c r="F325" s="1305">
        <v>1500000000</v>
      </c>
      <c r="G325" s="1008" t="s">
        <v>1307</v>
      </c>
      <c r="H325" s="1305"/>
    </row>
    <row r="326" spans="2:8" x14ac:dyDescent="0.2">
      <c r="B326" s="1012"/>
      <c r="D326" s="874"/>
      <c r="E326" s="1309"/>
      <c r="F326" s="874"/>
      <c r="G326"/>
      <c r="H326" s="874"/>
    </row>
    <row r="327" spans="2:8" ht="13.5" thickBot="1" x14ac:dyDescent="0.25">
      <c r="B327" s="1012"/>
      <c r="D327" s="867">
        <f>+SUM(D325:D326)</f>
        <v>14820992.0579</v>
      </c>
      <c r="F327" s="867">
        <f>+SUM(F325:F326)</f>
        <v>1500000000</v>
      </c>
      <c r="G327"/>
      <c r="H327" s="867">
        <f>+SUM(H325:H326)</f>
        <v>0</v>
      </c>
    </row>
    <row r="328" spans="2:8" ht="13.5" thickTop="1" x14ac:dyDescent="0.2">
      <c r="B328" s="1012"/>
      <c r="D328" s="874"/>
      <c r="F328" s="874"/>
      <c r="G328"/>
      <c r="H328" s="874"/>
    </row>
    <row r="329" spans="2:8" x14ac:dyDescent="0.2">
      <c r="B329" s="1012"/>
      <c r="D329" s="874"/>
      <c r="F329" s="874"/>
      <c r="G329"/>
      <c r="H329" s="874"/>
    </row>
    <row r="330" spans="2:8" x14ac:dyDescent="0.2">
      <c r="B330" s="1012"/>
      <c r="D330" s="874"/>
      <c r="F330" s="874"/>
      <c r="G330"/>
      <c r="H330" s="874"/>
    </row>
    <row r="331" spans="2:8" ht="15" x14ac:dyDescent="0.25">
      <c r="B331" s="1012"/>
      <c r="D331" s="287"/>
      <c r="E331" s="1261"/>
      <c r="F331" s="595"/>
      <c r="G331" s="751"/>
      <c r="H331" s="1116"/>
    </row>
    <row r="332" spans="2:8" ht="13.5" thickBot="1" x14ac:dyDescent="0.25">
      <c r="B332"/>
      <c r="D332" s="867">
        <f>SUM(D9:D331)/2</f>
        <v>19575923.0579</v>
      </c>
      <c r="F332" s="872">
        <f>SUM(F9:F331)/2</f>
        <v>2445196869.7272954</v>
      </c>
      <c r="G332"/>
      <c r="H332" s="869">
        <f>SUM(H9:H331)/2</f>
        <v>1420555.3534976037</v>
      </c>
    </row>
    <row r="333" spans="2:8" ht="13.5" thickTop="1" x14ac:dyDescent="0.2">
      <c r="B333"/>
      <c r="G333"/>
      <c r="H333" s="876"/>
    </row>
    <row r="334" spans="2:8" x14ac:dyDescent="0.2">
      <c r="B334"/>
      <c r="G334"/>
      <c r="H334" s="876"/>
    </row>
    <row r="335" spans="2:8" x14ac:dyDescent="0.2">
      <c r="B335"/>
      <c r="G335"/>
      <c r="H335" s="876"/>
    </row>
    <row r="336" spans="2:8" x14ac:dyDescent="0.2">
      <c r="B336"/>
      <c r="G336"/>
      <c r="H336" s="876"/>
    </row>
    <row r="337" spans="2:8" x14ac:dyDescent="0.2">
      <c r="B337"/>
      <c r="G337"/>
      <c r="H337" s="876"/>
    </row>
    <row r="338" spans="2:8" x14ac:dyDescent="0.2">
      <c r="B338"/>
      <c r="G338"/>
      <c r="H338" s="876"/>
    </row>
    <row r="339" spans="2:8" x14ac:dyDescent="0.2">
      <c r="B339"/>
      <c r="G339"/>
      <c r="H339" s="876"/>
    </row>
    <row r="340" spans="2:8" x14ac:dyDescent="0.2">
      <c r="B340"/>
      <c r="G340"/>
      <c r="H340" s="876"/>
    </row>
    <row r="341" spans="2:8" x14ac:dyDescent="0.2">
      <c r="B341"/>
      <c r="G341"/>
      <c r="H341" s="876"/>
    </row>
    <row r="342" spans="2:8" x14ac:dyDescent="0.2">
      <c r="B342"/>
      <c r="G342"/>
      <c r="H342" s="876"/>
    </row>
    <row r="343" spans="2:8" x14ac:dyDescent="0.2">
      <c r="B343"/>
      <c r="G343"/>
      <c r="H343" s="876"/>
    </row>
    <row r="344" spans="2:8" x14ac:dyDescent="0.2">
      <c r="B344"/>
      <c r="G344"/>
      <c r="H344" s="876"/>
    </row>
    <row r="345" spans="2:8" x14ac:dyDescent="0.2">
      <c r="B345"/>
      <c r="G345"/>
      <c r="H345" s="876"/>
    </row>
    <row r="346" spans="2:8" x14ac:dyDescent="0.2">
      <c r="B346"/>
      <c r="G346"/>
      <c r="H346" s="876"/>
    </row>
    <row r="347" spans="2:8" x14ac:dyDescent="0.2">
      <c r="B347"/>
      <c r="G347"/>
      <c r="H347" s="876"/>
    </row>
    <row r="348" spans="2:8" x14ac:dyDescent="0.2">
      <c r="B348"/>
      <c r="G348"/>
      <c r="H348" s="876"/>
    </row>
    <row r="349" spans="2:8" x14ac:dyDescent="0.2">
      <c r="B349"/>
      <c r="G349"/>
      <c r="H349" s="876"/>
    </row>
    <row r="350" spans="2:8" x14ac:dyDescent="0.2">
      <c r="B350"/>
      <c r="G350"/>
      <c r="H350" s="876"/>
    </row>
    <row r="351" spans="2:8" x14ac:dyDescent="0.2">
      <c r="B351"/>
      <c r="G351"/>
      <c r="H351" s="876"/>
    </row>
    <row r="352" spans="2:8" x14ac:dyDescent="0.2">
      <c r="B352"/>
      <c r="G352"/>
      <c r="H352" s="876"/>
    </row>
    <row r="353" spans="2:8" x14ac:dyDescent="0.2">
      <c r="B353"/>
      <c r="G353"/>
      <c r="H353" s="876"/>
    </row>
    <row r="354" spans="2:8" x14ac:dyDescent="0.2">
      <c r="B354"/>
      <c r="G354"/>
      <c r="H354" s="876"/>
    </row>
    <row r="355" spans="2:8" x14ac:dyDescent="0.2">
      <c r="B355"/>
      <c r="G355"/>
      <c r="H355" s="876"/>
    </row>
    <row r="356" spans="2:8" x14ac:dyDescent="0.2">
      <c r="B356"/>
      <c r="G356"/>
      <c r="H356" s="876"/>
    </row>
    <row r="357" spans="2:8" x14ac:dyDescent="0.2">
      <c r="B357"/>
      <c r="G357"/>
      <c r="H357" s="876"/>
    </row>
    <row r="358" spans="2:8" x14ac:dyDescent="0.2">
      <c r="B358"/>
      <c r="G358"/>
      <c r="H358" s="876"/>
    </row>
    <row r="359" spans="2:8" x14ac:dyDescent="0.2">
      <c r="B359"/>
      <c r="G359"/>
      <c r="H359" s="876"/>
    </row>
    <row r="360" spans="2:8" x14ac:dyDescent="0.2">
      <c r="B360"/>
      <c r="G360"/>
      <c r="H360" s="876"/>
    </row>
    <row r="361" spans="2:8" x14ac:dyDescent="0.2">
      <c r="B361"/>
      <c r="G361"/>
      <c r="H361" s="876"/>
    </row>
    <row r="362" spans="2:8" x14ac:dyDescent="0.2">
      <c r="B362"/>
      <c r="G362"/>
      <c r="H362" s="876"/>
    </row>
    <row r="363" spans="2:8" x14ac:dyDescent="0.2">
      <c r="B363"/>
      <c r="G363"/>
      <c r="H363" s="876"/>
    </row>
    <row r="364" spans="2:8" x14ac:dyDescent="0.2">
      <c r="B364"/>
      <c r="G364"/>
      <c r="H364" s="876"/>
    </row>
    <row r="365" spans="2:8" x14ac:dyDescent="0.2">
      <c r="B365"/>
      <c r="G365"/>
      <c r="H365" s="876"/>
    </row>
    <row r="366" spans="2:8" x14ac:dyDescent="0.2">
      <c r="B366"/>
      <c r="G366"/>
      <c r="H366" s="876"/>
    </row>
    <row r="367" spans="2:8" x14ac:dyDescent="0.2">
      <c r="B367"/>
      <c r="G367"/>
      <c r="H367" s="876"/>
    </row>
    <row r="368" spans="2:8" x14ac:dyDescent="0.2">
      <c r="B368"/>
      <c r="G368"/>
      <c r="H368" s="876"/>
    </row>
    <row r="369" spans="2:8" x14ac:dyDescent="0.2">
      <c r="B369"/>
      <c r="G369"/>
      <c r="H369" s="876"/>
    </row>
    <row r="370" spans="2:8" x14ac:dyDescent="0.2">
      <c r="B370"/>
      <c r="G370"/>
      <c r="H370" s="876"/>
    </row>
    <row r="371" spans="2:8" x14ac:dyDescent="0.2">
      <c r="B371"/>
      <c r="G371"/>
      <c r="H371" s="876"/>
    </row>
    <row r="372" spans="2:8" x14ac:dyDescent="0.2">
      <c r="B372"/>
      <c r="G372"/>
      <c r="H372" s="876"/>
    </row>
    <row r="373" spans="2:8" x14ac:dyDescent="0.2">
      <c r="B373"/>
      <c r="G373"/>
      <c r="H373" s="876"/>
    </row>
    <row r="374" spans="2:8" x14ac:dyDescent="0.2">
      <c r="B374"/>
      <c r="G374"/>
      <c r="H374" s="876"/>
    </row>
    <row r="375" spans="2:8" x14ac:dyDescent="0.2">
      <c r="B375"/>
      <c r="G375"/>
      <c r="H375" s="876"/>
    </row>
    <row r="376" spans="2:8" x14ac:dyDescent="0.2">
      <c r="B376"/>
      <c r="G376"/>
      <c r="H376" s="876"/>
    </row>
    <row r="377" spans="2:8" x14ac:dyDescent="0.2">
      <c r="B377"/>
      <c r="G377"/>
      <c r="H377" s="876"/>
    </row>
    <row r="378" spans="2:8" x14ac:dyDescent="0.2">
      <c r="B378"/>
      <c r="G378"/>
      <c r="H378" s="876"/>
    </row>
    <row r="379" spans="2:8" x14ac:dyDescent="0.2">
      <c r="B379"/>
      <c r="G379"/>
      <c r="H379" s="876"/>
    </row>
    <row r="380" spans="2:8" x14ac:dyDescent="0.2">
      <c r="B380"/>
      <c r="G380"/>
      <c r="H380" s="876"/>
    </row>
    <row r="381" spans="2:8" x14ac:dyDescent="0.2">
      <c r="B381"/>
      <c r="G381"/>
      <c r="H381" s="876"/>
    </row>
    <row r="382" spans="2:8" x14ac:dyDescent="0.2">
      <c r="B382"/>
      <c r="G382"/>
      <c r="H382" s="876"/>
    </row>
    <row r="383" spans="2:8" x14ac:dyDescent="0.2">
      <c r="B383"/>
      <c r="G383"/>
      <c r="H383" s="876"/>
    </row>
    <row r="384" spans="2:8" x14ac:dyDescent="0.2">
      <c r="B384"/>
      <c r="G384"/>
      <c r="H384" s="876"/>
    </row>
    <row r="385" spans="2:8" x14ac:dyDescent="0.2">
      <c r="B385"/>
      <c r="G385"/>
      <c r="H385" s="876"/>
    </row>
    <row r="386" spans="2:8" x14ac:dyDescent="0.2">
      <c r="B386"/>
      <c r="G386"/>
      <c r="H386" s="876"/>
    </row>
    <row r="387" spans="2:8" x14ac:dyDescent="0.2">
      <c r="B387"/>
      <c r="G387"/>
      <c r="H387" s="877"/>
    </row>
    <row r="388" spans="2:8" x14ac:dyDescent="0.2">
      <c r="B388"/>
      <c r="G388"/>
      <c r="H388" s="877"/>
    </row>
    <row r="389" spans="2:8" x14ac:dyDescent="0.2">
      <c r="B389"/>
      <c r="G389"/>
      <c r="H389" s="877"/>
    </row>
    <row r="390" spans="2:8" x14ac:dyDescent="0.2">
      <c r="B390"/>
      <c r="G390"/>
      <c r="H390" s="877"/>
    </row>
    <row r="391" spans="2:8" x14ac:dyDescent="0.2">
      <c r="B391"/>
      <c r="G391"/>
      <c r="H391" s="877"/>
    </row>
    <row r="392" spans="2:8" x14ac:dyDescent="0.2">
      <c r="B392"/>
      <c r="G392"/>
      <c r="H392" s="877"/>
    </row>
    <row r="393" spans="2:8" x14ac:dyDescent="0.2">
      <c r="B393"/>
      <c r="G393"/>
      <c r="H393" s="877"/>
    </row>
    <row r="394" spans="2:8" x14ac:dyDescent="0.2">
      <c r="B394"/>
      <c r="G394"/>
      <c r="H394" s="877"/>
    </row>
    <row r="395" spans="2:8" x14ac:dyDescent="0.2">
      <c r="B395"/>
      <c r="G395"/>
      <c r="H395" s="877"/>
    </row>
    <row r="396" spans="2:8" x14ac:dyDescent="0.2">
      <c r="B396"/>
      <c r="G396"/>
      <c r="H396" s="877"/>
    </row>
    <row r="397" spans="2:8" x14ac:dyDescent="0.2">
      <c r="B397"/>
      <c r="G397"/>
      <c r="H397" s="877"/>
    </row>
    <row r="398" spans="2:8" x14ac:dyDescent="0.2">
      <c r="B398"/>
      <c r="G398"/>
      <c r="H398" s="877"/>
    </row>
    <row r="399" spans="2:8" x14ac:dyDescent="0.2">
      <c r="B399"/>
      <c r="G399"/>
      <c r="H399" s="877"/>
    </row>
    <row r="400" spans="2:8" x14ac:dyDescent="0.2">
      <c r="B400"/>
      <c r="G400"/>
      <c r="H400" s="877"/>
    </row>
    <row r="401" spans="2:8" x14ac:dyDescent="0.2">
      <c r="B401"/>
      <c r="G401"/>
      <c r="H401" s="877"/>
    </row>
    <row r="402" spans="2:8" x14ac:dyDescent="0.2">
      <c r="B402"/>
      <c r="G402"/>
      <c r="H402" s="877"/>
    </row>
    <row r="403" spans="2:8" x14ac:dyDescent="0.2">
      <c r="B403"/>
      <c r="G403"/>
      <c r="H403" s="877"/>
    </row>
    <row r="404" spans="2:8" x14ac:dyDescent="0.2">
      <c r="B404"/>
      <c r="G404"/>
      <c r="H404" s="877"/>
    </row>
    <row r="405" spans="2:8" x14ac:dyDescent="0.2">
      <c r="B405"/>
      <c r="G405"/>
      <c r="H405" s="877"/>
    </row>
    <row r="406" spans="2:8" x14ac:dyDescent="0.2">
      <c r="B406"/>
      <c r="G406"/>
      <c r="H406" s="877"/>
    </row>
    <row r="407" spans="2:8" x14ac:dyDescent="0.2">
      <c r="B407"/>
      <c r="G407"/>
      <c r="H407" s="877"/>
    </row>
    <row r="408" spans="2:8" x14ac:dyDescent="0.2">
      <c r="B408"/>
      <c r="G408"/>
      <c r="H408" s="877"/>
    </row>
    <row r="409" spans="2:8" x14ac:dyDescent="0.2">
      <c r="B409"/>
      <c r="G409"/>
      <c r="H409" s="877"/>
    </row>
    <row r="410" spans="2:8" x14ac:dyDescent="0.2">
      <c r="B410"/>
      <c r="G410"/>
      <c r="H410" s="877"/>
    </row>
    <row r="411" spans="2:8" x14ac:dyDescent="0.2">
      <c r="B411"/>
      <c r="G411"/>
      <c r="H411" s="877"/>
    </row>
    <row r="412" spans="2:8" x14ac:dyDescent="0.2">
      <c r="B412"/>
      <c r="G412"/>
      <c r="H412" s="877"/>
    </row>
    <row r="413" spans="2:8" x14ac:dyDescent="0.2">
      <c r="B413"/>
      <c r="G413"/>
      <c r="H413" s="877"/>
    </row>
    <row r="414" spans="2:8" x14ac:dyDescent="0.2">
      <c r="B414"/>
      <c r="G414"/>
      <c r="H414" s="877"/>
    </row>
    <row r="415" spans="2:8" x14ac:dyDescent="0.2">
      <c r="B415"/>
      <c r="G415"/>
      <c r="H415" s="877"/>
    </row>
    <row r="416" spans="2:8" x14ac:dyDescent="0.2">
      <c r="B416"/>
      <c r="G416"/>
      <c r="H416" s="877"/>
    </row>
    <row r="417" spans="2:8" x14ac:dyDescent="0.2">
      <c r="B417"/>
      <c r="G417"/>
      <c r="H417" s="877"/>
    </row>
    <row r="418" spans="2:8" x14ac:dyDescent="0.2">
      <c r="B418"/>
      <c r="G418"/>
      <c r="H418" s="878"/>
    </row>
    <row r="419" spans="2:8" x14ac:dyDescent="0.2">
      <c r="B419"/>
      <c r="G419"/>
      <c r="H419" s="878"/>
    </row>
    <row r="420" spans="2:8" x14ac:dyDescent="0.2">
      <c r="B420"/>
      <c r="G420"/>
      <c r="H420" s="878"/>
    </row>
    <row r="421" spans="2:8" x14ac:dyDescent="0.2">
      <c r="B421"/>
      <c r="G421"/>
      <c r="H421" s="878"/>
    </row>
    <row r="422" spans="2:8" x14ac:dyDescent="0.2">
      <c r="B422"/>
      <c r="G422"/>
      <c r="H422" s="878"/>
    </row>
    <row r="423" spans="2:8" x14ac:dyDescent="0.2">
      <c r="B423"/>
      <c r="G423"/>
      <c r="H423" s="878"/>
    </row>
    <row r="424" spans="2:8" x14ac:dyDescent="0.2">
      <c r="B424"/>
      <c r="G424"/>
      <c r="H424" s="878"/>
    </row>
    <row r="425" spans="2:8" x14ac:dyDescent="0.2">
      <c r="B425"/>
      <c r="G425"/>
      <c r="H425" s="878"/>
    </row>
    <row r="426" spans="2:8" x14ac:dyDescent="0.2">
      <c r="B426"/>
      <c r="G426"/>
      <c r="H426" s="878"/>
    </row>
    <row r="427" spans="2:8" x14ac:dyDescent="0.2">
      <c r="B427"/>
      <c r="G427"/>
      <c r="H427" s="878"/>
    </row>
    <row r="428" spans="2:8" x14ac:dyDescent="0.2">
      <c r="B428"/>
      <c r="G428"/>
      <c r="H428" s="878"/>
    </row>
    <row r="429" spans="2:8" x14ac:dyDescent="0.2">
      <c r="B429"/>
      <c r="G429"/>
      <c r="H429" s="878"/>
    </row>
    <row r="430" spans="2:8" x14ac:dyDescent="0.2">
      <c r="B430"/>
      <c r="G430"/>
      <c r="H430" s="878"/>
    </row>
    <row r="431" spans="2:8" x14ac:dyDescent="0.2">
      <c r="B431"/>
      <c r="G431"/>
      <c r="H431" s="878"/>
    </row>
    <row r="432" spans="2:8" x14ac:dyDescent="0.2">
      <c r="B432"/>
      <c r="G432"/>
      <c r="H432" s="878"/>
    </row>
    <row r="433" spans="2:8" x14ac:dyDescent="0.2">
      <c r="B433"/>
      <c r="G433"/>
      <c r="H433" s="878"/>
    </row>
    <row r="434" spans="2:8" x14ac:dyDescent="0.2">
      <c r="B434"/>
      <c r="G434"/>
      <c r="H434" s="878"/>
    </row>
    <row r="435" spans="2:8" x14ac:dyDescent="0.2">
      <c r="B435"/>
      <c r="G435"/>
      <c r="H435" s="878"/>
    </row>
    <row r="436" spans="2:8" x14ac:dyDescent="0.2">
      <c r="B436"/>
      <c r="G436"/>
      <c r="H436" s="878"/>
    </row>
    <row r="437" spans="2:8" x14ac:dyDescent="0.2">
      <c r="B437"/>
      <c r="G437"/>
      <c r="H437" s="878"/>
    </row>
    <row r="438" spans="2:8" x14ac:dyDescent="0.2">
      <c r="B438"/>
      <c r="G438"/>
      <c r="H438" s="878"/>
    </row>
    <row r="439" spans="2:8" x14ac:dyDescent="0.2">
      <c r="B439"/>
      <c r="G439"/>
      <c r="H439" s="878"/>
    </row>
    <row r="440" spans="2:8" x14ac:dyDescent="0.2">
      <c r="B440"/>
      <c r="G440"/>
      <c r="H440" s="878"/>
    </row>
    <row r="441" spans="2:8" x14ac:dyDescent="0.2">
      <c r="B441"/>
      <c r="G441"/>
      <c r="H441" s="878"/>
    </row>
    <row r="442" spans="2:8" x14ac:dyDescent="0.2">
      <c r="B442"/>
      <c r="G442"/>
      <c r="H442" s="878"/>
    </row>
    <row r="443" spans="2:8" x14ac:dyDescent="0.2">
      <c r="B443"/>
      <c r="G443"/>
      <c r="H443" s="878"/>
    </row>
    <row r="444" spans="2:8" x14ac:dyDescent="0.2">
      <c r="B444"/>
      <c r="G444"/>
      <c r="H444" s="876"/>
    </row>
    <row r="445" spans="2:8" x14ac:dyDescent="0.2">
      <c r="B445"/>
      <c r="G445"/>
      <c r="H445" s="876"/>
    </row>
    <row r="446" spans="2:8" x14ac:dyDescent="0.2">
      <c r="B446"/>
      <c r="G446"/>
      <c r="H446" s="876"/>
    </row>
    <row r="447" spans="2:8" x14ac:dyDescent="0.2">
      <c r="B447"/>
      <c r="G447"/>
      <c r="H447" s="876"/>
    </row>
    <row r="448" spans="2:8" x14ac:dyDescent="0.2">
      <c r="B448"/>
      <c r="G448"/>
      <c r="H448" s="876"/>
    </row>
    <row r="449" spans="2:8" x14ac:dyDescent="0.2">
      <c r="B449"/>
      <c r="G449"/>
      <c r="H449" s="876"/>
    </row>
    <row r="450" spans="2:8" x14ac:dyDescent="0.2">
      <c r="B450"/>
      <c r="G450"/>
      <c r="H450" s="876"/>
    </row>
    <row r="451" spans="2:8" x14ac:dyDescent="0.2">
      <c r="B451"/>
      <c r="G451"/>
      <c r="H451" s="876"/>
    </row>
    <row r="452" spans="2:8" x14ac:dyDescent="0.2">
      <c r="B452"/>
      <c r="G452"/>
      <c r="H452" s="876"/>
    </row>
    <row r="453" spans="2:8" x14ac:dyDescent="0.2">
      <c r="B453"/>
      <c r="G453"/>
      <c r="H453" s="876"/>
    </row>
    <row r="454" spans="2:8" x14ac:dyDescent="0.2">
      <c r="B454"/>
      <c r="G454"/>
      <c r="H454" s="876"/>
    </row>
    <row r="455" spans="2:8" x14ac:dyDescent="0.2">
      <c r="B455"/>
      <c r="G455"/>
      <c r="H455" s="876"/>
    </row>
    <row r="456" spans="2:8" x14ac:dyDescent="0.2">
      <c r="B456"/>
      <c r="G456"/>
      <c r="H456" s="876"/>
    </row>
    <row r="457" spans="2:8" x14ac:dyDescent="0.2">
      <c r="B457"/>
      <c r="G457"/>
      <c r="H457" s="876"/>
    </row>
    <row r="458" spans="2:8" x14ac:dyDescent="0.2">
      <c r="B458"/>
      <c r="G458"/>
      <c r="H458" s="876"/>
    </row>
    <row r="459" spans="2:8" x14ac:dyDescent="0.2">
      <c r="B459"/>
      <c r="G459"/>
      <c r="H459" s="876"/>
    </row>
    <row r="460" spans="2:8" x14ac:dyDescent="0.2">
      <c r="B460"/>
      <c r="G460"/>
      <c r="H460" s="876"/>
    </row>
    <row r="461" spans="2:8" x14ac:dyDescent="0.2">
      <c r="B461"/>
      <c r="G461"/>
      <c r="H461" s="876"/>
    </row>
    <row r="462" spans="2:8" x14ac:dyDescent="0.2">
      <c r="B462"/>
      <c r="G462"/>
      <c r="H462" s="876"/>
    </row>
    <row r="463" spans="2:8" x14ac:dyDescent="0.2">
      <c r="B463"/>
      <c r="G463"/>
      <c r="H463" s="876"/>
    </row>
    <row r="464" spans="2:8" x14ac:dyDescent="0.2">
      <c r="B464"/>
      <c r="G464"/>
      <c r="H464" s="876"/>
    </row>
    <row r="465" spans="2:8" x14ac:dyDescent="0.2">
      <c r="B465"/>
      <c r="G465"/>
      <c r="H465" s="876"/>
    </row>
    <row r="466" spans="2:8" x14ac:dyDescent="0.2">
      <c r="B466"/>
      <c r="G466"/>
      <c r="H466" s="876"/>
    </row>
    <row r="467" spans="2:8" x14ac:dyDescent="0.2">
      <c r="B467"/>
      <c r="G467"/>
      <c r="H467" s="876"/>
    </row>
    <row r="468" spans="2:8" x14ac:dyDescent="0.2">
      <c r="B468"/>
      <c r="G468"/>
      <c r="H468" s="876"/>
    </row>
    <row r="469" spans="2:8" x14ac:dyDescent="0.2">
      <c r="B469"/>
      <c r="G469"/>
      <c r="H469" s="876"/>
    </row>
    <row r="470" spans="2:8" x14ac:dyDescent="0.2">
      <c r="B470"/>
      <c r="G470"/>
      <c r="H470" s="876"/>
    </row>
    <row r="471" spans="2:8" x14ac:dyDescent="0.2">
      <c r="B471"/>
      <c r="G471"/>
      <c r="H471" s="876"/>
    </row>
    <row r="472" spans="2:8" x14ac:dyDescent="0.2">
      <c r="B472"/>
      <c r="G472"/>
      <c r="H472" s="877"/>
    </row>
    <row r="473" spans="2:8" x14ac:dyDescent="0.2">
      <c r="B473"/>
      <c r="G473"/>
      <c r="H473" s="876"/>
    </row>
    <row r="474" spans="2:8" x14ac:dyDescent="0.2">
      <c r="B474"/>
      <c r="G474"/>
      <c r="H474" s="876"/>
    </row>
    <row r="475" spans="2:8" x14ac:dyDescent="0.2">
      <c r="B475"/>
      <c r="G475"/>
      <c r="H475" s="876"/>
    </row>
    <row r="476" spans="2:8" x14ac:dyDescent="0.2">
      <c r="B476"/>
      <c r="G476"/>
      <c r="H476" s="876"/>
    </row>
    <row r="477" spans="2:8" x14ac:dyDescent="0.2">
      <c r="B477"/>
      <c r="G477"/>
      <c r="H477" s="876"/>
    </row>
    <row r="478" spans="2:8" x14ac:dyDescent="0.2">
      <c r="B478"/>
      <c r="G478"/>
      <c r="H478" s="876"/>
    </row>
    <row r="479" spans="2:8" x14ac:dyDescent="0.2">
      <c r="B479"/>
      <c r="G479"/>
      <c r="H479" s="876"/>
    </row>
    <row r="480" spans="2:8" x14ac:dyDescent="0.2">
      <c r="B480"/>
      <c r="G480"/>
      <c r="H480" s="876"/>
    </row>
    <row r="481" spans="2:8" x14ac:dyDescent="0.2">
      <c r="B481"/>
      <c r="G481"/>
      <c r="H481" s="876"/>
    </row>
    <row r="482" spans="2:8" x14ac:dyDescent="0.2">
      <c r="B482"/>
      <c r="G482"/>
      <c r="H482" s="876"/>
    </row>
    <row r="483" spans="2:8" x14ac:dyDescent="0.2">
      <c r="B483"/>
      <c r="G483"/>
      <c r="H483" s="876"/>
    </row>
    <row r="484" spans="2:8" x14ac:dyDescent="0.2">
      <c r="B484"/>
      <c r="G484"/>
      <c r="H484" s="876"/>
    </row>
    <row r="485" spans="2:8" x14ac:dyDescent="0.2">
      <c r="B485"/>
      <c r="G485"/>
      <c r="H485" s="876"/>
    </row>
    <row r="486" spans="2:8" x14ac:dyDescent="0.2">
      <c r="B486"/>
      <c r="G486"/>
      <c r="H486" s="876"/>
    </row>
    <row r="487" spans="2:8" x14ac:dyDescent="0.2">
      <c r="B487"/>
      <c r="G487"/>
      <c r="H487" s="876"/>
    </row>
    <row r="488" spans="2:8" x14ac:dyDescent="0.2">
      <c r="B488"/>
      <c r="G488"/>
      <c r="H488" s="876"/>
    </row>
    <row r="489" spans="2:8" x14ac:dyDescent="0.2">
      <c r="B489"/>
      <c r="G489"/>
      <c r="H489" s="876"/>
    </row>
    <row r="490" spans="2:8" x14ac:dyDescent="0.2">
      <c r="B490"/>
      <c r="G490"/>
      <c r="H490" s="876"/>
    </row>
    <row r="491" spans="2:8" x14ac:dyDescent="0.2">
      <c r="B491"/>
      <c r="G491"/>
      <c r="H491" s="876"/>
    </row>
    <row r="492" spans="2:8" x14ac:dyDescent="0.2">
      <c r="B492"/>
      <c r="G492"/>
      <c r="H492" s="876"/>
    </row>
    <row r="493" spans="2:8" x14ac:dyDescent="0.2">
      <c r="B493"/>
      <c r="G493"/>
      <c r="H493" s="876"/>
    </row>
    <row r="494" spans="2:8" x14ac:dyDescent="0.2">
      <c r="B494"/>
      <c r="G494"/>
      <c r="H494" s="876"/>
    </row>
    <row r="495" spans="2:8" x14ac:dyDescent="0.2">
      <c r="B495"/>
      <c r="G495"/>
      <c r="H495" s="876"/>
    </row>
    <row r="496" spans="2:8" x14ac:dyDescent="0.2">
      <c r="B496"/>
      <c r="G496"/>
      <c r="H496" s="876"/>
    </row>
    <row r="497" spans="2:8" x14ac:dyDescent="0.2">
      <c r="B497"/>
      <c r="G497"/>
      <c r="H497" s="876"/>
    </row>
    <row r="498" spans="2:8" x14ac:dyDescent="0.2">
      <c r="B498"/>
      <c r="G498"/>
      <c r="H498" s="876"/>
    </row>
    <row r="499" spans="2:8" x14ac:dyDescent="0.2">
      <c r="B499"/>
      <c r="G499"/>
      <c r="H499" s="876"/>
    </row>
    <row r="500" spans="2:8" x14ac:dyDescent="0.2">
      <c r="B500"/>
      <c r="G500"/>
      <c r="H500" s="876"/>
    </row>
    <row r="501" spans="2:8" x14ac:dyDescent="0.2">
      <c r="B501"/>
      <c r="G501"/>
      <c r="H501" s="876"/>
    </row>
    <row r="502" spans="2:8" x14ac:dyDescent="0.2">
      <c r="B502"/>
      <c r="G502"/>
      <c r="H502" s="876"/>
    </row>
    <row r="503" spans="2:8" x14ac:dyDescent="0.2">
      <c r="B503"/>
      <c r="G503"/>
      <c r="H503" s="876"/>
    </row>
    <row r="504" spans="2:8" x14ac:dyDescent="0.2">
      <c r="B504"/>
      <c r="G504"/>
      <c r="H504" s="876"/>
    </row>
    <row r="505" spans="2:8" x14ac:dyDescent="0.2">
      <c r="B505"/>
      <c r="G505"/>
      <c r="H505" s="876"/>
    </row>
    <row r="506" spans="2:8" x14ac:dyDescent="0.2">
      <c r="B506"/>
      <c r="G506"/>
      <c r="H506" s="876"/>
    </row>
    <row r="507" spans="2:8" x14ac:dyDescent="0.2">
      <c r="B507"/>
      <c r="G507"/>
      <c r="H507" s="876"/>
    </row>
    <row r="508" spans="2:8" x14ac:dyDescent="0.2">
      <c r="B508"/>
      <c r="G508"/>
      <c r="H508" s="876"/>
    </row>
    <row r="509" spans="2:8" x14ac:dyDescent="0.2">
      <c r="B509"/>
      <c r="G509"/>
      <c r="H509" s="876"/>
    </row>
    <row r="510" spans="2:8" x14ac:dyDescent="0.2">
      <c r="B510"/>
      <c r="G510"/>
      <c r="H510" s="876"/>
    </row>
    <row r="511" spans="2:8" x14ac:dyDescent="0.2">
      <c r="B511"/>
      <c r="G511"/>
      <c r="H511" s="876"/>
    </row>
    <row r="512" spans="2:8" x14ac:dyDescent="0.2">
      <c r="B512"/>
      <c r="G512"/>
      <c r="H512" s="876"/>
    </row>
    <row r="513" spans="2:8" x14ac:dyDescent="0.2">
      <c r="B513"/>
      <c r="G513"/>
      <c r="H513" s="876"/>
    </row>
    <row r="514" spans="2:8" x14ac:dyDescent="0.2">
      <c r="B514"/>
      <c r="G514"/>
      <c r="H514" s="876"/>
    </row>
    <row r="515" spans="2:8" x14ac:dyDescent="0.2">
      <c r="B515"/>
      <c r="G515"/>
      <c r="H515" s="876"/>
    </row>
    <row r="516" spans="2:8" x14ac:dyDescent="0.2">
      <c r="B516"/>
      <c r="G516"/>
      <c r="H516" s="876"/>
    </row>
    <row r="517" spans="2:8" x14ac:dyDescent="0.2">
      <c r="B517"/>
      <c r="G517"/>
      <c r="H517" s="876"/>
    </row>
    <row r="518" spans="2:8" x14ac:dyDescent="0.2">
      <c r="B518"/>
      <c r="G518"/>
      <c r="H518" s="876"/>
    </row>
    <row r="519" spans="2:8" x14ac:dyDescent="0.2">
      <c r="B519"/>
      <c r="G519"/>
      <c r="H519" s="876"/>
    </row>
    <row r="520" spans="2:8" x14ac:dyDescent="0.2">
      <c r="B520"/>
      <c r="G520"/>
      <c r="H520" s="876"/>
    </row>
    <row r="521" spans="2:8" x14ac:dyDescent="0.2">
      <c r="B521"/>
      <c r="G521"/>
      <c r="H521" s="876"/>
    </row>
    <row r="522" spans="2:8" x14ac:dyDescent="0.2">
      <c r="B522"/>
      <c r="G522"/>
      <c r="H522" s="876"/>
    </row>
    <row r="523" spans="2:8" x14ac:dyDescent="0.2">
      <c r="B523"/>
      <c r="G523"/>
      <c r="H523" s="876"/>
    </row>
    <row r="524" spans="2:8" x14ac:dyDescent="0.2">
      <c r="B524"/>
      <c r="G524"/>
      <c r="H524" s="876"/>
    </row>
    <row r="525" spans="2:8" x14ac:dyDescent="0.2">
      <c r="B525"/>
      <c r="G525"/>
      <c r="H525" s="876"/>
    </row>
    <row r="526" spans="2:8" x14ac:dyDescent="0.2">
      <c r="B526"/>
      <c r="G526"/>
      <c r="H526" s="876"/>
    </row>
    <row r="527" spans="2:8" x14ac:dyDescent="0.2">
      <c r="B527"/>
      <c r="G527"/>
      <c r="H527" s="876"/>
    </row>
    <row r="528" spans="2:8" x14ac:dyDescent="0.2">
      <c r="B528"/>
      <c r="G528"/>
      <c r="H528" s="876"/>
    </row>
    <row r="529" spans="2:8" x14ac:dyDescent="0.2">
      <c r="B529"/>
      <c r="G529"/>
      <c r="H529" s="876"/>
    </row>
    <row r="530" spans="2:8" x14ac:dyDescent="0.2">
      <c r="B530"/>
      <c r="G530"/>
      <c r="H530" s="876"/>
    </row>
    <row r="531" spans="2:8" x14ac:dyDescent="0.2">
      <c r="B531"/>
      <c r="G531"/>
      <c r="H531" s="876"/>
    </row>
    <row r="532" spans="2:8" x14ac:dyDescent="0.2">
      <c r="B532"/>
      <c r="G532"/>
      <c r="H532" s="876"/>
    </row>
    <row r="533" spans="2:8" x14ac:dyDescent="0.2">
      <c r="B533"/>
      <c r="G533"/>
      <c r="H533" s="876"/>
    </row>
    <row r="534" spans="2:8" x14ac:dyDescent="0.2">
      <c r="B534"/>
      <c r="G534"/>
      <c r="H534" s="876"/>
    </row>
    <row r="535" spans="2:8" x14ac:dyDescent="0.2">
      <c r="B535"/>
      <c r="G535"/>
      <c r="H535" s="876"/>
    </row>
    <row r="536" spans="2:8" x14ac:dyDescent="0.2">
      <c r="B536"/>
      <c r="G536"/>
      <c r="H536" s="876"/>
    </row>
    <row r="537" spans="2:8" x14ac:dyDescent="0.2">
      <c r="B537"/>
      <c r="G537"/>
      <c r="H537" s="876"/>
    </row>
    <row r="538" spans="2:8" x14ac:dyDescent="0.2">
      <c r="B538"/>
      <c r="G538"/>
      <c r="H538" s="876"/>
    </row>
    <row r="539" spans="2:8" x14ac:dyDescent="0.2">
      <c r="B539"/>
      <c r="G539"/>
      <c r="H539" s="876"/>
    </row>
    <row r="540" spans="2:8" x14ac:dyDescent="0.2">
      <c r="B540"/>
      <c r="G540"/>
      <c r="H540" s="876"/>
    </row>
    <row r="541" spans="2:8" x14ac:dyDescent="0.2">
      <c r="B541"/>
      <c r="G541"/>
      <c r="H541" s="876"/>
    </row>
    <row r="542" spans="2:8" x14ac:dyDescent="0.2">
      <c r="B542"/>
      <c r="G542"/>
      <c r="H542" s="876"/>
    </row>
    <row r="543" spans="2:8" x14ac:dyDescent="0.2">
      <c r="B543"/>
      <c r="G543"/>
      <c r="H543" s="876"/>
    </row>
    <row r="544" spans="2:8" x14ac:dyDescent="0.2">
      <c r="B544"/>
      <c r="G544"/>
      <c r="H544" s="876"/>
    </row>
    <row r="545" spans="2:8" x14ac:dyDescent="0.2">
      <c r="B545"/>
      <c r="G545"/>
      <c r="H545" s="876"/>
    </row>
    <row r="546" spans="2:8" x14ac:dyDescent="0.2">
      <c r="B546"/>
      <c r="G546"/>
      <c r="H546" s="876"/>
    </row>
    <row r="547" spans="2:8" x14ac:dyDescent="0.2">
      <c r="B547"/>
      <c r="G547"/>
      <c r="H547" s="876"/>
    </row>
    <row r="548" spans="2:8" x14ac:dyDescent="0.2">
      <c r="B548"/>
      <c r="G548"/>
      <c r="H548" s="876"/>
    </row>
    <row r="549" spans="2:8" x14ac:dyDescent="0.2">
      <c r="B549"/>
      <c r="G549"/>
      <c r="H549" s="876"/>
    </row>
    <row r="550" spans="2:8" x14ac:dyDescent="0.2">
      <c r="B550"/>
      <c r="G550"/>
      <c r="H550" s="876"/>
    </row>
    <row r="551" spans="2:8" x14ac:dyDescent="0.2">
      <c r="B551"/>
      <c r="G551"/>
      <c r="H551" s="876"/>
    </row>
    <row r="552" spans="2:8" x14ac:dyDescent="0.2">
      <c r="B552"/>
      <c r="G552"/>
      <c r="H552" s="876"/>
    </row>
    <row r="553" spans="2:8" x14ac:dyDescent="0.2">
      <c r="B553"/>
      <c r="G553"/>
      <c r="H553" s="876"/>
    </row>
    <row r="554" spans="2:8" x14ac:dyDescent="0.2">
      <c r="B554"/>
      <c r="G554"/>
      <c r="H554" s="876"/>
    </row>
    <row r="555" spans="2:8" x14ac:dyDescent="0.2">
      <c r="B555"/>
      <c r="G555"/>
      <c r="H555" s="876"/>
    </row>
    <row r="556" spans="2:8" x14ac:dyDescent="0.2">
      <c r="B556"/>
      <c r="G556"/>
      <c r="H556" s="876"/>
    </row>
    <row r="557" spans="2:8" x14ac:dyDescent="0.2">
      <c r="B557"/>
      <c r="G557"/>
      <c r="H557" s="876"/>
    </row>
    <row r="558" spans="2:8" x14ac:dyDescent="0.2">
      <c r="B558"/>
      <c r="G558"/>
      <c r="H558" s="876"/>
    </row>
    <row r="559" spans="2:8" x14ac:dyDescent="0.2">
      <c r="B559"/>
      <c r="G559"/>
      <c r="H559" s="876"/>
    </row>
    <row r="560" spans="2:8" x14ac:dyDescent="0.2">
      <c r="B560"/>
      <c r="G560"/>
      <c r="H560" s="876"/>
    </row>
    <row r="561" spans="2:8" x14ac:dyDescent="0.2">
      <c r="B561"/>
      <c r="G561"/>
      <c r="H561" s="876"/>
    </row>
    <row r="562" spans="2:8" x14ac:dyDescent="0.2">
      <c r="B562"/>
      <c r="G562"/>
      <c r="H562" s="876"/>
    </row>
    <row r="563" spans="2:8" x14ac:dyDescent="0.2">
      <c r="B563"/>
      <c r="G563"/>
      <c r="H563" s="876"/>
    </row>
    <row r="564" spans="2:8" x14ac:dyDescent="0.2">
      <c r="B564"/>
      <c r="G564"/>
      <c r="H564" s="876"/>
    </row>
    <row r="565" spans="2:8" x14ac:dyDescent="0.2">
      <c r="B565"/>
      <c r="G565"/>
      <c r="H565" s="876"/>
    </row>
    <row r="566" spans="2:8" x14ac:dyDescent="0.2">
      <c r="B566"/>
      <c r="G566"/>
      <c r="H566" s="876"/>
    </row>
    <row r="567" spans="2:8" x14ac:dyDescent="0.2">
      <c r="B567"/>
      <c r="G567"/>
      <c r="H567" s="876"/>
    </row>
    <row r="568" spans="2:8" x14ac:dyDescent="0.2">
      <c r="B568"/>
      <c r="G568"/>
      <c r="H568" s="876"/>
    </row>
    <row r="569" spans="2:8" x14ac:dyDescent="0.2">
      <c r="B569"/>
      <c r="G569"/>
      <c r="H569" s="876"/>
    </row>
    <row r="570" spans="2:8" x14ac:dyDescent="0.2">
      <c r="B570"/>
      <c r="G570"/>
      <c r="H570" s="876"/>
    </row>
    <row r="571" spans="2:8" x14ac:dyDescent="0.2">
      <c r="B571"/>
      <c r="G571"/>
      <c r="H571" s="876"/>
    </row>
    <row r="572" spans="2:8" x14ac:dyDescent="0.2">
      <c r="B572"/>
      <c r="G572"/>
      <c r="H572" s="876"/>
    </row>
    <row r="573" spans="2:8" x14ac:dyDescent="0.2">
      <c r="B573"/>
      <c r="G573"/>
      <c r="H573" s="876"/>
    </row>
    <row r="574" spans="2:8" x14ac:dyDescent="0.2">
      <c r="B574"/>
      <c r="G574"/>
      <c r="H574" s="876"/>
    </row>
    <row r="575" spans="2:8" x14ac:dyDescent="0.2">
      <c r="B575"/>
      <c r="G575"/>
      <c r="H575" s="876"/>
    </row>
    <row r="576" spans="2:8" x14ac:dyDescent="0.2">
      <c r="B576"/>
      <c r="G576"/>
      <c r="H576" s="876"/>
    </row>
    <row r="577" spans="2:8" x14ac:dyDescent="0.2">
      <c r="B577"/>
      <c r="G577"/>
      <c r="H577" s="876"/>
    </row>
    <row r="578" spans="2:8" x14ac:dyDescent="0.2">
      <c r="B578"/>
      <c r="G578"/>
      <c r="H578" s="876"/>
    </row>
    <row r="579" spans="2:8" x14ac:dyDescent="0.2">
      <c r="B579"/>
      <c r="G579"/>
      <c r="H579" s="876"/>
    </row>
    <row r="580" spans="2:8" x14ac:dyDescent="0.2">
      <c r="B580"/>
      <c r="G580"/>
      <c r="H580" s="876"/>
    </row>
    <row r="581" spans="2:8" x14ac:dyDescent="0.2">
      <c r="B581"/>
      <c r="G581"/>
      <c r="H581" s="876"/>
    </row>
    <row r="582" spans="2:8" x14ac:dyDescent="0.2">
      <c r="B582"/>
      <c r="G582"/>
      <c r="H582" s="876"/>
    </row>
    <row r="583" spans="2:8" x14ac:dyDescent="0.2">
      <c r="B583"/>
      <c r="G583"/>
      <c r="H583" s="876"/>
    </row>
    <row r="584" spans="2:8" x14ac:dyDescent="0.2">
      <c r="B584"/>
      <c r="G584"/>
      <c r="H584" s="876"/>
    </row>
    <row r="585" spans="2:8" x14ac:dyDescent="0.2">
      <c r="B585"/>
      <c r="G585"/>
      <c r="H585" s="876"/>
    </row>
    <row r="586" spans="2:8" x14ac:dyDescent="0.2">
      <c r="B586"/>
      <c r="G586"/>
      <c r="H586" s="876"/>
    </row>
    <row r="587" spans="2:8" x14ac:dyDescent="0.2">
      <c r="B587"/>
      <c r="G587"/>
      <c r="H587" s="876"/>
    </row>
    <row r="588" spans="2:8" x14ac:dyDescent="0.2">
      <c r="B588"/>
      <c r="G588"/>
      <c r="H588" s="876"/>
    </row>
    <row r="589" spans="2:8" x14ac:dyDescent="0.2">
      <c r="B589"/>
      <c r="G589"/>
      <c r="H589" s="876"/>
    </row>
    <row r="590" spans="2:8" x14ac:dyDescent="0.2">
      <c r="B590"/>
      <c r="G590"/>
      <c r="H590" s="876"/>
    </row>
    <row r="591" spans="2:8" x14ac:dyDescent="0.2">
      <c r="B591"/>
      <c r="G591"/>
      <c r="H591" s="876"/>
    </row>
    <row r="592" spans="2:8" x14ac:dyDescent="0.2">
      <c r="B592"/>
      <c r="G592"/>
      <c r="H592" s="876"/>
    </row>
    <row r="593" spans="2:8" x14ac:dyDescent="0.2">
      <c r="B593"/>
      <c r="G593"/>
      <c r="H593" s="876"/>
    </row>
    <row r="594" spans="2:8" x14ac:dyDescent="0.2">
      <c r="B594"/>
      <c r="G594"/>
      <c r="H594" s="876"/>
    </row>
    <row r="595" spans="2:8" x14ac:dyDescent="0.2">
      <c r="B595"/>
      <c r="G595"/>
      <c r="H595" s="876"/>
    </row>
    <row r="596" spans="2:8" x14ac:dyDescent="0.2">
      <c r="B596"/>
      <c r="G596"/>
      <c r="H596" s="876"/>
    </row>
    <row r="597" spans="2:8" x14ac:dyDescent="0.2">
      <c r="B597"/>
      <c r="G597"/>
      <c r="H597" s="876"/>
    </row>
    <row r="598" spans="2:8" x14ac:dyDescent="0.2">
      <c r="B598"/>
      <c r="G598"/>
      <c r="H598" s="876"/>
    </row>
    <row r="599" spans="2:8" x14ac:dyDescent="0.2">
      <c r="B599"/>
      <c r="G599"/>
      <c r="H599" s="876"/>
    </row>
    <row r="600" spans="2:8" x14ac:dyDescent="0.2">
      <c r="B600"/>
      <c r="G600"/>
      <c r="H600" s="876"/>
    </row>
    <row r="601" spans="2:8" x14ac:dyDescent="0.2">
      <c r="B601"/>
      <c r="G601"/>
      <c r="H601" s="876"/>
    </row>
    <row r="602" spans="2:8" x14ac:dyDescent="0.2">
      <c r="B602"/>
      <c r="G602"/>
      <c r="H602" s="876"/>
    </row>
    <row r="603" spans="2:8" x14ac:dyDescent="0.2">
      <c r="B603"/>
      <c r="G603"/>
      <c r="H603" s="876"/>
    </row>
    <row r="604" spans="2:8" x14ac:dyDescent="0.2">
      <c r="B604"/>
      <c r="G604"/>
      <c r="H604" s="876"/>
    </row>
    <row r="605" spans="2:8" x14ac:dyDescent="0.2">
      <c r="B605"/>
      <c r="G605"/>
      <c r="H605" s="876"/>
    </row>
    <row r="606" spans="2:8" x14ac:dyDescent="0.2">
      <c r="B606"/>
      <c r="G606"/>
      <c r="H606" s="876"/>
    </row>
    <row r="607" spans="2:8" x14ac:dyDescent="0.2">
      <c r="B607"/>
      <c r="G607"/>
      <c r="H607" s="876"/>
    </row>
    <row r="608" spans="2:8" x14ac:dyDescent="0.2">
      <c r="B608"/>
      <c r="G608"/>
      <c r="H608" s="878"/>
    </row>
    <row r="609" spans="2:8" x14ac:dyDescent="0.2">
      <c r="B609"/>
      <c r="G609"/>
      <c r="H609" s="878"/>
    </row>
    <row r="610" spans="2:8" x14ac:dyDescent="0.2">
      <c r="B610"/>
      <c r="G610"/>
      <c r="H610" s="876"/>
    </row>
    <row r="611" spans="2:8" x14ac:dyDescent="0.2">
      <c r="B611"/>
      <c r="G611"/>
      <c r="H611" s="876"/>
    </row>
    <row r="612" spans="2:8" x14ac:dyDescent="0.2">
      <c r="B612"/>
      <c r="G612"/>
      <c r="H612" s="876"/>
    </row>
    <row r="613" spans="2:8" x14ac:dyDescent="0.2">
      <c r="B613"/>
      <c r="G613"/>
      <c r="H613" s="876"/>
    </row>
    <row r="614" spans="2:8" x14ac:dyDescent="0.2">
      <c r="B614"/>
      <c r="G614"/>
      <c r="H614" s="876"/>
    </row>
    <row r="615" spans="2:8" x14ac:dyDescent="0.2">
      <c r="B615"/>
      <c r="G615"/>
      <c r="H615" s="876"/>
    </row>
    <row r="616" spans="2:8" x14ac:dyDescent="0.2">
      <c r="B616"/>
      <c r="G616"/>
      <c r="H616" s="876"/>
    </row>
    <row r="617" spans="2:8" x14ac:dyDescent="0.2">
      <c r="B617"/>
      <c r="G617"/>
      <c r="H617" s="876"/>
    </row>
    <row r="618" spans="2:8" x14ac:dyDescent="0.2">
      <c r="B618"/>
      <c r="G618"/>
      <c r="H618" s="876"/>
    </row>
    <row r="619" spans="2:8" x14ac:dyDescent="0.2">
      <c r="B619"/>
      <c r="G619"/>
      <c r="H619" s="876"/>
    </row>
    <row r="620" spans="2:8" x14ac:dyDescent="0.2">
      <c r="B620"/>
      <c r="G620"/>
      <c r="H620" s="876"/>
    </row>
    <row r="621" spans="2:8" x14ac:dyDescent="0.2">
      <c r="B621"/>
      <c r="G621"/>
      <c r="H621" s="876"/>
    </row>
    <row r="622" spans="2:8" x14ac:dyDescent="0.2">
      <c r="B622"/>
      <c r="G622"/>
      <c r="H622" s="876"/>
    </row>
    <row r="623" spans="2:8" x14ac:dyDescent="0.2">
      <c r="B623"/>
      <c r="G623"/>
      <c r="H623" s="876"/>
    </row>
    <row r="624" spans="2:8" x14ac:dyDescent="0.2">
      <c r="B624"/>
      <c r="G624"/>
      <c r="H624" s="876"/>
    </row>
    <row r="625" spans="2:8" x14ac:dyDescent="0.2">
      <c r="B625"/>
      <c r="G625"/>
      <c r="H625" s="876"/>
    </row>
    <row r="626" spans="2:8" x14ac:dyDescent="0.2">
      <c r="B626"/>
      <c r="G626"/>
      <c r="H626" s="876"/>
    </row>
    <row r="627" spans="2:8" x14ac:dyDescent="0.2">
      <c r="B627"/>
      <c r="G627"/>
      <c r="H627" s="876"/>
    </row>
    <row r="628" spans="2:8" x14ac:dyDescent="0.2">
      <c r="B628"/>
      <c r="G628"/>
      <c r="H628" s="876"/>
    </row>
    <row r="629" spans="2:8" x14ac:dyDescent="0.2">
      <c r="B629"/>
      <c r="G629"/>
      <c r="H629" s="876"/>
    </row>
    <row r="630" spans="2:8" x14ac:dyDescent="0.2">
      <c r="B630"/>
      <c r="G630"/>
      <c r="H630" s="876"/>
    </row>
    <row r="631" spans="2:8" x14ac:dyDescent="0.2">
      <c r="B631"/>
      <c r="G631"/>
      <c r="H631" s="876"/>
    </row>
    <row r="632" spans="2:8" x14ac:dyDescent="0.2">
      <c r="B632"/>
      <c r="G632"/>
      <c r="H632" s="876"/>
    </row>
    <row r="633" spans="2:8" x14ac:dyDescent="0.2">
      <c r="B633"/>
      <c r="G633"/>
      <c r="H633" s="876"/>
    </row>
    <row r="634" spans="2:8" x14ac:dyDescent="0.2">
      <c r="B634"/>
      <c r="G634"/>
      <c r="H634" s="876"/>
    </row>
    <row r="635" spans="2:8" x14ac:dyDescent="0.2">
      <c r="B635"/>
      <c r="G635"/>
      <c r="H635" s="876"/>
    </row>
    <row r="636" spans="2:8" x14ac:dyDescent="0.2">
      <c r="B636"/>
      <c r="G636"/>
      <c r="H636" s="877"/>
    </row>
    <row r="637" spans="2:8" x14ac:dyDescent="0.2">
      <c r="B637"/>
      <c r="G637"/>
      <c r="H637" s="877"/>
    </row>
    <row r="638" spans="2:8" x14ac:dyDescent="0.2">
      <c r="B638"/>
      <c r="G638"/>
      <c r="H638" s="877"/>
    </row>
    <row r="639" spans="2:8" x14ac:dyDescent="0.2">
      <c r="B639"/>
      <c r="G639"/>
      <c r="H639" s="877"/>
    </row>
    <row r="640" spans="2:8" x14ac:dyDescent="0.2">
      <c r="B640"/>
      <c r="G640"/>
      <c r="H640" s="877"/>
    </row>
    <row r="641" spans="2:8" x14ac:dyDescent="0.2">
      <c r="B641"/>
      <c r="G641"/>
      <c r="H641" s="877"/>
    </row>
    <row r="642" spans="2:8" x14ac:dyDescent="0.2">
      <c r="B642"/>
      <c r="G642"/>
      <c r="H642" s="877"/>
    </row>
    <row r="643" spans="2:8" x14ac:dyDescent="0.2">
      <c r="B643"/>
      <c r="G643"/>
      <c r="H643" s="877"/>
    </row>
    <row r="644" spans="2:8" x14ac:dyDescent="0.2">
      <c r="B644"/>
      <c r="G644"/>
      <c r="H644" s="877"/>
    </row>
    <row r="645" spans="2:8" x14ac:dyDescent="0.2">
      <c r="B645"/>
      <c r="G645"/>
      <c r="H645" s="877"/>
    </row>
    <row r="646" spans="2:8" x14ac:dyDescent="0.2">
      <c r="B646"/>
      <c r="G646"/>
      <c r="H646" s="877"/>
    </row>
    <row r="647" spans="2:8" x14ac:dyDescent="0.2">
      <c r="B647"/>
      <c r="G647"/>
      <c r="H647" s="877"/>
    </row>
    <row r="648" spans="2:8" x14ac:dyDescent="0.2">
      <c r="B648"/>
      <c r="G648"/>
      <c r="H648" s="877"/>
    </row>
    <row r="649" spans="2:8" x14ac:dyDescent="0.2">
      <c r="B649"/>
      <c r="G649"/>
      <c r="H649" s="877"/>
    </row>
    <row r="650" spans="2:8" x14ac:dyDescent="0.2">
      <c r="B650"/>
      <c r="G650"/>
      <c r="H650" s="877"/>
    </row>
    <row r="651" spans="2:8" x14ac:dyDescent="0.2">
      <c r="B651"/>
      <c r="G651"/>
      <c r="H651" s="877"/>
    </row>
    <row r="652" spans="2:8" x14ac:dyDescent="0.2">
      <c r="B652"/>
      <c r="G652"/>
      <c r="H652" s="877"/>
    </row>
    <row r="653" spans="2:8" x14ac:dyDescent="0.2">
      <c r="B653"/>
      <c r="G653"/>
      <c r="H653" s="877"/>
    </row>
    <row r="654" spans="2:8" x14ac:dyDescent="0.2">
      <c r="B654"/>
      <c r="G654"/>
      <c r="H654" s="877"/>
    </row>
    <row r="655" spans="2:8" x14ac:dyDescent="0.2">
      <c r="B655"/>
      <c r="G655"/>
      <c r="H655" s="877"/>
    </row>
    <row r="656" spans="2:8" x14ac:dyDescent="0.2">
      <c r="B656"/>
      <c r="G656"/>
      <c r="H656" s="877"/>
    </row>
    <row r="657" spans="2:8" x14ac:dyDescent="0.2">
      <c r="B657"/>
      <c r="G657"/>
      <c r="H657" s="877"/>
    </row>
    <row r="658" spans="2:8" x14ac:dyDescent="0.2">
      <c r="B658"/>
      <c r="G658"/>
      <c r="H658" s="877"/>
    </row>
    <row r="659" spans="2:8" x14ac:dyDescent="0.2">
      <c r="B659"/>
      <c r="G659"/>
      <c r="H659" s="877"/>
    </row>
    <row r="660" spans="2:8" x14ac:dyDescent="0.2">
      <c r="B660"/>
      <c r="G660"/>
      <c r="H660" s="877"/>
    </row>
    <row r="661" spans="2:8" x14ac:dyDescent="0.2">
      <c r="B661"/>
      <c r="G661"/>
      <c r="H661" s="877"/>
    </row>
    <row r="662" spans="2:8" x14ac:dyDescent="0.2">
      <c r="B662"/>
      <c r="G662"/>
      <c r="H662" s="877"/>
    </row>
    <row r="663" spans="2:8" x14ac:dyDescent="0.2">
      <c r="B663"/>
      <c r="G663"/>
      <c r="H663" s="877"/>
    </row>
    <row r="664" spans="2:8" x14ac:dyDescent="0.2">
      <c r="B664"/>
      <c r="G664"/>
      <c r="H664" s="877"/>
    </row>
    <row r="665" spans="2:8" x14ac:dyDescent="0.2">
      <c r="B665"/>
      <c r="G665"/>
      <c r="H665" s="877"/>
    </row>
    <row r="666" spans="2:8" x14ac:dyDescent="0.2">
      <c r="B666"/>
      <c r="G666"/>
      <c r="H666" s="877"/>
    </row>
    <row r="667" spans="2:8" x14ac:dyDescent="0.2">
      <c r="B667"/>
      <c r="G667"/>
      <c r="H667" s="877"/>
    </row>
    <row r="668" spans="2:8" x14ac:dyDescent="0.2">
      <c r="B668"/>
      <c r="G668"/>
      <c r="H668" s="877"/>
    </row>
    <row r="669" spans="2:8" x14ac:dyDescent="0.2">
      <c r="B669"/>
      <c r="G669"/>
      <c r="H669" s="877"/>
    </row>
    <row r="670" spans="2:8" x14ac:dyDescent="0.2">
      <c r="B670"/>
      <c r="G670"/>
      <c r="H670" s="877"/>
    </row>
    <row r="671" spans="2:8" x14ac:dyDescent="0.2">
      <c r="B671"/>
      <c r="G671"/>
      <c r="H671" s="877"/>
    </row>
    <row r="672" spans="2:8" x14ac:dyDescent="0.2">
      <c r="B672"/>
      <c r="G672"/>
      <c r="H672" s="877"/>
    </row>
    <row r="673" spans="2:8" x14ac:dyDescent="0.2">
      <c r="B673"/>
      <c r="G673"/>
      <c r="H673" s="877"/>
    </row>
    <row r="674" spans="2:8" x14ac:dyDescent="0.2">
      <c r="B674"/>
      <c r="G674"/>
      <c r="H674" s="877"/>
    </row>
    <row r="675" spans="2:8" x14ac:dyDescent="0.2">
      <c r="B675"/>
      <c r="G675"/>
      <c r="H675" s="877"/>
    </row>
    <row r="676" spans="2:8" x14ac:dyDescent="0.2">
      <c r="B676"/>
      <c r="G676"/>
      <c r="H676" s="877"/>
    </row>
    <row r="677" spans="2:8" x14ac:dyDescent="0.2">
      <c r="B677"/>
      <c r="G677"/>
      <c r="H677" s="877"/>
    </row>
    <row r="678" spans="2:8" x14ac:dyDescent="0.2">
      <c r="B678"/>
      <c r="G678"/>
      <c r="H678" s="878"/>
    </row>
    <row r="679" spans="2:8" x14ac:dyDescent="0.2">
      <c r="B679"/>
      <c r="G679"/>
      <c r="H679" s="878"/>
    </row>
    <row r="680" spans="2:8" x14ac:dyDescent="0.2">
      <c r="B680"/>
      <c r="G680"/>
      <c r="H680" s="876"/>
    </row>
    <row r="681" spans="2:8" x14ac:dyDescent="0.2">
      <c r="B681"/>
      <c r="G681"/>
      <c r="H681" s="876"/>
    </row>
    <row r="682" spans="2:8" x14ac:dyDescent="0.2">
      <c r="B682"/>
      <c r="G682"/>
      <c r="H682" s="877"/>
    </row>
    <row r="683" spans="2:8" x14ac:dyDescent="0.2">
      <c r="B683"/>
      <c r="G683"/>
      <c r="H683" s="877"/>
    </row>
    <row r="684" spans="2:8" x14ac:dyDescent="0.2">
      <c r="B684"/>
      <c r="G684"/>
      <c r="H684" s="877"/>
    </row>
    <row r="685" spans="2:8" x14ac:dyDescent="0.2">
      <c r="B685"/>
      <c r="G685"/>
      <c r="H685" s="877"/>
    </row>
    <row r="686" spans="2:8" x14ac:dyDescent="0.2">
      <c r="B686"/>
      <c r="G686"/>
      <c r="H686" s="877"/>
    </row>
    <row r="687" spans="2:8" x14ac:dyDescent="0.2">
      <c r="B687"/>
      <c r="G687"/>
      <c r="H687" s="877"/>
    </row>
    <row r="688" spans="2:8" x14ac:dyDescent="0.2">
      <c r="B688"/>
      <c r="G688"/>
      <c r="H688" s="877"/>
    </row>
    <row r="689" spans="2:8" x14ac:dyDescent="0.2">
      <c r="B689"/>
      <c r="G689"/>
      <c r="H689" s="877"/>
    </row>
    <row r="690" spans="2:8" x14ac:dyDescent="0.2">
      <c r="B690"/>
      <c r="G690"/>
      <c r="H690" s="877"/>
    </row>
    <row r="691" spans="2:8" x14ac:dyDescent="0.2">
      <c r="B691"/>
      <c r="G691"/>
      <c r="H691" s="877"/>
    </row>
    <row r="692" spans="2:8" x14ac:dyDescent="0.2">
      <c r="B692"/>
      <c r="G692"/>
      <c r="H692" s="877"/>
    </row>
    <row r="693" spans="2:8" x14ac:dyDescent="0.2">
      <c r="B693"/>
      <c r="G693"/>
      <c r="H693" s="877"/>
    </row>
    <row r="694" spans="2:8" x14ac:dyDescent="0.2">
      <c r="B694"/>
      <c r="G694"/>
      <c r="H694" s="877"/>
    </row>
    <row r="695" spans="2:8" x14ac:dyDescent="0.2">
      <c r="B695"/>
      <c r="G695"/>
      <c r="H695" s="877"/>
    </row>
    <row r="696" spans="2:8" x14ac:dyDescent="0.2">
      <c r="B696"/>
      <c r="G696"/>
      <c r="H696" s="877"/>
    </row>
    <row r="697" spans="2:8" x14ac:dyDescent="0.2">
      <c r="B697"/>
      <c r="G697"/>
      <c r="H697" s="877"/>
    </row>
    <row r="698" spans="2:8" x14ac:dyDescent="0.2">
      <c r="B698"/>
      <c r="G698"/>
      <c r="H698" s="877"/>
    </row>
    <row r="699" spans="2:8" x14ac:dyDescent="0.2">
      <c r="B699"/>
      <c r="G699"/>
      <c r="H699" s="877"/>
    </row>
    <row r="700" spans="2:8" x14ac:dyDescent="0.2">
      <c r="B700"/>
      <c r="G700"/>
      <c r="H700" s="877"/>
    </row>
    <row r="701" spans="2:8" x14ac:dyDescent="0.2">
      <c r="B701"/>
      <c r="G701"/>
      <c r="H701" s="877"/>
    </row>
    <row r="702" spans="2:8" x14ac:dyDescent="0.2">
      <c r="B702"/>
      <c r="G702"/>
      <c r="H702" s="877"/>
    </row>
    <row r="703" spans="2:8" x14ac:dyDescent="0.2">
      <c r="B703"/>
      <c r="G703"/>
      <c r="H703" s="877"/>
    </row>
    <row r="704" spans="2:8" x14ac:dyDescent="0.2">
      <c r="B704"/>
      <c r="G704"/>
      <c r="H704" s="877"/>
    </row>
    <row r="705" spans="2:8" x14ac:dyDescent="0.2">
      <c r="B705"/>
      <c r="G705"/>
      <c r="H705" s="877"/>
    </row>
    <row r="706" spans="2:8" x14ac:dyDescent="0.2">
      <c r="B706"/>
      <c r="G706"/>
      <c r="H706" s="877"/>
    </row>
    <row r="707" spans="2:8" x14ac:dyDescent="0.2">
      <c r="B707"/>
      <c r="G707"/>
      <c r="H707" s="877"/>
    </row>
    <row r="708" spans="2:8" x14ac:dyDescent="0.2">
      <c r="B708"/>
      <c r="G708"/>
      <c r="H708" s="877"/>
    </row>
    <row r="709" spans="2:8" x14ac:dyDescent="0.2">
      <c r="B709"/>
      <c r="G709"/>
      <c r="H709" s="877"/>
    </row>
    <row r="710" spans="2:8" x14ac:dyDescent="0.2">
      <c r="B710"/>
      <c r="G710"/>
      <c r="H710" s="877"/>
    </row>
    <row r="711" spans="2:8" x14ac:dyDescent="0.2">
      <c r="B711"/>
      <c r="G711"/>
      <c r="H711" s="877"/>
    </row>
    <row r="712" spans="2:8" x14ac:dyDescent="0.2">
      <c r="B712"/>
      <c r="G712"/>
      <c r="H712" s="877"/>
    </row>
    <row r="713" spans="2:8" x14ac:dyDescent="0.2">
      <c r="B713"/>
      <c r="G713"/>
      <c r="H713" s="877"/>
    </row>
    <row r="714" spans="2:8" x14ac:dyDescent="0.2">
      <c r="B714"/>
      <c r="G714"/>
      <c r="H714" s="877"/>
    </row>
    <row r="715" spans="2:8" x14ac:dyDescent="0.2">
      <c r="B715"/>
      <c r="G715"/>
      <c r="H715" s="877"/>
    </row>
    <row r="716" spans="2:8" x14ac:dyDescent="0.2">
      <c r="B716"/>
      <c r="G716"/>
      <c r="H716" s="877"/>
    </row>
    <row r="717" spans="2:8" x14ac:dyDescent="0.2">
      <c r="B717"/>
      <c r="G717"/>
      <c r="H717" s="877"/>
    </row>
    <row r="718" spans="2:8" x14ac:dyDescent="0.2">
      <c r="B718"/>
      <c r="G718"/>
      <c r="H718" s="877"/>
    </row>
    <row r="719" spans="2:8" x14ac:dyDescent="0.2">
      <c r="B719"/>
      <c r="G719"/>
      <c r="H719" s="877"/>
    </row>
    <row r="720" spans="2:8" x14ac:dyDescent="0.2">
      <c r="B720"/>
      <c r="G720"/>
      <c r="H720" s="877"/>
    </row>
    <row r="721" spans="2:8" x14ac:dyDescent="0.2">
      <c r="B721"/>
      <c r="G721"/>
      <c r="H721" s="877"/>
    </row>
    <row r="722" spans="2:8" x14ac:dyDescent="0.2">
      <c r="B722"/>
      <c r="G722"/>
      <c r="H722" s="877"/>
    </row>
    <row r="723" spans="2:8" x14ac:dyDescent="0.2">
      <c r="B723"/>
      <c r="G723"/>
      <c r="H723" s="877"/>
    </row>
    <row r="724" spans="2:8" x14ac:dyDescent="0.2">
      <c r="B724"/>
      <c r="G724"/>
      <c r="H724" s="877"/>
    </row>
    <row r="725" spans="2:8" x14ac:dyDescent="0.2">
      <c r="B725"/>
      <c r="G725"/>
      <c r="H725" s="877"/>
    </row>
    <row r="726" spans="2:8" x14ac:dyDescent="0.2">
      <c r="B726"/>
      <c r="G726"/>
      <c r="H726" s="877"/>
    </row>
    <row r="727" spans="2:8" x14ac:dyDescent="0.2">
      <c r="B727"/>
      <c r="G727"/>
      <c r="H727" s="877"/>
    </row>
    <row r="728" spans="2:8" x14ac:dyDescent="0.2">
      <c r="B728"/>
      <c r="G728"/>
      <c r="H728" s="877"/>
    </row>
    <row r="729" spans="2:8" x14ac:dyDescent="0.2">
      <c r="B729"/>
      <c r="G729"/>
      <c r="H729" s="877"/>
    </row>
    <row r="730" spans="2:8" x14ac:dyDescent="0.2">
      <c r="B730"/>
      <c r="G730"/>
      <c r="H730" s="877"/>
    </row>
    <row r="731" spans="2:8" x14ac:dyDescent="0.2">
      <c r="B731"/>
      <c r="G731"/>
      <c r="H731" s="877"/>
    </row>
    <row r="732" spans="2:8" x14ac:dyDescent="0.2">
      <c r="B732"/>
      <c r="G732"/>
      <c r="H732" s="877"/>
    </row>
    <row r="733" spans="2:8" x14ac:dyDescent="0.2">
      <c r="B733"/>
      <c r="G733"/>
      <c r="H733" s="877"/>
    </row>
    <row r="734" spans="2:8" x14ac:dyDescent="0.2">
      <c r="B734"/>
      <c r="G734"/>
      <c r="H734" s="877"/>
    </row>
    <row r="735" spans="2:8" x14ac:dyDescent="0.2">
      <c r="B735"/>
      <c r="G735"/>
      <c r="H735" s="877"/>
    </row>
    <row r="736" spans="2:8" x14ac:dyDescent="0.2">
      <c r="B736"/>
      <c r="G736"/>
      <c r="H736" s="877"/>
    </row>
    <row r="737" spans="2:8" x14ac:dyDescent="0.2">
      <c r="B737"/>
      <c r="G737"/>
      <c r="H737" s="877"/>
    </row>
    <row r="738" spans="2:8" x14ac:dyDescent="0.2">
      <c r="B738"/>
      <c r="G738"/>
      <c r="H738" s="877"/>
    </row>
    <row r="739" spans="2:8" x14ac:dyDescent="0.2">
      <c r="B739"/>
      <c r="G739"/>
      <c r="H739" s="877"/>
    </row>
    <row r="740" spans="2:8" x14ac:dyDescent="0.2">
      <c r="B740"/>
      <c r="G740"/>
      <c r="H740" s="877"/>
    </row>
    <row r="741" spans="2:8" x14ac:dyDescent="0.2">
      <c r="B741"/>
      <c r="G741"/>
      <c r="H741" s="877"/>
    </row>
    <row r="742" spans="2:8" x14ac:dyDescent="0.2">
      <c r="B742"/>
      <c r="G742"/>
      <c r="H742" s="877"/>
    </row>
    <row r="743" spans="2:8" x14ac:dyDescent="0.2">
      <c r="B743"/>
      <c r="G743"/>
      <c r="H743" s="877"/>
    </row>
    <row r="744" spans="2:8" x14ac:dyDescent="0.2">
      <c r="B744"/>
      <c r="G744"/>
      <c r="H744" s="877"/>
    </row>
    <row r="745" spans="2:8" x14ac:dyDescent="0.2">
      <c r="B745"/>
      <c r="G745"/>
      <c r="H745" s="877"/>
    </row>
    <row r="746" spans="2:8" x14ac:dyDescent="0.2">
      <c r="B746"/>
      <c r="G746"/>
      <c r="H746" s="877"/>
    </row>
    <row r="747" spans="2:8" x14ac:dyDescent="0.2">
      <c r="B747"/>
      <c r="G747"/>
      <c r="H747" s="877"/>
    </row>
    <row r="748" spans="2:8" x14ac:dyDescent="0.2">
      <c r="B748"/>
      <c r="G748"/>
      <c r="H748" s="877"/>
    </row>
    <row r="749" spans="2:8" x14ac:dyDescent="0.2">
      <c r="B749"/>
      <c r="G749"/>
      <c r="H749" s="877"/>
    </row>
    <row r="750" spans="2:8" x14ac:dyDescent="0.2">
      <c r="B750"/>
      <c r="G750"/>
      <c r="H750" s="877"/>
    </row>
    <row r="751" spans="2:8" x14ac:dyDescent="0.2">
      <c r="B751"/>
      <c r="G751"/>
      <c r="H751" s="877"/>
    </row>
    <row r="752" spans="2:8" x14ac:dyDescent="0.2">
      <c r="B752"/>
      <c r="G752"/>
      <c r="H752" s="877"/>
    </row>
    <row r="753" spans="2:8" x14ac:dyDescent="0.2">
      <c r="B753"/>
      <c r="G753"/>
      <c r="H753" s="877"/>
    </row>
    <row r="754" spans="2:8" x14ac:dyDescent="0.2">
      <c r="B754"/>
      <c r="G754"/>
      <c r="H754" s="877"/>
    </row>
    <row r="755" spans="2:8" x14ac:dyDescent="0.2">
      <c r="B755"/>
      <c r="G755"/>
      <c r="H755" s="877"/>
    </row>
    <row r="756" spans="2:8" x14ac:dyDescent="0.2">
      <c r="B756"/>
      <c r="G756"/>
      <c r="H756" s="877"/>
    </row>
    <row r="757" spans="2:8" x14ac:dyDescent="0.2">
      <c r="B757"/>
      <c r="G757"/>
      <c r="H757" s="877"/>
    </row>
    <row r="758" spans="2:8" x14ac:dyDescent="0.2">
      <c r="B758"/>
      <c r="G758"/>
      <c r="H758" s="877"/>
    </row>
    <row r="759" spans="2:8" x14ac:dyDescent="0.2">
      <c r="B759"/>
      <c r="G759"/>
      <c r="H759" s="877"/>
    </row>
    <row r="760" spans="2:8" x14ac:dyDescent="0.2">
      <c r="B760"/>
      <c r="G760"/>
      <c r="H760" s="877"/>
    </row>
    <row r="761" spans="2:8" x14ac:dyDescent="0.2">
      <c r="B761"/>
      <c r="G761"/>
      <c r="H761" s="877"/>
    </row>
    <row r="762" spans="2:8" x14ac:dyDescent="0.2">
      <c r="B762"/>
      <c r="G762"/>
      <c r="H762" s="877"/>
    </row>
    <row r="763" spans="2:8" x14ac:dyDescent="0.2">
      <c r="B763"/>
      <c r="G763"/>
      <c r="H763" s="877"/>
    </row>
    <row r="764" spans="2:8" x14ac:dyDescent="0.2">
      <c r="B764"/>
      <c r="G764"/>
      <c r="H764" s="877"/>
    </row>
    <row r="765" spans="2:8" x14ac:dyDescent="0.2">
      <c r="B765"/>
      <c r="G765"/>
      <c r="H765" s="877"/>
    </row>
    <row r="766" spans="2:8" x14ac:dyDescent="0.2">
      <c r="B766"/>
      <c r="G766"/>
      <c r="H766" s="877"/>
    </row>
    <row r="767" spans="2:8" x14ac:dyDescent="0.2">
      <c r="B767"/>
      <c r="G767"/>
      <c r="H767" s="877"/>
    </row>
    <row r="768" spans="2:8" x14ac:dyDescent="0.2">
      <c r="B768"/>
      <c r="G768"/>
      <c r="H768" s="877"/>
    </row>
    <row r="769" spans="2:8" x14ac:dyDescent="0.2">
      <c r="B769"/>
      <c r="G769"/>
      <c r="H769" s="877"/>
    </row>
    <row r="770" spans="2:8" x14ac:dyDescent="0.2">
      <c r="B770"/>
      <c r="G770"/>
      <c r="H770" s="877"/>
    </row>
    <row r="771" spans="2:8" x14ac:dyDescent="0.2">
      <c r="B771"/>
      <c r="G771"/>
      <c r="H771" s="877"/>
    </row>
    <row r="772" spans="2:8" x14ac:dyDescent="0.2">
      <c r="B772"/>
      <c r="G772"/>
      <c r="H772" s="877"/>
    </row>
    <row r="773" spans="2:8" x14ac:dyDescent="0.2">
      <c r="B773"/>
      <c r="G773"/>
      <c r="H773" s="877"/>
    </row>
    <row r="774" spans="2:8" x14ac:dyDescent="0.2">
      <c r="B774"/>
      <c r="G774"/>
      <c r="H774" s="877"/>
    </row>
    <row r="775" spans="2:8" x14ac:dyDescent="0.2">
      <c r="B775"/>
      <c r="G775"/>
      <c r="H775" s="877"/>
    </row>
    <row r="776" spans="2:8" x14ac:dyDescent="0.2">
      <c r="B776"/>
      <c r="G776"/>
      <c r="H776" s="877"/>
    </row>
    <row r="777" spans="2:8" x14ac:dyDescent="0.2">
      <c r="B777"/>
      <c r="G777"/>
      <c r="H777" s="877"/>
    </row>
    <row r="778" spans="2:8" x14ac:dyDescent="0.2">
      <c r="B778"/>
      <c r="G778"/>
      <c r="H778" s="877"/>
    </row>
    <row r="779" spans="2:8" x14ac:dyDescent="0.2">
      <c r="B779"/>
      <c r="G779"/>
      <c r="H779" s="877"/>
    </row>
    <row r="780" spans="2:8" x14ac:dyDescent="0.2">
      <c r="B780"/>
      <c r="G780"/>
      <c r="H780" s="877"/>
    </row>
    <row r="781" spans="2:8" x14ac:dyDescent="0.2">
      <c r="B781"/>
      <c r="G781"/>
      <c r="H781" s="877"/>
    </row>
    <row r="782" spans="2:8" x14ac:dyDescent="0.2">
      <c r="B782"/>
      <c r="G782"/>
      <c r="H782" s="877"/>
    </row>
    <row r="783" spans="2:8" x14ac:dyDescent="0.2">
      <c r="B783"/>
      <c r="G783"/>
      <c r="H783" s="877"/>
    </row>
    <row r="784" spans="2:8" x14ac:dyDescent="0.2">
      <c r="B784"/>
      <c r="G784"/>
      <c r="H784" s="877"/>
    </row>
    <row r="785" spans="2:8" x14ac:dyDescent="0.2">
      <c r="B785"/>
      <c r="G785"/>
      <c r="H785" s="877"/>
    </row>
    <row r="786" spans="2:8" x14ac:dyDescent="0.2">
      <c r="B786"/>
      <c r="G786"/>
      <c r="H786" s="877"/>
    </row>
    <row r="787" spans="2:8" x14ac:dyDescent="0.2">
      <c r="B787"/>
      <c r="G787"/>
      <c r="H787" s="877"/>
    </row>
    <row r="788" spans="2:8" x14ac:dyDescent="0.2">
      <c r="B788"/>
      <c r="G788"/>
      <c r="H788" s="877"/>
    </row>
    <row r="789" spans="2:8" x14ac:dyDescent="0.2">
      <c r="B789"/>
      <c r="G789"/>
      <c r="H789" s="877"/>
    </row>
    <row r="790" spans="2:8" x14ac:dyDescent="0.2">
      <c r="B790"/>
      <c r="G790"/>
      <c r="H790" s="877"/>
    </row>
    <row r="791" spans="2:8" x14ac:dyDescent="0.2">
      <c r="B791"/>
      <c r="G791"/>
      <c r="H791" s="877"/>
    </row>
    <row r="792" spans="2:8" x14ac:dyDescent="0.2">
      <c r="B792"/>
      <c r="G792"/>
      <c r="H792" s="877"/>
    </row>
    <row r="793" spans="2:8" x14ac:dyDescent="0.2">
      <c r="B793"/>
      <c r="G793"/>
      <c r="H793" s="877"/>
    </row>
    <row r="794" spans="2:8" x14ac:dyDescent="0.2">
      <c r="B794"/>
      <c r="G794"/>
      <c r="H794" s="877"/>
    </row>
    <row r="795" spans="2:8" x14ac:dyDescent="0.2">
      <c r="B795"/>
      <c r="G795"/>
      <c r="H795" s="877"/>
    </row>
    <row r="796" spans="2:8" x14ac:dyDescent="0.2">
      <c r="B796"/>
      <c r="G796"/>
      <c r="H796" s="877"/>
    </row>
    <row r="797" spans="2:8" x14ac:dyDescent="0.2">
      <c r="B797"/>
      <c r="G797"/>
      <c r="H797" s="877"/>
    </row>
    <row r="798" spans="2:8" x14ac:dyDescent="0.2">
      <c r="B798"/>
      <c r="G798"/>
      <c r="H798" s="877"/>
    </row>
    <row r="799" spans="2:8" x14ac:dyDescent="0.2">
      <c r="B799"/>
      <c r="G799"/>
      <c r="H799" s="877"/>
    </row>
    <row r="800" spans="2:8" x14ac:dyDescent="0.2">
      <c r="B800"/>
      <c r="G800"/>
      <c r="H800" s="877"/>
    </row>
    <row r="801" spans="2:8" x14ac:dyDescent="0.2">
      <c r="B801"/>
      <c r="G801"/>
      <c r="H801" s="877"/>
    </row>
    <row r="802" spans="2:8" x14ac:dyDescent="0.2">
      <c r="B802"/>
      <c r="G802"/>
      <c r="H802" s="877"/>
    </row>
    <row r="803" spans="2:8" x14ac:dyDescent="0.2">
      <c r="B803"/>
      <c r="G803"/>
      <c r="H803" s="877"/>
    </row>
    <row r="804" spans="2:8" x14ac:dyDescent="0.2">
      <c r="B804"/>
      <c r="G804"/>
      <c r="H804" s="877"/>
    </row>
    <row r="805" spans="2:8" x14ac:dyDescent="0.2">
      <c r="B805"/>
      <c r="G805"/>
      <c r="H805" s="877"/>
    </row>
    <row r="806" spans="2:8" x14ac:dyDescent="0.2">
      <c r="B806"/>
      <c r="G806"/>
      <c r="H806" s="877"/>
    </row>
    <row r="807" spans="2:8" x14ac:dyDescent="0.2">
      <c r="B807"/>
      <c r="G807"/>
      <c r="H807" s="877"/>
    </row>
    <row r="808" spans="2:8" x14ac:dyDescent="0.2">
      <c r="B808"/>
      <c r="G808"/>
      <c r="H808" s="877"/>
    </row>
    <row r="809" spans="2:8" x14ac:dyDescent="0.2">
      <c r="B809"/>
      <c r="G809"/>
      <c r="H809" s="877"/>
    </row>
    <row r="810" spans="2:8" x14ac:dyDescent="0.2">
      <c r="B810"/>
      <c r="G810"/>
      <c r="H810" s="877"/>
    </row>
    <row r="811" spans="2:8" x14ac:dyDescent="0.2">
      <c r="B811"/>
      <c r="G811"/>
      <c r="H811" s="877"/>
    </row>
    <row r="812" spans="2:8" x14ac:dyDescent="0.2">
      <c r="B812"/>
      <c r="G812"/>
      <c r="H812" s="877"/>
    </row>
    <row r="813" spans="2:8" x14ac:dyDescent="0.2">
      <c r="B813"/>
      <c r="G813"/>
      <c r="H813" s="877"/>
    </row>
    <row r="814" spans="2:8" x14ac:dyDescent="0.2">
      <c r="B814"/>
      <c r="G814"/>
      <c r="H814" s="877"/>
    </row>
    <row r="815" spans="2:8" x14ac:dyDescent="0.2">
      <c r="B815"/>
      <c r="G815"/>
      <c r="H815" s="877"/>
    </row>
    <row r="816" spans="2:8" x14ac:dyDescent="0.2">
      <c r="B816"/>
      <c r="G816"/>
      <c r="H816" s="877"/>
    </row>
    <row r="817" spans="2:8" x14ac:dyDescent="0.2">
      <c r="B817"/>
      <c r="G817"/>
      <c r="H817" s="877"/>
    </row>
    <row r="818" spans="2:8" x14ac:dyDescent="0.2">
      <c r="B818"/>
      <c r="G818"/>
      <c r="H818" s="877"/>
    </row>
    <row r="819" spans="2:8" x14ac:dyDescent="0.2">
      <c r="B819"/>
      <c r="G819"/>
      <c r="H819" s="877"/>
    </row>
    <row r="820" spans="2:8" x14ac:dyDescent="0.2">
      <c r="B820"/>
      <c r="G820"/>
      <c r="H820" s="877"/>
    </row>
    <row r="821" spans="2:8" x14ac:dyDescent="0.2">
      <c r="B821"/>
      <c r="G821"/>
      <c r="H821" s="877"/>
    </row>
    <row r="822" spans="2:8" x14ac:dyDescent="0.2">
      <c r="B822"/>
      <c r="G822"/>
      <c r="H822" s="877"/>
    </row>
    <row r="823" spans="2:8" x14ac:dyDescent="0.2">
      <c r="B823"/>
      <c r="G823"/>
      <c r="H823" s="877"/>
    </row>
    <row r="824" spans="2:8" x14ac:dyDescent="0.2">
      <c r="B824"/>
      <c r="G824"/>
      <c r="H824" s="877"/>
    </row>
    <row r="825" spans="2:8" x14ac:dyDescent="0.2">
      <c r="B825"/>
      <c r="G825"/>
      <c r="H825" s="877"/>
    </row>
    <row r="826" spans="2:8" x14ac:dyDescent="0.2">
      <c r="B826"/>
      <c r="G826"/>
      <c r="H826" s="877"/>
    </row>
    <row r="827" spans="2:8" x14ac:dyDescent="0.2">
      <c r="B827"/>
      <c r="G827"/>
      <c r="H827" s="877"/>
    </row>
    <row r="828" spans="2:8" x14ac:dyDescent="0.2">
      <c r="B828"/>
      <c r="G828"/>
      <c r="H828" s="877"/>
    </row>
    <row r="829" spans="2:8" x14ac:dyDescent="0.2">
      <c r="B829"/>
      <c r="G829"/>
      <c r="H829" s="877"/>
    </row>
    <row r="830" spans="2:8" x14ac:dyDescent="0.2">
      <c r="B830"/>
      <c r="G830"/>
      <c r="H830" s="877"/>
    </row>
    <row r="831" spans="2:8" x14ac:dyDescent="0.2">
      <c r="B831"/>
      <c r="G831"/>
      <c r="H831" s="877"/>
    </row>
    <row r="832" spans="2:8" x14ac:dyDescent="0.2">
      <c r="B832"/>
      <c r="G832"/>
      <c r="H832" s="877"/>
    </row>
    <row r="833" spans="2:8" x14ac:dyDescent="0.2">
      <c r="B833"/>
      <c r="G833"/>
      <c r="H833" s="877"/>
    </row>
    <row r="834" spans="2:8" x14ac:dyDescent="0.2">
      <c r="B834"/>
      <c r="G834"/>
      <c r="H834" s="877"/>
    </row>
    <row r="835" spans="2:8" x14ac:dyDescent="0.2">
      <c r="B835"/>
      <c r="G835"/>
      <c r="H835" s="877"/>
    </row>
    <row r="836" spans="2:8" x14ac:dyDescent="0.2">
      <c r="B836"/>
      <c r="G836"/>
      <c r="H836" s="877"/>
    </row>
    <row r="837" spans="2:8" x14ac:dyDescent="0.2">
      <c r="B837"/>
      <c r="G837"/>
      <c r="H837" s="877"/>
    </row>
    <row r="838" spans="2:8" x14ac:dyDescent="0.2">
      <c r="B838"/>
      <c r="G838"/>
      <c r="H838" s="877"/>
    </row>
    <row r="839" spans="2:8" x14ac:dyDescent="0.2">
      <c r="B839" s="731"/>
      <c r="G839" s="730"/>
      <c r="H839" s="878"/>
    </row>
    <row r="840" spans="2:8" x14ac:dyDescent="0.2">
      <c r="B840" s="731"/>
      <c r="G840" s="730"/>
      <c r="H840" s="878"/>
    </row>
    <row r="841" spans="2:8" x14ac:dyDescent="0.2">
      <c r="B841" s="732"/>
      <c r="G841" s="737"/>
      <c r="H841" s="876"/>
    </row>
    <row r="842" spans="2:8" x14ac:dyDescent="0.2">
      <c r="B842" s="732"/>
      <c r="G842" s="737"/>
      <c r="H842" s="876"/>
    </row>
    <row r="843" spans="2:8" x14ac:dyDescent="0.2">
      <c r="B843" s="732"/>
      <c r="G843" s="737"/>
      <c r="H843" s="876"/>
    </row>
    <row r="844" spans="2:8" x14ac:dyDescent="0.2">
      <c r="B844" s="732"/>
      <c r="G844" s="737"/>
      <c r="H844" s="877"/>
    </row>
    <row r="845" spans="2:8" x14ac:dyDescent="0.2">
      <c r="B845" s="732"/>
      <c r="G845" s="737"/>
      <c r="H845" s="877"/>
    </row>
    <row r="846" spans="2:8" x14ac:dyDescent="0.2">
      <c r="B846" s="732"/>
      <c r="G846" s="748"/>
      <c r="H846" s="877"/>
    </row>
    <row r="847" spans="2:8" x14ac:dyDescent="0.2">
      <c r="B847" s="732"/>
      <c r="G847" s="748"/>
      <c r="H847" s="877"/>
    </row>
    <row r="848" spans="2:8" x14ac:dyDescent="0.2">
      <c r="B848" s="731"/>
      <c r="G848" s="730"/>
      <c r="H848" s="878"/>
    </row>
    <row r="849" spans="2:8" x14ac:dyDescent="0.2">
      <c r="B849" s="731"/>
      <c r="G849" s="730"/>
      <c r="H849" s="878"/>
    </row>
    <row r="850" spans="2:8" x14ac:dyDescent="0.2">
      <c r="B850" s="732"/>
      <c r="G850" s="737"/>
      <c r="H850" s="879"/>
    </row>
    <row r="851" spans="2:8" x14ac:dyDescent="0.2">
      <c r="B851" s="732"/>
      <c r="G851" s="737"/>
      <c r="H851" s="879"/>
    </row>
    <row r="852" spans="2:8" x14ac:dyDescent="0.2">
      <c r="B852" s="732"/>
      <c r="G852" s="737"/>
      <c r="H852" s="879"/>
    </row>
    <row r="853" spans="2:8" x14ac:dyDescent="0.2">
      <c r="B853" s="732"/>
      <c r="G853" s="737"/>
      <c r="H853" s="879"/>
    </row>
    <row r="854" spans="2:8" x14ac:dyDescent="0.2">
      <c r="B854" s="732"/>
      <c r="G854" s="737"/>
      <c r="H854" s="879"/>
    </row>
    <row r="855" spans="2:8" x14ac:dyDescent="0.2">
      <c r="B855" s="732"/>
      <c r="G855" s="737"/>
      <c r="H855" s="879"/>
    </row>
    <row r="856" spans="2:8" x14ac:dyDescent="0.2">
      <c r="B856" s="732"/>
      <c r="G856" s="737"/>
      <c r="H856" s="879"/>
    </row>
    <row r="857" spans="2:8" x14ac:dyDescent="0.2">
      <c r="B857" s="732"/>
      <c r="G857" s="737"/>
      <c r="H857" s="879"/>
    </row>
    <row r="858" spans="2:8" x14ac:dyDescent="0.2">
      <c r="B858" s="732"/>
      <c r="G858" s="737"/>
      <c r="H858" s="879"/>
    </row>
    <row r="859" spans="2:8" x14ac:dyDescent="0.2">
      <c r="B859" s="732"/>
      <c r="G859" s="737"/>
      <c r="H859" s="879"/>
    </row>
    <row r="860" spans="2:8" x14ac:dyDescent="0.2">
      <c r="B860" s="732"/>
      <c r="G860" s="737"/>
      <c r="H860" s="879"/>
    </row>
    <row r="861" spans="2:8" x14ac:dyDescent="0.2">
      <c r="B861" s="732"/>
      <c r="G861" s="737"/>
      <c r="H861" s="879"/>
    </row>
    <row r="862" spans="2:8" x14ac:dyDescent="0.2">
      <c r="B862" s="732"/>
      <c r="G862" s="737"/>
      <c r="H862" s="879"/>
    </row>
    <row r="863" spans="2:8" x14ac:dyDescent="0.2">
      <c r="B863" s="732"/>
      <c r="G863" s="737"/>
      <c r="H863" s="879"/>
    </row>
    <row r="864" spans="2:8" x14ac:dyDescent="0.2">
      <c r="B864" s="732"/>
      <c r="G864" s="737"/>
      <c r="H864" s="879"/>
    </row>
    <row r="865" spans="2:9" x14ac:dyDescent="0.2">
      <c r="B865" s="732"/>
      <c r="G865" s="737"/>
      <c r="H865" s="879"/>
    </row>
    <row r="866" spans="2:9" x14ac:dyDescent="0.2">
      <c r="B866" s="732"/>
      <c r="G866" s="737"/>
      <c r="H866" s="879"/>
    </row>
    <row r="867" spans="2:9" x14ac:dyDescent="0.2">
      <c r="B867" s="732"/>
      <c r="G867" s="737"/>
      <c r="H867" s="879"/>
      <c r="I867" s="738"/>
    </row>
    <row r="868" spans="2:9" x14ac:dyDescent="0.2">
      <c r="B868" s="732"/>
      <c r="G868" s="737"/>
      <c r="H868" s="879"/>
      <c r="I868" s="738"/>
    </row>
    <row r="869" spans="2:9" x14ac:dyDescent="0.2">
      <c r="B869" s="732"/>
      <c r="G869" s="737"/>
      <c r="H869" s="879"/>
      <c r="I869" s="738"/>
    </row>
    <row r="870" spans="2:9" x14ac:dyDescent="0.2">
      <c r="B870" s="732"/>
      <c r="G870" s="737"/>
      <c r="H870" s="879"/>
      <c r="I870" s="738"/>
    </row>
    <row r="871" spans="2:9" x14ac:dyDescent="0.2">
      <c r="B871" s="281"/>
      <c r="G871" s="719"/>
      <c r="H871" s="879"/>
      <c r="I871" s="738"/>
    </row>
    <row r="872" spans="2:9" x14ac:dyDescent="0.2">
      <c r="B872" s="732"/>
      <c r="G872" s="737"/>
      <c r="H872" s="879"/>
      <c r="I872" s="738"/>
    </row>
    <row r="873" spans="2:9" x14ac:dyDescent="0.2">
      <c r="B873" s="732"/>
      <c r="G873" s="737"/>
      <c r="H873" s="879"/>
      <c r="I873" s="738"/>
    </row>
    <row r="874" spans="2:9" x14ac:dyDescent="0.2">
      <c r="B874" s="732"/>
      <c r="G874" s="737"/>
      <c r="H874" s="879"/>
      <c r="I874" s="738"/>
    </row>
    <row r="875" spans="2:9" x14ac:dyDescent="0.2">
      <c r="B875" s="732"/>
      <c r="G875" s="737"/>
      <c r="H875" s="879"/>
      <c r="I875" s="738"/>
    </row>
    <row r="876" spans="2:9" x14ac:dyDescent="0.2">
      <c r="B876" s="732"/>
      <c r="G876" s="737"/>
      <c r="H876" s="879"/>
      <c r="I876" s="738"/>
    </row>
    <row r="877" spans="2:9" x14ac:dyDescent="0.2">
      <c r="B877" s="281"/>
      <c r="G877" s="746"/>
      <c r="H877" s="879"/>
      <c r="I877" s="738"/>
    </row>
    <row r="878" spans="2:9" x14ac:dyDescent="0.2">
      <c r="B878" s="281"/>
      <c r="G878" s="746"/>
      <c r="H878" s="879"/>
      <c r="I878" s="738"/>
    </row>
    <row r="879" spans="2:9" x14ac:dyDescent="0.2">
      <c r="B879" s="731"/>
      <c r="G879" s="730"/>
      <c r="H879" s="878"/>
    </row>
    <row r="880" spans="2:9" x14ac:dyDescent="0.2">
      <c r="G880" s="736"/>
      <c r="H880" s="878"/>
    </row>
    <row r="881" spans="2:8" x14ac:dyDescent="0.2">
      <c r="G881" s="736"/>
      <c r="H881" s="878"/>
    </row>
    <row r="882" spans="2:8" x14ac:dyDescent="0.2">
      <c r="B882" s="732"/>
      <c r="G882" s="737"/>
      <c r="H882" s="876"/>
    </row>
    <row r="883" spans="2:8" x14ac:dyDescent="0.2">
      <c r="B883" s="732"/>
      <c r="G883" s="737"/>
      <c r="H883" s="877"/>
    </row>
    <row r="884" spans="2:8" x14ac:dyDescent="0.2">
      <c r="B884" s="732"/>
      <c r="G884" s="737"/>
      <c r="H884" s="877"/>
    </row>
    <row r="885" spans="2:8" x14ac:dyDescent="0.2">
      <c r="B885" s="732"/>
      <c r="G885" s="737"/>
      <c r="H885" s="877"/>
    </row>
    <row r="886" spans="2:8" x14ac:dyDescent="0.2">
      <c r="B886" s="732"/>
      <c r="G886" s="737"/>
      <c r="H886" s="877"/>
    </row>
    <row r="887" spans="2:8" x14ac:dyDescent="0.2">
      <c r="B887" s="732"/>
      <c r="G887" s="737"/>
      <c r="H887" s="877"/>
    </row>
    <row r="888" spans="2:8" x14ac:dyDescent="0.2">
      <c r="B888" s="732"/>
      <c r="G888" s="737"/>
      <c r="H888" s="877"/>
    </row>
    <row r="889" spans="2:8" x14ac:dyDescent="0.2">
      <c r="B889" s="732"/>
      <c r="G889" s="737"/>
      <c r="H889" s="877"/>
    </row>
    <row r="890" spans="2:8" x14ac:dyDescent="0.2">
      <c r="B890" s="732"/>
      <c r="G890" s="737"/>
      <c r="H890" s="877"/>
    </row>
    <row r="891" spans="2:8" x14ac:dyDescent="0.2">
      <c r="B891" s="732"/>
      <c r="G891" s="737"/>
      <c r="H891" s="877"/>
    </row>
    <row r="892" spans="2:8" x14ac:dyDescent="0.2">
      <c r="B892" s="732"/>
      <c r="G892" s="737"/>
      <c r="H892" s="877"/>
    </row>
    <row r="893" spans="2:8" x14ac:dyDescent="0.2">
      <c r="B893" s="732"/>
      <c r="G893" s="737"/>
      <c r="H893" s="877"/>
    </row>
    <row r="894" spans="2:8" x14ac:dyDescent="0.2">
      <c r="B894" s="732"/>
      <c r="G894" s="730"/>
      <c r="H894" s="877"/>
    </row>
    <row r="895" spans="2:8" x14ac:dyDescent="0.2">
      <c r="G895" s="736"/>
      <c r="H895" s="878"/>
    </row>
    <row r="896" spans="2:8" x14ac:dyDescent="0.2">
      <c r="G896" s="736"/>
      <c r="H896" s="878"/>
    </row>
    <row r="897" spans="2:8" x14ac:dyDescent="0.2">
      <c r="G897" s="736"/>
      <c r="H897" s="878"/>
    </row>
    <row r="898" spans="2:8" x14ac:dyDescent="0.2">
      <c r="B898" s="732"/>
      <c r="G898" s="737"/>
      <c r="H898" s="876"/>
    </row>
    <row r="899" spans="2:8" x14ac:dyDescent="0.2">
      <c r="B899" s="732"/>
      <c r="G899" s="737"/>
      <c r="H899" s="876"/>
    </row>
    <row r="900" spans="2:8" x14ac:dyDescent="0.2">
      <c r="B900" s="732"/>
      <c r="G900" s="737"/>
      <c r="H900" s="877"/>
    </row>
    <row r="901" spans="2:8" x14ac:dyDescent="0.2">
      <c r="B901" s="732"/>
      <c r="G901" s="737"/>
      <c r="H901" s="877"/>
    </row>
    <row r="902" spans="2:8" x14ac:dyDescent="0.2">
      <c r="B902" s="732"/>
      <c r="G902" s="737"/>
      <c r="H902" s="876"/>
    </row>
    <row r="903" spans="2:8" x14ac:dyDescent="0.2">
      <c r="B903" s="732"/>
      <c r="G903" s="737"/>
      <c r="H903" s="876"/>
    </row>
    <row r="904" spans="2:8" x14ac:dyDescent="0.2">
      <c r="B904" s="732"/>
      <c r="G904" s="737"/>
      <c r="H904" s="876"/>
    </row>
    <row r="905" spans="2:8" x14ac:dyDescent="0.2">
      <c r="B905" s="732"/>
      <c r="G905" s="737"/>
      <c r="H905" s="876"/>
    </row>
    <row r="906" spans="2:8" x14ac:dyDescent="0.2">
      <c r="B906" s="732"/>
      <c r="G906" s="737"/>
      <c r="H906" s="876"/>
    </row>
    <row r="907" spans="2:8" x14ac:dyDescent="0.2">
      <c r="B907" s="732"/>
      <c r="G907" s="737"/>
      <c r="H907" s="876"/>
    </row>
    <row r="908" spans="2:8" x14ac:dyDescent="0.2">
      <c r="B908" s="732"/>
      <c r="G908" s="737"/>
      <c r="H908" s="876"/>
    </row>
    <row r="909" spans="2:8" x14ac:dyDescent="0.2">
      <c r="B909" s="732"/>
      <c r="G909" s="737"/>
      <c r="H909" s="876"/>
    </row>
    <row r="910" spans="2:8" x14ac:dyDescent="0.2">
      <c r="B910" s="732"/>
      <c r="G910" s="737"/>
      <c r="H910" s="876"/>
    </row>
    <row r="911" spans="2:8" x14ac:dyDescent="0.2">
      <c r="B911" s="732"/>
      <c r="G911" s="737"/>
      <c r="H911" s="876"/>
    </row>
    <row r="912" spans="2:8" x14ac:dyDescent="0.2">
      <c r="B912" s="732"/>
      <c r="G912" s="737"/>
      <c r="H912" s="876"/>
    </row>
    <row r="913" spans="2:8" x14ac:dyDescent="0.2">
      <c r="B913" s="732"/>
      <c r="G913" s="737"/>
      <c r="H913" s="876"/>
    </row>
    <row r="914" spans="2:8" x14ac:dyDescent="0.2">
      <c r="B914" s="732"/>
      <c r="G914" s="736"/>
      <c r="H914" s="878"/>
    </row>
    <row r="915" spans="2:8" x14ac:dyDescent="0.2">
      <c r="B915" s="732"/>
      <c r="G915" s="736"/>
      <c r="H915" s="878"/>
    </row>
    <row r="916" spans="2:8" x14ac:dyDescent="0.2">
      <c r="B916" s="732"/>
      <c r="G916" s="736"/>
      <c r="H916" s="878"/>
    </row>
    <row r="917" spans="2:8" x14ac:dyDescent="0.2">
      <c r="B917" s="732"/>
      <c r="G917" s="736"/>
      <c r="H917" s="878"/>
    </row>
    <row r="918" spans="2:8" x14ac:dyDescent="0.2">
      <c r="B918" s="732"/>
      <c r="G918" s="736"/>
      <c r="H918" s="878"/>
    </row>
    <row r="919" spans="2:8" x14ac:dyDescent="0.2">
      <c r="G919" s="736"/>
      <c r="H919" s="878"/>
    </row>
    <row r="920" spans="2:8" x14ac:dyDescent="0.2">
      <c r="G920" s="736"/>
      <c r="H920" s="878"/>
    </row>
    <row r="921" spans="2:8" x14ac:dyDescent="0.2">
      <c r="G921" s="736"/>
      <c r="H921" s="878"/>
    </row>
    <row r="922" spans="2:8" x14ac:dyDescent="0.2">
      <c r="B922" s="732"/>
      <c r="G922" s="737"/>
      <c r="H922" s="876"/>
    </row>
    <row r="923" spans="2:8" x14ac:dyDescent="0.2">
      <c r="B923" s="732"/>
      <c r="G923" s="737"/>
      <c r="H923" s="876"/>
    </row>
    <row r="924" spans="2:8" x14ac:dyDescent="0.2">
      <c r="B924" s="732"/>
      <c r="G924" s="737"/>
      <c r="H924" s="878"/>
    </row>
    <row r="925" spans="2:8" x14ac:dyDescent="0.2">
      <c r="B925" s="732"/>
      <c r="G925" s="737"/>
      <c r="H925" s="876"/>
    </row>
    <row r="926" spans="2:8" x14ac:dyDescent="0.2">
      <c r="B926" s="732"/>
      <c r="G926" s="737"/>
      <c r="H926" s="877"/>
    </row>
    <row r="927" spans="2:8" x14ac:dyDescent="0.2">
      <c r="B927" s="732"/>
      <c r="G927" s="737"/>
      <c r="H927" s="877"/>
    </row>
    <row r="928" spans="2:8" x14ac:dyDescent="0.2">
      <c r="B928" s="732"/>
      <c r="G928" s="737"/>
      <c r="H928" s="877"/>
    </row>
    <row r="929" spans="2:8" x14ac:dyDescent="0.2">
      <c r="B929" s="732"/>
      <c r="G929" s="737"/>
      <c r="H929" s="877"/>
    </row>
    <row r="930" spans="2:8" x14ac:dyDescent="0.2">
      <c r="G930" s="736"/>
      <c r="H930" s="878"/>
    </row>
    <row r="931" spans="2:8" x14ac:dyDescent="0.2">
      <c r="G931" s="736"/>
      <c r="H931" s="878"/>
    </row>
    <row r="932" spans="2:8" x14ac:dyDescent="0.2">
      <c r="B932" s="732"/>
      <c r="G932" s="737"/>
      <c r="H932" s="876"/>
    </row>
    <row r="933" spans="2:8" x14ac:dyDescent="0.2">
      <c r="B933" s="732"/>
      <c r="G933" s="737"/>
      <c r="H933" s="877"/>
    </row>
    <row r="934" spans="2:8" x14ac:dyDescent="0.2">
      <c r="B934" s="732"/>
      <c r="G934" s="737"/>
      <c r="H934" s="877"/>
    </row>
    <row r="935" spans="2:8" x14ac:dyDescent="0.2">
      <c r="B935" s="732"/>
      <c r="G935" s="737"/>
      <c r="H935" s="877"/>
    </row>
    <row r="936" spans="2:8" x14ac:dyDescent="0.2">
      <c r="G936" s="736"/>
      <c r="H936" s="878"/>
    </row>
    <row r="937" spans="2:8" x14ac:dyDescent="0.2">
      <c r="G937" s="736"/>
      <c r="H937" s="878"/>
    </row>
    <row r="938" spans="2:8" x14ac:dyDescent="0.2">
      <c r="G938" s="736"/>
      <c r="H938" s="878"/>
    </row>
    <row r="939" spans="2:8" x14ac:dyDescent="0.2">
      <c r="B939" s="732"/>
      <c r="G939" s="737"/>
      <c r="H939" s="876"/>
    </row>
    <row r="940" spans="2:8" x14ac:dyDescent="0.2">
      <c r="B940" s="732"/>
      <c r="G940" s="737"/>
      <c r="H940" s="877"/>
    </row>
    <row r="941" spans="2:8" x14ac:dyDescent="0.2">
      <c r="B941" s="732"/>
      <c r="G941" s="737"/>
      <c r="H941" s="877"/>
    </row>
    <row r="942" spans="2:8" x14ac:dyDescent="0.2">
      <c r="B942" s="732"/>
      <c r="G942" s="737"/>
      <c r="H942" s="877"/>
    </row>
    <row r="943" spans="2:8" x14ac:dyDescent="0.2">
      <c r="B943" s="732"/>
      <c r="G943" s="737"/>
      <c r="H943" s="877"/>
    </row>
    <row r="944" spans="2:8" x14ac:dyDescent="0.2">
      <c r="B944" s="732"/>
      <c r="G944" s="737"/>
      <c r="H944" s="877"/>
    </row>
    <row r="945" spans="2:8" x14ac:dyDescent="0.2">
      <c r="B945" s="732"/>
      <c r="G945" s="737"/>
      <c r="H945" s="877"/>
    </row>
    <row r="946" spans="2:8" x14ac:dyDescent="0.2">
      <c r="B946" s="732"/>
      <c r="G946" s="737"/>
      <c r="H946" s="877"/>
    </row>
    <row r="947" spans="2:8" x14ac:dyDescent="0.2">
      <c r="B947" s="732"/>
      <c r="G947" s="737"/>
      <c r="H947" s="877"/>
    </row>
    <row r="948" spans="2:8" x14ac:dyDescent="0.2">
      <c r="B948" s="732"/>
      <c r="G948" s="737"/>
      <c r="H948" s="877"/>
    </row>
    <row r="949" spans="2:8" x14ac:dyDescent="0.2">
      <c r="B949" s="732"/>
      <c r="G949" s="737"/>
      <c r="H949" s="877"/>
    </row>
    <row r="950" spans="2:8" x14ac:dyDescent="0.2">
      <c r="B950" s="732"/>
      <c r="G950" s="737"/>
      <c r="H950" s="877"/>
    </row>
    <row r="951" spans="2:8" x14ac:dyDescent="0.2">
      <c r="B951" s="732"/>
      <c r="G951" s="737"/>
      <c r="H951" s="877"/>
    </row>
    <row r="952" spans="2:8" x14ac:dyDescent="0.2">
      <c r="B952" s="732"/>
      <c r="G952" s="737"/>
      <c r="H952" s="877"/>
    </row>
    <row r="953" spans="2:8" x14ac:dyDescent="0.2">
      <c r="B953" s="732"/>
      <c r="G953" s="737"/>
      <c r="H953" s="877"/>
    </row>
    <row r="954" spans="2:8" x14ac:dyDescent="0.2">
      <c r="B954" s="732"/>
      <c r="G954" s="737"/>
      <c r="H954" s="877"/>
    </row>
    <row r="955" spans="2:8" x14ac:dyDescent="0.2">
      <c r="B955" s="732"/>
      <c r="G955" s="737"/>
      <c r="H955" s="877"/>
    </row>
    <row r="956" spans="2:8" x14ac:dyDescent="0.2">
      <c r="B956" s="732"/>
      <c r="G956" s="737"/>
      <c r="H956" s="877"/>
    </row>
    <row r="957" spans="2:8" x14ac:dyDescent="0.2">
      <c r="B957" s="732"/>
      <c r="G957" s="737"/>
      <c r="H957" s="877"/>
    </row>
    <row r="958" spans="2:8" x14ac:dyDescent="0.2">
      <c r="B958" s="732"/>
      <c r="G958" s="737"/>
      <c r="H958" s="877"/>
    </row>
    <row r="959" spans="2:8" x14ac:dyDescent="0.2">
      <c r="B959" s="732"/>
      <c r="G959" s="730"/>
      <c r="H959" s="877"/>
    </row>
    <row r="960" spans="2:8" x14ac:dyDescent="0.2">
      <c r="B960" s="732"/>
      <c r="G960" s="730"/>
      <c r="H960" s="877"/>
    </row>
    <row r="961" spans="2:8" x14ac:dyDescent="0.2">
      <c r="B961" s="732"/>
      <c r="G961" s="730"/>
      <c r="H961" s="877"/>
    </row>
    <row r="962" spans="2:8" x14ac:dyDescent="0.2">
      <c r="B962" s="732"/>
      <c r="G962" s="730"/>
      <c r="H962" s="877"/>
    </row>
    <row r="963" spans="2:8" x14ac:dyDescent="0.2">
      <c r="B963" s="732"/>
      <c r="G963" s="730"/>
      <c r="H963" s="878"/>
    </row>
    <row r="964" spans="2:8" x14ac:dyDescent="0.2">
      <c r="B964" s="732"/>
      <c r="G964" s="730"/>
      <c r="H964" s="878"/>
    </row>
    <row r="965" spans="2:8" x14ac:dyDescent="0.2">
      <c r="B965" s="732"/>
      <c r="G965" s="737"/>
      <c r="H965" s="876"/>
    </row>
    <row r="966" spans="2:8" x14ac:dyDescent="0.2">
      <c r="B966" s="732"/>
      <c r="G966" s="737"/>
      <c r="H966" s="877"/>
    </row>
    <row r="967" spans="2:8" x14ac:dyDescent="0.2">
      <c r="B967" s="732"/>
      <c r="G967" s="737"/>
      <c r="H967" s="876"/>
    </row>
    <row r="968" spans="2:8" x14ac:dyDescent="0.2">
      <c r="B968" s="732"/>
      <c r="G968" s="730"/>
      <c r="H968" s="878"/>
    </row>
    <row r="969" spans="2:8" x14ac:dyDescent="0.2">
      <c r="B969" s="732"/>
      <c r="G969" s="730"/>
      <c r="H969" s="878"/>
    </row>
    <row r="970" spans="2:8" x14ac:dyDescent="0.2">
      <c r="B970" s="732"/>
      <c r="G970" s="730"/>
      <c r="H970" s="878"/>
    </row>
    <row r="971" spans="2:8" x14ac:dyDescent="0.2">
      <c r="B971" s="732"/>
      <c r="G971" s="730"/>
      <c r="H971" s="878"/>
    </row>
    <row r="972" spans="2:8" x14ac:dyDescent="0.2">
      <c r="B972" s="732"/>
      <c r="G972" s="730"/>
      <c r="H972" s="878"/>
    </row>
    <row r="973" spans="2:8" x14ac:dyDescent="0.2">
      <c r="B973" s="732"/>
      <c r="G973" s="730"/>
      <c r="H973" s="878"/>
    </row>
    <row r="974" spans="2:8" x14ac:dyDescent="0.2">
      <c r="B974" s="732"/>
      <c r="G974" s="730"/>
      <c r="H974" s="878"/>
    </row>
    <row r="975" spans="2:8" x14ac:dyDescent="0.2">
      <c r="B975" s="732"/>
      <c r="G975" s="730"/>
      <c r="H975" s="878"/>
    </row>
    <row r="976" spans="2:8" x14ac:dyDescent="0.2">
      <c r="B976" s="732"/>
      <c r="G976" s="730"/>
      <c r="H976" s="878"/>
    </row>
    <row r="977" spans="2:8" x14ac:dyDescent="0.2">
      <c r="B977" s="732"/>
      <c r="G977" s="730"/>
      <c r="H977" s="878"/>
    </row>
    <row r="978" spans="2:8" x14ac:dyDescent="0.2">
      <c r="B978" s="732"/>
      <c r="G978" s="730"/>
      <c r="H978" s="878"/>
    </row>
    <row r="979" spans="2:8" x14ac:dyDescent="0.2">
      <c r="B979" s="732"/>
      <c r="G979" s="730"/>
      <c r="H979" s="878"/>
    </row>
    <row r="980" spans="2:8" x14ac:dyDescent="0.2">
      <c r="B980" s="732"/>
      <c r="G980" s="730"/>
      <c r="H980" s="878"/>
    </row>
    <row r="981" spans="2:8" x14ac:dyDescent="0.2">
      <c r="B981" s="732"/>
      <c r="G981" s="737"/>
      <c r="H981" s="876"/>
    </row>
    <row r="982" spans="2:8" x14ac:dyDescent="0.2">
      <c r="B982" s="732"/>
      <c r="G982" s="737"/>
      <c r="H982" s="877"/>
    </row>
    <row r="983" spans="2:8" x14ac:dyDescent="0.2">
      <c r="B983" s="732"/>
      <c r="G983" s="737"/>
      <c r="H983" s="877"/>
    </row>
    <row r="984" spans="2:8" x14ac:dyDescent="0.2">
      <c r="B984" s="732"/>
      <c r="G984" s="748"/>
      <c r="H984" s="877"/>
    </row>
    <row r="985" spans="2:8" x14ac:dyDescent="0.2">
      <c r="B985" s="732"/>
      <c r="G985" s="748"/>
      <c r="H985" s="877"/>
    </row>
    <row r="986" spans="2:8" x14ac:dyDescent="0.2">
      <c r="B986" s="732"/>
      <c r="G986" s="748"/>
      <c r="H986" s="877"/>
    </row>
    <row r="987" spans="2:8" x14ac:dyDescent="0.2">
      <c r="B987" s="732"/>
      <c r="G987" s="748"/>
      <c r="H987" s="877"/>
    </row>
    <row r="988" spans="2:8" x14ac:dyDescent="0.2">
      <c r="B988" s="732"/>
      <c r="G988" s="748"/>
      <c r="H988" s="877"/>
    </row>
    <row r="989" spans="2:8" x14ac:dyDescent="0.2">
      <c r="B989" s="732"/>
      <c r="G989" s="748"/>
      <c r="H989" s="877"/>
    </row>
    <row r="990" spans="2:8" x14ac:dyDescent="0.2">
      <c r="B990" s="732"/>
      <c r="G990" s="748"/>
      <c r="H990" s="877"/>
    </row>
    <row r="991" spans="2:8" x14ac:dyDescent="0.2">
      <c r="B991" s="732"/>
      <c r="G991" s="748"/>
      <c r="H991" s="877"/>
    </row>
    <row r="992" spans="2:8" x14ac:dyDescent="0.2">
      <c r="B992" s="732"/>
      <c r="G992" s="748"/>
      <c r="H992" s="877"/>
    </row>
    <row r="993" spans="2:8" x14ac:dyDescent="0.2">
      <c r="B993" s="732"/>
      <c r="G993" s="748"/>
      <c r="H993" s="877"/>
    </row>
    <row r="994" spans="2:8" x14ac:dyDescent="0.2">
      <c r="B994" s="732"/>
      <c r="G994" s="748"/>
      <c r="H994" s="877"/>
    </row>
    <row r="995" spans="2:8" x14ac:dyDescent="0.2">
      <c r="B995" s="732"/>
      <c r="G995" s="748"/>
      <c r="H995" s="877"/>
    </row>
    <row r="996" spans="2:8" x14ac:dyDescent="0.2">
      <c r="B996" s="732"/>
      <c r="G996" s="748"/>
      <c r="H996" s="877"/>
    </row>
    <row r="997" spans="2:8" x14ac:dyDescent="0.2">
      <c r="B997" s="732"/>
      <c r="G997" s="748"/>
      <c r="H997" s="877"/>
    </row>
    <row r="998" spans="2:8" x14ac:dyDescent="0.2">
      <c r="B998" s="732"/>
      <c r="G998" s="748"/>
      <c r="H998" s="877"/>
    </row>
    <row r="999" spans="2:8" x14ac:dyDescent="0.2">
      <c r="B999" s="732"/>
      <c r="G999" s="748"/>
      <c r="H999" s="877"/>
    </row>
    <row r="1000" spans="2:8" x14ac:dyDescent="0.2">
      <c r="B1000" s="732"/>
      <c r="G1000" s="748"/>
      <c r="H1000" s="877"/>
    </row>
    <row r="1001" spans="2:8" x14ac:dyDescent="0.2">
      <c r="B1001" s="732"/>
      <c r="G1001" s="748"/>
      <c r="H1001" s="877"/>
    </row>
    <row r="1002" spans="2:8" x14ac:dyDescent="0.2">
      <c r="B1002" s="732"/>
      <c r="G1002" s="748"/>
      <c r="H1002" s="877"/>
    </row>
    <row r="1003" spans="2:8" x14ac:dyDescent="0.2">
      <c r="B1003" s="732"/>
      <c r="G1003" s="748"/>
      <c r="H1003" s="877"/>
    </row>
    <row r="1004" spans="2:8" x14ac:dyDescent="0.2">
      <c r="B1004" s="732"/>
      <c r="G1004" s="748"/>
      <c r="H1004" s="877"/>
    </row>
    <row r="1005" spans="2:8" x14ac:dyDescent="0.2">
      <c r="B1005" s="732"/>
      <c r="G1005" s="748"/>
      <c r="H1005" s="877"/>
    </row>
    <row r="1006" spans="2:8" x14ac:dyDescent="0.2">
      <c r="B1006" s="732"/>
      <c r="G1006" s="748"/>
      <c r="H1006" s="877"/>
    </row>
    <row r="1007" spans="2:8" x14ac:dyDescent="0.2">
      <c r="B1007" s="732"/>
      <c r="G1007" s="748"/>
      <c r="H1007" s="877"/>
    </row>
    <row r="1008" spans="2:8" x14ac:dyDescent="0.2">
      <c r="B1008" s="732"/>
      <c r="G1008" s="748"/>
      <c r="H1008" s="877"/>
    </row>
    <row r="1009" spans="2:8" x14ac:dyDescent="0.2">
      <c r="B1009" s="732"/>
      <c r="G1009" s="748"/>
      <c r="H1009" s="877"/>
    </row>
    <row r="1010" spans="2:8" x14ac:dyDescent="0.2">
      <c r="B1010" s="732"/>
      <c r="G1010" s="748"/>
      <c r="H1010" s="877"/>
    </row>
    <row r="1011" spans="2:8" x14ac:dyDescent="0.2">
      <c r="B1011" s="732"/>
      <c r="G1011" s="748"/>
      <c r="H1011" s="877"/>
    </row>
    <row r="1012" spans="2:8" x14ac:dyDescent="0.2">
      <c r="B1012" s="732"/>
      <c r="G1012" s="748"/>
      <c r="H1012" s="877"/>
    </row>
    <row r="1013" spans="2:8" x14ac:dyDescent="0.2">
      <c r="B1013" s="732"/>
      <c r="G1013" s="748"/>
      <c r="H1013" s="877"/>
    </row>
    <row r="1014" spans="2:8" x14ac:dyDescent="0.2">
      <c r="B1014" s="732"/>
      <c r="G1014" s="748"/>
      <c r="H1014" s="877"/>
    </row>
    <row r="1015" spans="2:8" x14ac:dyDescent="0.2">
      <c r="B1015" s="732"/>
      <c r="G1015" s="748"/>
      <c r="H1015" s="877"/>
    </row>
    <row r="1016" spans="2:8" x14ac:dyDescent="0.2">
      <c r="B1016" s="732"/>
      <c r="G1016" s="748"/>
      <c r="H1016" s="877"/>
    </row>
    <row r="1017" spans="2:8" x14ac:dyDescent="0.2">
      <c r="B1017" s="732"/>
      <c r="G1017" s="748"/>
      <c r="H1017" s="877"/>
    </row>
    <row r="1018" spans="2:8" x14ac:dyDescent="0.2">
      <c r="B1018" s="732"/>
      <c r="G1018" s="748"/>
      <c r="H1018" s="877"/>
    </row>
    <row r="1019" spans="2:8" x14ac:dyDescent="0.2">
      <c r="B1019" s="732"/>
      <c r="G1019" s="748"/>
      <c r="H1019" s="877"/>
    </row>
    <row r="1020" spans="2:8" x14ac:dyDescent="0.2">
      <c r="B1020" s="732"/>
      <c r="G1020" s="748"/>
      <c r="H1020" s="877"/>
    </row>
    <row r="1021" spans="2:8" x14ac:dyDescent="0.2">
      <c r="B1021" s="732"/>
      <c r="G1021" s="748"/>
      <c r="H1021" s="877"/>
    </row>
    <row r="1022" spans="2:8" x14ac:dyDescent="0.2">
      <c r="B1022" s="732"/>
      <c r="G1022" s="748"/>
      <c r="H1022" s="877"/>
    </row>
    <row r="1023" spans="2:8" x14ac:dyDescent="0.2">
      <c r="B1023" s="732"/>
      <c r="G1023" s="748"/>
      <c r="H1023" s="877"/>
    </row>
    <row r="1024" spans="2:8" x14ac:dyDescent="0.2">
      <c r="B1024" s="732"/>
      <c r="G1024" s="748"/>
      <c r="H1024" s="877"/>
    </row>
    <row r="1025" spans="2:8" x14ac:dyDescent="0.2">
      <c r="B1025" s="732"/>
      <c r="G1025" s="748"/>
      <c r="H1025" s="877"/>
    </row>
    <row r="1026" spans="2:8" x14ac:dyDescent="0.2">
      <c r="B1026" s="732"/>
      <c r="G1026" s="748"/>
      <c r="H1026" s="877"/>
    </row>
    <row r="1027" spans="2:8" x14ac:dyDescent="0.2">
      <c r="B1027" s="732"/>
      <c r="G1027" s="748"/>
      <c r="H1027" s="877"/>
    </row>
    <row r="1028" spans="2:8" x14ac:dyDescent="0.2">
      <c r="B1028" s="732"/>
      <c r="G1028" s="748"/>
      <c r="H1028" s="877"/>
    </row>
    <row r="1029" spans="2:8" x14ac:dyDescent="0.2">
      <c r="B1029" s="732"/>
      <c r="G1029" s="748"/>
      <c r="H1029" s="877"/>
    </row>
    <row r="1030" spans="2:8" x14ac:dyDescent="0.2">
      <c r="B1030" s="732"/>
      <c r="G1030" s="730"/>
      <c r="H1030" s="878"/>
    </row>
    <row r="1031" spans="2:8" x14ac:dyDescent="0.2">
      <c r="B1031" s="732"/>
      <c r="G1031" s="730"/>
      <c r="H1031" s="878"/>
    </row>
    <row r="1032" spans="2:8" x14ac:dyDescent="0.2">
      <c r="B1032" s="732"/>
      <c r="G1032" s="748"/>
      <c r="H1032" s="877"/>
    </row>
    <row r="1033" spans="2:8" x14ac:dyDescent="0.2">
      <c r="B1033" s="732"/>
      <c r="G1033" s="748"/>
      <c r="H1033" s="877"/>
    </row>
    <row r="1034" spans="2:8" x14ac:dyDescent="0.2">
      <c r="B1034" s="732"/>
      <c r="G1034" s="748"/>
      <c r="H1034" s="877"/>
    </row>
    <row r="1035" spans="2:8" x14ac:dyDescent="0.2">
      <c r="B1035" s="732"/>
      <c r="G1035" s="748"/>
      <c r="H1035" s="877"/>
    </row>
    <row r="1036" spans="2:8" x14ac:dyDescent="0.2">
      <c r="B1036" s="732"/>
      <c r="G1036" s="730"/>
      <c r="H1036" s="877"/>
    </row>
    <row r="1037" spans="2:8" x14ac:dyDescent="0.2">
      <c r="B1037" s="732"/>
      <c r="G1037" s="730"/>
      <c r="H1037" s="877"/>
    </row>
    <row r="1038" spans="2:8" x14ac:dyDescent="0.2">
      <c r="B1038" s="732"/>
      <c r="G1038" s="730"/>
      <c r="H1038" s="877"/>
    </row>
    <row r="1039" spans="2:8" x14ac:dyDescent="0.2">
      <c r="B1039" s="732"/>
      <c r="G1039" s="730"/>
      <c r="H1039" s="877"/>
    </row>
    <row r="1040" spans="2:8" x14ac:dyDescent="0.2">
      <c r="B1040" s="732"/>
      <c r="G1040" s="730"/>
      <c r="H1040" s="877"/>
    </row>
    <row r="1041" spans="2:8" x14ac:dyDescent="0.2">
      <c r="B1041" s="732"/>
      <c r="G1041" s="730"/>
      <c r="H1041" s="877"/>
    </row>
    <row r="1042" spans="2:8" x14ac:dyDescent="0.2">
      <c r="B1042" s="732"/>
      <c r="G1042" s="727"/>
      <c r="H1042" s="877"/>
    </row>
    <row r="1043" spans="2:8" x14ac:dyDescent="0.2">
      <c r="B1043" s="732"/>
      <c r="G1043" s="727"/>
      <c r="H1043" s="877"/>
    </row>
    <row r="1044" spans="2:8" x14ac:dyDescent="0.2">
      <c r="B1044" s="732"/>
      <c r="G1044" s="727"/>
      <c r="H1044" s="877"/>
    </row>
    <row r="1045" spans="2:8" x14ac:dyDescent="0.2">
      <c r="B1045" s="732"/>
      <c r="G1045" s="727"/>
      <c r="H1045" s="877"/>
    </row>
    <row r="1046" spans="2:8" x14ac:dyDescent="0.2">
      <c r="B1046" s="732"/>
      <c r="G1046" s="727"/>
      <c r="H1046" s="877"/>
    </row>
    <row r="1047" spans="2:8" x14ac:dyDescent="0.2">
      <c r="B1047" s="281"/>
      <c r="G1047" s="719"/>
      <c r="H1047" s="877"/>
    </row>
    <row r="1048" spans="2:8" x14ac:dyDescent="0.2">
      <c r="B1048" s="281"/>
      <c r="G1048" s="719"/>
      <c r="H1048" s="877"/>
    </row>
    <row r="1049" spans="2:8" x14ac:dyDescent="0.2">
      <c r="B1049" s="732"/>
      <c r="G1049" s="727"/>
      <c r="H1049" s="877"/>
    </row>
    <row r="1050" spans="2:8" x14ac:dyDescent="0.2">
      <c r="B1050" s="732"/>
      <c r="G1050" s="730"/>
      <c r="H1050" s="878"/>
    </row>
    <row r="1051" spans="2:8" x14ac:dyDescent="0.2">
      <c r="B1051" s="732"/>
      <c r="G1051" s="730"/>
      <c r="H1051" s="878"/>
    </row>
    <row r="1052" spans="2:8" x14ac:dyDescent="0.2">
      <c r="B1052" s="732"/>
      <c r="G1052" s="730"/>
      <c r="H1052" s="878"/>
    </row>
    <row r="1053" spans="2:8" x14ac:dyDescent="0.2">
      <c r="B1053" s="732"/>
      <c r="G1053" s="737"/>
      <c r="H1053" s="876"/>
    </row>
    <row r="1054" spans="2:8" x14ac:dyDescent="0.2">
      <c r="B1054" s="732"/>
      <c r="G1054" s="737"/>
      <c r="H1054" s="876"/>
    </row>
    <row r="1055" spans="2:8" x14ac:dyDescent="0.2">
      <c r="B1055" s="732"/>
      <c r="G1055" s="737"/>
      <c r="H1055" s="876"/>
    </row>
    <row r="1056" spans="2:8" x14ac:dyDescent="0.2">
      <c r="B1056" s="732"/>
      <c r="G1056" s="737"/>
      <c r="H1056" s="877"/>
    </row>
    <row r="1057" spans="2:8" x14ac:dyDescent="0.2">
      <c r="B1057" s="732"/>
      <c r="G1057" s="737"/>
      <c r="H1057" s="877"/>
    </row>
    <row r="1058" spans="2:8" x14ac:dyDescent="0.2">
      <c r="B1058" s="732"/>
      <c r="G1058" s="737"/>
      <c r="H1058" s="877"/>
    </row>
    <row r="1059" spans="2:8" x14ac:dyDescent="0.2">
      <c r="B1059" s="732"/>
      <c r="G1059" s="737"/>
      <c r="H1059" s="877"/>
    </row>
    <row r="1060" spans="2:8" x14ac:dyDescent="0.2">
      <c r="B1060" s="732"/>
      <c r="G1060" s="737"/>
      <c r="H1060" s="877"/>
    </row>
    <row r="1061" spans="2:8" x14ac:dyDescent="0.2">
      <c r="B1061" s="732"/>
      <c r="G1061" s="737"/>
      <c r="H1061" s="877"/>
    </row>
    <row r="1062" spans="2:8" x14ac:dyDescent="0.2">
      <c r="B1062" s="732"/>
      <c r="G1062" s="737"/>
      <c r="H1062" s="877"/>
    </row>
    <row r="1063" spans="2:8" x14ac:dyDescent="0.2">
      <c r="B1063" s="732"/>
      <c r="G1063" s="737"/>
      <c r="H1063" s="877"/>
    </row>
    <row r="1064" spans="2:8" x14ac:dyDescent="0.2">
      <c r="B1064" s="732"/>
      <c r="G1064" s="737"/>
      <c r="H1064" s="877"/>
    </row>
    <row r="1065" spans="2:8" x14ac:dyDescent="0.2">
      <c r="B1065" s="732"/>
      <c r="G1065" s="737"/>
      <c r="H1065" s="877"/>
    </row>
    <row r="1066" spans="2:8" x14ac:dyDescent="0.2">
      <c r="B1066" s="732"/>
      <c r="G1066" s="737"/>
      <c r="H1066" s="877"/>
    </row>
    <row r="1067" spans="2:8" x14ac:dyDescent="0.2">
      <c r="B1067" s="732"/>
      <c r="G1067" s="737"/>
      <c r="H1067" s="877"/>
    </row>
    <row r="1068" spans="2:8" x14ac:dyDescent="0.2">
      <c r="B1068" s="732"/>
      <c r="G1068" s="737"/>
      <c r="H1068" s="877"/>
    </row>
    <row r="1069" spans="2:8" x14ac:dyDescent="0.2">
      <c r="B1069" s="732"/>
      <c r="G1069" s="737"/>
      <c r="H1069" s="877"/>
    </row>
    <row r="1070" spans="2:8" x14ac:dyDescent="0.2">
      <c r="B1070" s="732"/>
      <c r="G1070" s="737"/>
      <c r="H1070" s="877"/>
    </row>
    <row r="1071" spans="2:8" x14ac:dyDescent="0.2">
      <c r="B1071" s="732"/>
      <c r="G1071" s="737"/>
      <c r="H1071" s="877"/>
    </row>
    <row r="1072" spans="2:8" x14ac:dyDescent="0.2">
      <c r="B1072" s="732"/>
      <c r="G1072" s="737"/>
      <c r="H1072" s="877"/>
    </row>
    <row r="1073" spans="2:8" x14ac:dyDescent="0.2">
      <c r="B1073" s="732"/>
      <c r="G1073" s="737"/>
      <c r="H1073" s="877"/>
    </row>
    <row r="1074" spans="2:8" x14ac:dyDescent="0.2">
      <c r="B1074" s="732"/>
      <c r="G1074" s="737"/>
      <c r="H1074" s="877"/>
    </row>
    <row r="1075" spans="2:8" x14ac:dyDescent="0.2">
      <c r="B1075" s="732"/>
      <c r="G1075" s="737"/>
      <c r="H1075" s="877"/>
    </row>
    <row r="1076" spans="2:8" x14ac:dyDescent="0.2">
      <c r="B1076" s="732"/>
      <c r="G1076" s="737"/>
      <c r="H1076" s="877"/>
    </row>
    <row r="1077" spans="2:8" x14ac:dyDescent="0.2">
      <c r="B1077" s="732"/>
      <c r="G1077" s="730"/>
      <c r="H1077" s="878"/>
    </row>
    <row r="1078" spans="2:8" x14ac:dyDescent="0.2">
      <c r="G1078" s="736"/>
      <c r="H1078" s="878"/>
    </row>
    <row r="1079" spans="2:8" x14ac:dyDescent="0.2">
      <c r="B1079" s="732"/>
      <c r="G1079" s="737"/>
      <c r="H1079" s="876"/>
    </row>
    <row r="1080" spans="2:8" x14ac:dyDescent="0.2">
      <c r="B1080" s="732"/>
      <c r="G1080" s="737"/>
      <c r="H1080" s="877"/>
    </row>
    <row r="1081" spans="2:8" x14ac:dyDescent="0.2">
      <c r="B1081" s="732"/>
      <c r="G1081" s="737"/>
      <c r="H1081" s="877"/>
    </row>
    <row r="1082" spans="2:8" x14ac:dyDescent="0.2">
      <c r="B1082" s="732"/>
      <c r="G1082" s="737"/>
      <c r="H1082" s="877"/>
    </row>
    <row r="1083" spans="2:8" x14ac:dyDescent="0.2">
      <c r="B1083" s="732"/>
      <c r="G1083" s="737"/>
      <c r="H1083" s="877"/>
    </row>
    <row r="1084" spans="2:8" x14ac:dyDescent="0.2">
      <c r="B1084" s="732"/>
      <c r="G1084" s="737"/>
      <c r="H1084" s="877"/>
    </row>
    <row r="1085" spans="2:8" x14ac:dyDescent="0.2">
      <c r="B1085" s="732"/>
      <c r="G1085" s="737"/>
      <c r="H1085" s="877"/>
    </row>
    <row r="1086" spans="2:8" x14ac:dyDescent="0.2">
      <c r="B1086" s="732"/>
      <c r="G1086" s="737"/>
      <c r="H1086" s="877"/>
    </row>
    <row r="1087" spans="2:8" x14ac:dyDescent="0.2">
      <c r="B1087" s="732"/>
      <c r="G1087" s="737"/>
      <c r="H1087" s="877"/>
    </row>
    <row r="1088" spans="2:8" x14ac:dyDescent="0.2">
      <c r="B1088" s="732"/>
      <c r="G1088" s="737"/>
      <c r="H1088" s="877"/>
    </row>
    <row r="1089" spans="2:8" x14ac:dyDescent="0.2">
      <c r="B1089" s="732"/>
      <c r="G1089" s="737"/>
      <c r="H1089" s="877"/>
    </row>
    <row r="1090" spans="2:8" x14ac:dyDescent="0.2">
      <c r="B1090" s="732"/>
      <c r="G1090" s="737"/>
      <c r="H1090" s="877"/>
    </row>
    <row r="1091" spans="2:8" x14ac:dyDescent="0.2">
      <c r="B1091" s="732"/>
      <c r="G1091" s="737"/>
      <c r="H1091" s="877"/>
    </row>
    <row r="1092" spans="2:8" x14ac:dyDescent="0.2">
      <c r="B1092" s="732"/>
      <c r="G1092" s="737"/>
      <c r="H1092" s="877"/>
    </row>
    <row r="1093" spans="2:8" x14ac:dyDescent="0.2">
      <c r="B1093" s="732"/>
      <c r="G1093" s="737"/>
      <c r="H1093" s="877"/>
    </row>
    <row r="1094" spans="2:8" x14ac:dyDescent="0.2">
      <c r="B1094" s="732"/>
      <c r="G1094" s="737"/>
      <c r="H1094" s="877"/>
    </row>
    <row r="1095" spans="2:8" x14ac:dyDescent="0.2">
      <c r="B1095" s="732"/>
      <c r="G1095" s="737"/>
      <c r="H1095" s="877"/>
    </row>
    <row r="1096" spans="2:8" x14ac:dyDescent="0.2">
      <c r="B1096" s="732"/>
      <c r="G1096" s="737"/>
      <c r="H1096" s="878"/>
    </row>
    <row r="1097" spans="2:8" x14ac:dyDescent="0.2">
      <c r="B1097" s="732"/>
      <c r="G1097" s="737"/>
      <c r="H1097" s="878"/>
    </row>
    <row r="1098" spans="2:8" x14ac:dyDescent="0.2">
      <c r="B1098" s="732"/>
      <c r="G1098" s="737"/>
      <c r="H1098" s="878"/>
    </row>
    <row r="1099" spans="2:8" x14ac:dyDescent="0.2">
      <c r="B1099" s="732"/>
      <c r="G1099" s="737"/>
      <c r="H1099" s="878"/>
    </row>
    <row r="1100" spans="2:8" x14ac:dyDescent="0.2">
      <c r="G1100" s="736"/>
      <c r="H1100" s="878"/>
    </row>
    <row r="1101" spans="2:8" x14ac:dyDescent="0.2">
      <c r="G1101" s="736"/>
      <c r="H1101" s="878"/>
    </row>
    <row r="1102" spans="2:8" x14ac:dyDescent="0.2">
      <c r="G1102" s="736"/>
      <c r="H1102" s="878"/>
    </row>
    <row r="1103" spans="2:8" x14ac:dyDescent="0.2">
      <c r="G1103" s="736"/>
      <c r="H1103" s="878"/>
    </row>
    <row r="1104" spans="2:8" x14ac:dyDescent="0.2">
      <c r="B1104" s="732"/>
      <c r="G1104" s="737"/>
      <c r="H1104" s="878"/>
    </row>
    <row r="1105" spans="2:8" x14ac:dyDescent="0.2">
      <c r="B1105" s="732"/>
      <c r="G1105" s="737"/>
      <c r="H1105" s="878"/>
    </row>
    <row r="1106" spans="2:8" x14ac:dyDescent="0.2">
      <c r="B1106" s="732"/>
      <c r="G1106" s="737"/>
      <c r="H1106" s="878"/>
    </row>
    <row r="1107" spans="2:8" x14ac:dyDescent="0.2">
      <c r="B1107" s="732"/>
      <c r="G1107" s="737"/>
      <c r="H1107" s="878"/>
    </row>
    <row r="1108" spans="2:8" x14ac:dyDescent="0.2">
      <c r="B1108" s="732"/>
      <c r="G1108" s="737"/>
      <c r="H1108" s="878"/>
    </row>
    <row r="1109" spans="2:8" x14ac:dyDescent="0.2">
      <c r="B1109" s="732"/>
      <c r="G1109" s="737"/>
      <c r="H1109" s="878"/>
    </row>
    <row r="1110" spans="2:8" x14ac:dyDescent="0.2">
      <c r="B1110" s="732"/>
      <c r="G1110" s="737"/>
      <c r="H1110" s="878"/>
    </row>
    <row r="1111" spans="2:8" x14ac:dyDescent="0.2">
      <c r="B1111" s="732"/>
      <c r="G1111" s="737"/>
      <c r="H1111" s="878"/>
    </row>
    <row r="1112" spans="2:8" x14ac:dyDescent="0.2">
      <c r="B1112" s="732"/>
      <c r="G1112" s="737"/>
      <c r="H1112" s="878"/>
    </row>
    <row r="1113" spans="2:8" x14ac:dyDescent="0.2">
      <c r="B1113" s="732"/>
      <c r="G1113" s="737"/>
      <c r="H1113" s="878"/>
    </row>
    <row r="1114" spans="2:8" x14ac:dyDescent="0.2">
      <c r="G1114" s="736"/>
      <c r="H1114" s="878"/>
    </row>
    <row r="1115" spans="2:8" x14ac:dyDescent="0.2">
      <c r="G1115" s="736"/>
      <c r="H1115" s="878"/>
    </row>
    <row r="1116" spans="2:8" x14ac:dyDescent="0.2">
      <c r="G1116" s="736"/>
      <c r="H1116" s="878"/>
    </row>
    <row r="1117" spans="2:8" x14ac:dyDescent="0.2">
      <c r="B1117" s="732"/>
      <c r="G1117" s="737"/>
      <c r="H1117" s="878"/>
    </row>
    <row r="1118" spans="2:8" x14ac:dyDescent="0.2">
      <c r="B1118" s="732"/>
      <c r="G1118" s="737"/>
      <c r="H1118" s="878"/>
    </row>
    <row r="1119" spans="2:8" x14ac:dyDescent="0.2">
      <c r="B1119" s="732"/>
      <c r="G1119" s="737"/>
      <c r="H1119" s="878"/>
    </row>
    <row r="1120" spans="2:8" x14ac:dyDescent="0.2">
      <c r="B1120" s="732"/>
      <c r="G1120" s="737"/>
      <c r="H1120" s="878"/>
    </row>
    <row r="1121" spans="2:8" x14ac:dyDescent="0.2">
      <c r="B1121" s="732"/>
      <c r="G1121" s="737"/>
      <c r="H1121" s="878"/>
    </row>
    <row r="1122" spans="2:8" x14ac:dyDescent="0.2">
      <c r="B1122" s="732"/>
      <c r="G1122" s="737"/>
      <c r="H1122" s="878"/>
    </row>
    <row r="1123" spans="2:8" x14ac:dyDescent="0.2">
      <c r="B1123" s="732"/>
      <c r="G1123" s="737"/>
      <c r="H1123" s="878"/>
    </row>
    <row r="1124" spans="2:8" x14ac:dyDescent="0.2">
      <c r="B1124" s="732"/>
      <c r="G1124" s="737"/>
      <c r="H1124" s="878"/>
    </row>
    <row r="1125" spans="2:8" x14ac:dyDescent="0.2">
      <c r="B1125" s="732"/>
      <c r="G1125" s="737"/>
      <c r="H1125" s="878"/>
    </row>
    <row r="1126" spans="2:8" x14ac:dyDescent="0.2">
      <c r="B1126" s="732"/>
      <c r="G1126" s="737"/>
      <c r="H1126" s="878"/>
    </row>
    <row r="1127" spans="2:8" x14ac:dyDescent="0.2">
      <c r="B1127" s="732"/>
      <c r="G1127" s="730"/>
      <c r="H1127" s="878"/>
    </row>
    <row r="1128" spans="2:8" x14ac:dyDescent="0.2">
      <c r="B1128" s="732"/>
      <c r="G1128" s="730"/>
      <c r="H1128" s="878"/>
    </row>
    <row r="1129" spans="2:8" x14ac:dyDescent="0.2">
      <c r="B1129" s="732"/>
      <c r="G1129" s="730"/>
      <c r="H1129" s="878"/>
    </row>
    <row r="1130" spans="2:8" x14ac:dyDescent="0.2">
      <c r="B1130" s="732"/>
      <c r="G1130" s="730"/>
      <c r="H1130" s="878"/>
    </row>
    <row r="1131" spans="2:8" x14ac:dyDescent="0.2">
      <c r="B1131" s="732"/>
      <c r="G1131" s="730"/>
      <c r="H1131" s="878"/>
    </row>
    <row r="1132" spans="2:8" x14ac:dyDescent="0.2">
      <c r="B1132" s="732"/>
      <c r="G1132" s="730"/>
      <c r="H1132" s="878"/>
    </row>
    <row r="1133" spans="2:8" x14ac:dyDescent="0.2">
      <c r="B1133" s="732"/>
      <c r="G1133" s="730"/>
      <c r="H1133" s="878"/>
    </row>
    <row r="1134" spans="2:8" x14ac:dyDescent="0.2">
      <c r="B1134" s="732"/>
      <c r="G1134" s="730"/>
      <c r="H1134" s="878"/>
    </row>
    <row r="1135" spans="2:8" x14ac:dyDescent="0.2">
      <c r="B1135" s="732"/>
      <c r="G1135" s="730"/>
      <c r="H1135" s="878"/>
    </row>
    <row r="1136" spans="2:8" x14ac:dyDescent="0.2">
      <c r="B1136" s="732"/>
      <c r="G1136" s="730"/>
      <c r="H1136" s="878"/>
    </row>
    <row r="1137" spans="2:8" x14ac:dyDescent="0.2">
      <c r="B1137" s="732"/>
      <c r="G1137" s="730"/>
      <c r="H1137" s="878"/>
    </row>
    <row r="1138" spans="2:8" x14ac:dyDescent="0.2">
      <c r="B1138" s="732"/>
      <c r="G1138" s="730"/>
      <c r="H1138" s="878"/>
    </row>
    <row r="1139" spans="2:8" x14ac:dyDescent="0.2">
      <c r="G1139" s="736"/>
      <c r="H1139" s="878"/>
    </row>
    <row r="1140" spans="2:8" x14ac:dyDescent="0.2">
      <c r="G1140" s="736"/>
      <c r="H1140" s="878"/>
    </row>
    <row r="1141" spans="2:8" x14ac:dyDescent="0.2">
      <c r="G1141" s="736"/>
      <c r="H1141" s="878"/>
    </row>
    <row r="1142" spans="2:8" x14ac:dyDescent="0.2">
      <c r="B1142" s="732"/>
      <c r="G1142" s="737"/>
      <c r="H1142" s="878"/>
    </row>
    <row r="1143" spans="2:8" x14ac:dyDescent="0.2">
      <c r="B1143" s="732"/>
      <c r="G1143" s="737"/>
      <c r="H1143" s="878"/>
    </row>
    <row r="1144" spans="2:8" x14ac:dyDescent="0.2">
      <c r="B1144" s="739"/>
      <c r="G1144" s="749"/>
      <c r="H1144" s="880"/>
    </row>
    <row r="1145" spans="2:8" x14ac:dyDescent="0.2">
      <c r="B1145" s="732"/>
      <c r="G1145" s="737"/>
      <c r="H1145" s="878"/>
    </row>
    <row r="1146" spans="2:8" x14ac:dyDescent="0.2">
      <c r="B1146" s="732"/>
      <c r="G1146" s="737"/>
      <c r="H1146" s="878"/>
    </row>
    <row r="1147" spans="2:8" x14ac:dyDescent="0.2">
      <c r="B1147" s="732"/>
      <c r="G1147" s="737"/>
      <c r="H1147" s="878"/>
    </row>
    <row r="1148" spans="2:8" x14ac:dyDescent="0.2">
      <c r="B1148" s="732"/>
      <c r="G1148" s="737"/>
      <c r="H1148" s="878"/>
    </row>
    <row r="1149" spans="2:8" x14ac:dyDescent="0.2">
      <c r="B1149" s="732"/>
      <c r="G1149" s="737"/>
      <c r="H1149" s="878"/>
    </row>
    <row r="1150" spans="2:8" x14ac:dyDescent="0.2">
      <c r="B1150" s="732"/>
      <c r="G1150" s="737"/>
      <c r="H1150" s="878"/>
    </row>
    <row r="1151" spans="2:8" x14ac:dyDescent="0.2">
      <c r="B1151" s="732"/>
      <c r="G1151" s="737"/>
      <c r="H1151" s="878"/>
    </row>
    <row r="1152" spans="2:8" x14ac:dyDescent="0.2">
      <c r="B1152" s="732"/>
      <c r="G1152" s="737"/>
      <c r="H1152" s="878"/>
    </row>
    <row r="1153" spans="2:8" x14ac:dyDescent="0.2">
      <c r="B1153" s="732"/>
      <c r="G1153" s="737"/>
      <c r="H1153" s="878"/>
    </row>
    <row r="1154" spans="2:8" x14ac:dyDescent="0.2">
      <c r="B1154" s="732"/>
      <c r="G1154" s="737"/>
      <c r="H1154" s="878"/>
    </row>
    <row r="1155" spans="2:8" x14ac:dyDescent="0.2">
      <c r="B1155" s="732"/>
      <c r="G1155" s="737"/>
      <c r="H1155" s="878"/>
    </row>
    <row r="1156" spans="2:8" x14ac:dyDescent="0.2">
      <c r="B1156" s="732"/>
      <c r="G1156" s="737"/>
      <c r="H1156" s="878"/>
    </row>
    <row r="1157" spans="2:8" x14ac:dyDescent="0.2">
      <c r="B1157" s="732"/>
      <c r="G1157" s="737"/>
      <c r="H1157" s="878"/>
    </row>
    <row r="1158" spans="2:8" x14ac:dyDescent="0.2">
      <c r="B1158" s="732"/>
      <c r="G1158" s="737"/>
      <c r="H1158" s="878"/>
    </row>
    <row r="1159" spans="2:8" x14ac:dyDescent="0.2">
      <c r="B1159" s="732"/>
      <c r="G1159" s="737"/>
      <c r="H1159" s="878"/>
    </row>
    <row r="1160" spans="2:8" x14ac:dyDescent="0.2">
      <c r="B1160" s="732"/>
      <c r="G1160" s="737"/>
      <c r="H1160" s="878"/>
    </row>
    <row r="1161" spans="2:8" x14ac:dyDescent="0.2">
      <c r="B1161" s="732"/>
      <c r="G1161" s="737"/>
      <c r="H1161" s="878"/>
    </row>
    <row r="1162" spans="2:8" x14ac:dyDescent="0.2">
      <c r="B1162" s="732"/>
      <c r="G1162" s="737"/>
      <c r="H1162" s="878"/>
    </row>
    <row r="1163" spans="2:8" x14ac:dyDescent="0.2">
      <c r="B1163" s="732"/>
      <c r="G1163" s="737"/>
      <c r="H1163" s="878"/>
    </row>
    <row r="1164" spans="2:8" x14ac:dyDescent="0.2">
      <c r="B1164" s="732"/>
      <c r="G1164" s="737"/>
      <c r="H1164" s="878"/>
    </row>
    <row r="1165" spans="2:8" x14ac:dyDescent="0.2">
      <c r="B1165" s="732"/>
      <c r="G1165" s="737"/>
      <c r="H1165" s="878"/>
    </row>
    <row r="1166" spans="2:8" x14ac:dyDescent="0.2">
      <c r="B1166" s="732"/>
      <c r="G1166" s="737"/>
      <c r="H1166" s="878"/>
    </row>
    <row r="1167" spans="2:8" x14ac:dyDescent="0.2">
      <c r="B1167" s="732"/>
      <c r="G1167" s="737"/>
      <c r="H1167" s="878"/>
    </row>
    <row r="1168" spans="2:8" x14ac:dyDescent="0.2">
      <c r="B1168" s="732"/>
      <c r="G1168" s="737"/>
      <c r="H1168" s="878"/>
    </row>
    <row r="1169" spans="2:8" x14ac:dyDescent="0.2">
      <c r="G1169" s="736"/>
      <c r="H1169" s="878"/>
    </row>
    <row r="1170" spans="2:8" x14ac:dyDescent="0.2">
      <c r="G1170" s="736"/>
      <c r="H1170" s="878"/>
    </row>
    <row r="1171" spans="2:8" x14ac:dyDescent="0.2">
      <c r="G1171" s="736"/>
      <c r="H1171" s="878"/>
    </row>
    <row r="1172" spans="2:8" x14ac:dyDescent="0.2">
      <c r="B1172" s="732"/>
      <c r="G1172" s="737"/>
      <c r="H1172" s="876"/>
    </row>
    <row r="1173" spans="2:8" x14ac:dyDescent="0.2">
      <c r="B1173" s="732"/>
      <c r="G1173" s="737"/>
      <c r="H1173" s="876"/>
    </row>
    <row r="1174" spans="2:8" x14ac:dyDescent="0.2">
      <c r="B1174" s="732"/>
      <c r="G1174" s="737"/>
      <c r="H1174" s="876"/>
    </row>
    <row r="1175" spans="2:8" x14ac:dyDescent="0.2">
      <c r="B1175" s="732"/>
      <c r="G1175" s="737"/>
      <c r="H1175" s="877"/>
    </row>
    <row r="1176" spans="2:8" x14ac:dyDescent="0.2">
      <c r="B1176" s="732"/>
      <c r="G1176" s="737"/>
      <c r="H1176" s="876"/>
    </row>
    <row r="1177" spans="2:8" x14ac:dyDescent="0.2">
      <c r="B1177" s="732"/>
      <c r="G1177" s="730"/>
      <c r="H1177" s="878"/>
    </row>
    <row r="1178" spans="2:8" x14ac:dyDescent="0.2">
      <c r="B1178" s="732"/>
      <c r="G1178" s="730"/>
      <c r="H1178" s="878"/>
    </row>
    <row r="1179" spans="2:8" x14ac:dyDescent="0.2">
      <c r="G1179" s="736"/>
      <c r="H1179" s="878"/>
    </row>
    <row r="1180" spans="2:8" x14ac:dyDescent="0.2">
      <c r="G1180" s="736"/>
      <c r="H1180" s="878"/>
    </row>
    <row r="1181" spans="2:8" x14ac:dyDescent="0.2">
      <c r="B1181" s="732"/>
      <c r="G1181" s="737"/>
      <c r="H1181" s="876"/>
    </row>
    <row r="1182" spans="2:8" x14ac:dyDescent="0.2">
      <c r="B1182" s="732"/>
      <c r="G1182" s="737"/>
      <c r="H1182" s="876"/>
    </row>
    <row r="1183" spans="2:8" x14ac:dyDescent="0.2">
      <c r="B1183" s="732"/>
      <c r="G1183" s="730"/>
      <c r="H1183" s="876"/>
    </row>
    <row r="1184" spans="2:8" x14ac:dyDescent="0.2">
      <c r="B1184" s="732"/>
      <c r="G1184" s="730"/>
      <c r="H1184" s="878"/>
    </row>
    <row r="1185" spans="2:8" x14ac:dyDescent="0.2">
      <c r="B1185" s="732"/>
      <c r="G1185" s="730"/>
      <c r="H1185" s="878"/>
    </row>
    <row r="1186" spans="2:8" x14ac:dyDescent="0.2">
      <c r="B1186" s="732"/>
      <c r="G1186" s="730"/>
      <c r="H1186" s="878"/>
    </row>
    <row r="1187" spans="2:8" x14ac:dyDescent="0.2">
      <c r="B1187" s="732"/>
      <c r="G1187" s="730"/>
      <c r="H1187" s="878"/>
    </row>
    <row r="1188" spans="2:8" x14ac:dyDescent="0.2">
      <c r="G1188" s="736"/>
      <c r="H1188" s="878"/>
    </row>
    <row r="1189" spans="2:8" x14ac:dyDescent="0.2">
      <c r="G1189" s="736"/>
      <c r="H1189" s="878"/>
    </row>
    <row r="1190" spans="2:8" x14ac:dyDescent="0.2">
      <c r="B1190" s="732"/>
      <c r="G1190" s="737"/>
      <c r="H1190" s="876"/>
    </row>
    <row r="1191" spans="2:8" x14ac:dyDescent="0.2">
      <c r="B1191" s="732"/>
      <c r="G1191" s="730"/>
      <c r="H1191" s="878"/>
    </row>
    <row r="1192" spans="2:8" x14ac:dyDescent="0.2">
      <c r="B1192" s="732"/>
      <c r="G1192" s="730"/>
      <c r="H1192" s="878"/>
    </row>
    <row r="1193" spans="2:8" x14ac:dyDescent="0.2">
      <c r="B1193" s="732"/>
      <c r="G1193" s="730"/>
      <c r="H1193" s="878"/>
    </row>
    <row r="1194" spans="2:8" x14ac:dyDescent="0.2">
      <c r="B1194" s="281"/>
      <c r="G1194" s="719"/>
      <c r="H1194" s="878"/>
    </row>
    <row r="1195" spans="2:8" x14ac:dyDescent="0.2">
      <c r="B1195" s="732"/>
      <c r="G1195" s="730"/>
      <c r="H1195" s="878"/>
    </row>
    <row r="1196" spans="2:8" x14ac:dyDescent="0.2">
      <c r="G1196" s="736"/>
      <c r="H1196" s="878"/>
    </row>
    <row r="1197" spans="2:8" x14ac:dyDescent="0.2">
      <c r="G1197" s="736"/>
      <c r="H1197" s="878"/>
    </row>
    <row r="1198" spans="2:8" x14ac:dyDescent="0.2">
      <c r="G1198" s="736"/>
      <c r="H1198" s="878"/>
    </row>
    <row r="1199" spans="2:8" x14ac:dyDescent="0.2">
      <c r="B1199" s="732"/>
      <c r="G1199" s="730"/>
      <c r="H1199" s="878"/>
    </row>
    <row r="1200" spans="2:8" x14ac:dyDescent="0.2">
      <c r="B1200" s="732"/>
      <c r="G1200" s="730"/>
      <c r="H1200" s="878"/>
    </row>
    <row r="1201" spans="2:8" x14ac:dyDescent="0.2">
      <c r="B1201" s="732"/>
      <c r="G1201" s="730"/>
      <c r="H1201" s="878"/>
    </row>
    <row r="1202" spans="2:8" x14ac:dyDescent="0.2">
      <c r="B1202" s="732"/>
      <c r="G1202" s="730"/>
      <c r="H1202" s="878"/>
    </row>
    <row r="1203" spans="2:8" x14ac:dyDescent="0.2">
      <c r="B1203" s="732"/>
      <c r="G1203" s="730"/>
      <c r="H1203" s="878"/>
    </row>
    <row r="1204" spans="2:8" x14ac:dyDescent="0.2">
      <c r="B1204" s="732"/>
      <c r="G1204" s="730"/>
      <c r="H1204" s="878"/>
    </row>
    <row r="1205" spans="2:8" x14ac:dyDescent="0.2">
      <c r="B1205" s="732"/>
      <c r="G1205" s="730"/>
      <c r="H1205" s="878"/>
    </row>
    <row r="1206" spans="2:8" x14ac:dyDescent="0.2">
      <c r="B1206" s="732"/>
      <c r="G1206" s="730"/>
      <c r="H1206" s="878"/>
    </row>
    <row r="1207" spans="2:8" x14ac:dyDescent="0.2">
      <c r="B1207" s="732"/>
      <c r="G1207" s="730"/>
      <c r="H1207" s="878"/>
    </row>
    <row r="1208" spans="2:8" x14ac:dyDescent="0.2">
      <c r="B1208" s="732"/>
      <c r="G1208" s="730"/>
      <c r="H1208" s="878"/>
    </row>
    <row r="1209" spans="2:8" x14ac:dyDescent="0.2">
      <c r="B1209" s="732"/>
      <c r="G1209" s="730"/>
      <c r="H1209" s="878"/>
    </row>
    <row r="1210" spans="2:8" x14ac:dyDescent="0.2">
      <c r="B1210" s="732"/>
      <c r="G1210" s="730"/>
      <c r="H1210" s="878"/>
    </row>
    <row r="1211" spans="2:8" x14ac:dyDescent="0.2">
      <c r="B1211" s="732"/>
      <c r="G1211" s="730"/>
      <c r="H1211" s="878"/>
    </row>
    <row r="1212" spans="2:8" x14ac:dyDescent="0.2">
      <c r="B1212" s="732"/>
      <c r="G1212" s="730"/>
      <c r="H1212" s="878"/>
    </row>
    <row r="1213" spans="2:8" x14ac:dyDescent="0.2">
      <c r="B1213" s="732"/>
      <c r="G1213" s="730"/>
      <c r="H1213" s="878"/>
    </row>
    <row r="1214" spans="2:8" x14ac:dyDescent="0.2">
      <c r="B1214" s="732"/>
      <c r="G1214" s="730"/>
      <c r="H1214" s="878"/>
    </row>
    <row r="1215" spans="2:8" x14ac:dyDescent="0.2">
      <c r="B1215" s="732"/>
      <c r="G1215" s="730"/>
      <c r="H1215" s="878"/>
    </row>
    <row r="1216" spans="2:8" x14ac:dyDescent="0.2">
      <c r="B1216" s="732"/>
      <c r="G1216" s="730"/>
      <c r="H1216" s="878"/>
    </row>
    <row r="1217" spans="2:8" x14ac:dyDescent="0.2">
      <c r="B1217" s="732"/>
      <c r="G1217" s="730"/>
      <c r="H1217" s="878"/>
    </row>
    <row r="1218" spans="2:8" x14ac:dyDescent="0.2">
      <c r="B1218" s="732"/>
      <c r="G1218" s="730"/>
      <c r="H1218" s="878"/>
    </row>
    <row r="1219" spans="2:8" x14ac:dyDescent="0.2">
      <c r="B1219" s="732"/>
      <c r="G1219" s="730"/>
      <c r="H1219" s="878"/>
    </row>
    <row r="1220" spans="2:8" x14ac:dyDescent="0.2">
      <c r="B1220" s="732"/>
      <c r="G1220" s="730"/>
      <c r="H1220" s="878"/>
    </row>
    <row r="1221" spans="2:8" x14ac:dyDescent="0.2">
      <c r="B1221" s="732"/>
      <c r="G1221" s="730"/>
      <c r="H1221" s="878"/>
    </row>
    <row r="1222" spans="2:8" x14ac:dyDescent="0.2">
      <c r="B1222" s="732"/>
      <c r="G1222" s="730"/>
      <c r="H1222" s="878"/>
    </row>
    <row r="1223" spans="2:8" x14ac:dyDescent="0.2">
      <c r="B1223" s="732"/>
      <c r="G1223" s="730"/>
      <c r="H1223" s="878"/>
    </row>
    <row r="1224" spans="2:8" x14ac:dyDescent="0.2">
      <c r="B1224" s="732"/>
      <c r="G1224" s="730"/>
      <c r="H1224" s="878"/>
    </row>
    <row r="1225" spans="2:8" x14ac:dyDescent="0.2">
      <c r="B1225" s="732"/>
      <c r="G1225" s="730"/>
      <c r="H1225" s="878"/>
    </row>
    <row r="1226" spans="2:8" x14ac:dyDescent="0.2">
      <c r="B1226" s="281"/>
      <c r="G1226" s="719"/>
      <c r="H1226" s="878"/>
    </row>
    <row r="1227" spans="2:8" x14ac:dyDescent="0.2">
      <c r="B1227" s="732"/>
      <c r="G1227" s="730"/>
      <c r="H1227" s="878"/>
    </row>
    <row r="1228" spans="2:8" x14ac:dyDescent="0.2">
      <c r="B1228" s="732"/>
      <c r="G1228" s="730"/>
      <c r="H1228" s="878"/>
    </row>
    <row r="1229" spans="2:8" x14ac:dyDescent="0.2">
      <c r="B1229" s="732"/>
      <c r="G1229" s="730"/>
      <c r="H1229" s="878"/>
    </row>
    <row r="1230" spans="2:8" x14ac:dyDescent="0.2">
      <c r="B1230" s="732"/>
      <c r="G1230" s="730"/>
      <c r="H1230" s="878"/>
    </row>
    <row r="1231" spans="2:8" x14ac:dyDescent="0.2">
      <c r="B1231" s="732"/>
      <c r="G1231" s="730"/>
      <c r="H1231" s="878"/>
    </row>
    <row r="1232" spans="2:8" x14ac:dyDescent="0.2">
      <c r="B1232" s="732"/>
      <c r="G1232" s="730"/>
      <c r="H1232" s="878"/>
    </row>
    <row r="1233" spans="2:8" x14ac:dyDescent="0.2">
      <c r="B1233" s="732"/>
      <c r="G1233" s="730"/>
      <c r="H1233" s="878"/>
    </row>
    <row r="1234" spans="2:8" x14ac:dyDescent="0.2">
      <c r="B1234" s="732"/>
      <c r="G1234" s="730"/>
      <c r="H1234" s="878"/>
    </row>
    <row r="1235" spans="2:8" x14ac:dyDescent="0.2">
      <c r="B1235" s="732"/>
      <c r="G1235" s="730"/>
      <c r="H1235" s="878"/>
    </row>
    <row r="1236" spans="2:8" x14ac:dyDescent="0.2">
      <c r="B1236" s="732"/>
      <c r="G1236" s="730"/>
      <c r="H1236" s="878"/>
    </row>
    <row r="1237" spans="2:8" x14ac:dyDescent="0.2">
      <c r="B1237" s="732"/>
      <c r="G1237" s="730"/>
      <c r="H1237" s="878"/>
    </row>
    <row r="1238" spans="2:8" x14ac:dyDescent="0.2">
      <c r="B1238" s="740"/>
      <c r="G1238" s="737"/>
      <c r="H1238" s="878"/>
    </row>
    <row r="1239" spans="2:8" x14ac:dyDescent="0.2">
      <c r="B1239" s="732"/>
      <c r="G1239" s="730"/>
      <c r="H1239" s="878"/>
    </row>
    <row r="1240" spans="2:8" x14ac:dyDescent="0.2">
      <c r="B1240" s="740"/>
      <c r="G1240" s="737"/>
      <c r="H1240" s="878"/>
    </row>
    <row r="1241" spans="2:8" x14ac:dyDescent="0.2">
      <c r="B1241" s="740"/>
      <c r="G1241" s="737"/>
      <c r="H1241" s="878"/>
    </row>
    <row r="1242" spans="2:8" x14ac:dyDescent="0.2">
      <c r="B1242" s="732"/>
      <c r="G1242" s="730"/>
      <c r="H1242" s="878"/>
    </row>
    <row r="1243" spans="2:8" x14ac:dyDescent="0.2">
      <c r="B1243" s="732"/>
      <c r="G1243" s="730"/>
      <c r="H1243" s="878"/>
    </row>
    <row r="1244" spans="2:8" x14ac:dyDescent="0.2">
      <c r="B1244" s="740"/>
      <c r="G1244" s="737"/>
      <c r="H1244" s="878"/>
    </row>
    <row r="1245" spans="2:8" x14ac:dyDescent="0.2">
      <c r="B1245" s="740"/>
      <c r="G1245" s="737"/>
      <c r="H1245" s="878"/>
    </row>
    <row r="1246" spans="2:8" x14ac:dyDescent="0.2">
      <c r="B1246" s="740"/>
      <c r="G1246" s="737"/>
      <c r="H1246" s="878"/>
    </row>
    <row r="1247" spans="2:8" x14ac:dyDescent="0.2">
      <c r="B1247" s="732"/>
      <c r="G1247" s="730"/>
      <c r="H1247" s="878"/>
    </row>
    <row r="1248" spans="2:8" x14ac:dyDescent="0.2">
      <c r="B1248" s="740"/>
      <c r="G1248" s="737"/>
      <c r="H1248" s="878"/>
    </row>
    <row r="1249" spans="2:8" x14ac:dyDescent="0.2">
      <c r="B1249" s="732"/>
      <c r="G1249" s="730"/>
      <c r="H1249" s="878"/>
    </row>
    <row r="1250" spans="2:8" x14ac:dyDescent="0.2">
      <c r="G1250" s="736"/>
      <c r="H1250" s="878"/>
    </row>
    <row r="1251" spans="2:8" x14ac:dyDescent="0.2">
      <c r="G1251" s="736"/>
      <c r="H1251" s="878"/>
    </row>
    <row r="1252" spans="2:8" x14ac:dyDescent="0.2">
      <c r="G1252" s="736"/>
      <c r="H1252" s="878"/>
    </row>
    <row r="1253" spans="2:8" x14ac:dyDescent="0.2">
      <c r="G1253" s="736"/>
      <c r="H1253" s="878"/>
    </row>
    <row r="1254" spans="2:8" x14ac:dyDescent="0.2">
      <c r="G1254" s="736"/>
      <c r="H1254" s="878"/>
    </row>
    <row r="1255" spans="2:8" x14ac:dyDescent="0.2">
      <c r="G1255" s="736"/>
      <c r="H1255" s="878"/>
    </row>
    <row r="1256" spans="2:8" x14ac:dyDescent="0.2">
      <c r="G1256" s="736"/>
      <c r="H1256" s="878"/>
    </row>
    <row r="1257" spans="2:8" x14ac:dyDescent="0.2">
      <c r="G1257" s="736"/>
      <c r="H1257" s="878"/>
    </row>
    <row r="1258" spans="2:8" x14ac:dyDescent="0.2">
      <c r="G1258" s="736"/>
      <c r="H1258" s="878"/>
    </row>
    <row r="1259" spans="2:8" x14ac:dyDescent="0.2">
      <c r="G1259" s="736"/>
      <c r="H1259" s="878"/>
    </row>
    <row r="1260" spans="2:8" x14ac:dyDescent="0.2">
      <c r="G1260" s="736"/>
      <c r="H1260" s="878"/>
    </row>
    <row r="1261" spans="2:8" x14ac:dyDescent="0.2">
      <c r="G1261" s="736"/>
      <c r="H1261" s="878"/>
    </row>
    <row r="1262" spans="2:8" x14ac:dyDescent="0.2">
      <c r="G1262" s="736"/>
      <c r="H1262" s="878"/>
    </row>
    <row r="1263" spans="2:8" x14ac:dyDescent="0.2">
      <c r="G1263" s="736"/>
      <c r="H1263" s="878"/>
    </row>
    <row r="1264" spans="2:8" x14ac:dyDescent="0.2">
      <c r="G1264" s="736"/>
      <c r="H1264" s="878"/>
    </row>
    <row r="1265" spans="2:8" x14ac:dyDescent="0.2">
      <c r="G1265" s="736"/>
      <c r="H1265" s="878"/>
    </row>
    <row r="1266" spans="2:8" x14ac:dyDescent="0.2">
      <c r="G1266" s="736"/>
      <c r="H1266" s="878"/>
    </row>
    <row r="1267" spans="2:8" x14ac:dyDescent="0.2">
      <c r="G1267" s="736"/>
      <c r="H1267" s="878"/>
    </row>
    <row r="1268" spans="2:8" x14ac:dyDescent="0.2">
      <c r="G1268" s="736"/>
      <c r="H1268" s="878"/>
    </row>
    <row r="1269" spans="2:8" x14ac:dyDescent="0.2">
      <c r="G1269" s="736"/>
      <c r="H1269" s="878"/>
    </row>
    <row r="1270" spans="2:8" x14ac:dyDescent="0.2">
      <c r="G1270" s="736"/>
      <c r="H1270" s="878"/>
    </row>
    <row r="1271" spans="2:8" x14ac:dyDescent="0.2">
      <c r="B1271" s="732"/>
      <c r="G1271" s="737"/>
      <c r="H1271" s="878"/>
    </row>
    <row r="1272" spans="2:8" x14ac:dyDescent="0.2">
      <c r="B1272" s="732"/>
      <c r="G1272" s="737"/>
      <c r="H1272" s="878"/>
    </row>
    <row r="1273" spans="2:8" x14ac:dyDescent="0.2">
      <c r="G1273" s="736"/>
      <c r="H1273" s="878"/>
    </row>
    <row r="1274" spans="2:8" x14ac:dyDescent="0.2">
      <c r="G1274" s="736"/>
      <c r="H1274" s="878"/>
    </row>
    <row r="1275" spans="2:8" x14ac:dyDescent="0.2">
      <c r="G1275" s="736"/>
      <c r="H1275" s="878"/>
    </row>
    <row r="1276" spans="2:8" x14ac:dyDescent="0.2">
      <c r="G1276" s="736"/>
      <c r="H1276" s="878"/>
    </row>
    <row r="1277" spans="2:8" x14ac:dyDescent="0.2">
      <c r="G1277" s="736"/>
      <c r="H1277" s="878"/>
    </row>
    <row r="1278" spans="2:8" x14ac:dyDescent="0.2">
      <c r="G1278" s="736"/>
      <c r="H1278" s="878"/>
    </row>
    <row r="1279" spans="2:8" x14ac:dyDescent="0.2">
      <c r="G1279" s="736"/>
      <c r="H1279" s="878"/>
    </row>
    <row r="1280" spans="2:8" x14ac:dyDescent="0.2">
      <c r="G1280" s="736"/>
      <c r="H1280" s="878"/>
    </row>
    <row r="1281" spans="7:8" x14ac:dyDescent="0.2">
      <c r="G1281" s="736"/>
      <c r="H1281" s="878"/>
    </row>
    <row r="1282" spans="7:8" x14ac:dyDescent="0.2">
      <c r="G1282" s="736"/>
      <c r="H1282" s="878"/>
    </row>
    <row r="1283" spans="7:8" x14ac:dyDescent="0.2">
      <c r="G1283" s="736"/>
      <c r="H1283" s="878"/>
    </row>
    <row r="1284" spans="7:8" x14ac:dyDescent="0.2">
      <c r="G1284" s="736"/>
      <c r="H1284" s="878"/>
    </row>
    <row r="1285" spans="7:8" x14ac:dyDescent="0.2">
      <c r="G1285" s="736"/>
      <c r="H1285" s="878"/>
    </row>
    <row r="1286" spans="7:8" x14ac:dyDescent="0.2">
      <c r="G1286" s="736"/>
      <c r="H1286" s="878"/>
    </row>
    <row r="1287" spans="7:8" x14ac:dyDescent="0.2">
      <c r="G1287" s="736"/>
      <c r="H1287" s="878"/>
    </row>
    <row r="1288" spans="7:8" x14ac:dyDescent="0.2">
      <c r="G1288" s="736"/>
      <c r="H1288" s="878"/>
    </row>
    <row r="1289" spans="7:8" x14ac:dyDescent="0.2">
      <c r="G1289" s="736"/>
      <c r="H1289" s="878"/>
    </row>
    <row r="1290" spans="7:8" x14ac:dyDescent="0.2">
      <c r="G1290" s="736"/>
      <c r="H1290" s="878"/>
    </row>
    <row r="1291" spans="7:8" x14ac:dyDescent="0.2">
      <c r="G1291" s="736"/>
      <c r="H1291" s="878"/>
    </row>
    <row r="1292" spans="7:8" x14ac:dyDescent="0.2">
      <c r="G1292" s="736"/>
      <c r="H1292" s="878"/>
    </row>
    <row r="1293" spans="7:8" x14ac:dyDescent="0.2">
      <c r="G1293" s="736"/>
      <c r="H1293" s="878"/>
    </row>
    <row r="1294" spans="7:8" x14ac:dyDescent="0.2">
      <c r="G1294" s="736"/>
      <c r="H1294" s="878"/>
    </row>
    <row r="1295" spans="7:8" x14ac:dyDescent="0.2">
      <c r="G1295" s="736"/>
      <c r="H1295" s="878"/>
    </row>
    <row r="1296" spans="7:8" x14ac:dyDescent="0.2">
      <c r="G1296" s="736"/>
      <c r="H1296" s="878"/>
    </row>
    <row r="1297" spans="7:8" x14ac:dyDescent="0.2">
      <c r="G1297" s="736"/>
      <c r="H1297" s="878"/>
    </row>
    <row r="1298" spans="7:8" x14ac:dyDescent="0.2">
      <c r="G1298" s="736"/>
      <c r="H1298" s="878"/>
    </row>
    <row r="1299" spans="7:8" x14ac:dyDescent="0.2">
      <c r="G1299" s="736"/>
      <c r="H1299" s="878"/>
    </row>
    <row r="1300" spans="7:8" x14ac:dyDescent="0.2">
      <c r="G1300" s="736"/>
      <c r="H1300" s="878"/>
    </row>
    <row r="1301" spans="7:8" x14ac:dyDescent="0.2">
      <c r="G1301" s="736"/>
      <c r="H1301" s="878"/>
    </row>
    <row r="1302" spans="7:8" x14ac:dyDescent="0.2">
      <c r="G1302" s="736"/>
      <c r="H1302" s="878"/>
    </row>
    <row r="1303" spans="7:8" x14ac:dyDescent="0.2">
      <c r="G1303" s="736"/>
      <c r="H1303" s="878"/>
    </row>
    <row r="1304" spans="7:8" x14ac:dyDescent="0.2">
      <c r="G1304" s="736"/>
      <c r="H1304" s="878"/>
    </row>
    <row r="1305" spans="7:8" x14ac:dyDescent="0.2">
      <c r="G1305" s="736"/>
      <c r="H1305" s="878"/>
    </row>
    <row r="1306" spans="7:8" x14ac:dyDescent="0.2">
      <c r="G1306" s="736"/>
      <c r="H1306" s="878"/>
    </row>
  </sheetData>
  <autoFilter ref="B8:I1306"/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252"/>
  <sheetViews>
    <sheetView topLeftCell="A53" zoomScale="93" zoomScaleSheetLayoutView="100" workbookViewId="0">
      <selection activeCell="B76" sqref="B76"/>
    </sheetView>
  </sheetViews>
  <sheetFormatPr defaultColWidth="9" defaultRowHeight="12" x14ac:dyDescent="0.2"/>
  <cols>
    <col min="1" max="1" width="2.625" style="67" customWidth="1"/>
    <col min="2" max="2" width="9.125" style="638" customWidth="1"/>
    <col min="3" max="3" width="8.75"/>
    <col min="4" max="4" width="14.125" style="857" bestFit="1" customWidth="1"/>
    <col min="5" max="5" width="14.75" bestFit="1" customWidth="1"/>
    <col min="6" max="6" width="15" style="858" bestFit="1" customWidth="1"/>
    <col min="7" max="7" width="9.5" customWidth="1"/>
    <col min="8" max="8" width="15" style="881" bestFit="1" customWidth="1"/>
    <col min="9" max="9" width="14.625" style="858" bestFit="1" customWidth="1"/>
    <col min="10" max="10" width="12.875" bestFit="1" customWidth="1"/>
    <col min="11" max="11" width="15" style="881" bestFit="1" customWidth="1"/>
    <col min="12" max="12" width="14" style="858" bestFit="1" customWidth="1"/>
    <col min="13" max="13" width="10.5" customWidth="1"/>
    <col min="14" max="14" width="10.125" style="67" bestFit="1" customWidth="1"/>
    <col min="15" max="15" width="9.125" style="67" bestFit="1" customWidth="1"/>
    <col min="16" max="16" width="12" style="67" bestFit="1" customWidth="1"/>
    <col min="17" max="16384" width="9" style="67"/>
  </cols>
  <sheetData>
    <row r="1" spans="1:15" ht="11.25" x14ac:dyDescent="0.2">
      <c r="A1" s="138"/>
      <c r="B1" s="638" t="s">
        <v>170</v>
      </c>
      <c r="C1" s="191"/>
      <c r="D1" s="315"/>
      <c r="E1" s="162"/>
      <c r="F1" s="162"/>
      <c r="G1" s="316"/>
      <c r="H1" s="411"/>
      <c r="I1" s="411"/>
      <c r="J1" s="754"/>
      <c r="K1" s="411"/>
      <c r="L1" s="162"/>
      <c r="M1" s="67"/>
    </row>
    <row r="2" spans="1:15" ht="11.25" x14ac:dyDescent="0.2">
      <c r="B2" s="638" t="s">
        <v>192</v>
      </c>
      <c r="C2" s="191"/>
      <c r="D2" s="315"/>
      <c r="E2" s="162"/>
      <c r="F2" s="162"/>
      <c r="G2" s="316"/>
      <c r="H2" s="411"/>
      <c r="I2" s="411"/>
      <c r="J2" s="754"/>
      <c r="K2" s="411"/>
      <c r="L2" s="162"/>
      <c r="M2" s="67"/>
    </row>
    <row r="3" spans="1:15" ht="11.25" x14ac:dyDescent="0.2">
      <c r="B3" s="638" t="s">
        <v>193</v>
      </c>
      <c r="C3" s="191"/>
      <c r="D3" s="315"/>
      <c r="E3" s="162"/>
      <c r="F3" s="162"/>
      <c r="G3" s="316"/>
      <c r="H3" s="411"/>
      <c r="I3" s="411"/>
      <c r="J3" s="754"/>
      <c r="K3" s="411"/>
      <c r="L3" s="162"/>
      <c r="M3" s="67"/>
    </row>
    <row r="4" spans="1:15" ht="11.25" x14ac:dyDescent="0.2">
      <c r="C4" s="191"/>
      <c r="D4" s="315"/>
      <c r="E4" s="162"/>
      <c r="F4" s="162"/>
      <c r="G4" s="316"/>
      <c r="H4" s="411"/>
      <c r="I4" s="411"/>
      <c r="J4" s="754"/>
      <c r="K4" s="411"/>
      <c r="L4" s="162"/>
      <c r="M4" s="67"/>
    </row>
    <row r="5" spans="1:15" ht="11.25" x14ac:dyDescent="0.2">
      <c r="C5" s="192"/>
      <c r="D5" s="315"/>
      <c r="E5" s="162"/>
      <c r="F5" s="162"/>
      <c r="G5" s="316"/>
      <c r="H5" s="411"/>
      <c r="I5" s="411"/>
      <c r="J5" s="754"/>
      <c r="K5" s="411"/>
      <c r="L5" s="162"/>
      <c r="M5" s="67"/>
    </row>
    <row r="6" spans="1:15" ht="11.25" x14ac:dyDescent="0.2">
      <c r="C6" s="191"/>
      <c r="D6" s="315"/>
      <c r="E6" s="162"/>
      <c r="F6" s="162"/>
      <c r="G6" s="316"/>
      <c r="H6" s="411"/>
      <c r="I6" s="411"/>
      <c r="J6" s="754"/>
      <c r="K6" s="411"/>
      <c r="L6" s="162"/>
      <c r="M6" s="67"/>
    </row>
    <row r="7" spans="1:15" ht="22.5" x14ac:dyDescent="0.2">
      <c r="B7" s="240" t="s">
        <v>67</v>
      </c>
      <c r="C7" s="240" t="s">
        <v>172</v>
      </c>
      <c r="D7" s="242" t="s">
        <v>173</v>
      </c>
      <c r="E7" s="242" t="s">
        <v>23</v>
      </c>
      <c r="F7" s="242" t="s">
        <v>327</v>
      </c>
      <c r="G7" s="645" t="s">
        <v>328</v>
      </c>
      <c r="H7" s="242" t="s">
        <v>329</v>
      </c>
      <c r="I7" s="242" t="s">
        <v>330</v>
      </c>
      <c r="J7" s="645" t="s">
        <v>331</v>
      </c>
      <c r="K7" s="242" t="s">
        <v>332</v>
      </c>
      <c r="L7" s="242" t="s">
        <v>330</v>
      </c>
      <c r="M7" s="240" t="s">
        <v>174</v>
      </c>
      <c r="N7" s="240" t="s">
        <v>428</v>
      </c>
    </row>
    <row r="8" spans="1:15" ht="11.25" x14ac:dyDescent="0.2">
      <c r="C8" s="281"/>
      <c r="D8" s="282"/>
      <c r="E8" s="283"/>
      <c r="F8" s="283"/>
      <c r="G8" s="646"/>
      <c r="H8" s="411"/>
      <c r="I8" s="411"/>
      <c r="J8" s="754"/>
      <c r="K8" s="411"/>
      <c r="L8" s="162"/>
      <c r="M8" s="67"/>
    </row>
    <row r="9" spans="1:15" x14ac:dyDescent="0.2">
      <c r="D9" s="715"/>
      <c r="E9" s="305"/>
      <c r="F9" s="881"/>
      <c r="G9" s="305"/>
      <c r="I9" s="881"/>
      <c r="J9" s="305"/>
      <c r="N9" s="753"/>
      <c r="O9" s="448"/>
    </row>
    <row r="10" spans="1:15" x14ac:dyDescent="0.2">
      <c r="N10" s="753"/>
      <c r="O10" s="448"/>
    </row>
    <row r="11" spans="1:15" x14ac:dyDescent="0.2">
      <c r="N11" s="753"/>
      <c r="O11" s="448"/>
    </row>
    <row r="12" spans="1:15" x14ac:dyDescent="0.2">
      <c r="B12" s="638">
        <v>44565</v>
      </c>
      <c r="C12" t="s">
        <v>610</v>
      </c>
      <c r="D12" s="857">
        <v>410000</v>
      </c>
      <c r="E12">
        <v>103.58</v>
      </c>
      <c r="F12" s="858">
        <v>42467800</v>
      </c>
      <c r="G12">
        <v>109.59506232622816</v>
      </c>
      <c r="H12" s="881">
        <v>44933975.553753547</v>
      </c>
      <c r="I12" s="858">
        <v>-2466175.5537535474</v>
      </c>
      <c r="J12">
        <v>91.12</v>
      </c>
      <c r="K12" s="881">
        <v>37359200</v>
      </c>
      <c r="L12" s="858">
        <v>5108600</v>
      </c>
      <c r="M12" t="s">
        <v>779</v>
      </c>
      <c r="N12" s="753">
        <v>71982.919999999984</v>
      </c>
      <c r="O12" s="448"/>
    </row>
    <row r="13" spans="1:15" x14ac:dyDescent="0.2">
      <c r="B13" s="638">
        <v>44692</v>
      </c>
      <c r="C13" t="s">
        <v>610</v>
      </c>
      <c r="D13" s="857">
        <v>197800</v>
      </c>
      <c r="E13">
        <f>F13/D13</f>
        <v>71.563651457489883</v>
      </c>
      <c r="F13" s="858">
        <v>14155290.2582915</v>
      </c>
      <c r="G13">
        <v>87.676049860982516</v>
      </c>
      <c r="H13" s="881">
        <f t="shared" ref="H13" si="0">+G13*D13</f>
        <v>17342322.662502341</v>
      </c>
      <c r="I13" s="858">
        <f t="shared" ref="I13" si="1">F13-H13</f>
        <v>-3187032.4042108413</v>
      </c>
      <c r="J13">
        <v>72.896000000000001</v>
      </c>
      <c r="K13" s="881">
        <f t="shared" ref="K13" si="2">J13*D13</f>
        <v>14418828.800000001</v>
      </c>
      <c r="L13" s="858">
        <f t="shared" ref="L13" si="3">+F13-K13</f>
        <v>-263538.54170850106</v>
      </c>
      <c r="M13" t="s">
        <v>849</v>
      </c>
      <c r="N13" s="753">
        <v>23998.687991902832</v>
      </c>
      <c r="O13" s="448"/>
    </row>
    <row r="14" spans="1:15" x14ac:dyDescent="0.2">
      <c r="N14" s="753"/>
      <c r="O14" s="448"/>
    </row>
    <row r="15" spans="1:15" ht="12.75" thickBot="1" x14ac:dyDescent="0.25">
      <c r="D15" s="888">
        <f>+SUM(D10:D14)</f>
        <v>607800</v>
      </c>
      <c r="F15" s="888">
        <f>+SUM(F10:F14)</f>
        <v>56623090.258291498</v>
      </c>
      <c r="H15" s="990">
        <f>+SUM(H10:H14)</f>
        <v>62276298.216255888</v>
      </c>
      <c r="K15" s="990">
        <f>+SUM(K10:K14)</f>
        <v>51778028.799999997</v>
      </c>
      <c r="N15" s="888">
        <f>+SUM(N10:N14)</f>
        <v>95981.607991902813</v>
      </c>
      <c r="O15" s="448"/>
    </row>
    <row r="16" spans="1:15" ht="12.75" thickTop="1" x14ac:dyDescent="0.2">
      <c r="N16" s="753"/>
      <c r="O16" s="448"/>
    </row>
    <row r="17" spans="2:15" x14ac:dyDescent="0.2">
      <c r="B17" s="638">
        <v>44565</v>
      </c>
      <c r="C17" t="s">
        <v>839</v>
      </c>
      <c r="D17" s="857">
        <v>1897432</v>
      </c>
      <c r="E17">
        <v>1.5096940649385817</v>
      </c>
      <c r="F17" s="858">
        <v>2864541.8290245431</v>
      </c>
      <c r="H17" s="881">
        <v>0</v>
      </c>
      <c r="I17" s="858">
        <v>2864541.8290245431</v>
      </c>
      <c r="J17">
        <v>1.06</v>
      </c>
      <c r="K17" s="881">
        <v>2011277.9200000002</v>
      </c>
      <c r="L17" s="858">
        <v>853263.9090245429</v>
      </c>
      <c r="M17" t="s">
        <v>504</v>
      </c>
      <c r="N17" s="753">
        <v>64322.94</v>
      </c>
      <c r="O17" s="448"/>
    </row>
    <row r="18" spans="2:15" x14ac:dyDescent="0.2">
      <c r="B18" s="638">
        <v>44566</v>
      </c>
      <c r="C18" t="s">
        <v>839</v>
      </c>
      <c r="D18" s="857">
        <v>842859</v>
      </c>
      <c r="E18">
        <f t="shared" ref="E18" si="4">F18/D18</f>
        <v>1.7712849871372751</v>
      </c>
      <c r="F18" s="858">
        <v>1492943.4929735365</v>
      </c>
      <c r="H18" s="881">
        <f t="shared" ref="H18" si="5">+G18*D18</f>
        <v>0</v>
      </c>
      <c r="I18" s="858">
        <f t="shared" ref="I18" si="6">F18-H18</f>
        <v>1492943.4929735365</v>
      </c>
      <c r="J18">
        <v>1.0599999999999998</v>
      </c>
      <c r="K18" s="881">
        <f t="shared" ref="K18" si="7">J18*D18</f>
        <v>893430.5399999998</v>
      </c>
      <c r="L18" s="858">
        <f t="shared" ref="L18" si="8">+F18-K18</f>
        <v>599512.95297353668</v>
      </c>
      <c r="M18" t="s">
        <v>504</v>
      </c>
      <c r="N18" s="753">
        <v>28572.920000000002</v>
      </c>
      <c r="O18" s="448"/>
    </row>
    <row r="19" spans="2:15" x14ac:dyDescent="0.2">
      <c r="N19" s="1114"/>
      <c r="O19" s="448"/>
    </row>
    <row r="20" spans="2:15" ht="12.75" thickBot="1" x14ac:dyDescent="0.25">
      <c r="D20" s="888">
        <f>+SUM(D15:D19)</f>
        <v>3348091</v>
      </c>
      <c r="F20" s="888">
        <f>+SUM(F15:F19)</f>
        <v>60980575.58028958</v>
      </c>
      <c r="H20" s="990">
        <f>+SUM(H15:H19)</f>
        <v>62276298.216255888</v>
      </c>
      <c r="K20" s="990">
        <f>+SUM(K15:K19)</f>
        <v>54682737.259999998</v>
      </c>
      <c r="N20" s="888">
        <f>+SUM(N15:N19)</f>
        <v>188877.46799190281</v>
      </c>
      <c r="O20" s="448"/>
    </row>
    <row r="21" spans="2:15" ht="12.75" thickTop="1" x14ac:dyDescent="0.2">
      <c r="N21" s="1114"/>
      <c r="O21" s="448"/>
    </row>
    <row r="22" spans="2:15" x14ac:dyDescent="0.2">
      <c r="B22" s="638">
        <v>44566</v>
      </c>
      <c r="C22" t="s">
        <v>603</v>
      </c>
      <c r="D22" s="857">
        <v>38800</v>
      </c>
      <c r="E22">
        <f t="shared" ref="E22:E25" si="9">F22/D22</f>
        <v>226.86908415841583</v>
      </c>
      <c r="F22" s="858">
        <v>8802520.4653465338</v>
      </c>
      <c r="G22">
        <v>346.84018142212255</v>
      </c>
      <c r="H22" s="881">
        <f t="shared" ref="H22:H27" si="10">+G22*D22</f>
        <v>13457399.039178355</v>
      </c>
      <c r="I22" s="858">
        <f t="shared" ref="I22:I27" si="11">F22-H22</f>
        <v>-4654878.5738318209</v>
      </c>
      <c r="J22">
        <v>233.26</v>
      </c>
      <c r="K22" s="881">
        <f t="shared" ref="K22:K27" si="12">J22*D22</f>
        <v>9050488</v>
      </c>
      <c r="L22" s="858">
        <f t="shared" ref="L22:L27" si="13">+F22-K22</f>
        <v>-247967.53465346619</v>
      </c>
      <c r="M22" t="s">
        <v>728</v>
      </c>
      <c r="N22" s="1114">
        <v>14920.283663366334</v>
      </c>
      <c r="O22" s="448"/>
    </row>
    <row r="23" spans="2:15" x14ac:dyDescent="0.2">
      <c r="B23" s="638">
        <v>44567</v>
      </c>
      <c r="C23" t="s">
        <v>603</v>
      </c>
      <c r="D23" s="857">
        <v>18000</v>
      </c>
      <c r="E23">
        <f t="shared" si="9"/>
        <v>221.97788888888888</v>
      </c>
      <c r="F23" s="858">
        <v>3995602</v>
      </c>
      <c r="G23">
        <v>346.84018142212255</v>
      </c>
      <c r="H23" s="881">
        <f t="shared" si="10"/>
        <v>6243123.2655982058</v>
      </c>
      <c r="I23" s="858">
        <f t="shared" si="11"/>
        <v>-2247521.2655982058</v>
      </c>
      <c r="J23">
        <v>233.26</v>
      </c>
      <c r="K23" s="881">
        <f t="shared" si="12"/>
        <v>4198680</v>
      </c>
      <c r="L23" s="858">
        <f t="shared" si="13"/>
        <v>-203078</v>
      </c>
      <c r="M23" t="s">
        <v>728</v>
      </c>
      <c r="N23" s="1114">
        <v>6772.72</v>
      </c>
      <c r="O23" s="448"/>
    </row>
    <row r="24" spans="2:15" x14ac:dyDescent="0.2">
      <c r="B24" s="638">
        <v>44571</v>
      </c>
      <c r="C24" t="s">
        <v>603</v>
      </c>
      <c r="D24" s="857">
        <v>90000</v>
      </c>
      <c r="E24">
        <f t="shared" si="9"/>
        <v>222.3634888888889</v>
      </c>
      <c r="F24" s="858">
        <v>20012714</v>
      </c>
      <c r="G24">
        <v>346.84018142212255</v>
      </c>
      <c r="H24" s="881">
        <f t="shared" si="10"/>
        <v>31215616.327991031</v>
      </c>
      <c r="I24" s="858">
        <f t="shared" si="11"/>
        <v>-11202902.327991031</v>
      </c>
      <c r="J24">
        <v>233.26</v>
      </c>
      <c r="K24" s="881">
        <f t="shared" si="12"/>
        <v>20993400</v>
      </c>
      <c r="L24" s="858">
        <f t="shared" si="13"/>
        <v>-980686</v>
      </c>
      <c r="M24" t="s">
        <v>846</v>
      </c>
      <c r="N24" s="1114">
        <v>33921.550000000003</v>
      </c>
      <c r="O24" s="448"/>
    </row>
    <row r="25" spans="2:15" x14ac:dyDescent="0.2">
      <c r="B25" s="638">
        <v>44671</v>
      </c>
      <c r="C25" t="s">
        <v>603</v>
      </c>
      <c r="D25" s="857">
        <v>1810</v>
      </c>
      <c r="E25">
        <f t="shared" si="9"/>
        <v>213</v>
      </c>
      <c r="F25" s="858">
        <v>385530</v>
      </c>
      <c r="G25">
        <v>346.84018142212329</v>
      </c>
      <c r="H25" s="881">
        <f t="shared" si="10"/>
        <v>627780.72837404313</v>
      </c>
      <c r="I25" s="858">
        <f t="shared" si="11"/>
        <v>-242250.72837404313</v>
      </c>
      <c r="J25">
        <v>233.26</v>
      </c>
      <c r="K25" s="881">
        <f t="shared" si="12"/>
        <v>422200.6</v>
      </c>
      <c r="L25" s="858">
        <f t="shared" si="13"/>
        <v>-36670.599999999977</v>
      </c>
      <c r="M25" t="s">
        <v>689</v>
      </c>
      <c r="N25" s="1114">
        <v>653.48</v>
      </c>
      <c r="O25" s="448"/>
    </row>
    <row r="26" spans="2:15" x14ac:dyDescent="0.2">
      <c r="B26" s="638">
        <v>44673</v>
      </c>
      <c r="C26" t="s">
        <v>603</v>
      </c>
      <c r="D26" s="857">
        <v>8000</v>
      </c>
      <c r="E26">
        <f>F26/D26</f>
        <v>200.94877499999998</v>
      </c>
      <c r="F26" s="858">
        <v>1607590.2</v>
      </c>
      <c r="G26">
        <v>346.84018142212352</v>
      </c>
      <c r="H26" s="881">
        <f t="shared" si="10"/>
        <v>2774721.4513769881</v>
      </c>
      <c r="I26" s="858">
        <f t="shared" si="11"/>
        <v>-1167131.2513769881</v>
      </c>
      <c r="J26">
        <v>233.25999999999982</v>
      </c>
      <c r="K26" s="881">
        <f t="shared" si="12"/>
        <v>1866079.9999999986</v>
      </c>
      <c r="L26" s="858">
        <f t="shared" si="13"/>
        <v>-258489.79999999865</v>
      </c>
      <c r="M26" t="s">
        <v>729</v>
      </c>
      <c r="N26" s="1114">
        <v>2724.87</v>
      </c>
      <c r="O26" s="448"/>
    </row>
    <row r="27" spans="2:15" x14ac:dyDescent="0.2">
      <c r="B27" s="638">
        <v>44691</v>
      </c>
      <c r="C27" t="s">
        <v>603</v>
      </c>
      <c r="D27" s="857">
        <v>190</v>
      </c>
      <c r="E27">
        <f t="shared" ref="E27" si="14">F27/D27</f>
        <v>177</v>
      </c>
      <c r="F27" s="858">
        <v>33630</v>
      </c>
      <c r="G27">
        <v>346.84018142211596</v>
      </c>
      <c r="H27" s="881">
        <f t="shared" si="10"/>
        <v>65899.634470202029</v>
      </c>
      <c r="I27" s="858">
        <f t="shared" si="11"/>
        <v>-32269.634470202029</v>
      </c>
      <c r="J27">
        <v>233.25999999999215</v>
      </c>
      <c r="K27" s="881">
        <f t="shared" si="12"/>
        <v>44319.39999999851</v>
      </c>
      <c r="L27" s="858">
        <f t="shared" si="13"/>
        <v>-10689.39999999851</v>
      </c>
      <c r="M27" t="s">
        <v>729</v>
      </c>
      <c r="N27" s="1114">
        <v>57.005000000000003</v>
      </c>
      <c r="O27" s="448"/>
    </row>
    <row r="28" spans="2:15" x14ac:dyDescent="0.2">
      <c r="N28" s="1114"/>
      <c r="O28" s="448"/>
    </row>
    <row r="29" spans="2:15" ht="12.75" thickBot="1" x14ac:dyDescent="0.25">
      <c r="D29" s="888">
        <f>+SUM(D20:D28)</f>
        <v>3504891</v>
      </c>
      <c r="F29" s="888">
        <f>+SUM(F20:F28)</f>
        <v>95818162.24563612</v>
      </c>
      <c r="H29" s="990">
        <f>+SUM(H20:H28)</f>
        <v>116660838.66324472</v>
      </c>
      <c r="K29" s="990">
        <f>+SUM(K20:K28)</f>
        <v>91257905.25999999</v>
      </c>
      <c r="N29" s="888">
        <f>+SUM(N20:N28)</f>
        <v>247927.37665526915</v>
      </c>
      <c r="O29" s="448"/>
    </row>
    <row r="30" spans="2:15" ht="12.75" thickTop="1" x14ac:dyDescent="0.2">
      <c r="N30" s="1114"/>
      <c r="O30" s="448"/>
    </row>
    <row r="31" spans="2:15" x14ac:dyDescent="0.2">
      <c r="B31" s="638">
        <v>44572</v>
      </c>
      <c r="C31" t="s">
        <v>604</v>
      </c>
      <c r="D31" s="857">
        <v>28300</v>
      </c>
      <c r="E31">
        <f t="shared" ref="E31:E35" si="15">F31/D31</f>
        <v>100.12653710247349</v>
      </c>
      <c r="F31" s="858">
        <v>2833581</v>
      </c>
      <c r="G31">
        <v>151.08712758671732</v>
      </c>
      <c r="H31" s="881">
        <f t="shared" ref="H31:H48" si="16">+G31*D31</f>
        <v>4275765.7107041003</v>
      </c>
      <c r="I31" s="858">
        <f t="shared" ref="I31:I48" si="17">F31-H31</f>
        <v>-1442184.7107041003</v>
      </c>
      <c r="J31">
        <v>97.319999999999979</v>
      </c>
      <c r="K31" s="881">
        <f t="shared" ref="K31:K48" si="18">J31*D31</f>
        <v>2754155.9999999995</v>
      </c>
      <c r="L31" s="858">
        <f t="shared" ref="L31:L48" si="19">+F31-K31</f>
        <v>79425.000000000466</v>
      </c>
      <c r="M31" t="s">
        <v>494</v>
      </c>
      <c r="N31" s="753">
        <v>4802.95</v>
      </c>
      <c r="O31" s="448"/>
    </row>
    <row r="32" spans="2:15" x14ac:dyDescent="0.2">
      <c r="B32" s="638">
        <v>44573</v>
      </c>
      <c r="C32" t="s">
        <v>604</v>
      </c>
      <c r="D32" s="857">
        <v>4500</v>
      </c>
      <c r="E32">
        <f t="shared" si="15"/>
        <v>101.10044444444445</v>
      </c>
      <c r="F32" s="858">
        <v>454952</v>
      </c>
      <c r="G32">
        <v>151.08712758671734</v>
      </c>
      <c r="H32" s="881">
        <f t="shared" si="16"/>
        <v>679892.0741402281</v>
      </c>
      <c r="I32" s="858">
        <f t="shared" si="17"/>
        <v>-224940.0741402281</v>
      </c>
      <c r="J32">
        <v>97.319999999999979</v>
      </c>
      <c r="K32" s="881">
        <f t="shared" si="18"/>
        <v>437939.99999999988</v>
      </c>
      <c r="L32" s="858">
        <f t="shared" si="19"/>
        <v>17012.000000000116</v>
      </c>
      <c r="M32" t="s">
        <v>494</v>
      </c>
      <c r="N32" s="753">
        <v>771.16000000000008</v>
      </c>
      <c r="O32" s="448"/>
    </row>
    <row r="33" spans="2:15" x14ac:dyDescent="0.2">
      <c r="B33" s="638">
        <v>44610</v>
      </c>
      <c r="C33" t="s">
        <v>604</v>
      </c>
      <c r="D33" s="857">
        <v>41100</v>
      </c>
      <c r="E33">
        <f t="shared" si="15"/>
        <v>90.294525547445261</v>
      </c>
      <c r="F33" s="858">
        <v>3711105</v>
      </c>
      <c r="G33">
        <v>151.08712758671732</v>
      </c>
      <c r="H33" s="881">
        <f t="shared" si="16"/>
        <v>6209680.9438140821</v>
      </c>
      <c r="I33" s="858">
        <f t="shared" si="17"/>
        <v>-2498575.9438140821</v>
      </c>
      <c r="J33">
        <v>97.319999999999979</v>
      </c>
      <c r="K33" s="881">
        <f t="shared" si="18"/>
        <v>3999851.9999999991</v>
      </c>
      <c r="L33" s="858">
        <f t="shared" si="19"/>
        <v>-288746.99999999907</v>
      </c>
      <c r="M33" t="s">
        <v>729</v>
      </c>
      <c r="N33" s="753">
        <v>6290.3275000000012</v>
      </c>
      <c r="O33" s="448"/>
    </row>
    <row r="34" spans="2:15" x14ac:dyDescent="0.2">
      <c r="B34" s="638">
        <v>44613</v>
      </c>
      <c r="C34" t="s">
        <v>604</v>
      </c>
      <c r="D34" s="857">
        <v>15600</v>
      </c>
      <c r="E34">
        <f t="shared" si="15"/>
        <v>90.417307692307688</v>
      </c>
      <c r="F34" s="858">
        <v>1410510</v>
      </c>
      <c r="G34">
        <v>151.08712758671732</v>
      </c>
      <c r="H34" s="881">
        <f t="shared" si="16"/>
        <v>2356959.1903527901</v>
      </c>
      <c r="I34" s="858">
        <f t="shared" si="17"/>
        <v>-946449.19035279006</v>
      </c>
      <c r="J34">
        <v>97.319999999999979</v>
      </c>
      <c r="K34" s="881">
        <f t="shared" si="18"/>
        <v>1518191.9999999998</v>
      </c>
      <c r="L34" s="858">
        <f t="shared" si="19"/>
        <v>-107681.99999999977</v>
      </c>
      <c r="M34" t="s">
        <v>729</v>
      </c>
      <c r="N34" s="753">
        <v>2390.8150000000001</v>
      </c>
      <c r="O34" s="448"/>
    </row>
    <row r="35" spans="2:15" x14ac:dyDescent="0.2">
      <c r="B35" s="638">
        <v>44665</v>
      </c>
      <c r="C35" t="s">
        <v>604</v>
      </c>
      <c r="D35" s="857">
        <v>200000</v>
      </c>
      <c r="E35">
        <f t="shared" si="15"/>
        <v>94.06</v>
      </c>
      <c r="F35" s="858">
        <v>18812000</v>
      </c>
      <c r="G35">
        <v>151.08712758671734</v>
      </c>
      <c r="H35" s="881">
        <f t="shared" si="16"/>
        <v>30217425.517343469</v>
      </c>
      <c r="I35" s="858">
        <f t="shared" si="17"/>
        <v>-11405425.517343469</v>
      </c>
      <c r="J35">
        <v>97.319999999999979</v>
      </c>
      <c r="K35" s="881">
        <f t="shared" si="18"/>
        <v>19463999.999999996</v>
      </c>
      <c r="L35" s="858">
        <f t="shared" si="19"/>
        <v>-651999.99999999627</v>
      </c>
      <c r="M35" t="s">
        <v>825</v>
      </c>
      <c r="N35" s="753">
        <v>31886.34</v>
      </c>
      <c r="O35" s="448"/>
    </row>
    <row r="36" spans="2:15" x14ac:dyDescent="0.2">
      <c r="B36" s="638">
        <v>44670</v>
      </c>
      <c r="C36" t="s">
        <v>604</v>
      </c>
      <c r="D36" s="857">
        <v>54000</v>
      </c>
      <c r="E36">
        <f>F36/D36</f>
        <v>84.699111111111108</v>
      </c>
      <c r="F36" s="858">
        <v>4573752</v>
      </c>
      <c r="G36">
        <v>151.08712758671734</v>
      </c>
      <c r="H36" s="881">
        <f t="shared" si="16"/>
        <v>8158704.8896827362</v>
      </c>
      <c r="I36" s="858">
        <f t="shared" si="17"/>
        <v>-3584952.8896827362</v>
      </c>
      <c r="J36">
        <v>97.319999999999979</v>
      </c>
      <c r="K36" s="881">
        <f t="shared" si="18"/>
        <v>5255279.9999999991</v>
      </c>
      <c r="L36" s="858">
        <f t="shared" si="19"/>
        <v>-681527.99999999907</v>
      </c>
      <c r="M36" t="s">
        <v>492</v>
      </c>
      <c r="N36" s="753">
        <v>7752.329999999999</v>
      </c>
      <c r="O36" s="448"/>
    </row>
    <row r="37" spans="2:15" x14ac:dyDescent="0.2">
      <c r="B37" s="638">
        <v>44671</v>
      </c>
      <c r="C37" t="s">
        <v>604</v>
      </c>
      <c r="D37" s="857">
        <v>13900</v>
      </c>
      <c r="E37">
        <f t="shared" ref="E37:E42" si="20">F37/D37</f>
        <v>83.115107913669064</v>
      </c>
      <c r="F37" s="858">
        <v>1155300</v>
      </c>
      <c r="G37">
        <v>151.08712758671732</v>
      </c>
      <c r="H37" s="881">
        <f t="shared" si="16"/>
        <v>2100111.0734553705</v>
      </c>
      <c r="I37" s="858">
        <f t="shared" si="17"/>
        <v>-944811.0734553705</v>
      </c>
      <c r="J37">
        <v>97.319999999999979</v>
      </c>
      <c r="K37" s="881">
        <f t="shared" si="18"/>
        <v>1352747.9999999998</v>
      </c>
      <c r="L37" s="858">
        <f t="shared" si="19"/>
        <v>-197447.99999999977</v>
      </c>
      <c r="M37" t="s">
        <v>689</v>
      </c>
      <c r="N37" s="753">
        <v>1958.23</v>
      </c>
      <c r="O37" s="448"/>
    </row>
    <row r="38" spans="2:15" x14ac:dyDescent="0.2">
      <c r="B38" s="638">
        <v>44673</v>
      </c>
      <c r="C38" t="s">
        <v>604</v>
      </c>
      <c r="D38" s="857">
        <v>22000</v>
      </c>
      <c r="E38">
        <f t="shared" si="20"/>
        <v>81.015045454545458</v>
      </c>
      <c r="F38" s="858">
        <v>1782331</v>
      </c>
      <c r="G38">
        <v>151.08712758671732</v>
      </c>
      <c r="H38" s="881">
        <f t="shared" si="16"/>
        <v>3323916.8069077809</v>
      </c>
      <c r="I38" s="858">
        <f t="shared" si="17"/>
        <v>-1541585.8069077809</v>
      </c>
      <c r="J38">
        <v>97.319999999999979</v>
      </c>
      <c r="K38" s="881">
        <f t="shared" si="18"/>
        <v>2141039.9999999995</v>
      </c>
      <c r="L38" s="858">
        <f t="shared" si="19"/>
        <v>-358708.99999999953</v>
      </c>
      <c r="M38" t="s">
        <v>526</v>
      </c>
      <c r="N38" s="753">
        <v>3021.06</v>
      </c>
      <c r="O38" s="448"/>
    </row>
    <row r="39" spans="2:15" x14ac:dyDescent="0.2">
      <c r="B39" s="638">
        <v>44676</v>
      </c>
      <c r="C39" t="s">
        <v>604</v>
      </c>
      <c r="D39" s="857">
        <v>107400</v>
      </c>
      <c r="E39">
        <f t="shared" si="20"/>
        <v>82.372197392923653</v>
      </c>
      <c r="F39" s="858">
        <v>8846774</v>
      </c>
      <c r="G39">
        <v>151.08712758671732</v>
      </c>
      <c r="H39" s="881">
        <f t="shared" si="16"/>
        <v>16226757.50281344</v>
      </c>
      <c r="I39" s="858">
        <f t="shared" si="17"/>
        <v>-7379983.5028134398</v>
      </c>
      <c r="J39">
        <v>97.319999999999979</v>
      </c>
      <c r="K39" s="881">
        <f t="shared" si="18"/>
        <v>10452167.999999998</v>
      </c>
      <c r="L39" s="858">
        <f t="shared" si="19"/>
        <v>-1605393.9999999981</v>
      </c>
      <c r="M39" t="s">
        <v>726</v>
      </c>
      <c r="N39" s="753">
        <v>14997.57</v>
      </c>
      <c r="O39" s="448"/>
    </row>
    <row r="40" spans="2:15" x14ac:dyDescent="0.2">
      <c r="B40" s="638">
        <v>44693</v>
      </c>
      <c r="C40" t="s">
        <v>604</v>
      </c>
      <c r="D40" s="857">
        <v>1100</v>
      </c>
      <c r="E40">
        <f t="shared" si="20"/>
        <v>70</v>
      </c>
      <c r="F40" s="858">
        <v>77000</v>
      </c>
      <c r="G40">
        <v>151.08712758671734</v>
      </c>
      <c r="H40" s="881">
        <f t="shared" si="16"/>
        <v>166195.84034538906</v>
      </c>
      <c r="I40" s="858">
        <f t="shared" si="17"/>
        <v>-89195.840345389064</v>
      </c>
      <c r="J40">
        <v>97.319999999999979</v>
      </c>
      <c r="K40" s="881">
        <f t="shared" si="18"/>
        <v>107051.99999999997</v>
      </c>
      <c r="L40" s="858">
        <f t="shared" si="19"/>
        <v>-30051.999999999971</v>
      </c>
      <c r="M40" t="s">
        <v>505</v>
      </c>
      <c r="N40" s="753">
        <v>130.52000000000001</v>
      </c>
      <c r="O40" s="448"/>
    </row>
    <row r="41" spans="2:15" x14ac:dyDescent="0.2">
      <c r="B41" s="638">
        <v>44694</v>
      </c>
      <c r="C41" t="s">
        <v>604</v>
      </c>
      <c r="D41" s="857">
        <v>15000</v>
      </c>
      <c r="E41">
        <f t="shared" si="20"/>
        <v>70</v>
      </c>
      <c r="F41" s="858">
        <v>1050000</v>
      </c>
      <c r="G41">
        <v>151.08712758671734</v>
      </c>
      <c r="H41" s="881">
        <f t="shared" si="16"/>
        <v>2266306.9138007602</v>
      </c>
      <c r="I41" s="858">
        <f t="shared" si="17"/>
        <v>-1216306.9138007602</v>
      </c>
      <c r="J41">
        <v>97.319999999999979</v>
      </c>
      <c r="K41" s="881">
        <f t="shared" si="18"/>
        <v>1459799.9999999998</v>
      </c>
      <c r="L41" s="858">
        <f t="shared" si="19"/>
        <v>-409799.99999999977</v>
      </c>
      <c r="M41" t="s">
        <v>526</v>
      </c>
      <c r="N41" s="753">
        <v>1779.75</v>
      </c>
      <c r="O41" s="448"/>
    </row>
    <row r="42" spans="2:15" x14ac:dyDescent="0.2">
      <c r="B42" s="638">
        <v>44698</v>
      </c>
      <c r="C42" t="s">
        <v>604</v>
      </c>
      <c r="D42" s="857">
        <v>2300</v>
      </c>
      <c r="E42">
        <f t="shared" si="20"/>
        <v>68.053913043478261</v>
      </c>
      <c r="F42" s="858">
        <v>156524</v>
      </c>
      <c r="G42">
        <v>151.08712758671734</v>
      </c>
      <c r="H42" s="881">
        <f t="shared" si="16"/>
        <v>347500.39344944991</v>
      </c>
      <c r="I42" s="858">
        <f t="shared" si="17"/>
        <v>-190976.39344944991</v>
      </c>
      <c r="J42">
        <v>97.319999999999979</v>
      </c>
      <c r="K42" s="881">
        <f t="shared" si="18"/>
        <v>223835.99999999994</v>
      </c>
      <c r="L42" s="858">
        <f t="shared" si="19"/>
        <v>-67311.999999999942</v>
      </c>
      <c r="M42" t="s">
        <v>854</v>
      </c>
      <c r="N42" s="753">
        <v>265.31</v>
      </c>
      <c r="O42" s="448"/>
    </row>
    <row r="43" spans="2:15" x14ac:dyDescent="0.2">
      <c r="B43" s="638">
        <v>44699</v>
      </c>
      <c r="C43" t="s">
        <v>604</v>
      </c>
      <c r="D43" s="857">
        <v>1000</v>
      </c>
      <c r="E43">
        <f>F43/D43</f>
        <v>70</v>
      </c>
      <c r="F43" s="858">
        <v>70000</v>
      </c>
      <c r="G43">
        <v>151.08712758671732</v>
      </c>
      <c r="H43" s="881">
        <f t="shared" si="16"/>
        <v>151087.12758671731</v>
      </c>
      <c r="I43" s="858">
        <f t="shared" si="17"/>
        <v>-81087.12758671731</v>
      </c>
      <c r="J43">
        <v>97.319999999999979</v>
      </c>
      <c r="K43" s="881">
        <f t="shared" si="18"/>
        <v>97319.999999999985</v>
      </c>
      <c r="L43" s="858">
        <f t="shared" si="19"/>
        <v>-27319.999999999985</v>
      </c>
      <c r="M43" t="s">
        <v>854</v>
      </c>
      <c r="N43" s="753">
        <v>118.65</v>
      </c>
      <c r="O43" s="448"/>
    </row>
    <row r="44" spans="2:15" x14ac:dyDescent="0.2">
      <c r="B44" s="638">
        <v>44707</v>
      </c>
      <c r="C44" t="s">
        <v>604</v>
      </c>
      <c r="D44" s="857">
        <v>234800</v>
      </c>
      <c r="E44">
        <f t="shared" ref="E44:E46" si="21">F44/D44</f>
        <v>67.259723168654176</v>
      </c>
      <c r="F44" s="858">
        <v>15792583</v>
      </c>
      <c r="G44">
        <v>151.08712758671732</v>
      </c>
      <c r="H44" s="881">
        <f t="shared" si="16"/>
        <v>35475257.557361223</v>
      </c>
      <c r="I44" s="858">
        <f t="shared" si="17"/>
        <v>-19682674.557361223</v>
      </c>
      <c r="J44">
        <v>97.319999999999979</v>
      </c>
      <c r="K44" s="881">
        <f t="shared" si="18"/>
        <v>22850735.999999996</v>
      </c>
      <c r="L44" s="858">
        <f t="shared" si="19"/>
        <v>-7058152.9999999963</v>
      </c>
      <c r="M44" t="s">
        <v>849</v>
      </c>
      <c r="N44" s="753">
        <v>26773.17</v>
      </c>
      <c r="O44" s="448"/>
    </row>
    <row r="45" spans="2:15" x14ac:dyDescent="0.2">
      <c r="B45" s="638">
        <v>44708</v>
      </c>
      <c r="C45" t="s">
        <v>604</v>
      </c>
      <c r="D45" s="857">
        <v>39900</v>
      </c>
      <c r="E45">
        <f t="shared" si="21"/>
        <v>70.131152882205512</v>
      </c>
      <c r="F45" s="858">
        <v>2798233</v>
      </c>
      <c r="G45">
        <v>151.08712758671732</v>
      </c>
      <c r="H45" s="881">
        <f t="shared" si="16"/>
        <v>6028376.3907100204</v>
      </c>
      <c r="I45" s="858">
        <f t="shared" si="17"/>
        <v>-3230143.3907100204</v>
      </c>
      <c r="J45">
        <v>97.319999999999979</v>
      </c>
      <c r="K45" s="881">
        <f t="shared" si="18"/>
        <v>3883067.9999999991</v>
      </c>
      <c r="L45" s="858">
        <f t="shared" si="19"/>
        <v>-1084834.9999999991</v>
      </c>
      <c r="M45" t="s">
        <v>666</v>
      </c>
      <c r="N45" s="753">
        <v>4743.7199999999993</v>
      </c>
      <c r="O45" s="448"/>
    </row>
    <row r="46" spans="2:15" x14ac:dyDescent="0.2">
      <c r="B46" s="638">
        <v>44715</v>
      </c>
      <c r="C46" t="s">
        <v>604</v>
      </c>
      <c r="D46" s="857">
        <v>100</v>
      </c>
      <c r="E46">
        <f t="shared" si="21"/>
        <v>67</v>
      </c>
      <c r="F46" s="858">
        <v>6700</v>
      </c>
      <c r="G46">
        <v>151.08712758671732</v>
      </c>
      <c r="H46" s="881">
        <f t="shared" si="16"/>
        <v>15108.712758671732</v>
      </c>
      <c r="I46" s="858">
        <f t="shared" si="17"/>
        <v>-8408.7127586717324</v>
      </c>
      <c r="J46">
        <v>97.319999999999979</v>
      </c>
      <c r="K46" s="881">
        <f t="shared" si="18"/>
        <v>9731.9999999999982</v>
      </c>
      <c r="L46" s="858">
        <f t="shared" si="19"/>
        <v>-3031.9999999999982</v>
      </c>
      <c r="M46" t="s">
        <v>492</v>
      </c>
      <c r="N46" s="753">
        <v>11.360000000000001</v>
      </c>
      <c r="O46" s="448"/>
    </row>
    <row r="47" spans="2:15" x14ac:dyDescent="0.2">
      <c r="B47" s="638">
        <v>44734</v>
      </c>
      <c r="C47" t="s">
        <v>604</v>
      </c>
      <c r="D47" s="857">
        <v>84000</v>
      </c>
      <c r="E47">
        <f>F47/D47</f>
        <v>63.058392857142856</v>
      </c>
      <c r="F47" s="858">
        <v>5296905</v>
      </c>
      <c r="G47">
        <v>151.08712758671732</v>
      </c>
      <c r="H47" s="881">
        <f t="shared" si="16"/>
        <v>12691318.717284255</v>
      </c>
      <c r="I47" s="858">
        <f t="shared" si="17"/>
        <v>-7394413.7172842547</v>
      </c>
      <c r="J47">
        <v>97.319999999999979</v>
      </c>
      <c r="K47" s="881">
        <f t="shared" si="18"/>
        <v>8174879.9999999981</v>
      </c>
      <c r="L47" s="858">
        <f t="shared" si="19"/>
        <v>-2877974.9999999981</v>
      </c>
      <c r="M47" t="s">
        <v>685</v>
      </c>
      <c r="N47" s="753">
        <v>8978.26</v>
      </c>
      <c r="O47" s="448"/>
    </row>
    <row r="48" spans="2:15" x14ac:dyDescent="0.2">
      <c r="B48" s="638">
        <v>44743</v>
      </c>
      <c r="C48" t="s">
        <v>604</v>
      </c>
      <c r="D48" s="857">
        <v>66500</v>
      </c>
      <c r="E48">
        <f t="shared" ref="E48" si="22">F48/D48</f>
        <v>66.77</v>
      </c>
      <c r="F48" s="858">
        <v>4440205</v>
      </c>
      <c r="G48">
        <v>151.08712758671732</v>
      </c>
      <c r="H48" s="881">
        <f t="shared" si="16"/>
        <v>10047293.984516701</v>
      </c>
      <c r="I48" s="858">
        <f t="shared" si="17"/>
        <v>-5607088.9845167007</v>
      </c>
      <c r="J48">
        <v>97.319999999999979</v>
      </c>
      <c r="K48" s="881">
        <f t="shared" si="18"/>
        <v>6471779.9999999981</v>
      </c>
      <c r="L48" s="858">
        <f t="shared" si="19"/>
        <v>-2031574.9999999981</v>
      </c>
      <c r="M48" t="s">
        <v>505</v>
      </c>
      <c r="N48" s="753">
        <v>7526.1500000000005</v>
      </c>
      <c r="O48" s="448"/>
    </row>
    <row r="49" spans="2:15" x14ac:dyDescent="0.2">
      <c r="N49" s="753"/>
      <c r="O49" s="448"/>
    </row>
    <row r="50" spans="2:15" ht="12.75" thickBot="1" x14ac:dyDescent="0.25">
      <c r="D50" s="888">
        <f>+SUM(D31:D49)</f>
        <v>931500</v>
      </c>
      <c r="F50" s="888">
        <f>+SUM(F31:F49)</f>
        <v>73268455</v>
      </c>
      <c r="H50" s="888">
        <f>+SUM(H31:H49)</f>
        <v>140737659.34702721</v>
      </c>
      <c r="K50" s="888">
        <f>+SUM(K31:K49)</f>
        <v>90653579.999999985</v>
      </c>
      <c r="N50" s="888">
        <f>+SUM(N31:N49)</f>
        <v>124197.67249999999</v>
      </c>
      <c r="O50" s="448"/>
    </row>
    <row r="51" spans="2:15" ht="12.75" thickTop="1" x14ac:dyDescent="0.2">
      <c r="N51" s="1114"/>
      <c r="O51" s="448"/>
    </row>
    <row r="52" spans="2:15" x14ac:dyDescent="0.2">
      <c r="B52" s="638">
        <v>44588</v>
      </c>
      <c r="C52" t="s">
        <v>138</v>
      </c>
      <c r="D52" s="857">
        <v>866000</v>
      </c>
      <c r="E52">
        <f t="shared" ref="E52:E54" si="23">F52/D52</f>
        <v>23.086956666666666</v>
      </c>
      <c r="F52" s="858">
        <v>19993304.473333333</v>
      </c>
      <c r="G52">
        <v>27.644410640195144</v>
      </c>
      <c r="H52" s="881">
        <f t="shared" ref="H52:H54" si="24">+G52*D52</f>
        <v>23940059.614408996</v>
      </c>
      <c r="I52" s="858">
        <f t="shared" ref="I52:I54" si="25">F52-H52</f>
        <v>-3946755.1410756633</v>
      </c>
      <c r="J52">
        <v>24.78</v>
      </c>
      <c r="K52" s="881">
        <f t="shared" ref="K52:K54" si="26">J52*D52</f>
        <v>21459480</v>
      </c>
      <c r="L52" s="858">
        <f t="shared" ref="L52:L54" si="27">+F52-K52</f>
        <v>-1466175.5266666673</v>
      </c>
      <c r="M52" t="s">
        <v>492</v>
      </c>
      <c r="N52" s="1114">
        <v>33889.592400000001</v>
      </c>
      <c r="O52" s="448"/>
    </row>
    <row r="53" spans="2:15" x14ac:dyDescent="0.2">
      <c r="B53" s="638">
        <v>44673</v>
      </c>
      <c r="C53" t="s">
        <v>138</v>
      </c>
      <c r="D53" s="857">
        <v>200000</v>
      </c>
      <c r="E53">
        <f t="shared" si="23"/>
        <v>24.31315</v>
      </c>
      <c r="F53" s="858">
        <v>4862630</v>
      </c>
      <c r="G53">
        <v>27.644410640195137</v>
      </c>
      <c r="H53" s="881">
        <f t="shared" si="24"/>
        <v>5528882.1280390276</v>
      </c>
      <c r="I53" s="858">
        <f t="shared" si="25"/>
        <v>-666252.12803902756</v>
      </c>
      <c r="J53">
        <v>24.78</v>
      </c>
      <c r="K53" s="881">
        <f t="shared" si="26"/>
        <v>4956000</v>
      </c>
      <c r="L53" s="858">
        <f t="shared" si="27"/>
        <v>-93370</v>
      </c>
      <c r="M53" t="s">
        <v>849</v>
      </c>
      <c r="N53" s="1114">
        <v>8249.9</v>
      </c>
      <c r="O53" s="448"/>
    </row>
    <row r="54" spans="2:15" x14ac:dyDescent="0.2">
      <c r="B54" s="638">
        <v>44761</v>
      </c>
      <c r="C54" t="s">
        <v>138</v>
      </c>
      <c r="D54" s="857">
        <v>6500</v>
      </c>
      <c r="E54">
        <f t="shared" si="23"/>
        <v>20.507692307692309</v>
      </c>
      <c r="F54" s="858">
        <v>133300</v>
      </c>
      <c r="G54">
        <v>27.644410640195012</v>
      </c>
      <c r="H54" s="881">
        <f t="shared" si="24"/>
        <v>179688.66916126758</v>
      </c>
      <c r="I54" s="858">
        <f t="shared" si="25"/>
        <v>-46388.669161267579</v>
      </c>
      <c r="J54">
        <v>24.78</v>
      </c>
      <c r="K54" s="881">
        <f t="shared" si="26"/>
        <v>161070</v>
      </c>
      <c r="L54" s="858">
        <f t="shared" si="27"/>
        <v>-27770</v>
      </c>
      <c r="M54" t="s">
        <v>436</v>
      </c>
      <c r="N54" s="1114">
        <v>226.23</v>
      </c>
      <c r="O54" s="448"/>
    </row>
    <row r="55" spans="2:15" x14ac:dyDescent="0.2">
      <c r="N55" s="1114"/>
      <c r="O55" s="448"/>
    </row>
    <row r="56" spans="2:15" ht="12.75" thickBot="1" x14ac:dyDescent="0.25">
      <c r="D56" s="888">
        <f>+SUM(D52:D55)</f>
        <v>1072500</v>
      </c>
      <c r="F56" s="888">
        <f>+SUM(F52:F55)</f>
        <v>24989234.473333333</v>
      </c>
      <c r="H56" s="888">
        <f>+SUM(H52:H55)</f>
        <v>29648630.411609292</v>
      </c>
      <c r="K56" s="888">
        <f>+SUM(K52:K55)</f>
        <v>26576550</v>
      </c>
      <c r="N56" s="888">
        <f>+SUM(N52:N55)</f>
        <v>42365.722400000006</v>
      </c>
      <c r="O56" s="448"/>
    </row>
    <row r="57" spans="2:15" ht="12.75" thickTop="1" x14ac:dyDescent="0.2">
      <c r="N57" s="1114"/>
      <c r="O57" s="448"/>
    </row>
    <row r="58" spans="2:15" x14ac:dyDescent="0.2">
      <c r="B58" s="638">
        <v>44596</v>
      </c>
      <c r="C58" t="s">
        <v>117</v>
      </c>
      <c r="D58" s="857">
        <v>23727</v>
      </c>
      <c r="E58">
        <f t="shared" ref="E58:E62" si="28">F58/D58</f>
        <v>399.85152872727275</v>
      </c>
      <c r="F58" s="858">
        <v>9487277.222112</v>
      </c>
      <c r="G58">
        <v>464.48030911550336</v>
      </c>
      <c r="H58" s="881">
        <f t="shared" ref="H58:H62" si="29">+G58*D58</f>
        <v>11020724.294383548</v>
      </c>
      <c r="I58" s="858">
        <f t="shared" ref="I58:I62" si="30">F58-H58</f>
        <v>-1533447.0722715482</v>
      </c>
      <c r="J58">
        <v>357.62</v>
      </c>
      <c r="K58" s="881">
        <f t="shared" ref="K58:K62" si="31">J58*D58</f>
        <v>8485249.7400000002</v>
      </c>
      <c r="L58" s="858">
        <f t="shared" ref="L58:L62" si="32">+F58-K58</f>
        <v>1002027.4821119998</v>
      </c>
      <c r="M58" t="s">
        <v>779</v>
      </c>
      <c r="N58" s="1114">
        <v>16080.935350000002</v>
      </c>
      <c r="O58" s="448"/>
    </row>
    <row r="59" spans="2:15" x14ac:dyDescent="0.2">
      <c r="B59" s="638">
        <v>44596</v>
      </c>
      <c r="C59" t="s">
        <v>117</v>
      </c>
      <c r="D59" s="857">
        <v>86280</v>
      </c>
      <c r="E59">
        <f t="shared" si="28"/>
        <v>393.67540075000011</v>
      </c>
      <c r="F59" s="858">
        <v>33966313.576710008</v>
      </c>
      <c r="G59">
        <v>464.48030911550336</v>
      </c>
      <c r="H59" s="881">
        <f t="shared" si="29"/>
        <v>40075361.070485629</v>
      </c>
      <c r="I59" s="858">
        <f t="shared" si="30"/>
        <v>-6109047.4937756211</v>
      </c>
      <c r="J59">
        <v>357.62</v>
      </c>
      <c r="K59" s="881">
        <f t="shared" si="31"/>
        <v>30855453.600000001</v>
      </c>
      <c r="L59" s="858">
        <f t="shared" si="32"/>
        <v>3110859.9767100066</v>
      </c>
      <c r="M59" t="s">
        <v>685</v>
      </c>
      <c r="N59" s="1114">
        <v>57572.900268000005</v>
      </c>
      <c r="O59" s="448"/>
    </row>
    <row r="60" spans="2:15" x14ac:dyDescent="0.2">
      <c r="B60" s="638">
        <v>44599</v>
      </c>
      <c r="C60" t="s">
        <v>117</v>
      </c>
      <c r="D60" s="857">
        <v>20000</v>
      </c>
      <c r="E60">
        <f t="shared" si="28"/>
        <v>391.72704493333333</v>
      </c>
      <c r="F60" s="858">
        <v>7834540.8986666668</v>
      </c>
      <c r="G60">
        <v>464.48030911550336</v>
      </c>
      <c r="H60" s="881">
        <f t="shared" si="29"/>
        <v>9289606.1823100671</v>
      </c>
      <c r="I60" s="858">
        <f t="shared" si="30"/>
        <v>-1455065.2836434003</v>
      </c>
      <c r="J60">
        <v>357.62</v>
      </c>
      <c r="K60" s="881">
        <f t="shared" si="31"/>
        <v>7152400</v>
      </c>
      <c r="L60" s="858">
        <f t="shared" si="32"/>
        <v>682140.89866666682</v>
      </c>
      <c r="M60" t="s">
        <v>666</v>
      </c>
      <c r="N60" s="1114">
        <v>13279.76</v>
      </c>
      <c r="O60" s="448"/>
    </row>
    <row r="61" spans="2:15" x14ac:dyDescent="0.2">
      <c r="B61" s="638">
        <v>44600</v>
      </c>
      <c r="C61" t="s">
        <v>117</v>
      </c>
      <c r="D61" s="857">
        <v>34771</v>
      </c>
      <c r="E61">
        <f t="shared" si="28"/>
        <v>390.32196629375056</v>
      </c>
      <c r="F61" s="858">
        <v>13571885.090000002</v>
      </c>
      <c r="G61">
        <v>464.48030911550336</v>
      </c>
      <c r="H61" s="881">
        <f t="shared" si="29"/>
        <v>16150444.828255167</v>
      </c>
      <c r="I61" s="858">
        <f t="shared" si="30"/>
        <v>-2578559.7382551655</v>
      </c>
      <c r="J61">
        <v>357.62</v>
      </c>
      <c r="K61" s="881">
        <f t="shared" si="31"/>
        <v>12434805.02</v>
      </c>
      <c r="L61" s="858">
        <f t="shared" si="32"/>
        <v>1137080.0700000022</v>
      </c>
      <c r="M61" t="s">
        <v>518</v>
      </c>
      <c r="N61" s="1114">
        <v>23004.68</v>
      </c>
      <c r="O61" s="448"/>
    </row>
    <row r="62" spans="2:15" x14ac:dyDescent="0.2">
      <c r="B62" s="638">
        <v>44601</v>
      </c>
      <c r="C62" t="s">
        <v>117</v>
      </c>
      <c r="D62" s="857">
        <v>15000</v>
      </c>
      <c r="E62">
        <f t="shared" si="28"/>
        <v>393.07448666666664</v>
      </c>
      <c r="F62" s="858">
        <v>5896117.2999999998</v>
      </c>
      <c r="G62">
        <v>464.48030911550336</v>
      </c>
      <c r="H62" s="881">
        <f t="shared" si="29"/>
        <v>6967204.6367325503</v>
      </c>
      <c r="I62" s="858">
        <f t="shared" si="30"/>
        <v>-1071087.3367325505</v>
      </c>
      <c r="J62">
        <v>357.62</v>
      </c>
      <c r="K62" s="881">
        <f t="shared" si="31"/>
        <v>5364300</v>
      </c>
      <c r="L62" s="858">
        <f t="shared" si="32"/>
        <v>531817.29999999981</v>
      </c>
      <c r="M62" t="s">
        <v>492</v>
      </c>
      <c r="N62" s="1114">
        <v>9994.0500000000011</v>
      </c>
      <c r="O62" s="448"/>
    </row>
    <row r="63" spans="2:15" x14ac:dyDescent="0.2">
      <c r="N63" s="1114"/>
      <c r="O63" s="448"/>
    </row>
    <row r="64" spans="2:15" ht="12.75" thickBot="1" x14ac:dyDescent="0.25">
      <c r="D64" s="888">
        <f>+SUM(D58:D63)</f>
        <v>179778</v>
      </c>
      <c r="F64" s="888">
        <f>+SUM(F58:F63)</f>
        <v>70756134.087488681</v>
      </c>
      <c r="H64" s="888">
        <f>+SUM(H58:H63)</f>
        <v>83503341.012166962</v>
      </c>
      <c r="K64" s="888">
        <f>+SUM(K58:K63)</f>
        <v>64292208.359999999</v>
      </c>
      <c r="N64" s="888">
        <f>+SUM(N58:N63)</f>
        <v>119932.32561800002</v>
      </c>
      <c r="O64" s="448"/>
    </row>
    <row r="65" spans="2:15" ht="12.75" thickTop="1" x14ac:dyDescent="0.2">
      <c r="N65" s="1114"/>
      <c r="O65" s="448"/>
    </row>
    <row r="66" spans="2:15" x14ac:dyDescent="0.2">
      <c r="B66" s="638">
        <v>44602</v>
      </c>
      <c r="C66" t="s">
        <v>168</v>
      </c>
      <c r="D66" s="857">
        <v>1000000</v>
      </c>
      <c r="E66">
        <f t="shared" ref="E66:E69" si="33">F66/D66</f>
        <v>61.971020000000003</v>
      </c>
      <c r="F66" s="858">
        <v>61971020</v>
      </c>
      <c r="G66">
        <v>55.067626962663596</v>
      </c>
      <c r="H66" s="881">
        <f t="shared" ref="H66:H73" si="34">+G66*D66</f>
        <v>55067626.962663598</v>
      </c>
      <c r="I66" s="858">
        <f t="shared" ref="I66:I73" si="35">F66-H66</f>
        <v>6903393.0373364016</v>
      </c>
      <c r="J66">
        <v>54.21</v>
      </c>
      <c r="K66" s="881">
        <f t="shared" ref="K66:K73" si="36">J66*D66</f>
        <v>54210000</v>
      </c>
      <c r="L66" s="858">
        <f t="shared" ref="L66:L73" si="37">+F66-K66</f>
        <v>7761020</v>
      </c>
      <c r="M66" t="s">
        <v>846</v>
      </c>
      <c r="N66" s="1114">
        <v>105040.88</v>
      </c>
      <c r="O66" s="448"/>
    </row>
    <row r="67" spans="2:15" x14ac:dyDescent="0.2">
      <c r="B67" s="638">
        <v>44648</v>
      </c>
      <c r="C67" t="s">
        <v>168</v>
      </c>
      <c r="D67" s="857">
        <v>156000</v>
      </c>
      <c r="E67">
        <f t="shared" si="33"/>
        <v>62.027371707317073</v>
      </c>
      <c r="F67" s="858">
        <v>9676269.9863414634</v>
      </c>
      <c r="G67">
        <v>55.067626962663603</v>
      </c>
      <c r="H67" s="881">
        <f t="shared" si="34"/>
        <v>8590549.8061755225</v>
      </c>
      <c r="I67" s="858">
        <f t="shared" si="35"/>
        <v>1085720.1801659409</v>
      </c>
      <c r="J67">
        <v>54.21</v>
      </c>
      <c r="K67" s="881">
        <f t="shared" si="36"/>
        <v>8456760</v>
      </c>
      <c r="L67" s="858">
        <f t="shared" si="37"/>
        <v>1219509.9863414634</v>
      </c>
      <c r="M67" t="s">
        <v>493</v>
      </c>
      <c r="N67" s="1114">
        <v>16405.114653268294</v>
      </c>
      <c r="O67" s="448"/>
    </row>
    <row r="68" spans="2:15" x14ac:dyDescent="0.2">
      <c r="B68" s="638">
        <v>44648</v>
      </c>
      <c r="C68" t="s">
        <v>168</v>
      </c>
      <c r="D68" s="857">
        <v>435000</v>
      </c>
      <c r="E68">
        <f t="shared" si="33"/>
        <v>62.000420139372828</v>
      </c>
      <c r="F68" s="858">
        <v>26970182.76062718</v>
      </c>
      <c r="G68">
        <v>55.067626962663603</v>
      </c>
      <c r="H68" s="881">
        <f t="shared" si="34"/>
        <v>23954417.728758667</v>
      </c>
      <c r="I68" s="858">
        <f t="shared" si="35"/>
        <v>3015765.0318685137</v>
      </c>
      <c r="J68">
        <v>54.21</v>
      </c>
      <c r="K68" s="881">
        <f t="shared" si="36"/>
        <v>23581350</v>
      </c>
      <c r="L68" s="858">
        <f t="shared" si="37"/>
        <v>3388832.7606271803</v>
      </c>
      <c r="M68" t="s">
        <v>726</v>
      </c>
      <c r="N68" s="1114">
        <v>45714.477979094081</v>
      </c>
      <c r="O68" s="448"/>
    </row>
    <row r="69" spans="2:15" x14ac:dyDescent="0.2">
      <c r="B69" s="638">
        <v>44658</v>
      </c>
      <c r="C69" t="s">
        <v>168</v>
      </c>
      <c r="D69" s="857">
        <v>78500</v>
      </c>
      <c r="E69">
        <f t="shared" si="33"/>
        <v>73.011867006369428</v>
      </c>
      <c r="F69" s="858">
        <v>5731431.5600000005</v>
      </c>
      <c r="G69">
        <v>55.067626962663596</v>
      </c>
      <c r="H69" s="881">
        <f t="shared" si="34"/>
        <v>4322808.7165690921</v>
      </c>
      <c r="I69" s="858">
        <f t="shared" si="35"/>
        <v>1408622.8434309084</v>
      </c>
      <c r="J69">
        <v>54.21</v>
      </c>
      <c r="K69" s="881">
        <f t="shared" si="36"/>
        <v>4255485</v>
      </c>
      <c r="L69" s="858">
        <f t="shared" si="37"/>
        <v>1475946.5600000005</v>
      </c>
      <c r="M69" t="s">
        <v>526</v>
      </c>
      <c r="N69" s="1114">
        <v>9714.7799999999988</v>
      </c>
      <c r="O69" s="448"/>
    </row>
    <row r="70" spans="2:15" x14ac:dyDescent="0.2">
      <c r="B70" s="638">
        <v>44715</v>
      </c>
      <c r="C70" t="s">
        <v>168</v>
      </c>
      <c r="D70" s="857">
        <v>235061</v>
      </c>
      <c r="E70">
        <f>F70/D70</f>
        <v>79.568120530415513</v>
      </c>
      <c r="F70" s="858">
        <v>18703361.98</v>
      </c>
      <c r="G70">
        <v>55.067626962663589</v>
      </c>
      <c r="H70" s="881">
        <f t="shared" si="34"/>
        <v>12944251.461470665</v>
      </c>
      <c r="I70" s="858">
        <f t="shared" si="35"/>
        <v>5759110.518529335</v>
      </c>
      <c r="J70">
        <v>54.21</v>
      </c>
      <c r="K70" s="881">
        <f t="shared" si="36"/>
        <v>12742656.810000001</v>
      </c>
      <c r="L70" s="858">
        <f t="shared" si="37"/>
        <v>5960705.1699999999</v>
      </c>
      <c r="M70" t="s">
        <v>505</v>
      </c>
      <c r="N70" s="1114">
        <v>31702.2</v>
      </c>
      <c r="O70" s="448"/>
    </row>
    <row r="71" spans="2:15" x14ac:dyDescent="0.2">
      <c r="B71" s="638">
        <v>44725</v>
      </c>
      <c r="C71" t="s">
        <v>168</v>
      </c>
      <c r="D71" s="857">
        <v>258238</v>
      </c>
      <c r="E71">
        <f>F71/D71</f>
        <v>79.917077308529343</v>
      </c>
      <c r="F71" s="858">
        <v>20637626.210000001</v>
      </c>
      <c r="G71">
        <v>55.067626962663596</v>
      </c>
      <c r="H71" s="881">
        <f t="shared" si="34"/>
        <v>14220553.851584321</v>
      </c>
      <c r="I71" s="858">
        <f t="shared" si="35"/>
        <v>6417072.35841568</v>
      </c>
      <c r="J71">
        <v>54.209999999999994</v>
      </c>
      <c r="K71" s="881">
        <f t="shared" si="36"/>
        <v>13999081.979999999</v>
      </c>
      <c r="L71" s="858">
        <f t="shared" si="37"/>
        <v>6638544.2300000023</v>
      </c>
      <c r="M71" t="s">
        <v>504</v>
      </c>
      <c r="N71" s="1114">
        <v>34980.78</v>
      </c>
      <c r="O71" s="448"/>
    </row>
    <row r="72" spans="2:15" x14ac:dyDescent="0.2">
      <c r="B72" s="638">
        <v>44761</v>
      </c>
      <c r="C72" t="s">
        <v>168</v>
      </c>
      <c r="D72" s="857">
        <v>501600</v>
      </c>
      <c r="E72">
        <f t="shared" ref="E72:E73" si="38">F72/D72</f>
        <v>72.444226930000013</v>
      </c>
      <c r="F72" s="858">
        <v>36338024.228088006</v>
      </c>
      <c r="G72">
        <v>55.06762696266361</v>
      </c>
      <c r="H72" s="881">
        <f t="shared" si="34"/>
        <v>27621921.684472065</v>
      </c>
      <c r="I72" s="858">
        <f t="shared" si="35"/>
        <v>8716102.543615941</v>
      </c>
      <c r="J72">
        <v>54.209999999999987</v>
      </c>
      <c r="K72" s="881">
        <f t="shared" si="36"/>
        <v>27191735.999999993</v>
      </c>
      <c r="L72" s="858">
        <f t="shared" si="37"/>
        <v>9146288.2280880138</v>
      </c>
      <c r="M72" t="s">
        <v>854</v>
      </c>
      <c r="N72" s="1114">
        <v>61592.946144000001</v>
      </c>
      <c r="O72" s="448"/>
    </row>
    <row r="73" spans="2:15" x14ac:dyDescent="0.2">
      <c r="B73" s="638">
        <v>44764</v>
      </c>
      <c r="C73" t="s">
        <v>168</v>
      </c>
      <c r="D73" s="857">
        <v>5101</v>
      </c>
      <c r="E73">
        <f t="shared" si="38"/>
        <v>65.020623407175066</v>
      </c>
      <c r="F73" s="858">
        <v>331670.2</v>
      </c>
      <c r="G73">
        <v>55.067626962665713</v>
      </c>
      <c r="H73" s="881">
        <f t="shared" si="34"/>
        <v>280899.96513655782</v>
      </c>
      <c r="I73" s="858">
        <f t="shared" si="35"/>
        <v>50770.234863442194</v>
      </c>
      <c r="J73">
        <v>54.210000000001635</v>
      </c>
      <c r="K73" s="881">
        <f t="shared" si="36"/>
        <v>276525.21000000834</v>
      </c>
      <c r="L73" s="858">
        <f t="shared" si="37"/>
        <v>55144.989999991667</v>
      </c>
      <c r="M73" t="s">
        <v>729</v>
      </c>
      <c r="N73" s="1114">
        <v>562.1853000000001</v>
      </c>
      <c r="O73" s="448"/>
    </row>
    <row r="74" spans="2:15" x14ac:dyDescent="0.2">
      <c r="N74" s="1114"/>
      <c r="O74" s="448"/>
    </row>
    <row r="75" spans="2:15" ht="12.75" thickBot="1" x14ac:dyDescent="0.25">
      <c r="D75" s="888">
        <f>+SUM(D66:D74)</f>
        <v>2669500</v>
      </c>
      <c r="F75" s="888">
        <f>+SUM(F66:F74)</f>
        <v>180359586.92505664</v>
      </c>
      <c r="H75" s="888">
        <f>+SUM(H66:H74)</f>
        <v>147003030.17683047</v>
      </c>
      <c r="K75" s="888">
        <f>+SUM(K66:K74)</f>
        <v>144713595</v>
      </c>
      <c r="N75" s="888">
        <f>+SUM(N66:N74)</f>
        <v>305713.3640763624</v>
      </c>
      <c r="O75" s="448"/>
    </row>
    <row r="76" spans="2:15" ht="12.75" thickTop="1" x14ac:dyDescent="0.2">
      <c r="N76" s="1114"/>
      <c r="O76" s="448"/>
    </row>
    <row r="77" spans="2:15" x14ac:dyDescent="0.2">
      <c r="N77" s="1114"/>
      <c r="O77" s="448"/>
    </row>
    <row r="78" spans="2:15" x14ac:dyDescent="0.2">
      <c r="B78" s="638">
        <v>44659</v>
      </c>
      <c r="C78" t="s">
        <v>723</v>
      </c>
      <c r="D78" s="857">
        <v>52000</v>
      </c>
      <c r="E78">
        <f t="shared" ref="E78:E82" si="39">F78/D78</f>
        <v>32.625396825396827</v>
      </c>
      <c r="F78" s="858">
        <v>1696520.634920635</v>
      </c>
      <c r="G78">
        <v>55.59506151287632</v>
      </c>
      <c r="H78" s="881">
        <f t="shared" ref="H78:H82" si="40">+G78*D78</f>
        <v>2890943.1986695686</v>
      </c>
      <c r="I78" s="858">
        <f t="shared" ref="I78:I82" si="41">F78-H78</f>
        <v>-1194422.5637489336</v>
      </c>
      <c r="J78">
        <v>41.76</v>
      </c>
      <c r="K78" s="881">
        <f t="shared" ref="K78:K82" si="42">J78*D78</f>
        <v>2171520</v>
      </c>
      <c r="L78" s="858">
        <f t="shared" ref="L78:L82" si="43">+F78-K78</f>
        <v>-474999.36507936497</v>
      </c>
      <c r="M78" t="s">
        <v>872</v>
      </c>
      <c r="N78" s="753">
        <v>2875.7447619047621</v>
      </c>
      <c r="O78" s="448"/>
    </row>
    <row r="79" spans="2:15" x14ac:dyDescent="0.2">
      <c r="B79" s="638">
        <v>44691</v>
      </c>
      <c r="C79" t="s">
        <v>723</v>
      </c>
      <c r="D79" s="857">
        <v>4500</v>
      </c>
      <c r="E79">
        <f t="shared" si="39"/>
        <v>26.3</v>
      </c>
      <c r="F79" s="858">
        <v>118350</v>
      </c>
      <c r="G79">
        <v>55.59506151287632</v>
      </c>
      <c r="H79" s="881">
        <f t="shared" si="40"/>
        <v>250177.77680794345</v>
      </c>
      <c r="I79" s="858">
        <f t="shared" si="41"/>
        <v>-131827.77680794345</v>
      </c>
      <c r="J79">
        <v>41.76</v>
      </c>
      <c r="K79" s="881">
        <f t="shared" si="42"/>
        <v>187920</v>
      </c>
      <c r="L79" s="858">
        <f t="shared" si="43"/>
        <v>-69570</v>
      </c>
      <c r="M79" t="s">
        <v>492</v>
      </c>
      <c r="N79" s="753">
        <v>200.86</v>
      </c>
      <c r="O79" s="448"/>
    </row>
    <row r="80" spans="2:15" x14ac:dyDescent="0.2">
      <c r="B80" s="638">
        <v>44694</v>
      </c>
      <c r="C80" t="s">
        <v>723</v>
      </c>
      <c r="D80" s="857">
        <v>257500</v>
      </c>
      <c r="E80">
        <f t="shared" si="39"/>
        <v>25.683145631067962</v>
      </c>
      <c r="F80" s="858">
        <v>6613410</v>
      </c>
      <c r="G80">
        <v>55.59506151287632</v>
      </c>
      <c r="H80" s="881">
        <f t="shared" si="40"/>
        <v>14315728.339565653</v>
      </c>
      <c r="I80" s="858">
        <f t="shared" si="41"/>
        <v>-7702318.3395656534</v>
      </c>
      <c r="J80">
        <v>41.76</v>
      </c>
      <c r="K80" s="881">
        <f t="shared" si="42"/>
        <v>10753200</v>
      </c>
      <c r="L80" s="858">
        <f t="shared" si="43"/>
        <v>-4139790</v>
      </c>
      <c r="M80" t="s">
        <v>526</v>
      </c>
      <c r="N80" s="753">
        <v>11209.740000000002</v>
      </c>
      <c r="O80" s="448"/>
    </row>
    <row r="81" spans="2:15" x14ac:dyDescent="0.2">
      <c r="B81" s="638">
        <v>44706</v>
      </c>
      <c r="C81" t="s">
        <v>723</v>
      </c>
      <c r="D81" s="857">
        <v>307500</v>
      </c>
      <c r="E81">
        <f t="shared" si="39"/>
        <v>26.965284552845528</v>
      </c>
      <c r="F81" s="858">
        <v>8291825</v>
      </c>
      <c r="G81">
        <v>55.59506151287632</v>
      </c>
      <c r="H81" s="881">
        <f t="shared" si="40"/>
        <v>17095481.415209468</v>
      </c>
      <c r="I81" s="858">
        <f t="shared" si="41"/>
        <v>-8803656.4152094685</v>
      </c>
      <c r="J81">
        <v>41.76</v>
      </c>
      <c r="K81" s="881">
        <f t="shared" si="42"/>
        <v>12841200</v>
      </c>
      <c r="L81" s="858">
        <f t="shared" si="43"/>
        <v>-4549375</v>
      </c>
      <c r="M81" t="s">
        <v>494</v>
      </c>
      <c r="N81" s="753">
        <v>14055.17</v>
      </c>
      <c r="O81" s="448"/>
    </row>
    <row r="82" spans="2:15" x14ac:dyDescent="0.2">
      <c r="B82" s="638">
        <v>44707</v>
      </c>
      <c r="C82" t="s">
        <v>723</v>
      </c>
      <c r="D82" s="857">
        <v>125000</v>
      </c>
      <c r="E82">
        <f t="shared" si="39"/>
        <v>27.951599999999999</v>
      </c>
      <c r="F82" s="858">
        <v>3493950</v>
      </c>
      <c r="G82">
        <v>55.595061512876313</v>
      </c>
      <c r="H82" s="881">
        <f t="shared" si="40"/>
        <v>6949382.6891095396</v>
      </c>
      <c r="I82" s="858">
        <f t="shared" si="41"/>
        <v>-3455432.6891095396</v>
      </c>
      <c r="J82">
        <v>41.76</v>
      </c>
      <c r="K82" s="881">
        <f t="shared" si="42"/>
        <v>5220000</v>
      </c>
      <c r="L82" s="858">
        <f t="shared" si="43"/>
        <v>-1726050</v>
      </c>
      <c r="M82" t="s">
        <v>689</v>
      </c>
      <c r="N82" s="753">
        <v>5922.25</v>
      </c>
      <c r="O82" s="448"/>
    </row>
    <row r="83" spans="2:15" x14ac:dyDescent="0.2">
      <c r="N83" s="753"/>
      <c r="O83" s="448"/>
    </row>
    <row r="84" spans="2:15" ht="12.75" thickBot="1" x14ac:dyDescent="0.25">
      <c r="D84" s="888">
        <f>+SUM(D78:D83)</f>
        <v>746500</v>
      </c>
      <c r="F84" s="888">
        <f>+SUM(F78:F83)</f>
        <v>20214055.634920634</v>
      </c>
      <c r="H84" s="990">
        <f>+SUM(H78:H83)</f>
        <v>41501713.41936218</v>
      </c>
      <c r="K84" s="990">
        <f>+SUM(K78:K83)</f>
        <v>31173840</v>
      </c>
      <c r="N84" s="888">
        <f>+SUM(N78:N83)</f>
        <v>34263.764761904764</v>
      </c>
      <c r="O84" s="448"/>
    </row>
    <row r="85" spans="2:15" ht="12.75" thickTop="1" x14ac:dyDescent="0.2">
      <c r="D85" s="889"/>
      <c r="F85" s="890"/>
      <c r="K85" s="1263"/>
      <c r="N85" s="753"/>
      <c r="O85" s="448"/>
    </row>
    <row r="86" spans="2:15" x14ac:dyDescent="0.2">
      <c r="B86" s="638">
        <v>44669</v>
      </c>
      <c r="C86" t="s">
        <v>116</v>
      </c>
      <c r="D86" s="857">
        <v>535000</v>
      </c>
      <c r="E86">
        <f t="shared" ref="E86" si="44">F86/D86</f>
        <v>86.353333333333339</v>
      </c>
      <c r="F86" s="858">
        <v>46199033.333333336</v>
      </c>
      <c r="G86">
        <v>135.98647549926991</v>
      </c>
      <c r="H86" s="881">
        <f t="shared" ref="H86" si="45">+G86*D86</f>
        <v>72752764.392109409</v>
      </c>
      <c r="I86" s="858">
        <f t="shared" ref="I86" si="46">F86-H86</f>
        <v>-26553731.058776073</v>
      </c>
      <c r="J86">
        <v>86.200000000000017</v>
      </c>
      <c r="K86" s="881">
        <f t="shared" ref="K86" si="47">J86*D86</f>
        <v>46117000.000000007</v>
      </c>
      <c r="L86" s="858">
        <f t="shared" ref="L86" si="48">+F86-K86</f>
        <v>82033.333333328366</v>
      </c>
      <c r="M86" t="s">
        <v>505</v>
      </c>
      <c r="N86" s="753">
        <v>78307.360000000001</v>
      </c>
      <c r="O86" s="448"/>
    </row>
    <row r="87" spans="2:15" x14ac:dyDescent="0.2">
      <c r="D87" s="889"/>
      <c r="F87" s="890"/>
      <c r="K87" s="1263"/>
      <c r="N87" s="753"/>
      <c r="O87" s="448"/>
    </row>
    <row r="88" spans="2:15" ht="12.75" thickBot="1" x14ac:dyDescent="0.25">
      <c r="D88" s="888">
        <f>+SUM(D86:D87)</f>
        <v>535000</v>
      </c>
      <c r="F88" s="888">
        <f>+SUM(F86:F87)</f>
        <v>46199033.333333336</v>
      </c>
      <c r="H88" s="990">
        <f>+SUM(H86:H87)</f>
        <v>72752764.392109409</v>
      </c>
      <c r="K88" s="990">
        <f>+SUM(K86:K87)</f>
        <v>46117000.000000007</v>
      </c>
      <c r="N88" s="888">
        <f>+SUM(N86:N87)</f>
        <v>78307.360000000001</v>
      </c>
      <c r="O88" s="448"/>
    </row>
    <row r="89" spans="2:15" ht="12.75" thickTop="1" x14ac:dyDescent="0.2">
      <c r="D89" s="889"/>
      <c r="F89" s="890"/>
      <c r="K89" s="1263"/>
      <c r="N89" s="753"/>
      <c r="O89" s="448"/>
    </row>
    <row r="90" spans="2:15" x14ac:dyDescent="0.2">
      <c r="D90" s="889"/>
      <c r="F90" s="890"/>
      <c r="K90" s="1263"/>
      <c r="N90" s="753"/>
      <c r="O90" s="448"/>
    </row>
    <row r="91" spans="2:15" x14ac:dyDescent="0.2">
      <c r="B91" s="638">
        <v>44671</v>
      </c>
      <c r="C91" t="s">
        <v>575</v>
      </c>
      <c r="D91" s="889">
        <v>26383</v>
      </c>
      <c r="E91">
        <f>F91/D91</f>
        <v>163.04830762233257</v>
      </c>
      <c r="F91" s="890">
        <v>4301703.5</v>
      </c>
      <c r="G91">
        <v>233.32579911762321</v>
      </c>
      <c r="H91" s="881">
        <f t="shared" ref="H91:H104" si="49">+G91*D91</f>
        <v>6155834.5581202526</v>
      </c>
      <c r="I91" s="858">
        <f t="shared" ref="I91:I104" si="50">F91-H91</f>
        <v>-1854131.0581202526</v>
      </c>
      <c r="J91">
        <v>144.03</v>
      </c>
      <c r="K91" s="1263">
        <f t="shared" ref="K91:K104" si="51">J91*D91</f>
        <v>3799943.49</v>
      </c>
      <c r="L91" s="858">
        <f t="shared" ref="L91:L104" si="52">+F91-K91</f>
        <v>501760.00999999978</v>
      </c>
      <c r="M91" t="s">
        <v>504</v>
      </c>
      <c r="N91" s="753">
        <v>7291.39</v>
      </c>
      <c r="O91" s="448"/>
    </row>
    <row r="92" spans="2:15" x14ac:dyDescent="0.2">
      <c r="B92" s="638">
        <v>44672</v>
      </c>
      <c r="C92" t="s">
        <v>575</v>
      </c>
      <c r="D92" s="889">
        <v>350000</v>
      </c>
      <c r="E92">
        <f t="shared" ref="E92:E93" si="53">F92/D92</f>
        <v>162.76795294285714</v>
      </c>
      <c r="F92" s="890">
        <v>56968783.530000001</v>
      </c>
      <c r="G92">
        <v>233.32579911762321</v>
      </c>
      <c r="H92" s="881">
        <f t="shared" si="49"/>
        <v>81664029.691168115</v>
      </c>
      <c r="I92" s="858">
        <f t="shared" si="50"/>
        <v>-24695246.161168113</v>
      </c>
      <c r="J92">
        <v>144.03</v>
      </c>
      <c r="K92" s="1263">
        <f t="shared" si="51"/>
        <v>50410500</v>
      </c>
      <c r="L92" s="858">
        <f t="shared" si="52"/>
        <v>6558283.5300000012</v>
      </c>
      <c r="M92" t="s">
        <v>518</v>
      </c>
      <c r="N92" s="753">
        <v>96564.549999999988</v>
      </c>
      <c r="O92" s="448"/>
    </row>
    <row r="93" spans="2:15" x14ac:dyDescent="0.2">
      <c r="B93" s="638">
        <v>44673</v>
      </c>
      <c r="C93" t="s">
        <v>575</v>
      </c>
      <c r="D93" s="889">
        <v>116986</v>
      </c>
      <c r="E93">
        <f t="shared" si="53"/>
        <v>166.03517053322619</v>
      </c>
      <c r="F93" s="890">
        <v>19423790.460000001</v>
      </c>
      <c r="G93">
        <v>233.32579911762321</v>
      </c>
      <c r="H93" s="881">
        <f t="shared" si="49"/>
        <v>27295851.935574267</v>
      </c>
      <c r="I93" s="858">
        <f t="shared" si="50"/>
        <v>-7872061.4755742662</v>
      </c>
      <c r="J93">
        <v>144.03</v>
      </c>
      <c r="K93" s="1263">
        <f t="shared" si="51"/>
        <v>16849493.580000002</v>
      </c>
      <c r="L93" s="858">
        <f t="shared" si="52"/>
        <v>2574296.879999999</v>
      </c>
      <c r="M93" t="s">
        <v>729</v>
      </c>
      <c r="N93" s="753">
        <v>32923.33</v>
      </c>
      <c r="O93" s="448"/>
    </row>
    <row r="94" spans="2:15" x14ac:dyDescent="0.2">
      <c r="B94" s="638">
        <v>44676</v>
      </c>
      <c r="C94" t="s">
        <v>575</v>
      </c>
      <c r="D94" s="889">
        <v>90000</v>
      </c>
      <c r="E94">
        <f>F94/D94</f>
        <v>162.61554000000001</v>
      </c>
      <c r="F94" s="890">
        <v>14635398.600000001</v>
      </c>
      <c r="G94">
        <v>233.32579911762323</v>
      </c>
      <c r="H94" s="881">
        <f t="shared" si="49"/>
        <v>20999321.920586091</v>
      </c>
      <c r="I94" s="858">
        <f t="shared" si="50"/>
        <v>-6363923.320586089</v>
      </c>
      <c r="J94">
        <v>144.03</v>
      </c>
      <c r="K94" s="1263">
        <f t="shared" si="51"/>
        <v>12962700</v>
      </c>
      <c r="L94" s="858">
        <f t="shared" si="52"/>
        <v>1672698.6000000015</v>
      </c>
      <c r="M94" t="s">
        <v>854</v>
      </c>
      <c r="N94" s="753">
        <v>24807</v>
      </c>
      <c r="O94" s="448"/>
    </row>
    <row r="95" spans="2:15" x14ac:dyDescent="0.2">
      <c r="B95" s="638">
        <v>44678</v>
      </c>
      <c r="C95" t="s">
        <v>575</v>
      </c>
      <c r="D95" s="889">
        <v>160487</v>
      </c>
      <c r="E95">
        <f>F95/D95</f>
        <v>160.28475346912833</v>
      </c>
      <c r="F95" s="890">
        <v>25723619.23</v>
      </c>
      <c r="G95">
        <v>233.32579911762321</v>
      </c>
      <c r="H95" s="881">
        <f t="shared" si="49"/>
        <v>37445757.522989996</v>
      </c>
      <c r="I95" s="858">
        <f t="shared" si="50"/>
        <v>-11722138.292989995</v>
      </c>
      <c r="J95">
        <v>144.03</v>
      </c>
      <c r="K95" s="1263">
        <f t="shared" si="51"/>
        <v>23114942.609999999</v>
      </c>
      <c r="L95" s="858">
        <f t="shared" si="52"/>
        <v>2608676.620000001</v>
      </c>
      <c r="M95" t="s">
        <v>689</v>
      </c>
      <c r="N95" s="753">
        <v>43601.54</v>
      </c>
      <c r="O95" s="448"/>
    </row>
    <row r="96" spans="2:15" x14ac:dyDescent="0.2">
      <c r="B96" s="638">
        <v>44699</v>
      </c>
      <c r="C96" t="s">
        <v>575</v>
      </c>
      <c r="D96" s="889">
        <v>104512</v>
      </c>
      <c r="E96">
        <f t="shared" ref="E96" si="54">F96/D96</f>
        <v>151.36239029002283</v>
      </c>
      <c r="F96" s="890">
        <v>15819186.133990865</v>
      </c>
      <c r="G96">
        <v>233.32579911762321</v>
      </c>
      <c r="H96" s="881">
        <f t="shared" si="49"/>
        <v>24385345.917381037</v>
      </c>
      <c r="I96" s="858">
        <f t="shared" si="50"/>
        <v>-8566159.7833901718</v>
      </c>
      <c r="J96">
        <v>144.03</v>
      </c>
      <c r="K96" s="1263">
        <f t="shared" si="51"/>
        <v>15052863.359999999</v>
      </c>
      <c r="L96" s="858">
        <f t="shared" si="52"/>
        <v>766322.7739908658</v>
      </c>
      <c r="M96" t="s">
        <v>854</v>
      </c>
      <c r="N96" s="753">
        <v>26813.518501839404</v>
      </c>
      <c r="O96" s="448"/>
    </row>
    <row r="97" spans="2:15" x14ac:dyDescent="0.2">
      <c r="B97" s="638">
        <v>44740</v>
      </c>
      <c r="C97" t="s">
        <v>575</v>
      </c>
      <c r="D97" s="889">
        <v>21909</v>
      </c>
      <c r="E97">
        <f>F97/D97</f>
        <v>179.14828879310346</v>
      </c>
      <c r="F97" s="890">
        <v>3924959.8591681039</v>
      </c>
      <c r="G97">
        <v>233.32579911762321</v>
      </c>
      <c r="H97" s="881">
        <f t="shared" si="49"/>
        <v>5111934.9328680066</v>
      </c>
      <c r="I97" s="858">
        <f t="shared" si="50"/>
        <v>-1186975.0736999027</v>
      </c>
      <c r="J97">
        <v>144.02999999999997</v>
      </c>
      <c r="K97" s="1263">
        <f t="shared" si="51"/>
        <v>3155553.2699999996</v>
      </c>
      <c r="L97" s="858">
        <f t="shared" si="52"/>
        <v>769406.58916810434</v>
      </c>
      <c r="M97" t="s">
        <v>685</v>
      </c>
      <c r="N97" s="753">
        <v>6652.8093637931033</v>
      </c>
      <c r="O97" s="448"/>
    </row>
    <row r="98" spans="2:15" x14ac:dyDescent="0.2">
      <c r="B98" s="638">
        <v>44743</v>
      </c>
      <c r="C98" t="s">
        <v>575</v>
      </c>
      <c r="D98" s="889">
        <v>500000</v>
      </c>
      <c r="E98">
        <f>F98/D98</f>
        <v>168.14682386000001</v>
      </c>
      <c r="F98" s="890">
        <v>84073411.930000007</v>
      </c>
      <c r="G98">
        <v>233.32579911762321</v>
      </c>
      <c r="H98" s="881">
        <f t="shared" si="49"/>
        <v>116662899.5588116</v>
      </c>
      <c r="I98" s="858">
        <f t="shared" si="50"/>
        <v>-32589487.628811598</v>
      </c>
      <c r="J98">
        <v>144.03</v>
      </c>
      <c r="K98" s="1263">
        <f t="shared" si="51"/>
        <v>72015000</v>
      </c>
      <c r="L98" s="858">
        <f t="shared" si="52"/>
        <v>12058411.930000007</v>
      </c>
      <c r="M98" t="s">
        <v>494</v>
      </c>
      <c r="N98" s="753">
        <v>142505.97</v>
      </c>
      <c r="O98" s="448"/>
    </row>
    <row r="99" spans="2:15" x14ac:dyDescent="0.2">
      <c r="B99" s="638">
        <v>44743</v>
      </c>
      <c r="C99" t="s">
        <v>575</v>
      </c>
      <c r="D99" s="889">
        <v>560000</v>
      </c>
      <c r="E99">
        <f t="shared" ref="E99" si="55">F99/D99</f>
        <v>168.60366719642857</v>
      </c>
      <c r="F99" s="890">
        <v>94418053.629999995</v>
      </c>
      <c r="G99">
        <v>233.32579911762321</v>
      </c>
      <c r="H99" s="881">
        <f t="shared" si="49"/>
        <v>130662447.505869</v>
      </c>
      <c r="I99" s="858">
        <f t="shared" si="50"/>
        <v>-36244393.875869006</v>
      </c>
      <c r="J99">
        <v>144.03</v>
      </c>
      <c r="K99" s="1263">
        <f t="shared" si="51"/>
        <v>80656800</v>
      </c>
      <c r="L99" s="858">
        <f t="shared" si="52"/>
        <v>13761253.629999995</v>
      </c>
      <c r="M99" t="s">
        <v>689</v>
      </c>
      <c r="N99" s="753">
        <v>160038.59999999995</v>
      </c>
      <c r="O99" s="448"/>
    </row>
    <row r="100" spans="2:15" x14ac:dyDescent="0.2">
      <c r="B100" s="638">
        <v>44746</v>
      </c>
      <c r="C100" t="s">
        <v>575</v>
      </c>
      <c r="D100" s="889">
        <v>78546</v>
      </c>
      <c r="E100">
        <f>F100/D100</f>
        <v>166.43859343569372</v>
      </c>
      <c r="F100" s="890">
        <v>13073085.759999998</v>
      </c>
      <c r="G100">
        <v>233.32579911762335</v>
      </c>
      <c r="H100" s="881">
        <f t="shared" si="49"/>
        <v>18326808.217492845</v>
      </c>
      <c r="I100" s="858">
        <f t="shared" si="50"/>
        <v>-5253722.457492847</v>
      </c>
      <c r="J100">
        <v>144.02999999999994</v>
      </c>
      <c r="K100" s="1263">
        <f t="shared" si="51"/>
        <v>11312980.379999995</v>
      </c>
      <c r="L100" s="858">
        <f t="shared" si="52"/>
        <v>1760105.3800000027</v>
      </c>
      <c r="M100" t="s">
        <v>489</v>
      </c>
      <c r="N100" s="753">
        <v>22159.589999999997</v>
      </c>
      <c r="O100" s="448"/>
    </row>
    <row r="101" spans="2:15" x14ac:dyDescent="0.2">
      <c r="B101" s="638">
        <v>44747</v>
      </c>
      <c r="C101" t="s">
        <v>575</v>
      </c>
      <c r="D101" s="889">
        <v>60000</v>
      </c>
      <c r="E101">
        <f>F101/D101</f>
        <v>164.38574149999999</v>
      </c>
      <c r="F101" s="890">
        <v>9863144.4900000002</v>
      </c>
      <c r="G101">
        <v>233.32579911762355</v>
      </c>
      <c r="H101" s="881">
        <f t="shared" si="49"/>
        <v>13999547.947057413</v>
      </c>
      <c r="I101" s="858">
        <f t="shared" si="50"/>
        <v>-4136403.4570574127</v>
      </c>
      <c r="J101">
        <v>144.02999999999994</v>
      </c>
      <c r="K101" s="1263">
        <f t="shared" si="51"/>
        <v>8641799.9999999963</v>
      </c>
      <c r="L101" s="858">
        <f t="shared" si="52"/>
        <v>1221344.4900000039</v>
      </c>
      <c r="M101" t="s">
        <v>489</v>
      </c>
      <c r="N101" s="753">
        <v>16718.02</v>
      </c>
      <c r="O101" s="448"/>
    </row>
    <row r="102" spans="2:15" x14ac:dyDescent="0.2">
      <c r="B102" s="638">
        <v>44748</v>
      </c>
      <c r="C102" t="s">
        <v>575</v>
      </c>
      <c r="D102" s="889">
        <v>5500</v>
      </c>
      <c r="E102">
        <f>F102/D102</f>
        <v>166</v>
      </c>
      <c r="F102" s="890">
        <v>913000</v>
      </c>
      <c r="G102">
        <v>233.32579911762335</v>
      </c>
      <c r="H102" s="881">
        <f t="shared" si="49"/>
        <v>1283291.8951469285</v>
      </c>
      <c r="I102" s="858">
        <f t="shared" si="50"/>
        <v>-370291.89514692849</v>
      </c>
      <c r="J102">
        <v>144.02999999999989</v>
      </c>
      <c r="K102" s="1263">
        <f t="shared" si="51"/>
        <v>792164.99999999942</v>
      </c>
      <c r="L102" s="858">
        <f t="shared" si="52"/>
        <v>120835.00000000058</v>
      </c>
      <c r="M102" t="s">
        <v>689</v>
      </c>
      <c r="N102" s="753">
        <v>1547.54</v>
      </c>
      <c r="O102" s="448"/>
    </row>
    <row r="103" spans="2:15" x14ac:dyDescent="0.2">
      <c r="B103" s="638">
        <v>44749</v>
      </c>
      <c r="C103" t="s">
        <v>575</v>
      </c>
      <c r="D103" s="889">
        <v>58000</v>
      </c>
      <c r="E103">
        <f>F103/D103</f>
        <v>158.17398359090907</v>
      </c>
      <c r="F103" s="890">
        <v>9174091.0482727271</v>
      </c>
      <c r="G103">
        <v>233.32579911762372</v>
      </c>
      <c r="H103" s="881">
        <f t="shared" si="49"/>
        <v>13532896.348822176</v>
      </c>
      <c r="I103" s="858">
        <f t="shared" si="50"/>
        <v>-4358805.3005494494</v>
      </c>
      <c r="J103">
        <v>144.02999999999989</v>
      </c>
      <c r="K103" s="1263">
        <f t="shared" si="51"/>
        <v>8353739.9999999935</v>
      </c>
      <c r="L103" s="858">
        <f t="shared" si="52"/>
        <v>820351.04827273358</v>
      </c>
      <c r="M103" t="s">
        <v>854</v>
      </c>
      <c r="N103" s="753">
        <v>15550.086681818182</v>
      </c>
      <c r="O103" s="448"/>
    </row>
    <row r="104" spans="2:15" x14ac:dyDescent="0.2">
      <c r="B104" s="638">
        <v>44761</v>
      </c>
      <c r="C104" t="s">
        <v>575</v>
      </c>
      <c r="D104" s="889">
        <v>219</v>
      </c>
      <c r="E104">
        <f t="shared" ref="E104" si="56">F104/D104</f>
        <v>145.08816682937413</v>
      </c>
      <c r="F104" s="890">
        <v>31774.308535632936</v>
      </c>
      <c r="G104">
        <v>233.32579911762176</v>
      </c>
      <c r="H104" s="881">
        <f t="shared" si="49"/>
        <v>51098.350006759167</v>
      </c>
      <c r="I104" s="858">
        <f t="shared" si="50"/>
        <v>-19324.041471126231</v>
      </c>
      <c r="J104">
        <v>144.02999999996734</v>
      </c>
      <c r="K104" s="1263">
        <f t="shared" si="51"/>
        <v>31542.569999992847</v>
      </c>
      <c r="L104" s="858">
        <f t="shared" si="52"/>
        <v>231.73853564008823</v>
      </c>
      <c r="M104" t="s">
        <v>436</v>
      </c>
      <c r="N104" s="753">
        <v>53.861462803449406</v>
      </c>
      <c r="O104" s="448"/>
    </row>
    <row r="105" spans="2:15" x14ac:dyDescent="0.2">
      <c r="D105" s="889"/>
      <c r="F105" s="890"/>
      <c r="K105" s="1263"/>
      <c r="N105" s="753"/>
      <c r="O105" s="448"/>
    </row>
    <row r="106" spans="2:15" ht="12.75" thickBot="1" x14ac:dyDescent="0.25">
      <c r="D106" s="888">
        <f>+SUM(D91:D105)</f>
        <v>2132542</v>
      </c>
      <c r="F106" s="888">
        <f>+SUM(F91:F105)</f>
        <v>352344002.47996736</v>
      </c>
      <c r="H106" s="990">
        <f>+SUM(H91:H105)</f>
        <v>497577066.30189443</v>
      </c>
      <c r="K106" s="990">
        <f>+SUM(K91:K105)</f>
        <v>307150024.25999999</v>
      </c>
      <c r="N106" s="888">
        <f>+SUM(N91:N105)</f>
        <v>597227.80601025408</v>
      </c>
      <c r="O106" s="448"/>
    </row>
    <row r="107" spans="2:15" ht="12.75" thickTop="1" x14ac:dyDescent="0.2">
      <c r="D107" s="889"/>
      <c r="F107" s="890"/>
      <c r="K107" s="1263"/>
      <c r="N107" s="753"/>
      <c r="O107" s="448"/>
    </row>
    <row r="108" spans="2:15" x14ac:dyDescent="0.2">
      <c r="B108" s="638">
        <v>44671</v>
      </c>
      <c r="C108" t="s">
        <v>577</v>
      </c>
      <c r="D108" s="889">
        <v>25246</v>
      </c>
      <c r="E108">
        <f t="shared" ref="E108:E112" si="57">F108/D108</f>
        <v>269.13252594470413</v>
      </c>
      <c r="F108" s="890">
        <v>6794519.75</v>
      </c>
      <c r="G108">
        <v>527.10149938210554</v>
      </c>
      <c r="H108" s="881">
        <f t="shared" ref="H108:H116" si="58">+G108*D108</f>
        <v>13307204.453400636</v>
      </c>
      <c r="I108" s="858">
        <f t="shared" ref="I108:I116" si="59">F108-H108</f>
        <v>-6512684.7034006361</v>
      </c>
      <c r="J108">
        <v>284.58999999999997</v>
      </c>
      <c r="K108" s="1263">
        <f t="shared" ref="K108:K116" si="60">J108*D108</f>
        <v>7184759.1399999997</v>
      </c>
      <c r="L108" s="858">
        <f t="shared" ref="L108:L116" si="61">+F108-K108</f>
        <v>-390239.38999999966</v>
      </c>
      <c r="M108" t="s">
        <v>504</v>
      </c>
      <c r="N108" s="753">
        <v>11516.710000000001</v>
      </c>
      <c r="O108" s="448"/>
    </row>
    <row r="109" spans="2:15" x14ac:dyDescent="0.2">
      <c r="B109" s="638">
        <v>44673</v>
      </c>
      <c r="C109" t="s">
        <v>577</v>
      </c>
      <c r="D109" s="889">
        <v>45317</v>
      </c>
      <c r="E109">
        <f t="shared" si="57"/>
        <v>261.34398790740784</v>
      </c>
      <c r="F109" s="890">
        <v>11843325.5</v>
      </c>
      <c r="G109">
        <v>527.10149938210566</v>
      </c>
      <c r="H109" s="881">
        <f t="shared" si="58"/>
        <v>23886658.647498883</v>
      </c>
      <c r="I109" s="858">
        <f t="shared" si="59"/>
        <v>-12043333.147498883</v>
      </c>
      <c r="J109">
        <v>284.59000000000003</v>
      </c>
      <c r="K109" s="1263">
        <f t="shared" si="60"/>
        <v>12896765.030000001</v>
      </c>
      <c r="L109" s="858">
        <f t="shared" si="61"/>
        <v>-1053439.5300000012</v>
      </c>
      <c r="M109" t="s">
        <v>729</v>
      </c>
      <c r="N109" s="753">
        <v>20074.440000000002</v>
      </c>
      <c r="O109" s="448"/>
    </row>
    <row r="110" spans="2:15" x14ac:dyDescent="0.2">
      <c r="B110" s="638">
        <v>44676</v>
      </c>
      <c r="C110" t="s">
        <v>577</v>
      </c>
      <c r="D110" s="889">
        <v>117034</v>
      </c>
      <c r="E110">
        <f t="shared" si="57"/>
        <v>262.9387467744416</v>
      </c>
      <c r="F110" s="890">
        <v>30772773.289999999</v>
      </c>
      <c r="G110">
        <v>527.10149938210554</v>
      </c>
      <c r="H110" s="881">
        <f t="shared" si="58"/>
        <v>61688796.87868534</v>
      </c>
      <c r="I110" s="858">
        <f t="shared" si="59"/>
        <v>-30916023.588685341</v>
      </c>
      <c r="J110">
        <v>284.58999999999997</v>
      </c>
      <c r="K110" s="1263">
        <f t="shared" si="60"/>
        <v>33306706.059999999</v>
      </c>
      <c r="L110" s="858">
        <f t="shared" si="61"/>
        <v>-2533932.7699999996</v>
      </c>
      <c r="M110" t="s">
        <v>854</v>
      </c>
      <c r="N110" s="753">
        <v>52159.850000000006</v>
      </c>
      <c r="O110" s="448"/>
    </row>
    <row r="111" spans="2:15" x14ac:dyDescent="0.2">
      <c r="B111" s="638">
        <v>44678</v>
      </c>
      <c r="C111" t="s">
        <v>577</v>
      </c>
      <c r="D111" s="889">
        <v>25000</v>
      </c>
      <c r="E111">
        <f t="shared" si="57"/>
        <v>261.52442559999997</v>
      </c>
      <c r="F111" s="890">
        <v>6538110.6399999997</v>
      </c>
      <c r="G111">
        <v>527.10149938210554</v>
      </c>
      <c r="H111" s="881">
        <f t="shared" si="58"/>
        <v>13177537.484552639</v>
      </c>
      <c r="I111" s="858">
        <f t="shared" si="59"/>
        <v>-6639426.8445526389</v>
      </c>
      <c r="J111">
        <v>284.58999999999997</v>
      </c>
      <c r="K111" s="1263">
        <f t="shared" si="60"/>
        <v>7114749.9999999991</v>
      </c>
      <c r="L111" s="858">
        <f t="shared" si="61"/>
        <v>-576639.3599999994</v>
      </c>
      <c r="M111" t="s">
        <v>689</v>
      </c>
      <c r="N111" s="753">
        <v>11082.1</v>
      </c>
      <c r="O111" s="448"/>
    </row>
    <row r="112" spans="2:15" x14ac:dyDescent="0.2">
      <c r="B112" s="638">
        <v>44679</v>
      </c>
      <c r="C112" t="s">
        <v>577</v>
      </c>
      <c r="D112" s="889">
        <v>7400</v>
      </c>
      <c r="E112">
        <f t="shared" si="57"/>
        <v>260.05797297297295</v>
      </c>
      <c r="F112" s="890">
        <v>1924428.9999999998</v>
      </c>
      <c r="G112">
        <v>527.10149938210554</v>
      </c>
      <c r="H112" s="881">
        <f t="shared" si="58"/>
        <v>3900551.0954275811</v>
      </c>
      <c r="I112" s="858">
        <f t="shared" si="59"/>
        <v>-1976122.0954275813</v>
      </c>
      <c r="J112">
        <v>284.58999999999997</v>
      </c>
      <c r="K112" s="1263">
        <f t="shared" si="60"/>
        <v>2105966</v>
      </c>
      <c r="L112" s="858">
        <f t="shared" si="61"/>
        <v>-181537.00000000023</v>
      </c>
      <c r="M112" t="s">
        <v>774</v>
      </c>
      <c r="N112" s="753">
        <v>3261.8999999999996</v>
      </c>
      <c r="O112" s="448"/>
    </row>
    <row r="113" spans="2:15" x14ac:dyDescent="0.2">
      <c r="B113" s="638">
        <v>44755</v>
      </c>
      <c r="C113" t="s">
        <v>577</v>
      </c>
      <c r="D113" s="889">
        <v>345000</v>
      </c>
      <c r="E113">
        <f>F113/D113</f>
        <v>236.98324056310679</v>
      </c>
      <c r="F113" s="890">
        <v>81759217.994271845</v>
      </c>
      <c r="G113">
        <v>527.10149938210566</v>
      </c>
      <c r="H113" s="881">
        <f t="shared" si="58"/>
        <v>181850017.28682646</v>
      </c>
      <c r="I113" s="858">
        <f t="shared" si="59"/>
        <v>-100090799.29255462</v>
      </c>
      <c r="J113">
        <v>284.58999999999997</v>
      </c>
      <c r="K113" s="1263">
        <f t="shared" si="60"/>
        <v>98183549.999999985</v>
      </c>
      <c r="L113" s="858">
        <f t="shared" si="61"/>
        <v>-16424332.00572814</v>
      </c>
      <c r="M113" t="s">
        <v>849</v>
      </c>
      <c r="N113" s="753">
        <v>138585.70446601941</v>
      </c>
      <c r="O113" s="448"/>
    </row>
    <row r="114" spans="2:15" x14ac:dyDescent="0.2">
      <c r="B114" s="638">
        <v>44761</v>
      </c>
      <c r="C114" t="s">
        <v>577</v>
      </c>
      <c r="D114" s="889">
        <v>75000</v>
      </c>
      <c r="E114">
        <f t="shared" ref="E114:E116" si="62">F114/D114</f>
        <v>223.47082940000001</v>
      </c>
      <c r="F114" s="890">
        <v>16760312.205000002</v>
      </c>
      <c r="G114">
        <v>527.10149938210554</v>
      </c>
      <c r="H114" s="881">
        <f t="shared" si="58"/>
        <v>39532612.453657918</v>
      </c>
      <c r="I114" s="858">
        <f t="shared" si="59"/>
        <v>-22772300.248657916</v>
      </c>
      <c r="J114">
        <v>284.59000000000003</v>
      </c>
      <c r="K114" s="1263">
        <f t="shared" si="60"/>
        <v>21344250.000000004</v>
      </c>
      <c r="L114" s="858">
        <f t="shared" si="61"/>
        <v>-4583937.7950000018</v>
      </c>
      <c r="M114" t="s">
        <v>526</v>
      </c>
      <c r="N114" s="753">
        <v>28408.730000000003</v>
      </c>
      <c r="O114" s="448"/>
    </row>
    <row r="115" spans="2:15" x14ac:dyDescent="0.2">
      <c r="B115" s="638">
        <v>44763</v>
      </c>
      <c r="C115" t="s">
        <v>577</v>
      </c>
      <c r="D115" s="889">
        <v>74000</v>
      </c>
      <c r="E115">
        <f t="shared" si="62"/>
        <v>217.86288973333333</v>
      </c>
      <c r="F115" s="890">
        <v>16121853.840266667</v>
      </c>
      <c r="G115">
        <v>527.10149938210543</v>
      </c>
      <c r="H115" s="881">
        <f t="shared" si="58"/>
        <v>39005510.954275802</v>
      </c>
      <c r="I115" s="858">
        <f t="shared" si="59"/>
        <v>-22883657.114009134</v>
      </c>
      <c r="J115">
        <v>284.59000000000003</v>
      </c>
      <c r="K115" s="1263">
        <f t="shared" si="60"/>
        <v>21059660.000000004</v>
      </c>
      <c r="L115" s="858">
        <f t="shared" si="61"/>
        <v>-4937806.1597333364</v>
      </c>
      <c r="M115" t="s">
        <v>526</v>
      </c>
      <c r="N115" s="753">
        <v>27326.540666666668</v>
      </c>
      <c r="O115" s="448"/>
    </row>
    <row r="116" spans="2:15" x14ac:dyDescent="0.2">
      <c r="B116" s="638">
        <v>44764</v>
      </c>
      <c r="C116" t="s">
        <v>577</v>
      </c>
      <c r="D116" s="889">
        <v>113778</v>
      </c>
      <c r="E116">
        <f t="shared" si="62"/>
        <v>216.92295426180809</v>
      </c>
      <c r="F116" s="890">
        <v>24681059.890000001</v>
      </c>
      <c r="G116">
        <v>527.10149938210554</v>
      </c>
      <c r="H116" s="881">
        <f t="shared" si="58"/>
        <v>59972554.396697208</v>
      </c>
      <c r="I116" s="858">
        <f t="shared" si="59"/>
        <v>-35291494.506697208</v>
      </c>
      <c r="J116">
        <v>284.59000000000003</v>
      </c>
      <c r="K116" s="1263">
        <f t="shared" si="60"/>
        <v>32380081.020000003</v>
      </c>
      <c r="L116" s="858">
        <f t="shared" si="61"/>
        <v>-7699021.1300000027</v>
      </c>
      <c r="M116" t="s">
        <v>729</v>
      </c>
      <c r="N116" s="753">
        <v>41834.399834999997</v>
      </c>
      <c r="O116" s="448"/>
    </row>
    <row r="117" spans="2:15" x14ac:dyDescent="0.2">
      <c r="D117" s="889"/>
      <c r="F117" s="890"/>
      <c r="K117" s="1263"/>
      <c r="N117" s="753"/>
      <c r="O117" s="448"/>
    </row>
    <row r="118" spans="2:15" ht="12.75" thickBot="1" x14ac:dyDescent="0.25">
      <c r="D118" s="888">
        <f>+SUM(D108:D117)</f>
        <v>827775</v>
      </c>
      <c r="F118" s="888">
        <f>+SUM(F108:F117)</f>
        <v>197195602.10953856</v>
      </c>
      <c r="H118" s="990">
        <f>+SUM(H108:H117)</f>
        <v>436321443.65102249</v>
      </c>
      <c r="K118" s="990">
        <f>+SUM(K108:K117)</f>
        <v>235576487.25</v>
      </c>
      <c r="N118" s="888">
        <f>+SUM(N108:N117)</f>
        <v>334250.37496768608</v>
      </c>
      <c r="O118" s="448"/>
    </row>
    <row r="119" spans="2:15" ht="12.75" thickTop="1" x14ac:dyDescent="0.2">
      <c r="D119" s="889"/>
      <c r="F119" s="890"/>
      <c r="K119" s="1263"/>
      <c r="N119" s="753"/>
      <c r="O119" s="448"/>
    </row>
    <row r="120" spans="2:15" x14ac:dyDescent="0.2">
      <c r="B120" s="638">
        <v>44672</v>
      </c>
      <c r="C120" t="s">
        <v>612</v>
      </c>
      <c r="D120" s="889">
        <v>2000</v>
      </c>
      <c r="E120">
        <f>F120/D120</f>
        <v>6.75</v>
      </c>
      <c r="F120" s="890">
        <v>13500</v>
      </c>
      <c r="G120">
        <v>11.720382743277376</v>
      </c>
      <c r="H120" s="881">
        <f t="shared" ref="H120:H132" si="63">+G120*D120</f>
        <v>23440.765486554752</v>
      </c>
      <c r="I120" s="858">
        <f t="shared" ref="I120:I132" si="64">F120-H120</f>
        <v>-9940.765486554752</v>
      </c>
      <c r="J120">
        <v>7.36</v>
      </c>
      <c r="K120" s="1263">
        <f t="shared" ref="K120:K132" si="65">J120*D120</f>
        <v>14720</v>
      </c>
      <c r="L120" s="858">
        <f t="shared" ref="L120:L132" si="66">+F120-K120</f>
        <v>-1220</v>
      </c>
      <c r="M120" t="s">
        <v>729</v>
      </c>
      <c r="N120" s="753">
        <v>67.8</v>
      </c>
      <c r="O120" s="448"/>
    </row>
    <row r="121" spans="2:15" x14ac:dyDescent="0.2">
      <c r="B121" s="638">
        <v>44691</v>
      </c>
      <c r="C121" t="s">
        <v>612</v>
      </c>
      <c r="D121" s="889">
        <v>46000</v>
      </c>
      <c r="E121">
        <f t="shared" ref="E121" si="67">F121/D121</f>
        <v>6.0886985714285702</v>
      </c>
      <c r="F121" s="890">
        <v>280080.13428571424</v>
      </c>
      <c r="G121">
        <v>11.720382743277375</v>
      </c>
      <c r="H121" s="881">
        <f t="shared" si="63"/>
        <v>539137.60619075922</v>
      </c>
      <c r="I121" s="858">
        <f t="shared" si="64"/>
        <v>-259057.47190504498</v>
      </c>
      <c r="J121">
        <v>7.36</v>
      </c>
      <c r="K121" s="1263">
        <f t="shared" si="65"/>
        <v>338560</v>
      </c>
      <c r="L121" s="858">
        <f t="shared" si="66"/>
        <v>-58479.865714285756</v>
      </c>
      <c r="M121" t="s">
        <v>489</v>
      </c>
      <c r="N121" s="753">
        <v>1559.4</v>
      </c>
      <c r="O121" s="448"/>
    </row>
    <row r="122" spans="2:15" x14ac:dyDescent="0.2">
      <c r="B122" s="638">
        <v>44693</v>
      </c>
      <c r="C122" t="s">
        <v>612</v>
      </c>
      <c r="D122" s="889">
        <v>310000</v>
      </c>
      <c r="E122">
        <f>F122/D122</f>
        <v>6.1000322580645161</v>
      </c>
      <c r="F122" s="890">
        <v>1891010</v>
      </c>
      <c r="G122">
        <v>11.720382743277376</v>
      </c>
      <c r="H122" s="881">
        <f t="shared" si="63"/>
        <v>3633318.6504159868</v>
      </c>
      <c r="I122" s="858">
        <f t="shared" si="64"/>
        <v>-1742308.6504159868</v>
      </c>
      <c r="J122">
        <v>7.36</v>
      </c>
      <c r="K122" s="1263">
        <f t="shared" si="65"/>
        <v>2281600</v>
      </c>
      <c r="L122" s="858">
        <f t="shared" si="66"/>
        <v>-390590</v>
      </c>
      <c r="M122" t="s">
        <v>526</v>
      </c>
      <c r="N122" s="753">
        <v>10509</v>
      </c>
      <c r="O122" s="448"/>
    </row>
    <row r="123" spans="2:15" x14ac:dyDescent="0.2">
      <c r="B123" s="638">
        <v>44694</v>
      </c>
      <c r="C123" t="s">
        <v>612</v>
      </c>
      <c r="D123" s="889">
        <v>2254000</v>
      </c>
      <c r="E123">
        <f t="shared" ref="E123" si="68">F123/D123</f>
        <v>6.1010314995563446</v>
      </c>
      <c r="F123" s="890">
        <v>13751725</v>
      </c>
      <c r="G123">
        <v>11.720382743277376</v>
      </c>
      <c r="H123" s="881">
        <f t="shared" si="63"/>
        <v>26417742.703347206</v>
      </c>
      <c r="I123" s="858">
        <f t="shared" si="64"/>
        <v>-12666017.703347206</v>
      </c>
      <c r="J123">
        <v>7.36</v>
      </c>
      <c r="K123" s="1263">
        <f t="shared" si="65"/>
        <v>16589440</v>
      </c>
      <c r="L123" s="858">
        <f t="shared" si="66"/>
        <v>-2837715</v>
      </c>
      <c r="M123" t="s">
        <v>526</v>
      </c>
      <c r="N123" s="753">
        <v>76410.600000000006</v>
      </c>
      <c r="O123" s="448"/>
    </row>
    <row r="124" spans="2:15" x14ac:dyDescent="0.2">
      <c r="B124" s="638">
        <v>44698</v>
      </c>
      <c r="C124" t="s">
        <v>612</v>
      </c>
      <c r="D124" s="889">
        <v>636000</v>
      </c>
      <c r="E124">
        <f>F124/D124</f>
        <v>6.1085099999999999</v>
      </c>
      <c r="F124" s="890">
        <v>3885012.36</v>
      </c>
      <c r="G124">
        <v>11.720382743277376</v>
      </c>
      <c r="H124" s="881">
        <f t="shared" si="63"/>
        <v>7454163.4247244112</v>
      </c>
      <c r="I124" s="858">
        <f t="shared" si="64"/>
        <v>-3569151.0647244113</v>
      </c>
      <c r="J124">
        <v>7.36</v>
      </c>
      <c r="K124" s="1263">
        <f t="shared" si="65"/>
        <v>4680960</v>
      </c>
      <c r="L124" s="858">
        <f t="shared" si="66"/>
        <v>-795947.64000000013</v>
      </c>
      <c r="M124" t="s">
        <v>492</v>
      </c>
      <c r="N124" s="753">
        <v>21560.400000000001</v>
      </c>
      <c r="O124" s="448"/>
    </row>
    <row r="125" spans="2:15" x14ac:dyDescent="0.2">
      <c r="B125" s="638">
        <v>44700</v>
      </c>
      <c r="C125" t="s">
        <v>612</v>
      </c>
      <c r="D125" s="889">
        <v>2000000</v>
      </c>
      <c r="E125">
        <f>F125/D125</f>
        <v>6.1379225000000002</v>
      </c>
      <c r="F125" s="890">
        <v>12275845</v>
      </c>
      <c r="G125">
        <v>11.720382743277376</v>
      </c>
      <c r="H125" s="881">
        <f t="shared" si="63"/>
        <v>23440765.486554753</v>
      </c>
      <c r="I125" s="858">
        <f t="shared" si="64"/>
        <v>-11164920.486554753</v>
      </c>
      <c r="J125">
        <v>7.36</v>
      </c>
      <c r="K125" s="1263">
        <f t="shared" si="65"/>
        <v>14720000</v>
      </c>
      <c r="L125" s="858">
        <f t="shared" si="66"/>
        <v>-2444155</v>
      </c>
      <c r="M125" t="s">
        <v>854</v>
      </c>
      <c r="N125" s="753">
        <v>67800</v>
      </c>
      <c r="O125" s="448"/>
    </row>
    <row r="126" spans="2:15" x14ac:dyDescent="0.2">
      <c r="B126" s="638">
        <v>44708</v>
      </c>
      <c r="C126" t="s">
        <v>612</v>
      </c>
      <c r="D126" s="889">
        <v>1632250</v>
      </c>
      <c r="E126">
        <f t="shared" ref="E126:E127" si="69">F126/D126</f>
        <v>6.0207351814979324</v>
      </c>
      <c r="F126" s="890">
        <v>9827345</v>
      </c>
      <c r="G126">
        <v>11.720382743277375</v>
      </c>
      <c r="H126" s="881">
        <f t="shared" si="63"/>
        <v>19130594.732714497</v>
      </c>
      <c r="I126" s="858">
        <f t="shared" si="64"/>
        <v>-9303249.7327144966</v>
      </c>
      <c r="J126">
        <v>7.36</v>
      </c>
      <c r="K126" s="1263">
        <f t="shared" si="65"/>
        <v>12013360</v>
      </c>
      <c r="L126" s="858">
        <f t="shared" si="66"/>
        <v>-2186015</v>
      </c>
      <c r="M126" t="s">
        <v>436</v>
      </c>
      <c r="N126" s="753">
        <v>55333.279999999999</v>
      </c>
      <c r="O126" s="448"/>
    </row>
    <row r="127" spans="2:15" x14ac:dyDescent="0.2">
      <c r="B127" s="638">
        <v>44715</v>
      </c>
      <c r="C127" t="s">
        <v>612</v>
      </c>
      <c r="D127" s="889">
        <v>4000000</v>
      </c>
      <c r="E127">
        <f t="shared" si="69"/>
        <v>5.9488139999999996</v>
      </c>
      <c r="F127" s="890">
        <v>23795256</v>
      </c>
      <c r="G127">
        <v>11.720382743277375</v>
      </c>
      <c r="H127" s="881">
        <f t="shared" si="63"/>
        <v>46881530.973109499</v>
      </c>
      <c r="I127" s="858">
        <f t="shared" si="64"/>
        <v>-23086274.973109499</v>
      </c>
      <c r="J127">
        <v>7.36</v>
      </c>
      <c r="K127" s="1263">
        <f t="shared" si="65"/>
        <v>29440000</v>
      </c>
      <c r="L127" s="858">
        <f t="shared" si="66"/>
        <v>-5644744</v>
      </c>
      <c r="M127" t="s">
        <v>854</v>
      </c>
      <c r="N127" s="753">
        <v>135600</v>
      </c>
      <c r="O127" s="448"/>
    </row>
    <row r="128" spans="2:15" x14ac:dyDescent="0.2">
      <c r="B128" s="638">
        <v>44720</v>
      </c>
      <c r="C128" t="s">
        <v>612</v>
      </c>
      <c r="D128" s="889">
        <v>1400000</v>
      </c>
      <c r="E128">
        <f>F128/D128</f>
        <v>6.1</v>
      </c>
      <c r="F128" s="890">
        <v>8540000</v>
      </c>
      <c r="G128">
        <v>11.720382743277375</v>
      </c>
      <c r="H128" s="881">
        <f t="shared" si="63"/>
        <v>16408535.840588324</v>
      </c>
      <c r="I128" s="858">
        <f t="shared" si="64"/>
        <v>-7868535.8405883238</v>
      </c>
      <c r="J128">
        <v>7.36</v>
      </c>
      <c r="K128" s="1263">
        <f t="shared" si="65"/>
        <v>10304000</v>
      </c>
      <c r="L128" s="858">
        <f t="shared" si="66"/>
        <v>-1764000</v>
      </c>
      <c r="M128" t="s">
        <v>689</v>
      </c>
      <c r="N128" s="753">
        <v>47460</v>
      </c>
      <c r="O128" s="448"/>
    </row>
    <row r="129" spans="2:15" x14ac:dyDescent="0.2">
      <c r="B129" s="638">
        <v>44726</v>
      </c>
      <c r="C129" t="s">
        <v>612</v>
      </c>
      <c r="D129" s="889">
        <v>415500</v>
      </c>
      <c r="E129">
        <f>F129/D129</f>
        <v>6</v>
      </c>
      <c r="F129" s="890">
        <v>2493000</v>
      </c>
      <c r="G129">
        <v>11.720382743277376</v>
      </c>
      <c r="H129" s="881">
        <f t="shared" si="63"/>
        <v>4869819.0298317503</v>
      </c>
      <c r="I129" s="858">
        <f t="shared" si="64"/>
        <v>-2376819.0298317503</v>
      </c>
      <c r="J129">
        <v>7.36</v>
      </c>
      <c r="K129" s="1263">
        <f t="shared" si="65"/>
        <v>3058080</v>
      </c>
      <c r="L129" s="858">
        <f t="shared" si="66"/>
        <v>-565080</v>
      </c>
      <c r="M129" t="s">
        <v>526</v>
      </c>
      <c r="N129" s="753">
        <v>14085.45</v>
      </c>
      <c r="O129" s="448"/>
    </row>
    <row r="130" spans="2:15" x14ac:dyDescent="0.2">
      <c r="B130" s="638">
        <v>44742</v>
      </c>
      <c r="C130" t="s">
        <v>612</v>
      </c>
      <c r="D130" s="889">
        <v>4000000</v>
      </c>
      <c r="E130">
        <f t="shared" ref="E130" si="70">F130/D130</f>
        <v>6.0075810000000001</v>
      </c>
      <c r="F130" s="890">
        <v>24030324</v>
      </c>
      <c r="G130">
        <v>11.720382743277378</v>
      </c>
      <c r="H130" s="881">
        <f t="shared" si="63"/>
        <v>46881530.973109514</v>
      </c>
      <c r="I130" s="858">
        <f t="shared" si="64"/>
        <v>-22851206.973109514</v>
      </c>
      <c r="J130">
        <v>7.36</v>
      </c>
      <c r="K130" s="1263">
        <f t="shared" si="65"/>
        <v>29440000</v>
      </c>
      <c r="L130" s="858">
        <f t="shared" si="66"/>
        <v>-5409676</v>
      </c>
      <c r="M130" t="s">
        <v>729</v>
      </c>
      <c r="N130" s="753">
        <v>135600</v>
      </c>
      <c r="O130" s="448"/>
    </row>
    <row r="131" spans="2:15" x14ac:dyDescent="0.2">
      <c r="B131" s="638">
        <v>44760</v>
      </c>
      <c r="C131" t="s">
        <v>612</v>
      </c>
      <c r="D131" s="889">
        <v>2046250</v>
      </c>
      <c r="E131">
        <v>5.7190216666666664</v>
      </c>
      <c r="F131" s="890">
        <v>11702548.085416665</v>
      </c>
      <c r="G131">
        <v>11.720382743277376</v>
      </c>
      <c r="H131" s="881">
        <f t="shared" si="63"/>
        <v>23982833.18843133</v>
      </c>
      <c r="I131" s="858">
        <f t="shared" si="64"/>
        <v>-12280285.103014665</v>
      </c>
      <c r="J131">
        <v>7.36</v>
      </c>
      <c r="K131" s="1263">
        <f t="shared" si="65"/>
        <v>15060400</v>
      </c>
      <c r="L131" s="858">
        <f t="shared" si="66"/>
        <v>-3357851.9145833347</v>
      </c>
      <c r="M131" t="s">
        <v>689</v>
      </c>
      <c r="N131" s="753">
        <v>69367.88</v>
      </c>
      <c r="O131" s="448"/>
    </row>
    <row r="132" spans="2:15" x14ac:dyDescent="0.2">
      <c r="B132" s="638">
        <v>44761</v>
      </c>
      <c r="C132" t="s">
        <v>612</v>
      </c>
      <c r="D132" s="889">
        <v>500000</v>
      </c>
      <c r="E132">
        <f t="shared" ref="E132" si="71">F132/D132</f>
        <v>5.5175999999999998</v>
      </c>
      <c r="F132" s="890">
        <v>2758800</v>
      </c>
      <c r="G132">
        <v>11.720382743277396</v>
      </c>
      <c r="H132" s="881">
        <f t="shared" si="63"/>
        <v>5860191.3716386976</v>
      </c>
      <c r="I132" s="858">
        <f t="shared" si="64"/>
        <v>-3101391.3716386976</v>
      </c>
      <c r="J132">
        <v>7.36</v>
      </c>
      <c r="K132" s="1263">
        <f t="shared" si="65"/>
        <v>3680000</v>
      </c>
      <c r="L132" s="858">
        <f t="shared" si="66"/>
        <v>-921200</v>
      </c>
      <c r="M132" t="s">
        <v>854</v>
      </c>
      <c r="N132" s="753">
        <v>16950</v>
      </c>
      <c r="O132" s="448"/>
    </row>
    <row r="133" spans="2:15" x14ac:dyDescent="0.2">
      <c r="N133" s="753"/>
      <c r="O133" s="448"/>
    </row>
    <row r="134" spans="2:15" ht="12.75" thickBot="1" x14ac:dyDescent="0.25">
      <c r="D134" s="888">
        <f>+SUM(D120:D133)</f>
        <v>19242000</v>
      </c>
      <c r="F134" s="888">
        <f>+SUM(F120:F133)</f>
        <v>115244445.57970238</v>
      </c>
      <c r="H134" s="990">
        <f>+SUM(H120:H133)</f>
        <v>225523604.74614325</v>
      </c>
      <c r="K134" s="990">
        <f>+SUM(K120:K133)</f>
        <v>141621120</v>
      </c>
      <c r="N134" s="888">
        <f>+SUM(N120:N133)</f>
        <v>652303.80999999994</v>
      </c>
      <c r="O134" s="448"/>
    </row>
    <row r="135" spans="2:15" ht="12.75" thickTop="1" x14ac:dyDescent="0.2">
      <c r="N135" s="753"/>
      <c r="O135" s="448"/>
    </row>
    <row r="136" spans="2:15" x14ac:dyDescent="0.2">
      <c r="B136" s="638">
        <v>44673</v>
      </c>
      <c r="C136" t="s">
        <v>602</v>
      </c>
      <c r="D136" s="857">
        <v>7000</v>
      </c>
      <c r="E136">
        <f t="shared" ref="E136:E137" si="72">F136/D136</f>
        <v>196.76364857142858</v>
      </c>
      <c r="F136" s="858">
        <v>1377345.54</v>
      </c>
      <c r="G136">
        <v>354.4070931916952</v>
      </c>
      <c r="H136" s="881">
        <f t="shared" ref="H136:H137" si="73">+G136*D136</f>
        <v>2480849.6523418664</v>
      </c>
      <c r="I136" s="858">
        <f t="shared" ref="I136:I137" si="74">F136-H136</f>
        <v>-1103504.1123418664</v>
      </c>
      <c r="J136">
        <v>236.78</v>
      </c>
      <c r="K136" s="881">
        <f t="shared" ref="K136:K137" si="75">J136*D136</f>
        <v>1657460</v>
      </c>
      <c r="L136" s="858">
        <f t="shared" ref="L136:L137" si="76">+F136-K136</f>
        <v>-280114.45999999996</v>
      </c>
      <c r="M136" t="s">
        <v>729</v>
      </c>
      <c r="N136" s="67">
        <v>2334.6</v>
      </c>
    </row>
    <row r="137" spans="2:15" x14ac:dyDescent="0.2">
      <c r="B137" s="638">
        <v>44691</v>
      </c>
      <c r="C137" t="s">
        <v>602</v>
      </c>
      <c r="D137" s="857">
        <v>500</v>
      </c>
      <c r="E137">
        <f t="shared" si="72"/>
        <v>176</v>
      </c>
      <c r="F137" s="858">
        <v>88000</v>
      </c>
      <c r="G137">
        <v>354.40709319169542</v>
      </c>
      <c r="H137" s="881">
        <f t="shared" si="73"/>
        <v>177203.5465958477</v>
      </c>
      <c r="I137" s="858">
        <f t="shared" si="74"/>
        <v>-89203.5465958477</v>
      </c>
      <c r="J137">
        <v>236.78</v>
      </c>
      <c r="K137" s="881">
        <f t="shared" si="75"/>
        <v>118390</v>
      </c>
      <c r="L137" s="858">
        <f t="shared" si="76"/>
        <v>-30390</v>
      </c>
      <c r="M137" t="s">
        <v>729</v>
      </c>
      <c r="N137" s="67">
        <v>149.16</v>
      </c>
    </row>
    <row r="139" spans="2:15" ht="12.75" thickBot="1" x14ac:dyDescent="0.25">
      <c r="D139" s="888">
        <f>+SUM(D136:D138)</f>
        <v>7500</v>
      </c>
      <c r="F139" s="888">
        <f>+SUM(F136:F138)</f>
        <v>1465345.54</v>
      </c>
      <c r="H139" s="990">
        <f>+SUM(H136:H138)</f>
        <v>2658053.1989377141</v>
      </c>
      <c r="K139" s="990">
        <f>+SUM(K136:K138)</f>
        <v>1775850</v>
      </c>
      <c r="N139" s="888">
        <f>+SUM(N136:N138)</f>
        <v>2483.7599999999998</v>
      </c>
    </row>
    <row r="140" spans="2:15" ht="12.75" thickTop="1" x14ac:dyDescent="0.2"/>
    <row r="141" spans="2:15" x14ac:dyDescent="0.2">
      <c r="B141" s="638">
        <v>44673</v>
      </c>
      <c r="C141" t="s">
        <v>159</v>
      </c>
      <c r="D141" s="857">
        <v>190000</v>
      </c>
      <c r="E141">
        <f t="shared" ref="E141:E142" si="77">F141/D141</f>
        <v>51.188005368421052</v>
      </c>
      <c r="F141" s="858">
        <v>9725721.0199999996</v>
      </c>
      <c r="G141">
        <v>53.042745863970694</v>
      </c>
      <c r="H141" s="881">
        <f t="shared" ref="H141:H142" si="78">+G141*D141</f>
        <v>10078121.714154432</v>
      </c>
      <c r="I141" s="858">
        <f t="shared" ref="I141:I142" si="79">F141-H141</f>
        <v>-352400.69415443204</v>
      </c>
      <c r="J141">
        <v>45.55</v>
      </c>
      <c r="K141" s="881">
        <f t="shared" ref="K141:K142" si="80">J141*D141</f>
        <v>8654500</v>
      </c>
      <c r="L141" s="858">
        <f t="shared" ref="L141:L142" si="81">+F141-K141</f>
        <v>1071221.0199999996</v>
      </c>
      <c r="M141" t="s">
        <v>526</v>
      </c>
      <c r="N141" s="67">
        <v>16485.099999999999</v>
      </c>
    </row>
    <row r="142" spans="2:15" x14ac:dyDescent="0.2">
      <c r="B142" s="638">
        <v>44761</v>
      </c>
      <c r="C142" t="s">
        <v>159</v>
      </c>
      <c r="D142" s="857">
        <v>3000</v>
      </c>
      <c r="E142">
        <f t="shared" si="77"/>
        <v>43.267205169628433</v>
      </c>
      <c r="F142" s="858">
        <v>129801.6155088853</v>
      </c>
      <c r="G142">
        <v>53.042745863970993</v>
      </c>
      <c r="H142" s="881">
        <f t="shared" si="78"/>
        <v>159128.23759191297</v>
      </c>
      <c r="I142" s="858">
        <f t="shared" si="79"/>
        <v>-29326.622083027672</v>
      </c>
      <c r="J142">
        <v>45.55</v>
      </c>
      <c r="K142" s="881">
        <f t="shared" si="80"/>
        <v>136650</v>
      </c>
      <c r="L142" s="858">
        <f t="shared" si="81"/>
        <v>-6848.3844911147025</v>
      </c>
      <c r="M142" t="s">
        <v>436</v>
      </c>
      <c r="N142" s="67">
        <v>220.12242326332793</v>
      </c>
    </row>
    <row r="144" spans="2:15" ht="12.75" thickBot="1" x14ac:dyDescent="0.25">
      <c r="D144" s="888">
        <f>+SUM(D141:D143)</f>
        <v>193000</v>
      </c>
      <c r="F144" s="888">
        <f>+SUM(F141:F143)</f>
        <v>9855522.6355088856</v>
      </c>
      <c r="H144" s="990">
        <f>+SUM(H141:H143)</f>
        <v>10237249.951746345</v>
      </c>
      <c r="K144" s="990">
        <f>+SUM(K141:K143)</f>
        <v>8791150</v>
      </c>
      <c r="N144" s="888">
        <f>+SUM(N141:N143)</f>
        <v>16705.222423263327</v>
      </c>
    </row>
    <row r="145" spans="2:14" ht="12.75" thickTop="1" x14ac:dyDescent="0.2"/>
    <row r="146" spans="2:14" x14ac:dyDescent="0.2">
      <c r="B146" s="638">
        <v>44673</v>
      </c>
      <c r="C146" t="s">
        <v>793</v>
      </c>
      <c r="D146" s="857">
        <v>70000</v>
      </c>
      <c r="E146">
        <f t="shared" ref="E146:E147" si="82">F146/D146</f>
        <v>72.796000000000006</v>
      </c>
      <c r="F146" s="858">
        <v>5095720</v>
      </c>
      <c r="G146">
        <v>40.6</v>
      </c>
      <c r="H146" s="881">
        <f t="shared" ref="H146:H147" si="83">+G146*D146</f>
        <v>2842000</v>
      </c>
      <c r="I146" s="858">
        <f t="shared" ref="I146:I147" si="84">F146-H146</f>
        <v>2253720</v>
      </c>
      <c r="J146">
        <v>77.760000000000005</v>
      </c>
      <c r="K146" s="881">
        <f t="shared" ref="K146:K147" si="85">J146*D146</f>
        <v>5443200</v>
      </c>
      <c r="L146" s="858">
        <f t="shared" ref="L146:L147" si="86">+F146-K146</f>
        <v>-347480</v>
      </c>
      <c r="M146" t="s">
        <v>492</v>
      </c>
      <c r="N146" s="67">
        <v>8637.3799999999992</v>
      </c>
    </row>
    <row r="147" spans="2:14" x14ac:dyDescent="0.2">
      <c r="B147" s="638">
        <v>44691</v>
      </c>
      <c r="C147" t="s">
        <v>793</v>
      </c>
      <c r="D147" s="857">
        <v>5299</v>
      </c>
      <c r="E147">
        <f t="shared" si="82"/>
        <v>61</v>
      </c>
      <c r="F147" s="858">
        <v>323239</v>
      </c>
      <c r="G147">
        <v>40.59999999999998</v>
      </c>
      <c r="H147" s="881">
        <f t="shared" si="83"/>
        <v>215139.39999999991</v>
      </c>
      <c r="I147" s="858">
        <f t="shared" si="84"/>
        <v>108099.60000000009</v>
      </c>
      <c r="J147">
        <v>77.760000000000048</v>
      </c>
      <c r="K147" s="881">
        <f t="shared" si="85"/>
        <v>412050.24000000028</v>
      </c>
      <c r="L147" s="858">
        <f t="shared" si="86"/>
        <v>-88811.240000000282</v>
      </c>
      <c r="M147" t="s">
        <v>729</v>
      </c>
      <c r="N147" s="67">
        <v>547.88850000000002</v>
      </c>
    </row>
    <row r="149" spans="2:14" ht="12.75" thickBot="1" x14ac:dyDescent="0.25">
      <c r="D149" s="888">
        <f>+SUM(D146:D148)</f>
        <v>75299</v>
      </c>
      <c r="F149" s="888">
        <f>+SUM(F146:F148)</f>
        <v>5418959</v>
      </c>
      <c r="H149" s="990">
        <f>+SUM(H146:H148)</f>
        <v>3057139.4</v>
      </c>
      <c r="K149" s="990">
        <f>+SUM(K146:K148)</f>
        <v>5855250.2400000002</v>
      </c>
      <c r="N149" s="888">
        <f>+SUM(N146:N148)</f>
        <v>9185.2684999999983</v>
      </c>
    </row>
    <row r="150" spans="2:14" ht="12.75" thickTop="1" x14ac:dyDescent="0.2"/>
    <row r="151" spans="2:14" x14ac:dyDescent="0.2">
      <c r="B151" s="638">
        <v>44676</v>
      </c>
      <c r="C151" t="s">
        <v>143</v>
      </c>
      <c r="D151" s="857">
        <v>219848</v>
      </c>
      <c r="E151">
        <f t="shared" ref="E151" si="87">F151/D151</f>
        <v>69.666644226920425</v>
      </c>
      <c r="F151" s="858">
        <v>15316072.400000002</v>
      </c>
      <c r="G151">
        <v>108.78177628813376</v>
      </c>
      <c r="H151" s="881">
        <f t="shared" ref="H151" si="88">+G151*D151</f>
        <v>23915455.953393631</v>
      </c>
      <c r="I151" s="858">
        <f t="shared" ref="I151" si="89">F151-H151</f>
        <v>-8599383.5533936284</v>
      </c>
      <c r="J151">
        <v>82.94</v>
      </c>
      <c r="K151" s="881">
        <f t="shared" ref="K151" si="90">J151*D151</f>
        <v>18234193.120000001</v>
      </c>
      <c r="L151" s="858">
        <f t="shared" ref="L151" si="91">+F151-K151</f>
        <v>-2918120.7199999988</v>
      </c>
      <c r="M151" t="s">
        <v>849</v>
      </c>
      <c r="N151" s="67">
        <v>25961.800000000003</v>
      </c>
    </row>
    <row r="153" spans="2:14" ht="12.75" thickBot="1" x14ac:dyDescent="0.25">
      <c r="D153" s="888">
        <f>+SUM(D151:D152)</f>
        <v>219848</v>
      </c>
      <c r="F153" s="888">
        <f>+SUM(F151:F152)</f>
        <v>15316072.400000002</v>
      </c>
      <c r="H153" s="990">
        <f>+SUM(H151:H152)</f>
        <v>23915455.953393631</v>
      </c>
      <c r="K153" s="990">
        <f>+SUM(K151:K152)</f>
        <v>18234193.120000001</v>
      </c>
      <c r="N153" s="888">
        <f>+SUM(N151:N152)</f>
        <v>25961.800000000003</v>
      </c>
    </row>
    <row r="154" spans="2:14" ht="12.75" thickTop="1" x14ac:dyDescent="0.2"/>
    <row r="155" spans="2:14" x14ac:dyDescent="0.2">
      <c r="B155" s="638">
        <v>44676</v>
      </c>
      <c r="C155" t="s">
        <v>554</v>
      </c>
      <c r="D155" s="857">
        <v>54306</v>
      </c>
      <c r="E155">
        <f t="shared" ref="E155" si="92">F155/D155</f>
        <v>45.045354288660548</v>
      </c>
      <c r="F155" s="858">
        <v>2446233.0099999998</v>
      </c>
      <c r="G155">
        <v>44.18389103953551</v>
      </c>
      <c r="H155" s="881">
        <f t="shared" ref="H155:H156" si="93">+G155*D155</f>
        <v>2399450.3867930155</v>
      </c>
      <c r="I155" s="858">
        <f t="shared" ref="I155:I156" si="94">F155-H155</f>
        <v>46782.623206984252</v>
      </c>
      <c r="J155">
        <v>47.06</v>
      </c>
      <c r="K155" s="881">
        <f t="shared" ref="K155:K156" si="95">J155*D155</f>
        <v>2555640.3600000003</v>
      </c>
      <c r="L155" s="858">
        <f t="shared" ref="L155:L156" si="96">+F155-K155</f>
        <v>-109407.35000000056</v>
      </c>
      <c r="M155" t="s">
        <v>727</v>
      </c>
      <c r="N155" s="67">
        <v>4146.37</v>
      </c>
    </row>
    <row r="156" spans="2:14" x14ac:dyDescent="0.2">
      <c r="B156" s="638">
        <v>44690</v>
      </c>
      <c r="C156" t="s">
        <v>554</v>
      </c>
      <c r="D156" s="857">
        <v>500000</v>
      </c>
      <c r="E156">
        <f>F156/D156</f>
        <v>41.973868400000001</v>
      </c>
      <c r="F156" s="858">
        <v>20986934.199999999</v>
      </c>
      <c r="G156">
        <v>44.18389103953551</v>
      </c>
      <c r="H156" s="881">
        <f t="shared" si="93"/>
        <v>22091945.519767754</v>
      </c>
      <c r="I156" s="858">
        <f t="shared" si="94"/>
        <v>-1105011.3197677545</v>
      </c>
      <c r="J156">
        <v>47.059999999999995</v>
      </c>
      <c r="K156" s="881">
        <f t="shared" si="95"/>
        <v>23529999.999999996</v>
      </c>
      <c r="L156" s="858">
        <f t="shared" si="96"/>
        <v>-2543065.799999997</v>
      </c>
      <c r="M156" t="s">
        <v>666</v>
      </c>
      <c r="N156" s="67">
        <v>35577.96</v>
      </c>
    </row>
    <row r="158" spans="2:14" ht="12.75" thickBot="1" x14ac:dyDescent="0.25">
      <c r="D158" s="888">
        <f>+SUM(D155:D157)</f>
        <v>554306</v>
      </c>
      <c r="F158" s="888">
        <f>+SUM(F155:F157)</f>
        <v>23433167.210000001</v>
      </c>
      <c r="H158" s="990">
        <f>+SUM(H155:H157)</f>
        <v>24491395.906560771</v>
      </c>
      <c r="K158" s="990">
        <f>+SUM(K155:K157)</f>
        <v>26085640.359999996</v>
      </c>
      <c r="N158" s="888">
        <f>+SUM(N155:N157)</f>
        <v>39724.33</v>
      </c>
    </row>
    <row r="159" spans="2:14" ht="12.75" thickTop="1" x14ac:dyDescent="0.2"/>
    <row r="160" spans="2:14" x14ac:dyDescent="0.2">
      <c r="B160" s="638">
        <v>44676</v>
      </c>
      <c r="C160" t="s">
        <v>115</v>
      </c>
      <c r="D160" s="857">
        <v>634000</v>
      </c>
      <c r="E160">
        <f t="shared" ref="E160:E162" si="97">F160/D160</f>
        <v>3.02</v>
      </c>
      <c r="F160" s="858">
        <v>1914680</v>
      </c>
      <c r="G160">
        <v>3.9306369793256493</v>
      </c>
      <c r="H160" s="881">
        <f t="shared" ref="H160:H169" si="98">+G160*D160</f>
        <v>2492023.8448924618</v>
      </c>
      <c r="I160" s="858">
        <f t="shared" ref="I160:I169" si="99">F160-H160</f>
        <v>-577343.84489246178</v>
      </c>
      <c r="J160">
        <v>3.44</v>
      </c>
      <c r="K160" s="881">
        <f t="shared" ref="K160:K169" si="100">J160*D160</f>
        <v>2180960</v>
      </c>
      <c r="L160" s="858">
        <f t="shared" ref="L160:L169" si="101">+F160-K160</f>
        <v>-266280</v>
      </c>
      <c r="M160" t="s">
        <v>729</v>
      </c>
      <c r="N160" s="67">
        <v>21492.6</v>
      </c>
    </row>
    <row r="161" spans="2:14" x14ac:dyDescent="0.2">
      <c r="B161" s="638">
        <v>44690</v>
      </c>
      <c r="C161" t="s">
        <v>115</v>
      </c>
      <c r="D161" s="857">
        <v>2005000</v>
      </c>
      <c r="E161">
        <f t="shared" si="97"/>
        <v>2.6754014962593518</v>
      </c>
      <c r="F161" s="858">
        <v>5364180</v>
      </c>
      <c r="G161">
        <v>3.9306369793256497</v>
      </c>
      <c r="H161" s="881">
        <f t="shared" si="98"/>
        <v>7880927.143547928</v>
      </c>
      <c r="I161" s="858">
        <f t="shared" si="99"/>
        <v>-2516747.143547928</v>
      </c>
      <c r="J161">
        <v>3.44</v>
      </c>
      <c r="K161" s="881">
        <f t="shared" si="100"/>
        <v>6897200</v>
      </c>
      <c r="L161" s="858">
        <f t="shared" si="101"/>
        <v>-1533020</v>
      </c>
      <c r="M161" t="s">
        <v>689</v>
      </c>
      <c r="N161" s="67">
        <v>67969.5</v>
      </c>
    </row>
    <row r="162" spans="2:14" x14ac:dyDescent="0.2">
      <c r="B162" s="638">
        <v>44691</v>
      </c>
      <c r="C162" t="s">
        <v>115</v>
      </c>
      <c r="D162" s="857">
        <v>3553500</v>
      </c>
      <c r="E162">
        <f t="shared" si="97"/>
        <v>2.7</v>
      </c>
      <c r="F162" s="858">
        <v>9594450</v>
      </c>
      <c r="G162">
        <v>3.9306369793256493</v>
      </c>
      <c r="H162" s="881">
        <f t="shared" si="98"/>
        <v>13967518.506033694</v>
      </c>
      <c r="I162" s="858">
        <f t="shared" si="99"/>
        <v>-4373068.5060336944</v>
      </c>
      <c r="J162">
        <v>3.44</v>
      </c>
      <c r="K162" s="881">
        <f t="shared" si="100"/>
        <v>12224040</v>
      </c>
      <c r="L162" s="858">
        <f t="shared" si="101"/>
        <v>-2629590</v>
      </c>
      <c r="M162" t="s">
        <v>492</v>
      </c>
      <c r="N162" s="67">
        <v>120463.65</v>
      </c>
    </row>
    <row r="163" spans="2:14" x14ac:dyDescent="0.2">
      <c r="B163" s="638">
        <v>44694</v>
      </c>
      <c r="C163" t="s">
        <v>115</v>
      </c>
      <c r="D163" s="857">
        <v>205500</v>
      </c>
      <c r="E163">
        <f>F163/D163</f>
        <v>2.7</v>
      </c>
      <c r="F163" s="858">
        <v>554850</v>
      </c>
      <c r="G163">
        <v>3.9306369793256493</v>
      </c>
      <c r="H163" s="881">
        <f t="shared" si="98"/>
        <v>807745.89925142087</v>
      </c>
      <c r="I163" s="858">
        <f t="shared" si="99"/>
        <v>-252895.89925142087</v>
      </c>
      <c r="J163">
        <v>3.44</v>
      </c>
      <c r="K163" s="881">
        <f t="shared" si="100"/>
        <v>706920</v>
      </c>
      <c r="L163" s="858">
        <f t="shared" si="101"/>
        <v>-152070</v>
      </c>
      <c r="M163" t="s">
        <v>526</v>
      </c>
      <c r="N163" s="67">
        <v>6966.45</v>
      </c>
    </row>
    <row r="164" spans="2:14" x14ac:dyDescent="0.2">
      <c r="B164" s="638">
        <v>44701</v>
      </c>
      <c r="C164" t="s">
        <v>115</v>
      </c>
      <c r="D164" s="857">
        <v>9800000</v>
      </c>
      <c r="E164">
        <f t="shared" ref="E164" si="102">F164/D164</f>
        <v>2.5999755102040818</v>
      </c>
      <c r="F164" s="858">
        <v>25479760</v>
      </c>
      <c r="G164">
        <v>3.9306369793256497</v>
      </c>
      <c r="H164" s="881">
        <f t="shared" si="98"/>
        <v>38520242.397391364</v>
      </c>
      <c r="I164" s="858">
        <f t="shared" si="99"/>
        <v>-13040482.397391364</v>
      </c>
      <c r="J164">
        <v>3.44</v>
      </c>
      <c r="K164" s="881">
        <f t="shared" si="100"/>
        <v>33712000</v>
      </c>
      <c r="L164" s="858">
        <f t="shared" si="101"/>
        <v>-8232240</v>
      </c>
      <c r="M164" t="s">
        <v>779</v>
      </c>
      <c r="N164" s="67">
        <v>332220</v>
      </c>
    </row>
    <row r="165" spans="2:14" x14ac:dyDescent="0.2">
      <c r="B165" s="638">
        <v>44704</v>
      </c>
      <c r="C165" t="s">
        <v>115</v>
      </c>
      <c r="D165" s="857">
        <v>1750000</v>
      </c>
      <c r="E165">
        <f>F165/D165</f>
        <v>2.5022457142857144</v>
      </c>
      <c r="F165" s="858">
        <v>4378930</v>
      </c>
      <c r="G165">
        <v>3.9306369793256501</v>
      </c>
      <c r="H165" s="881">
        <f t="shared" si="98"/>
        <v>6878614.7138198875</v>
      </c>
      <c r="I165" s="858">
        <f t="shared" si="99"/>
        <v>-2499684.7138198875</v>
      </c>
      <c r="J165">
        <v>3.44</v>
      </c>
      <c r="K165" s="881">
        <f t="shared" si="100"/>
        <v>6020000</v>
      </c>
      <c r="L165" s="858">
        <f t="shared" si="101"/>
        <v>-1641070</v>
      </c>
      <c r="M165" t="s">
        <v>505</v>
      </c>
      <c r="N165" s="67">
        <v>59325</v>
      </c>
    </row>
    <row r="166" spans="2:14" x14ac:dyDescent="0.2">
      <c r="B166" s="638">
        <v>44704</v>
      </c>
      <c r="C166" t="s">
        <v>115</v>
      </c>
      <c r="D166" s="857">
        <v>2400000</v>
      </c>
      <c r="E166">
        <f t="shared" ref="E166" si="103">F166/D166</f>
        <v>2.5499999999999998</v>
      </c>
      <c r="F166" s="858">
        <v>6120000</v>
      </c>
      <c r="G166">
        <v>3.9306369793256501</v>
      </c>
      <c r="H166" s="881">
        <f t="shared" si="98"/>
        <v>9433528.750381561</v>
      </c>
      <c r="I166" s="858">
        <f t="shared" si="99"/>
        <v>-3313528.750381561</v>
      </c>
      <c r="J166">
        <v>3.44</v>
      </c>
      <c r="K166" s="881">
        <f t="shared" si="100"/>
        <v>8256000</v>
      </c>
      <c r="L166" s="858">
        <f t="shared" si="101"/>
        <v>-2136000</v>
      </c>
      <c r="M166" t="s">
        <v>685</v>
      </c>
      <c r="N166" s="67">
        <v>81360</v>
      </c>
    </row>
    <row r="167" spans="2:14" x14ac:dyDescent="0.2">
      <c r="B167" s="638">
        <v>44705</v>
      </c>
      <c r="C167" t="s">
        <v>115</v>
      </c>
      <c r="D167" s="857">
        <v>396000</v>
      </c>
      <c r="E167">
        <f>F167/D167</f>
        <v>2.5</v>
      </c>
      <c r="F167" s="858">
        <v>990000</v>
      </c>
      <c r="G167">
        <v>3.9306369793256497</v>
      </c>
      <c r="H167" s="881">
        <f t="shared" si="98"/>
        <v>1556532.2438129573</v>
      </c>
      <c r="I167" s="858">
        <f t="shared" si="99"/>
        <v>-566532.24381295731</v>
      </c>
      <c r="J167">
        <v>3.44</v>
      </c>
      <c r="K167" s="881">
        <f t="shared" si="100"/>
        <v>1362240</v>
      </c>
      <c r="L167" s="858">
        <f t="shared" si="101"/>
        <v>-372240</v>
      </c>
      <c r="M167" t="s">
        <v>494</v>
      </c>
      <c r="N167" s="67">
        <v>13424.4</v>
      </c>
    </row>
    <row r="168" spans="2:14" x14ac:dyDescent="0.2">
      <c r="B168" s="638">
        <v>44706</v>
      </c>
      <c r="C168" t="s">
        <v>115</v>
      </c>
      <c r="D168" s="857">
        <v>2000000</v>
      </c>
      <c r="E168">
        <f>F168/D168</f>
        <v>2.5297774999999998</v>
      </c>
      <c r="F168" s="858">
        <v>5059555</v>
      </c>
      <c r="G168">
        <v>3.9306369793256466</v>
      </c>
      <c r="H168" s="881">
        <f t="shared" si="98"/>
        <v>7861273.9586512931</v>
      </c>
      <c r="I168" s="858">
        <f t="shared" si="99"/>
        <v>-2801718.9586512931</v>
      </c>
      <c r="J168">
        <v>3.44</v>
      </c>
      <c r="K168" s="881">
        <f t="shared" si="100"/>
        <v>6880000</v>
      </c>
      <c r="L168" s="858">
        <f t="shared" si="101"/>
        <v>-1820445</v>
      </c>
      <c r="M168" t="s">
        <v>526</v>
      </c>
      <c r="N168" s="67">
        <v>67800</v>
      </c>
    </row>
    <row r="169" spans="2:14" x14ac:dyDescent="0.2">
      <c r="B169" s="638">
        <v>44707</v>
      </c>
      <c r="C169" t="s">
        <v>115</v>
      </c>
      <c r="D169" s="857">
        <v>82000</v>
      </c>
      <c r="E169">
        <f t="shared" ref="E169" si="104">F169/D169</f>
        <v>2.52</v>
      </c>
      <c r="F169" s="858">
        <v>206640</v>
      </c>
      <c r="G169">
        <v>3.9306369793256972</v>
      </c>
      <c r="H169" s="881">
        <f t="shared" si="98"/>
        <v>322312.23230470717</v>
      </c>
      <c r="I169" s="858">
        <f t="shared" si="99"/>
        <v>-115672.23230470717</v>
      </c>
      <c r="J169">
        <v>3.44</v>
      </c>
      <c r="K169" s="881">
        <f t="shared" si="100"/>
        <v>282080</v>
      </c>
      <c r="L169" s="858">
        <f t="shared" si="101"/>
        <v>-75440</v>
      </c>
      <c r="M169" t="s">
        <v>493</v>
      </c>
      <c r="N169" s="67">
        <v>2779.8</v>
      </c>
    </row>
    <row r="171" spans="2:14" ht="12.75" thickBot="1" x14ac:dyDescent="0.25">
      <c r="D171" s="888">
        <f>+SUM(D160:D170)</f>
        <v>22826000</v>
      </c>
      <c r="F171" s="888">
        <f>+SUM(F160:F170)</f>
        <v>59663045</v>
      </c>
      <c r="H171" s="990">
        <f>+SUM(H160:H170)</f>
        <v>89720719.690087274</v>
      </c>
      <c r="K171" s="990">
        <f>+SUM(K160:K170)</f>
        <v>78521440</v>
      </c>
      <c r="N171" s="888">
        <f>+SUM(N160:N170)</f>
        <v>773801.4</v>
      </c>
    </row>
    <row r="172" spans="2:14" ht="12.75" thickTop="1" x14ac:dyDescent="0.2"/>
    <row r="173" spans="2:14" x14ac:dyDescent="0.2">
      <c r="B173" s="638">
        <v>44676</v>
      </c>
      <c r="C173" t="s">
        <v>160</v>
      </c>
      <c r="D173" s="857">
        <v>3152</v>
      </c>
      <c r="E173">
        <f t="shared" ref="E173:E177" si="105">F173/D173</f>
        <v>85.730678934010143</v>
      </c>
      <c r="F173" s="858">
        <v>270223.09999999998</v>
      </c>
      <c r="G173">
        <v>95.281908523741677</v>
      </c>
      <c r="H173" s="881">
        <f t="shared" ref="H173:H180" si="106">+G173*D173</f>
        <v>300328.57566683379</v>
      </c>
      <c r="I173" s="858">
        <f t="shared" ref="I173:I180" si="107">F173-H173</f>
        <v>-30105.475666833809</v>
      </c>
      <c r="J173">
        <v>79.58</v>
      </c>
      <c r="K173" s="881">
        <f t="shared" ref="K173:K180" si="108">J173*D173</f>
        <v>250836.16</v>
      </c>
      <c r="L173" s="858">
        <f t="shared" ref="L173:L180" si="109">+F173-K173</f>
        <v>19386.939999999973</v>
      </c>
      <c r="M173" s="851" t="s">
        <v>825</v>
      </c>
      <c r="N173" s="67">
        <v>458.02</v>
      </c>
    </row>
    <row r="174" spans="2:14" x14ac:dyDescent="0.2">
      <c r="B174" s="638">
        <v>44679</v>
      </c>
      <c r="C174" t="s">
        <v>160</v>
      </c>
      <c r="D174" s="857">
        <v>609053</v>
      </c>
      <c r="E174">
        <f t="shared" si="105"/>
        <v>83.061654516763909</v>
      </c>
      <c r="F174" s="858">
        <v>50588949.868398607</v>
      </c>
      <c r="G174">
        <v>95.281908523741663</v>
      </c>
      <c r="H174" s="881">
        <f t="shared" si="106"/>
        <v>58031732.232110433</v>
      </c>
      <c r="I174" s="858">
        <f t="shared" si="107"/>
        <v>-7442782.3637118265</v>
      </c>
      <c r="J174">
        <v>79.58</v>
      </c>
      <c r="K174" s="881">
        <f t="shared" si="108"/>
        <v>48468437.740000002</v>
      </c>
      <c r="L174" s="858">
        <f t="shared" si="109"/>
        <v>2120512.1283986047</v>
      </c>
      <c r="M174" s="1308" t="s">
        <v>825</v>
      </c>
      <c r="N174" s="67">
        <v>85748.27881322871</v>
      </c>
    </row>
    <row r="175" spans="2:14" x14ac:dyDescent="0.2">
      <c r="B175" s="638">
        <v>44690</v>
      </c>
      <c r="C175" t="s">
        <v>160</v>
      </c>
      <c r="D175" s="857">
        <v>70075</v>
      </c>
      <c r="E175">
        <f t="shared" si="105"/>
        <v>77.536036817695333</v>
      </c>
      <c r="F175" s="858">
        <v>5433337.7800000003</v>
      </c>
      <c r="G175">
        <v>95.281908523741663</v>
      </c>
      <c r="H175" s="881">
        <f t="shared" si="106"/>
        <v>6676879.7398011973</v>
      </c>
      <c r="I175" s="858">
        <f t="shared" si="107"/>
        <v>-1243541.9598011971</v>
      </c>
      <c r="J175">
        <v>79.58</v>
      </c>
      <c r="K175" s="881">
        <f t="shared" si="108"/>
        <v>5576568.5</v>
      </c>
      <c r="L175" s="858">
        <f t="shared" si="109"/>
        <v>-143230.71999999974</v>
      </c>
      <c r="M175" s="1308" t="s">
        <v>666</v>
      </c>
      <c r="N175" s="67">
        <v>9211.73</v>
      </c>
    </row>
    <row r="176" spans="2:14" x14ac:dyDescent="0.2">
      <c r="B176" s="638">
        <v>44706</v>
      </c>
      <c r="C176" t="s">
        <v>160</v>
      </c>
      <c r="D176" s="857">
        <v>295108</v>
      </c>
      <c r="E176">
        <f t="shared" si="105"/>
        <v>72.035405285818825</v>
      </c>
      <c r="F176" s="858">
        <v>21258224.383087423</v>
      </c>
      <c r="G176">
        <v>95.281908523741677</v>
      </c>
      <c r="H176" s="881">
        <f t="shared" si="106"/>
        <v>28118453.46062436</v>
      </c>
      <c r="I176" s="858">
        <f t="shared" si="107"/>
        <v>-6860229.0775369368</v>
      </c>
      <c r="J176">
        <v>79.58</v>
      </c>
      <c r="K176" s="881">
        <f t="shared" si="108"/>
        <v>23484694.640000001</v>
      </c>
      <c r="L176" s="858">
        <f t="shared" si="109"/>
        <v>-2226470.2569125779</v>
      </c>
      <c r="M176" s="1308" t="s">
        <v>689</v>
      </c>
      <c r="N176" s="67">
        <v>36032.687648818472</v>
      </c>
    </row>
    <row r="177" spans="2:14" x14ac:dyDescent="0.2">
      <c r="B177" s="638">
        <v>44706</v>
      </c>
      <c r="C177" t="s">
        <v>160</v>
      </c>
      <c r="D177" s="857">
        <v>500000</v>
      </c>
      <c r="E177">
        <f t="shared" si="105"/>
        <v>71.654366799999991</v>
      </c>
      <c r="F177" s="858">
        <v>35827183.399999999</v>
      </c>
      <c r="G177">
        <v>95.281908523741677</v>
      </c>
      <c r="H177" s="881">
        <f t="shared" si="106"/>
        <v>47640954.261870839</v>
      </c>
      <c r="I177" s="858">
        <f t="shared" si="107"/>
        <v>-11813770.86187084</v>
      </c>
      <c r="J177">
        <v>79.58</v>
      </c>
      <c r="K177" s="881">
        <f t="shared" si="108"/>
        <v>39790000</v>
      </c>
      <c r="L177" s="858">
        <f t="shared" si="109"/>
        <v>-3962816.6000000015</v>
      </c>
      <c r="M177" s="1308" t="s">
        <v>505</v>
      </c>
      <c r="N177" s="67">
        <v>60727.08</v>
      </c>
    </row>
    <row r="178" spans="2:14" x14ac:dyDescent="0.2">
      <c r="B178" s="638">
        <v>44707</v>
      </c>
      <c r="C178" t="s">
        <v>160</v>
      </c>
      <c r="D178" s="857">
        <v>99900</v>
      </c>
      <c r="E178">
        <f>F178/D178</f>
        <v>72.396199999999993</v>
      </c>
      <c r="F178" s="858">
        <v>7232380.379999999</v>
      </c>
      <c r="G178">
        <v>95.281908523741677</v>
      </c>
      <c r="H178" s="881">
        <f t="shared" si="106"/>
        <v>9518662.6615217943</v>
      </c>
      <c r="I178" s="858">
        <f t="shared" si="107"/>
        <v>-2286282.2815217953</v>
      </c>
      <c r="J178">
        <v>79.58</v>
      </c>
      <c r="K178" s="881">
        <f t="shared" si="108"/>
        <v>7950042</v>
      </c>
      <c r="L178" s="858">
        <f t="shared" si="109"/>
        <v>-717661.62000000104</v>
      </c>
      <c r="M178" s="1308" t="s">
        <v>666</v>
      </c>
      <c r="N178" s="67">
        <v>12262.757140000002</v>
      </c>
    </row>
    <row r="179" spans="2:14" x14ac:dyDescent="0.2">
      <c r="B179" s="638">
        <v>44707</v>
      </c>
      <c r="C179" t="s">
        <v>160</v>
      </c>
      <c r="D179" s="857">
        <v>100000</v>
      </c>
      <c r="E179">
        <f t="shared" ref="E179:E180" si="110">F179/D179</f>
        <v>72.471519150029991</v>
      </c>
      <c r="F179" s="858">
        <v>7247151.9150029989</v>
      </c>
      <c r="G179">
        <v>95.281908523741677</v>
      </c>
      <c r="H179" s="881">
        <f t="shared" si="106"/>
        <v>9528190.8523741681</v>
      </c>
      <c r="I179" s="858">
        <f t="shared" si="107"/>
        <v>-2281038.9373711692</v>
      </c>
      <c r="J179">
        <v>79.58</v>
      </c>
      <c r="K179" s="881">
        <f t="shared" si="108"/>
        <v>7958000</v>
      </c>
      <c r="L179" s="858">
        <f t="shared" si="109"/>
        <v>-710848.0849970011</v>
      </c>
      <c r="M179" s="1308" t="s">
        <v>493</v>
      </c>
      <c r="N179" s="67">
        <v>12285.61366121155</v>
      </c>
    </row>
    <row r="180" spans="2:14" x14ac:dyDescent="0.2">
      <c r="B180" s="638">
        <v>44742</v>
      </c>
      <c r="C180" t="s">
        <v>160</v>
      </c>
      <c r="D180" s="857">
        <v>361999</v>
      </c>
      <c r="E180">
        <f t="shared" si="110"/>
        <v>74</v>
      </c>
      <c r="F180" s="858">
        <v>26787926</v>
      </c>
      <c r="G180">
        <v>95.281908523741677</v>
      </c>
      <c r="H180" s="881">
        <f t="shared" si="106"/>
        <v>34491955.60368596</v>
      </c>
      <c r="I180" s="858">
        <f t="shared" si="107"/>
        <v>-7704029.6036859602</v>
      </c>
      <c r="J180">
        <v>79.58</v>
      </c>
      <c r="K180" s="881">
        <f t="shared" si="108"/>
        <v>28807880.419999998</v>
      </c>
      <c r="L180" s="858">
        <f t="shared" si="109"/>
        <v>-2019954.4199999981</v>
      </c>
      <c r="M180" s="1308" t="s">
        <v>493</v>
      </c>
      <c r="N180" s="67">
        <v>45405.539000000004</v>
      </c>
    </row>
    <row r="182" spans="2:14" ht="12.75" thickBot="1" x14ac:dyDescent="0.25">
      <c r="D182" s="888">
        <f>+SUM(D173:D181)</f>
        <v>2039287</v>
      </c>
      <c r="F182" s="888">
        <f>+SUM(F173:F181)</f>
        <v>154645376.82648903</v>
      </c>
      <c r="H182" s="990">
        <f>+SUM(H173:H181)</f>
        <v>194307157.38765556</v>
      </c>
      <c r="K182" s="990">
        <f>+SUM(K173:K181)</f>
        <v>162286459.45999998</v>
      </c>
      <c r="N182" s="888">
        <f>+SUM(N173:N181)</f>
        <v>262131.70626325876</v>
      </c>
    </row>
    <row r="183" spans="2:14" ht="12.75" thickTop="1" x14ac:dyDescent="0.2"/>
    <row r="184" spans="2:14" x14ac:dyDescent="0.2">
      <c r="B184" s="638">
        <v>44676</v>
      </c>
      <c r="C184" t="s">
        <v>162</v>
      </c>
      <c r="D184" s="857">
        <v>13266</v>
      </c>
      <c r="E184">
        <f t="shared" ref="E184" si="111">F184/D184</f>
        <v>171.5</v>
      </c>
      <c r="F184" s="858">
        <v>2275119</v>
      </c>
      <c r="G184">
        <v>221.67652079954544</v>
      </c>
      <c r="H184" s="881">
        <f t="shared" ref="H184" si="112">+G184*D184</f>
        <v>2940760.7249267697</v>
      </c>
      <c r="I184" s="858">
        <f t="shared" ref="I184" si="113">F184-H184</f>
        <v>-665641.72492676973</v>
      </c>
      <c r="J184">
        <v>182.0218177518947</v>
      </c>
      <c r="K184" s="881">
        <f t="shared" ref="K184" si="114">J184*D184</f>
        <v>2414701.434296635</v>
      </c>
      <c r="L184" s="858">
        <f t="shared" ref="L184" si="115">+F184-K184</f>
        <v>-139582.43429663498</v>
      </c>
      <c r="M184" t="s">
        <v>849</v>
      </c>
      <c r="N184" s="67">
        <v>3857.07</v>
      </c>
    </row>
    <row r="186" spans="2:14" ht="12.75" thickBot="1" x14ac:dyDescent="0.25">
      <c r="D186" s="888">
        <f>+SUM(D184:D185)</f>
        <v>13266</v>
      </c>
      <c r="F186" s="888">
        <f>+SUM(F184:F185)</f>
        <v>2275119</v>
      </c>
      <c r="H186" s="990">
        <f>+SUM(H184:H185)</f>
        <v>2940760.7249267697</v>
      </c>
      <c r="K186" s="990">
        <f>+SUM(K184:K185)</f>
        <v>2414701.434296635</v>
      </c>
      <c r="N186" s="888">
        <f>+SUM(N184:N185)</f>
        <v>3857.07</v>
      </c>
    </row>
    <row r="187" spans="2:14" ht="12.75" thickTop="1" x14ac:dyDescent="0.2"/>
    <row r="188" spans="2:14" x14ac:dyDescent="0.2">
      <c r="B188" s="638">
        <v>44676</v>
      </c>
      <c r="C188" t="s">
        <v>148</v>
      </c>
      <c r="D188" s="857">
        <v>50000</v>
      </c>
      <c r="E188">
        <f t="shared" ref="E188:E189" si="116">F188/D188</f>
        <v>374</v>
      </c>
      <c r="F188" s="858">
        <v>18700000</v>
      </c>
      <c r="G188">
        <v>359.44673398310084</v>
      </c>
      <c r="H188" s="881">
        <f t="shared" ref="H188:H189" si="117">+G188*D188</f>
        <v>17972336.699155044</v>
      </c>
      <c r="I188" s="858">
        <f t="shared" ref="I188:I189" si="118">F188-H188</f>
        <v>727663.30084495619</v>
      </c>
      <c r="J188">
        <v>382.48805875181614</v>
      </c>
      <c r="K188" s="881">
        <f t="shared" ref="K188:K189" si="119">J188*D188</f>
        <v>19124402.937590808</v>
      </c>
      <c r="L188" s="858">
        <f t="shared" ref="L188:L189" si="120">+F188-K188</f>
        <v>-424402.93759080768</v>
      </c>
      <c r="M188" t="s">
        <v>493</v>
      </c>
      <c r="N188" s="67">
        <v>31696.500000000004</v>
      </c>
    </row>
    <row r="189" spans="2:14" x14ac:dyDescent="0.2">
      <c r="B189" s="638">
        <v>44676</v>
      </c>
      <c r="C189" t="s">
        <v>148</v>
      </c>
      <c r="D189" s="857">
        <v>200000</v>
      </c>
      <c r="E189">
        <f t="shared" si="116"/>
        <v>374.00335999999999</v>
      </c>
      <c r="F189" s="858">
        <v>74800672</v>
      </c>
      <c r="G189">
        <v>359.44673398310084</v>
      </c>
      <c r="H189" s="881">
        <f t="shared" si="117"/>
        <v>71889346.796620175</v>
      </c>
      <c r="I189" s="858">
        <f t="shared" si="118"/>
        <v>2911325.2033798248</v>
      </c>
      <c r="J189">
        <v>382.48805875181614</v>
      </c>
      <c r="K189" s="881">
        <f t="shared" si="119"/>
        <v>76497611.750363231</v>
      </c>
      <c r="L189" s="858">
        <f t="shared" si="120"/>
        <v>-1696939.7503632307</v>
      </c>
      <c r="M189" t="s">
        <v>436</v>
      </c>
      <c r="N189" s="67">
        <v>126787.15000000001</v>
      </c>
    </row>
    <row r="191" spans="2:14" ht="12.75" thickBot="1" x14ac:dyDescent="0.25">
      <c r="D191" s="888">
        <f>+SUM(D188:D190)</f>
        <v>250000</v>
      </c>
      <c r="F191" s="888">
        <f>+SUM(F188:F190)</f>
        <v>93500672</v>
      </c>
      <c r="H191" s="990">
        <f>+SUM(H188:H190)</f>
        <v>89861683.495775223</v>
      </c>
      <c r="K191" s="990">
        <f>+SUM(K188:K190)</f>
        <v>95622014.687954038</v>
      </c>
      <c r="N191" s="888">
        <f>+SUM(N188:N190)</f>
        <v>158483.65000000002</v>
      </c>
    </row>
    <row r="192" spans="2:14" ht="12.75" thickTop="1" x14ac:dyDescent="0.2"/>
    <row r="193" spans="2:14" x14ac:dyDescent="0.2">
      <c r="B193" s="638">
        <v>44676</v>
      </c>
      <c r="C193" t="s">
        <v>550</v>
      </c>
      <c r="D193" s="857">
        <v>1000000</v>
      </c>
      <c r="E193">
        <f t="shared" ref="E193" si="121">F193/D193</f>
        <v>25.897127649999998</v>
      </c>
      <c r="F193" s="858">
        <v>25897127.649999999</v>
      </c>
      <c r="G193">
        <v>43.772278229955511</v>
      </c>
      <c r="H193" s="881">
        <f t="shared" ref="H193" si="122">+G193*D193</f>
        <v>43772278.229955509</v>
      </c>
      <c r="I193" s="858">
        <f t="shared" ref="I193" si="123">F193-H193</f>
        <v>-17875150.579955511</v>
      </c>
      <c r="J193">
        <v>26.47</v>
      </c>
      <c r="K193" s="881">
        <f t="shared" ref="K193" si="124">J193*D193</f>
        <v>26470000</v>
      </c>
      <c r="L193" s="858">
        <f t="shared" ref="L193" si="125">+F193-K193</f>
        <v>-572872.35000000149</v>
      </c>
      <c r="M193" t="s">
        <v>854</v>
      </c>
      <c r="N193" s="67">
        <v>43895.630000000005</v>
      </c>
    </row>
    <row r="195" spans="2:14" ht="12.75" thickBot="1" x14ac:dyDescent="0.25">
      <c r="D195" s="888">
        <f>+SUM(D193:D194)</f>
        <v>1000000</v>
      </c>
      <c r="F195" s="888">
        <f>+SUM(F193:F194)</f>
        <v>25897127.649999999</v>
      </c>
      <c r="H195" s="990">
        <f>+SUM(H193:H194)</f>
        <v>43772278.229955509</v>
      </c>
      <c r="K195" s="990">
        <f>+SUM(K193:K194)</f>
        <v>26470000</v>
      </c>
      <c r="N195" s="888">
        <f>+SUM(N193:N194)</f>
        <v>43895.630000000005</v>
      </c>
    </row>
    <row r="196" spans="2:14" ht="12.75" thickTop="1" x14ac:dyDescent="0.2"/>
    <row r="197" spans="2:14" x14ac:dyDescent="0.2">
      <c r="B197" s="638">
        <v>44679</v>
      </c>
      <c r="C197" t="s">
        <v>169</v>
      </c>
      <c r="D197" s="857">
        <v>925500</v>
      </c>
      <c r="E197">
        <f>F197/D197</f>
        <v>139.99850243111831</v>
      </c>
      <c r="F197" s="858">
        <v>129568614</v>
      </c>
      <c r="G197">
        <v>188.22419904987399</v>
      </c>
      <c r="H197" s="881">
        <f t="shared" ref="H197" si="126">+G197*D197</f>
        <v>174201496.22065836</v>
      </c>
      <c r="I197" s="858">
        <f t="shared" ref="I197" si="127">F197-H197</f>
        <v>-44632882.220658362</v>
      </c>
      <c r="J197">
        <v>139.39025660484751</v>
      </c>
      <c r="K197" s="881">
        <f t="shared" ref="K197" si="128">J197*D197</f>
        <v>129005682.48778637</v>
      </c>
      <c r="L197" s="858">
        <f t="shared" ref="L197" si="129">+F197-K197</f>
        <v>562931.51221363246</v>
      </c>
      <c r="M197" t="s">
        <v>846</v>
      </c>
      <c r="N197" s="67">
        <v>219618.80000000002</v>
      </c>
    </row>
    <row r="199" spans="2:14" ht="12.75" thickBot="1" x14ac:dyDescent="0.25">
      <c r="D199" s="888">
        <f>+SUM(D197:D198)</f>
        <v>925500</v>
      </c>
      <c r="F199" s="888">
        <f>+SUM(F197:F198)</f>
        <v>129568614</v>
      </c>
      <c r="H199" s="990">
        <f>+SUM(H197:H198)</f>
        <v>174201496.22065836</v>
      </c>
      <c r="K199" s="990">
        <f>+SUM(K197:K198)</f>
        <v>129005682.48778637</v>
      </c>
      <c r="N199" s="888">
        <f>+SUM(N197:N198)</f>
        <v>219618.80000000002</v>
      </c>
    </row>
    <row r="200" spans="2:14" ht="12.75" thickTop="1" x14ac:dyDescent="0.2"/>
    <row r="201" spans="2:14" x14ac:dyDescent="0.2">
      <c r="B201" s="638">
        <v>44679</v>
      </c>
      <c r="C201" t="s">
        <v>781</v>
      </c>
      <c r="D201" s="857">
        <v>1000000</v>
      </c>
      <c r="E201">
        <f t="shared" ref="E201:E202" si="130">F201/D201</f>
        <v>31.996500000000001</v>
      </c>
      <c r="F201" s="858">
        <v>31996500</v>
      </c>
      <c r="G201">
        <v>46.231739649479181</v>
      </c>
      <c r="H201" s="881">
        <f t="shared" ref="H201:H202" si="131">+G201*D201</f>
        <v>46231739.649479181</v>
      </c>
      <c r="I201" s="858">
        <f t="shared" ref="I201:I202" si="132">F201-H201</f>
        <v>-14235239.649479181</v>
      </c>
      <c r="J201">
        <v>34.217448671257998</v>
      </c>
      <c r="K201" s="881">
        <f t="shared" ref="K201:K202" si="133">J201*D201</f>
        <v>34217448.671257995</v>
      </c>
      <c r="L201" s="858">
        <f t="shared" ref="L201:L202" si="134">+F201-K201</f>
        <v>-2220948.6712579951</v>
      </c>
      <c r="M201" t="s">
        <v>910</v>
      </c>
      <c r="N201" s="67">
        <v>54240</v>
      </c>
    </row>
    <row r="202" spans="2:14" x14ac:dyDescent="0.2">
      <c r="B202" s="638">
        <v>44691</v>
      </c>
      <c r="C202" t="s">
        <v>781</v>
      </c>
      <c r="D202" s="857">
        <v>450000</v>
      </c>
      <c r="E202">
        <f t="shared" si="130"/>
        <v>31</v>
      </c>
      <c r="F202" s="858">
        <v>13950000</v>
      </c>
      <c r="G202">
        <v>46.231739649479174</v>
      </c>
      <c r="H202" s="881">
        <f t="shared" si="131"/>
        <v>20804282.842265628</v>
      </c>
      <c r="I202" s="858">
        <f t="shared" si="132"/>
        <v>-6854282.8422656283</v>
      </c>
      <c r="J202">
        <v>34.217448671257998</v>
      </c>
      <c r="K202" s="881">
        <f t="shared" si="133"/>
        <v>15397851.902066099</v>
      </c>
      <c r="L202" s="858">
        <f t="shared" si="134"/>
        <v>-1447851.9020660985</v>
      </c>
      <c r="M202" t="s">
        <v>910</v>
      </c>
      <c r="N202" s="67">
        <v>23645.25</v>
      </c>
    </row>
    <row r="204" spans="2:14" ht="12.75" thickBot="1" x14ac:dyDescent="0.25">
      <c r="D204" s="888">
        <f>+SUM(D201:D203)</f>
        <v>1450000</v>
      </c>
      <c r="F204" s="888">
        <f>+SUM(F201:F203)</f>
        <v>45946500</v>
      </c>
      <c r="H204" s="990">
        <f>+SUM(H201:H203)</f>
        <v>67036022.491744809</v>
      </c>
      <c r="K204" s="990">
        <f>+SUM(K201:K203)</f>
        <v>49615300.573324092</v>
      </c>
      <c r="N204" s="888">
        <f>+SUM(N201:N203)</f>
        <v>77885.25</v>
      </c>
    </row>
    <row r="205" spans="2:14" ht="12.75" thickTop="1" x14ac:dyDescent="0.2"/>
    <row r="206" spans="2:14" x14ac:dyDescent="0.2">
      <c r="B206" s="638">
        <v>44690</v>
      </c>
      <c r="C206" t="s">
        <v>572</v>
      </c>
      <c r="D206" s="857">
        <v>225000</v>
      </c>
      <c r="E206">
        <f t="shared" ref="E206:E207" si="135">F206/D206</f>
        <v>58.070733333333337</v>
      </c>
      <c r="F206" s="858">
        <v>13065915</v>
      </c>
      <c r="G206">
        <v>83.601575933554571</v>
      </c>
      <c r="H206" s="881">
        <f t="shared" ref="H206:H207" si="136">+G206*D206</f>
        <v>18810354.585049778</v>
      </c>
      <c r="I206" s="858">
        <f t="shared" ref="I206:I207" si="137">F206-H206</f>
        <v>-5744439.5850497782</v>
      </c>
      <c r="J206">
        <v>77.834995238095232</v>
      </c>
      <c r="K206" s="881">
        <f t="shared" ref="K206:K207" si="138">J206*D206</f>
        <v>17512873.928571425</v>
      </c>
      <c r="L206" s="858">
        <f t="shared" ref="L206:L207" si="139">+F206-K206</f>
        <v>-4446958.9285714254</v>
      </c>
      <c r="M206" t="s">
        <v>689</v>
      </c>
      <c r="N206" s="67">
        <v>22146.719999999998</v>
      </c>
    </row>
    <row r="207" spans="2:14" x14ac:dyDescent="0.2">
      <c r="B207" s="638">
        <v>44691</v>
      </c>
      <c r="C207" t="s">
        <v>572</v>
      </c>
      <c r="D207" s="857">
        <v>6000</v>
      </c>
      <c r="E207">
        <f t="shared" si="135"/>
        <v>57.86</v>
      </c>
      <c r="F207" s="858">
        <v>347160</v>
      </c>
      <c r="G207">
        <v>83.601575933554514</v>
      </c>
      <c r="H207" s="881">
        <f t="shared" si="136"/>
        <v>501609.45560132706</v>
      </c>
      <c r="I207" s="858">
        <f t="shared" si="137"/>
        <v>-154449.45560132706</v>
      </c>
      <c r="J207">
        <v>77.834995238095516</v>
      </c>
      <c r="K207" s="881">
        <f t="shared" si="138"/>
        <v>467009.97142857307</v>
      </c>
      <c r="L207" s="858">
        <f t="shared" si="139"/>
        <v>-119849.97142857307</v>
      </c>
      <c r="M207" t="s">
        <v>729</v>
      </c>
      <c r="N207" s="67">
        <v>588.44000000000005</v>
      </c>
    </row>
    <row r="209" spans="2:14" ht="12.75" thickBot="1" x14ac:dyDescent="0.25">
      <c r="D209" s="888">
        <f>+SUM(D206:D208)</f>
        <v>231000</v>
      </c>
      <c r="F209" s="888">
        <f>+SUM(F206:F208)</f>
        <v>13413075</v>
      </c>
      <c r="H209" s="990">
        <f>+SUM(H206:H208)</f>
        <v>19311964.040651105</v>
      </c>
      <c r="K209" s="990">
        <f>+SUM(K206:K208)</f>
        <v>17979883.899999999</v>
      </c>
      <c r="N209" s="888">
        <f>+SUM(N206:N208)</f>
        <v>22735.159999999996</v>
      </c>
    </row>
    <row r="210" spans="2:14" ht="12.75" thickTop="1" x14ac:dyDescent="0.2"/>
    <row r="211" spans="2:14" x14ac:dyDescent="0.2">
      <c r="B211" s="638">
        <v>44691</v>
      </c>
      <c r="C211" t="s">
        <v>561</v>
      </c>
      <c r="D211" s="857">
        <v>1855</v>
      </c>
      <c r="E211">
        <f>F211/D211</f>
        <v>118.01460916442049</v>
      </c>
      <c r="F211" s="858">
        <v>218917.1</v>
      </c>
      <c r="G211">
        <v>151.6079594</v>
      </c>
      <c r="H211" s="881">
        <f t="shared" ref="H211:H213" si="140">+G211*D211</f>
        <v>281232.76468700002</v>
      </c>
      <c r="I211" s="858">
        <f t="shared" ref="I211:I213" si="141">F211-H211</f>
        <v>-62315.664687000011</v>
      </c>
      <c r="J211">
        <v>151.2137864</v>
      </c>
      <c r="K211" s="881">
        <f t="shared" ref="K211:K213" si="142">J211*D211</f>
        <v>280501.57377200003</v>
      </c>
      <c r="L211" s="858">
        <f t="shared" ref="L211:L213" si="143">+F211-K211</f>
        <v>-61584.473772000027</v>
      </c>
      <c r="M211" t="s">
        <v>689</v>
      </c>
      <c r="N211" s="67">
        <v>371.07</v>
      </c>
    </row>
    <row r="212" spans="2:14" x14ac:dyDescent="0.2">
      <c r="B212" s="638">
        <v>44693</v>
      </c>
      <c r="C212" t="s">
        <v>561</v>
      </c>
      <c r="D212" s="857">
        <v>10000</v>
      </c>
      <c r="E212">
        <f t="shared" ref="E212:E213" si="144">F212/D212</f>
        <v>120.0175</v>
      </c>
      <c r="F212" s="858">
        <v>1200175</v>
      </c>
      <c r="G212">
        <v>151.6079594</v>
      </c>
      <c r="H212" s="881">
        <f t="shared" si="140"/>
        <v>1516079.594</v>
      </c>
      <c r="I212" s="858">
        <f t="shared" si="141"/>
        <v>-315904.59400000004</v>
      </c>
      <c r="J212">
        <v>151.2137864</v>
      </c>
      <c r="K212" s="881">
        <f t="shared" si="142"/>
        <v>1512137.8640000001</v>
      </c>
      <c r="L212" s="858">
        <f t="shared" si="143"/>
        <v>-311962.86400000006</v>
      </c>
      <c r="M212" t="s">
        <v>526</v>
      </c>
      <c r="N212" s="67">
        <v>2034.29</v>
      </c>
    </row>
    <row r="213" spans="2:14" x14ac:dyDescent="0.2">
      <c r="B213" s="638">
        <v>44761</v>
      </c>
      <c r="C213" t="s">
        <v>561</v>
      </c>
      <c r="D213" s="857">
        <v>600</v>
      </c>
      <c r="E213">
        <f t="shared" si="144"/>
        <v>87.795833333333334</v>
      </c>
      <c r="F213" s="858">
        <v>52677.5</v>
      </c>
      <c r="G213">
        <v>151.6079594</v>
      </c>
      <c r="H213" s="881">
        <f t="shared" si="140"/>
        <v>90964.775639999993</v>
      </c>
      <c r="I213" s="858">
        <f t="shared" si="141"/>
        <v>-38287.275639999993</v>
      </c>
      <c r="J213">
        <v>151.2137864</v>
      </c>
      <c r="K213" s="881">
        <f t="shared" si="142"/>
        <v>90728.271840000001</v>
      </c>
      <c r="L213" s="858">
        <f t="shared" si="143"/>
        <v>-38050.771840000001</v>
      </c>
      <c r="M213" t="s">
        <v>526</v>
      </c>
      <c r="N213" s="67">
        <v>89.289999999999992</v>
      </c>
    </row>
    <row r="215" spans="2:14" ht="12.75" thickBot="1" x14ac:dyDescent="0.25">
      <c r="D215" s="888">
        <f>+SUM(D211:D214)</f>
        <v>12455</v>
      </c>
      <c r="F215" s="888">
        <f>+SUM(F211:F214)</f>
        <v>1471769.6000000001</v>
      </c>
      <c r="H215" s="990">
        <f>+SUM(H211:H214)</f>
        <v>1888277.134327</v>
      </c>
      <c r="K215" s="990">
        <f>+SUM(K211:K214)</f>
        <v>1883367.7096120003</v>
      </c>
      <c r="N215" s="888">
        <f>+SUM(N211:N214)</f>
        <v>2494.65</v>
      </c>
    </row>
    <row r="216" spans="2:14" ht="12.75" thickTop="1" x14ac:dyDescent="0.2"/>
    <row r="217" spans="2:14" x14ac:dyDescent="0.2">
      <c r="B217" s="638">
        <v>44691</v>
      </c>
      <c r="C217" t="s">
        <v>650</v>
      </c>
      <c r="D217" s="857">
        <v>1000</v>
      </c>
      <c r="E217">
        <f t="shared" ref="E217" si="145">F217/D217</f>
        <v>13.5</v>
      </c>
      <c r="F217" s="858">
        <v>13500</v>
      </c>
      <c r="G217">
        <v>26</v>
      </c>
      <c r="H217" s="881">
        <f t="shared" ref="H217" si="146">+G217*D217</f>
        <v>26000</v>
      </c>
      <c r="I217" s="858">
        <f t="shared" ref="I217" si="147">F217-H217</f>
        <v>-12500</v>
      </c>
      <c r="J217">
        <v>23.34</v>
      </c>
      <c r="K217" s="881">
        <f t="shared" ref="K217" si="148">J217*D217</f>
        <v>23340</v>
      </c>
      <c r="L217" s="858">
        <f t="shared" ref="L217" si="149">+F217-K217</f>
        <v>-9840</v>
      </c>
      <c r="M217" t="s">
        <v>729</v>
      </c>
      <c r="N217" s="67">
        <v>33.9</v>
      </c>
    </row>
    <row r="219" spans="2:14" ht="12.75" thickBot="1" x14ac:dyDescent="0.25">
      <c r="D219" s="888">
        <f>+SUM(D217:D218)</f>
        <v>1000</v>
      </c>
      <c r="F219" s="888">
        <f>+SUM(F217:F218)</f>
        <v>13500</v>
      </c>
      <c r="H219" s="990">
        <f>+SUM(H217:H218)</f>
        <v>26000</v>
      </c>
      <c r="K219" s="990">
        <f>+SUM(K217:K218)</f>
        <v>23340</v>
      </c>
      <c r="N219" s="888">
        <f>+SUM(N217:N218)</f>
        <v>33.9</v>
      </c>
    </row>
    <row r="220" spans="2:14" ht="12.75" thickTop="1" x14ac:dyDescent="0.2"/>
    <row r="221" spans="2:14" x14ac:dyDescent="0.2">
      <c r="B221" s="638">
        <v>44698</v>
      </c>
      <c r="C221" t="s">
        <v>147</v>
      </c>
      <c r="D221" s="857">
        <v>494000</v>
      </c>
      <c r="E221">
        <f t="shared" ref="E221" si="150">F221/D221</f>
        <v>15.196204453441295</v>
      </c>
      <c r="F221" s="858">
        <v>7506925</v>
      </c>
      <c r="G221">
        <v>23.362776781911677</v>
      </c>
      <c r="H221" s="881">
        <f t="shared" ref="H221:H225" si="151">+G221*D221</f>
        <v>11541211.730264368</v>
      </c>
      <c r="I221" s="858">
        <f t="shared" ref="I221:I225" si="152">F221-H221</f>
        <v>-4034286.7302643675</v>
      </c>
      <c r="J221">
        <v>18.37</v>
      </c>
      <c r="K221" s="881">
        <f t="shared" ref="K221:K225" si="153">J221*D221</f>
        <v>9074780</v>
      </c>
      <c r="L221" s="858">
        <f t="shared" ref="L221:L225" si="154">+F221-K221</f>
        <v>-1567855</v>
      </c>
      <c r="M221" t="s">
        <v>854</v>
      </c>
      <c r="N221" s="67">
        <v>16746.599999999999</v>
      </c>
    </row>
    <row r="222" spans="2:14" x14ac:dyDescent="0.2">
      <c r="B222" s="638">
        <v>44701</v>
      </c>
      <c r="C222" t="s">
        <v>147</v>
      </c>
      <c r="D222" s="857">
        <v>5000000</v>
      </c>
      <c r="E222">
        <f>F222/D222</f>
        <v>15.6</v>
      </c>
      <c r="F222" s="858">
        <v>78000000</v>
      </c>
      <c r="G222">
        <v>23.362776781911677</v>
      </c>
      <c r="H222" s="881">
        <f t="shared" si="151"/>
        <v>116813883.90955839</v>
      </c>
      <c r="I222" s="858">
        <f t="shared" si="152"/>
        <v>-38813883.909558386</v>
      </c>
      <c r="J222">
        <v>18.37</v>
      </c>
      <c r="K222" s="881">
        <f t="shared" si="153"/>
        <v>91850000</v>
      </c>
      <c r="L222" s="858">
        <f t="shared" si="154"/>
        <v>-13850000</v>
      </c>
      <c r="M222" t="s">
        <v>846</v>
      </c>
      <c r="N222" s="67">
        <v>169500</v>
      </c>
    </row>
    <row r="223" spans="2:14" x14ac:dyDescent="0.2">
      <c r="B223" s="638">
        <v>44729</v>
      </c>
      <c r="C223" t="s">
        <v>147</v>
      </c>
      <c r="D223" s="857">
        <v>70000</v>
      </c>
      <c r="E223">
        <f>F223/D223</f>
        <v>15.2</v>
      </c>
      <c r="F223" s="858">
        <v>1064000</v>
      </c>
      <c r="G223">
        <v>23.362776781911677</v>
      </c>
      <c r="H223" s="881">
        <f t="shared" si="151"/>
        <v>1635394.3747338173</v>
      </c>
      <c r="I223" s="858">
        <f t="shared" si="152"/>
        <v>-571394.3747338173</v>
      </c>
      <c r="J223">
        <v>18.370000000000005</v>
      </c>
      <c r="K223" s="881">
        <f t="shared" si="153"/>
        <v>1285900.0000000002</v>
      </c>
      <c r="L223" s="858">
        <f t="shared" si="154"/>
        <v>-221900.00000000023</v>
      </c>
      <c r="M223" t="s">
        <v>779</v>
      </c>
      <c r="N223" s="67">
        <v>2373</v>
      </c>
    </row>
    <row r="224" spans="2:14" x14ac:dyDescent="0.2">
      <c r="B224" s="638">
        <v>44741</v>
      </c>
      <c r="C224" t="s">
        <v>147</v>
      </c>
      <c r="D224" s="857">
        <v>25000</v>
      </c>
      <c r="E224">
        <f>F224/D224</f>
        <v>14.3</v>
      </c>
      <c r="F224" s="858">
        <v>357500</v>
      </c>
      <c r="G224">
        <v>23.362776781911677</v>
      </c>
      <c r="H224" s="881">
        <f t="shared" si="151"/>
        <v>584069.41954779194</v>
      </c>
      <c r="I224" s="858">
        <f t="shared" si="152"/>
        <v>-226569.41954779194</v>
      </c>
      <c r="J224">
        <v>18.370000000000005</v>
      </c>
      <c r="K224" s="881">
        <f t="shared" si="153"/>
        <v>459250.00000000012</v>
      </c>
      <c r="L224" s="858">
        <f t="shared" si="154"/>
        <v>-101750.00000000012</v>
      </c>
      <c r="M224" t="s">
        <v>436</v>
      </c>
      <c r="N224" s="67">
        <v>847.5</v>
      </c>
    </row>
    <row r="225" spans="2:14" x14ac:dyDescent="0.2">
      <c r="B225" s="638">
        <v>44742</v>
      </c>
      <c r="C225" t="s">
        <v>147</v>
      </c>
      <c r="D225" s="857">
        <v>3000000</v>
      </c>
      <c r="E225">
        <f>F225/D225</f>
        <v>14.080745714285714</v>
      </c>
      <c r="F225" s="858">
        <v>42242237.142857142</v>
      </c>
      <c r="G225">
        <v>23.362776781911673</v>
      </c>
      <c r="H225" s="881">
        <f t="shared" si="151"/>
        <v>70088330.345735013</v>
      </c>
      <c r="I225" s="858">
        <f t="shared" si="152"/>
        <v>-27846093.202877872</v>
      </c>
      <c r="J225">
        <v>18.370000000000005</v>
      </c>
      <c r="K225" s="881">
        <f t="shared" si="153"/>
        <v>55110000.000000015</v>
      </c>
      <c r="L225" s="858">
        <f t="shared" si="154"/>
        <v>-12867762.857142873</v>
      </c>
      <c r="M225" t="s">
        <v>779</v>
      </c>
      <c r="N225" s="67">
        <v>101700</v>
      </c>
    </row>
    <row r="227" spans="2:14" ht="12.75" thickBot="1" x14ac:dyDescent="0.25">
      <c r="D227" s="888">
        <f>+SUM(D221:D226)</f>
        <v>8589000</v>
      </c>
      <c r="F227" s="888">
        <f>+SUM(F221:F226)</f>
        <v>129170662.14285713</v>
      </c>
      <c r="H227" s="990">
        <f>+SUM(H221:H226)</f>
        <v>200662889.7798394</v>
      </c>
      <c r="K227" s="990">
        <f>+SUM(K221:K226)</f>
        <v>157779930</v>
      </c>
      <c r="N227" s="888">
        <f>+SUM(N221:N226)</f>
        <v>291167.09999999998</v>
      </c>
    </row>
    <row r="228" spans="2:14" ht="12.75" thickTop="1" x14ac:dyDescent="0.2"/>
    <row r="229" spans="2:14" x14ac:dyDescent="0.2">
      <c r="B229" s="638">
        <v>44707</v>
      </c>
      <c r="C229" t="s">
        <v>589</v>
      </c>
      <c r="D229" s="857">
        <v>50000</v>
      </c>
      <c r="E229">
        <f t="shared" ref="E229" si="155">F229/D229</f>
        <v>39.00385</v>
      </c>
      <c r="F229" s="858">
        <v>1950192.5</v>
      </c>
      <c r="G229">
        <v>53.61228352287754</v>
      </c>
      <c r="H229" s="881">
        <f t="shared" ref="H229" si="156">+G229*D229</f>
        <v>2680614.1761438772</v>
      </c>
      <c r="I229" s="858">
        <f t="shared" ref="I229" si="157">F229-H229</f>
        <v>-730421.67614387721</v>
      </c>
      <c r="J229">
        <v>44.376788548003177</v>
      </c>
      <c r="K229" s="881">
        <f t="shared" ref="K229" si="158">J229*D229</f>
        <v>2218839.4274001587</v>
      </c>
      <c r="L229" s="858">
        <f t="shared" ref="L229" si="159">+F229-K229</f>
        <v>-268646.92740015872</v>
      </c>
      <c r="M229" t="s">
        <v>849</v>
      </c>
      <c r="N229" s="67">
        <v>3305.5299999999997</v>
      </c>
    </row>
    <row r="231" spans="2:14" ht="12.75" thickBot="1" x14ac:dyDescent="0.25">
      <c r="D231" s="888">
        <f>+SUM(D229:D230)</f>
        <v>50000</v>
      </c>
      <c r="F231" s="888">
        <f>+SUM(F229:F230)</f>
        <v>1950192.5</v>
      </c>
      <c r="H231" s="990">
        <f>+SUM(H229:H230)</f>
        <v>2680614.1761438772</v>
      </c>
      <c r="K231" s="990">
        <f>+SUM(K229:K230)</f>
        <v>2218839.4274001587</v>
      </c>
      <c r="N231" s="888">
        <f>+SUM(N229:N230)</f>
        <v>3305.5299999999997</v>
      </c>
    </row>
    <row r="232" spans="2:14" ht="12.75" thickTop="1" x14ac:dyDescent="0.2"/>
    <row r="233" spans="2:14" x14ac:dyDescent="0.2">
      <c r="B233" s="638">
        <v>44708</v>
      </c>
      <c r="C233" t="s">
        <v>789</v>
      </c>
      <c r="D233" s="857">
        <v>134500</v>
      </c>
      <c r="E233">
        <f>F233/D233</f>
        <v>42</v>
      </c>
      <c r="F233" s="858">
        <v>5649000</v>
      </c>
      <c r="G233">
        <v>66.717785254591206</v>
      </c>
      <c r="H233" s="881">
        <f t="shared" ref="H233" si="160">+G233*D233</f>
        <v>8973542.1167425178</v>
      </c>
      <c r="I233" s="858">
        <f t="shared" ref="I233" si="161">F233-H233</f>
        <v>-3324542.1167425178</v>
      </c>
      <c r="J233">
        <v>58.06</v>
      </c>
      <c r="K233" s="881">
        <f t="shared" ref="K233" si="162">J233*D233</f>
        <v>7809070</v>
      </c>
      <c r="L233" s="858">
        <f t="shared" ref="L233" si="163">+F233-K233</f>
        <v>-2160070</v>
      </c>
      <c r="M233" t="s">
        <v>505</v>
      </c>
      <c r="N233" s="67">
        <v>9575.06</v>
      </c>
    </row>
    <row r="235" spans="2:14" ht="12.75" thickBot="1" x14ac:dyDescent="0.25">
      <c r="D235" s="888">
        <f>+SUM(D233:D234)</f>
        <v>134500</v>
      </c>
      <c r="F235" s="888">
        <f>+SUM(F233:F234)</f>
        <v>5649000</v>
      </c>
      <c r="H235" s="990">
        <f>+SUM(H233:H234)</f>
        <v>8973542.1167425178</v>
      </c>
      <c r="K235" s="990">
        <f>+SUM(K233:K234)</f>
        <v>7809070</v>
      </c>
      <c r="N235" s="888">
        <f>+SUM(N233:N234)</f>
        <v>9575.06</v>
      </c>
    </row>
    <row r="236" spans="2:14" ht="12.75" thickTop="1" x14ac:dyDescent="0.2"/>
    <row r="237" spans="2:14" x14ac:dyDescent="0.2">
      <c r="B237" s="638">
        <v>44727</v>
      </c>
      <c r="C237" t="s">
        <v>625</v>
      </c>
      <c r="D237" s="857">
        <v>500000</v>
      </c>
      <c r="E237">
        <f>F237/D237</f>
        <v>77</v>
      </c>
      <c r="F237" s="858">
        <v>38500000</v>
      </c>
      <c r="G237">
        <v>128.15058567293516</v>
      </c>
      <c r="H237" s="881">
        <f t="shared" ref="H237:H239" si="164">+G237*D237</f>
        <v>64075292.836467579</v>
      </c>
      <c r="I237" s="858">
        <f t="shared" ref="I237:I239" si="165">F237-H237</f>
        <v>-25575292.836467579</v>
      </c>
      <c r="J237">
        <v>117.9</v>
      </c>
      <c r="K237" s="881">
        <f t="shared" ref="K237:K239" si="166">J237*D237</f>
        <v>58950000</v>
      </c>
      <c r="L237" s="858">
        <f t="shared" ref="L237:L239" si="167">+F237-K237</f>
        <v>-20450000</v>
      </c>
      <c r="M237" t="s">
        <v>493</v>
      </c>
      <c r="N237" s="67">
        <v>65257.5</v>
      </c>
    </row>
    <row r="238" spans="2:14" x14ac:dyDescent="0.2">
      <c r="B238" s="638">
        <v>44727</v>
      </c>
      <c r="C238" t="s">
        <v>625</v>
      </c>
      <c r="D238" s="857">
        <v>250000</v>
      </c>
      <c r="E238">
        <f t="shared" ref="E238:E239" si="168">F238/D238</f>
        <v>76.958375200000006</v>
      </c>
      <c r="F238" s="858">
        <v>19239593.800000001</v>
      </c>
      <c r="G238">
        <v>128.15058567293516</v>
      </c>
      <c r="H238" s="881">
        <f t="shared" si="164"/>
        <v>32037646.41823379</v>
      </c>
      <c r="I238" s="858">
        <f t="shared" si="165"/>
        <v>-12798052.618233789</v>
      </c>
      <c r="J238">
        <v>117.9</v>
      </c>
      <c r="K238" s="881">
        <f t="shared" si="166"/>
        <v>29475000</v>
      </c>
      <c r="L238" s="858">
        <f t="shared" si="167"/>
        <v>-10235406.199999999</v>
      </c>
      <c r="M238" t="s">
        <v>526</v>
      </c>
      <c r="N238" s="67">
        <v>32611.11</v>
      </c>
    </row>
    <row r="239" spans="2:14" x14ac:dyDescent="0.2">
      <c r="B239" s="638">
        <v>44729</v>
      </c>
      <c r="C239" t="s">
        <v>625</v>
      </c>
      <c r="D239" s="857">
        <v>395612</v>
      </c>
      <c r="E239">
        <f t="shared" si="168"/>
        <v>76.599068980952381</v>
      </c>
      <c r="F239" s="858">
        <v>30303510.877692532</v>
      </c>
      <c r="G239">
        <v>128.15058567293519</v>
      </c>
      <c r="H239" s="881">
        <f t="shared" si="164"/>
        <v>50697909.49924124</v>
      </c>
      <c r="I239" s="858">
        <f t="shared" si="165"/>
        <v>-20394398.621548709</v>
      </c>
      <c r="J239">
        <v>117.90000000000003</v>
      </c>
      <c r="K239" s="881">
        <f t="shared" si="166"/>
        <v>46642654.800000012</v>
      </c>
      <c r="L239" s="858">
        <f t="shared" si="167"/>
        <v>-16339143.92230748</v>
      </c>
      <c r="M239" t="s">
        <v>526</v>
      </c>
      <c r="N239" s="67">
        <v>51364.448710933335</v>
      </c>
    </row>
    <row r="241" spans="2:14" ht="12.75" thickBot="1" x14ac:dyDescent="0.25">
      <c r="D241" s="888">
        <f>+SUM(D237:D240)</f>
        <v>1145612</v>
      </c>
      <c r="F241" s="888">
        <f>+SUM(F237:F240)</f>
        <v>88043104.677692533</v>
      </c>
      <c r="H241" s="990">
        <f>+SUM(H237:H240)</f>
        <v>146810848.75394261</v>
      </c>
      <c r="K241" s="990">
        <f>+SUM(K237:K240)</f>
        <v>135067654.80000001</v>
      </c>
      <c r="N241" s="888">
        <f>+SUM(N237:N240)</f>
        <v>149233.05871093334</v>
      </c>
    </row>
    <row r="242" spans="2:14" ht="12.75" thickTop="1" x14ac:dyDescent="0.2"/>
    <row r="244" spans="2:14" x14ac:dyDescent="0.2">
      <c r="B244" s="638">
        <v>44728</v>
      </c>
      <c r="C244" t="s">
        <v>634</v>
      </c>
      <c r="D244" s="857">
        <v>167500</v>
      </c>
      <c r="E244">
        <f>F244/D244</f>
        <v>64.252899999999997</v>
      </c>
      <c r="F244" s="858">
        <v>10762360.75</v>
      </c>
      <c r="G244">
        <v>83.90427909175186</v>
      </c>
      <c r="H244" s="881">
        <f t="shared" ref="H244:H245" si="169">+G244*D244</f>
        <v>14053966.747868437</v>
      </c>
      <c r="I244" s="858">
        <f t="shared" ref="I244:I245" si="170">F244-H244</f>
        <v>-3291605.9978684373</v>
      </c>
      <c r="J244">
        <v>79.099999999999994</v>
      </c>
      <c r="K244" s="881">
        <f t="shared" ref="K244:K245" si="171">J244*D244</f>
        <v>13249249.999999998</v>
      </c>
      <c r="L244" s="858">
        <f t="shared" ref="L244:L245" si="172">+F244-K244</f>
        <v>-2486889.2499999981</v>
      </c>
      <c r="M244" t="s">
        <v>666</v>
      </c>
      <c r="N244" s="67">
        <v>18236.645</v>
      </c>
    </row>
    <row r="245" spans="2:14" x14ac:dyDescent="0.2">
      <c r="B245" s="638">
        <v>44733</v>
      </c>
      <c r="C245" t="s">
        <v>634</v>
      </c>
      <c r="D245" s="857">
        <v>53000</v>
      </c>
      <c r="E245">
        <f>F245/D245</f>
        <v>63.2691825613079</v>
      </c>
      <c r="F245" s="858">
        <v>3353266.6757493187</v>
      </c>
      <c r="G245">
        <v>83.904279091751874</v>
      </c>
      <c r="H245" s="881">
        <f t="shared" si="169"/>
        <v>4446926.7918628491</v>
      </c>
      <c r="I245" s="858">
        <f t="shared" si="170"/>
        <v>-1093660.1161135305</v>
      </c>
      <c r="J245">
        <v>79.100000000000037</v>
      </c>
      <c r="K245" s="881">
        <f t="shared" si="171"/>
        <v>4192300.0000000019</v>
      </c>
      <c r="L245" s="858">
        <f t="shared" si="172"/>
        <v>-839033.32425068319</v>
      </c>
      <c r="M245" t="s">
        <v>729</v>
      </c>
      <c r="N245" s="67">
        <v>5683.7590735694821</v>
      </c>
    </row>
    <row r="247" spans="2:14" ht="12.75" thickBot="1" x14ac:dyDescent="0.25">
      <c r="D247" s="888">
        <f>+SUM(D244:D246)</f>
        <v>220500</v>
      </c>
      <c r="F247" s="888">
        <f>+SUM(F244:F246)</f>
        <v>14115627.425749319</v>
      </c>
      <c r="H247" s="990">
        <f>+SUM(H244:H246)</f>
        <v>18500893.539731286</v>
      </c>
      <c r="K247" s="990">
        <f>+SUM(K244:K246)</f>
        <v>17441550</v>
      </c>
      <c r="N247" s="888">
        <f>+SUM(N244:N246)</f>
        <v>23920.404073569483</v>
      </c>
    </row>
    <row r="248" spans="2:14" ht="12.75" thickTop="1" x14ac:dyDescent="0.2"/>
    <row r="249" spans="2:14" x14ac:dyDescent="0.2">
      <c r="B249" s="638">
        <v>44761</v>
      </c>
      <c r="C249" t="s">
        <v>119</v>
      </c>
      <c r="D249" s="857">
        <v>332516</v>
      </c>
      <c r="E249">
        <f t="shared" ref="E249" si="173">F249/D249</f>
        <v>65.975647797653394</v>
      </c>
      <c r="F249" s="858">
        <v>21937958.503084514</v>
      </c>
      <c r="G249">
        <v>126.49766730805072</v>
      </c>
      <c r="H249" s="881">
        <f t="shared" ref="H249" si="174">+G249*D249</f>
        <v>42062498.342603795</v>
      </c>
      <c r="I249" s="858">
        <f t="shared" ref="I249" si="175">F249-H249</f>
        <v>-20124539.839519281</v>
      </c>
      <c r="J249">
        <v>79.040000000000006</v>
      </c>
      <c r="K249" s="881">
        <f t="shared" ref="K249" si="176">J249*D249</f>
        <v>26282064.640000001</v>
      </c>
      <c r="L249" s="858">
        <f t="shared" ref="L249" si="177">+F249-K249</f>
        <v>-4344106.1369154863</v>
      </c>
      <c r="M249" t="s">
        <v>526</v>
      </c>
      <c r="N249" s="67">
        <v>37184.838435776117</v>
      </c>
    </row>
    <row r="251" spans="2:14" ht="12.75" thickBot="1" x14ac:dyDescent="0.25">
      <c r="D251" s="888">
        <f>+SUM(D249:D250)</f>
        <v>332516</v>
      </c>
      <c r="F251" s="888">
        <f>+SUM(F249:F250)</f>
        <v>21937958.503084514</v>
      </c>
      <c r="H251" s="990">
        <f>+SUM(H249:H250)</f>
        <v>42062498.342603795</v>
      </c>
      <c r="K251" s="990">
        <f>+SUM(K249:K250)</f>
        <v>26282064.640000001</v>
      </c>
      <c r="N251" s="888">
        <f>+SUM(N249:N250)</f>
        <v>37184.838435776117</v>
      </c>
    </row>
    <row r="252" spans="2:14" ht="12.75" thickTop="1" x14ac:dyDescent="0.2"/>
  </sheetData>
  <autoFilter ref="A8:XFD135"/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J375"/>
  <sheetViews>
    <sheetView workbookViewId="0">
      <pane xSplit="2" ySplit="4" topLeftCell="X148" activePane="bottomRight" state="frozen"/>
      <selection pane="topRight" activeCell="C1" sqref="C1"/>
      <selection pane="bottomLeft" activeCell="A5" sqref="A5"/>
      <selection pane="bottomRight" activeCell="AE173" sqref="AE173"/>
    </sheetView>
  </sheetViews>
  <sheetFormatPr defaultRowHeight="11.25" x14ac:dyDescent="0.15"/>
  <cols>
    <col min="2" max="2" width="9.625" bestFit="1" customWidth="1"/>
    <col min="3" max="4" width="11.75" bestFit="1" customWidth="1"/>
    <col min="5" max="5" width="9.125" bestFit="1" customWidth="1"/>
    <col min="6" max="16" width="9.125" customWidth="1"/>
    <col min="17" max="17" width="16.375" bestFit="1" customWidth="1"/>
    <col min="18" max="32" width="16.375" customWidth="1"/>
    <col min="33" max="33" width="17.75" bestFit="1" customWidth="1"/>
    <col min="34" max="34" width="11.75" style="858" bestFit="1" customWidth="1"/>
  </cols>
  <sheetData>
    <row r="4" spans="2:34" x14ac:dyDescent="0.15">
      <c r="B4" s="854" t="s">
        <v>67</v>
      </c>
      <c r="C4" s="855" t="s">
        <v>436</v>
      </c>
      <c r="D4" s="855" t="s">
        <v>490</v>
      </c>
      <c r="E4" s="855" t="s">
        <v>435</v>
      </c>
      <c r="F4" s="855" t="s">
        <v>491</v>
      </c>
      <c r="G4" s="855" t="s">
        <v>498</v>
      </c>
      <c r="H4" s="855" t="s">
        <v>497</v>
      </c>
      <c r="I4" s="855" t="s">
        <v>492</v>
      </c>
      <c r="J4" s="855" t="s">
        <v>501</v>
      </c>
      <c r="K4" s="855" t="s">
        <v>489</v>
      </c>
      <c r="L4" s="855" t="s">
        <v>503</v>
      </c>
      <c r="M4" s="855" t="s">
        <v>505</v>
      </c>
      <c r="N4" s="855" t="s">
        <v>504</v>
      </c>
      <c r="O4" s="855" t="s">
        <v>519</v>
      </c>
      <c r="P4" s="855" t="s">
        <v>493</v>
      </c>
      <c r="Q4" s="855" t="s">
        <v>494</v>
      </c>
      <c r="R4" s="855" t="s">
        <v>518</v>
      </c>
      <c r="S4" s="855" t="s">
        <v>689</v>
      </c>
      <c r="T4" s="855" t="s">
        <v>727</v>
      </c>
      <c r="U4" s="855" t="s">
        <v>725</v>
      </c>
      <c r="V4" s="855" t="s">
        <v>726</v>
      </c>
      <c r="W4" s="855" t="s">
        <v>728</v>
      </c>
      <c r="X4" s="855" t="s">
        <v>729</v>
      </c>
      <c r="Y4" s="855" t="s">
        <v>666</v>
      </c>
      <c r="Z4" s="855" t="s">
        <v>774</v>
      </c>
      <c r="AA4" s="855" t="s">
        <v>779</v>
      </c>
      <c r="AB4" s="855" t="s">
        <v>825</v>
      </c>
      <c r="AC4" s="855" t="s">
        <v>872</v>
      </c>
      <c r="AD4" s="855" t="s">
        <v>685</v>
      </c>
      <c r="AE4" s="855" t="s">
        <v>776</v>
      </c>
      <c r="AF4" s="855" t="s">
        <v>732</v>
      </c>
      <c r="AG4" s="855" t="s">
        <v>402</v>
      </c>
      <c r="AH4" s="856" t="s">
        <v>486</v>
      </c>
    </row>
    <row r="6" spans="2:34" x14ac:dyDescent="0.15">
      <c r="B6" s="661">
        <v>44562</v>
      </c>
      <c r="C6" s="857">
        <f>SUMIFS('YTD Sales'!$N:$N,'YTD Sales'!$B:$B,Brokerage!$B6,'YTD Sales'!$M:$M,Brokerage!C$4)+SUMIFS('YTD Purchases'!$H:$H,'YTD Purchases'!$C:$C,Brokerage!$B6,'YTD Purchases'!$G:$G,Brokerage!C$4)</f>
        <v>0</v>
      </c>
      <c r="D6" s="857">
        <f>SUMIFS('YTD Sales'!$N:$N,'YTD Sales'!$B:$B,Brokerage!$B6,'YTD Sales'!$M:$M,Brokerage!D$4)+SUMIFS('YTD Purchases'!$H:$H,'YTD Purchases'!$C:$C,Brokerage!$B6,'YTD Purchases'!$G:$G,Brokerage!D$4)</f>
        <v>0</v>
      </c>
      <c r="E6" s="857">
        <f>SUMIFS('YTD Sales'!$N:$N,'YTD Sales'!$B:$B,Brokerage!$B6,'YTD Sales'!$M:$M,Brokerage!E$4)+SUMIFS('YTD Purchases'!$H:$H,'YTD Purchases'!$C:$C,Brokerage!$B6,'YTD Purchases'!$G:$G,Brokerage!E$4)</f>
        <v>0</v>
      </c>
      <c r="F6" s="857">
        <f>SUMIFS('YTD Sales'!$N:$N,'YTD Sales'!$B:$B,Brokerage!$B6,'YTD Sales'!$M:$M,Brokerage!F$4)+SUMIFS('YTD Purchases'!$H:$H,'YTD Purchases'!$C:$C,Brokerage!$B6,'YTD Purchases'!$G:$G,Brokerage!F$4)</f>
        <v>0</v>
      </c>
      <c r="G6" s="857">
        <f>SUMIFS('YTD Sales'!$N:$N,'YTD Sales'!$B:$B,Brokerage!$B6,'YTD Sales'!$M:$M,Brokerage!G$4)+SUMIFS('YTD Purchases'!$H:$H,'YTD Purchases'!$C:$C,Brokerage!$B6,'YTD Purchases'!$G:$G,Brokerage!G$4)</f>
        <v>0</v>
      </c>
      <c r="H6" s="857">
        <f>SUMIFS('YTD Sales'!$N:$N,'YTD Sales'!$B:$B,Brokerage!$B6,'YTD Sales'!$M:$M,Brokerage!H$4)+SUMIFS('YTD Purchases'!$H:$H,'YTD Purchases'!$C:$C,Brokerage!$B6,'YTD Purchases'!$G:$G,Brokerage!H$4)</f>
        <v>0</v>
      </c>
      <c r="I6" s="857">
        <f>SUMIFS('YTD Sales'!$N:$N,'YTD Sales'!$B:$B,Brokerage!$B6,'YTD Sales'!$M:$M,Brokerage!I$4)+SUMIFS('YTD Purchases'!$H:$H,'YTD Purchases'!$C:$C,Brokerage!$B6,'YTD Purchases'!$G:$G,Brokerage!I$4)</f>
        <v>0</v>
      </c>
      <c r="J6" s="857">
        <f>SUMIFS('YTD Sales'!$N:$N,'YTD Sales'!$B:$B,Brokerage!$B6,'YTD Sales'!$M:$M,Brokerage!J$4)+SUMIFS('YTD Purchases'!$H:$H,'YTD Purchases'!$C:$C,Brokerage!$B6,'YTD Purchases'!$G:$G,Brokerage!J$4)</f>
        <v>0</v>
      </c>
      <c r="K6" s="857">
        <f>SUMIFS('YTD Sales'!$N:$N,'YTD Sales'!$B:$B,Brokerage!$B6,'YTD Sales'!$M:$M,Brokerage!K$4)+SUMIFS('YTD Purchases'!$H:$H,'YTD Purchases'!$C:$C,Brokerage!$B6,'YTD Purchases'!$G:$G,Brokerage!K$4)</f>
        <v>0</v>
      </c>
      <c r="L6" s="857">
        <f>SUMIFS('YTD Sales'!$N:$N,'YTD Sales'!$B:$B,Brokerage!$B6,'YTD Sales'!$M:$M,Brokerage!L$4)+SUMIFS('YTD Purchases'!$H:$H,'YTD Purchases'!$C:$C,Brokerage!$B6,'YTD Purchases'!$G:$G,Brokerage!L$4)</f>
        <v>0</v>
      </c>
      <c r="M6" s="857">
        <f>SUMIFS('YTD Sales'!$N:$N,'YTD Sales'!$B:$B,Brokerage!$B6,'YTD Sales'!$M:$M,Brokerage!M$4)+SUMIFS('YTD Purchases'!$H:$H,'YTD Purchases'!$C:$C,Brokerage!$B6,'YTD Purchases'!$G:$G,Brokerage!M$4)</f>
        <v>0</v>
      </c>
      <c r="N6" s="857">
        <f>SUMIFS('YTD Sales'!$N:$N,'YTD Sales'!$B:$B,Brokerage!$B6,'YTD Sales'!$M:$M,Brokerage!N$4)+SUMIFS('YTD Purchases'!$H:$H,'YTD Purchases'!$C:$C,Brokerage!$B6,'YTD Purchases'!$G:$G,Brokerage!N$4)</f>
        <v>0</v>
      </c>
      <c r="O6" s="857">
        <f>SUMIFS('YTD Sales'!$N:$N,'YTD Sales'!$B:$B,Brokerage!$B6,'YTD Sales'!$M:$M,Brokerage!O$4)+SUMIFS('YTD Purchases'!$H:$H,'YTD Purchases'!$C:$C,Brokerage!$B6,'YTD Purchases'!$G:$G,Brokerage!O$4)</f>
        <v>0</v>
      </c>
      <c r="P6" s="857">
        <f>SUMIFS('YTD Sales'!$N:$N,'YTD Sales'!$B:$B,Brokerage!$B6,'YTD Sales'!$M:$M,Brokerage!P$4)+SUMIFS('YTD Purchases'!$H:$H,'YTD Purchases'!$C:$C,Brokerage!$B6,'YTD Purchases'!$G:$G,Brokerage!P$4)</f>
        <v>0</v>
      </c>
      <c r="Q6" s="857">
        <f>SUMIFS('YTD Sales'!$N:$N,'YTD Sales'!$B:$B,Brokerage!$B6,'YTD Sales'!$M:$M,Brokerage!Q$4)+SUMIFS('YTD Purchases'!$H:$H,'YTD Purchases'!$C:$C,Brokerage!$B6,'YTD Purchases'!$G:$G,Brokerage!Q$4)</f>
        <v>0</v>
      </c>
      <c r="R6" s="857">
        <f>SUMIFS('YTD Sales'!$N:$N,'YTD Sales'!$B:$B,Brokerage!$B6,'YTD Sales'!$M:$M,Brokerage!R$4)+SUMIFS('YTD Purchases'!$H:$H,'YTD Purchases'!$C:$C,Brokerage!$B6,'YTD Purchases'!$G:$G,Brokerage!R$4)</f>
        <v>0</v>
      </c>
      <c r="S6" s="857">
        <f>SUMIFS('YTD Sales'!$N:$N,'YTD Sales'!$B:$B,Brokerage!$B6,'YTD Sales'!$M:$M,Brokerage!S$4)+SUMIFS('YTD Purchases'!$H:$H,'YTD Purchases'!$C:$C,Brokerage!$B6,'YTD Purchases'!$G:$G,Brokerage!S$4)</f>
        <v>0</v>
      </c>
      <c r="T6" s="857">
        <f>SUMIFS('YTD Sales'!$N:$N,'YTD Sales'!$B:$B,Brokerage!$B6,'YTD Sales'!$M:$M,Brokerage!T$4)+SUMIFS('YTD Purchases'!$H:$H,'YTD Purchases'!$C:$C,Brokerage!$B6,'YTD Purchases'!$G:$G,Brokerage!T$4)</f>
        <v>0</v>
      </c>
      <c r="U6" s="857">
        <f>SUMIFS('YTD Sales'!$N:$N,'YTD Sales'!$B:$B,Brokerage!$B6,'YTD Sales'!$M:$M,Brokerage!U$4)+SUMIFS('YTD Purchases'!$H:$H,'YTD Purchases'!$C:$C,Brokerage!$B6,'YTD Purchases'!$G:$G,Brokerage!U$4)</f>
        <v>0</v>
      </c>
      <c r="V6" s="857">
        <f>SUMIFS('YTD Sales'!$N:$N,'YTD Sales'!$B:$B,Brokerage!$B6,'YTD Sales'!$M:$M,Brokerage!V$4)+SUMIFS('YTD Purchases'!$H:$H,'YTD Purchases'!$C:$C,Brokerage!$B6,'YTD Purchases'!$G:$G,Brokerage!V$4)</f>
        <v>0</v>
      </c>
      <c r="W6" s="857">
        <f>SUMIFS('YTD Sales'!$N:$N,'YTD Sales'!$B:$B,Brokerage!$B6,'YTD Sales'!$M:$M,Brokerage!W$4)+SUMIFS('YTD Purchases'!$H:$H,'YTD Purchases'!$C:$C,Brokerage!$B6,'YTD Purchases'!$G:$G,Brokerage!W$4)</f>
        <v>0</v>
      </c>
      <c r="X6" s="857">
        <f>SUMIFS('YTD Sales'!$N:$N,'YTD Sales'!$B:$B,Brokerage!$B6,'YTD Sales'!$M:$M,Brokerage!X$4)+SUMIFS('YTD Purchases'!$H:$H,'YTD Purchases'!$C:$C,Brokerage!$B6,'YTD Purchases'!$G:$G,Brokerage!X$4)</f>
        <v>0</v>
      </c>
      <c r="Y6" s="857">
        <f>SUMIFS('YTD Sales'!$N:$N,'YTD Sales'!$B:$B,Brokerage!$B6,'YTD Sales'!$M:$M,Brokerage!Y$4)+SUMIFS('YTD Purchases'!$H:$H,'YTD Purchases'!$C:$C,Brokerage!$B6,'YTD Purchases'!$G:$G,Brokerage!Y$4)</f>
        <v>0</v>
      </c>
      <c r="Z6" s="857">
        <f>SUMIFS('YTD Sales'!$N:$N,'YTD Sales'!$B:$B,Brokerage!$B6,'YTD Sales'!$M:$M,Brokerage!Z$4)+SUMIFS('YTD Purchases'!$H:$H,'YTD Purchases'!$C:$C,Brokerage!$B6,'YTD Purchases'!$G:$G,Brokerage!Z$4)</f>
        <v>0</v>
      </c>
      <c r="AA6" s="857">
        <f>SUMIFS('YTD Sales'!$N:$N,'YTD Sales'!$B:$B,Brokerage!$B6,'YTD Sales'!$M:$M,Brokerage!AA$4)+SUMIFS('YTD Purchases'!$H:$H,'YTD Purchases'!$C:$C,Brokerage!$B6,'YTD Purchases'!$G:$G,Brokerage!AA$4)</f>
        <v>0</v>
      </c>
      <c r="AB6" s="857">
        <f>SUMIFS('YTD Sales'!$N:$N,'YTD Sales'!$B:$B,Brokerage!$B6,'YTD Sales'!$M:$M,Brokerage!AB$4)+SUMIFS('YTD Purchases'!$H:$H,'YTD Purchases'!$C:$C,Brokerage!$B6,'YTD Purchases'!$G:$G,Brokerage!AB$4)</f>
        <v>0</v>
      </c>
      <c r="AC6" s="857">
        <f>SUMIFS('YTD Sales'!$N:$N,'YTD Sales'!$B:$B,Brokerage!$B6,'YTD Sales'!$M:$M,Brokerage!AC$4)+SUMIFS('YTD Purchases'!$H:$H,'YTD Purchases'!$C:$C,Brokerage!$B6,'YTD Purchases'!$G:$G,Brokerage!AC$4)</f>
        <v>0</v>
      </c>
      <c r="AD6" s="857">
        <f>+SUMIFS(PIB!AG:AG,PIB!AF:AF,Brokerage!AD$4,PIB!AA:AA,Brokerage!$B6)+SUMIFS('T-Bills'!AB:AB,'T-Bills'!AA:AA,Brokerage!AD$4,'T-Bills'!V:V,Brokerage!$B6)</f>
        <v>0</v>
      </c>
      <c r="AE6" s="857">
        <f>+SUMIFS(PIB!AH:AH,PIB!AG:AG,Brokerage!AE$4,PIB!AB:AB,Brokerage!$B6)+SUMIFS('T-Bills'!AC:AC,'T-Bills'!AB:AB,Brokerage!AE$4,'T-Bills'!W:W,Brokerage!$B6)</f>
        <v>0</v>
      </c>
      <c r="AF6" s="857">
        <f>+SUMIFS(PIB!AI:AI,PIB!AH:AH,Brokerage!AF$4,PIB!AC:AC,Brokerage!$B6)+SUMIFS('T-Bills'!AD:AD,'T-Bills'!AC:AC,Brokerage!AF$4,'T-Bills'!X:X,Brokerage!$B6)</f>
        <v>0</v>
      </c>
      <c r="AG6" s="857">
        <f t="shared" ref="AG6:AG7" si="0">SUM(C6:Y6)</f>
        <v>0</v>
      </c>
      <c r="AH6" s="858">
        <f>ROUND((AG6*1.5%)/365,0)</f>
        <v>0</v>
      </c>
    </row>
    <row r="7" spans="2:34" x14ac:dyDescent="0.15">
      <c r="B7" s="661">
        <f>+B6+1</f>
        <v>44563</v>
      </c>
      <c r="C7" s="857">
        <f>SUMIFS('YTD Sales'!$N:$N,'YTD Sales'!$B:$B,Brokerage!$B7,'YTD Sales'!$M:$M,Brokerage!C$4)+SUMIFS('YTD Purchases'!$H:$H,'YTD Purchases'!$C:$C,Brokerage!$B7,'YTD Purchases'!$G:$G,Brokerage!C$4)</f>
        <v>0</v>
      </c>
      <c r="D7" s="857">
        <f>SUMIFS('YTD Sales'!$N:$N,'YTD Sales'!$B:$B,Brokerage!$B7,'YTD Sales'!$M:$M,Brokerage!D$4)+SUMIFS('YTD Purchases'!$H:$H,'YTD Purchases'!$C:$C,Brokerage!$B7,'YTD Purchases'!$G:$G,Brokerage!D$4)</f>
        <v>0</v>
      </c>
      <c r="E7" s="857">
        <f>SUMIFS('YTD Sales'!$N:$N,'YTD Sales'!$B:$B,Brokerage!$B7,'YTD Sales'!$M:$M,Brokerage!E$4)+SUMIFS('YTD Purchases'!$H:$H,'YTD Purchases'!$C:$C,Brokerage!$B7,'YTD Purchases'!$G:$G,Brokerage!E$4)</f>
        <v>0</v>
      </c>
      <c r="F7" s="857">
        <f>SUMIFS('YTD Sales'!$N:$N,'YTD Sales'!$B:$B,Brokerage!$B7,'YTD Sales'!$M:$M,Brokerage!F$4)+SUMIFS('YTD Purchases'!$H:$H,'YTD Purchases'!$C:$C,Brokerage!$B7,'YTD Purchases'!$G:$G,Brokerage!F$4)</f>
        <v>0</v>
      </c>
      <c r="G7" s="857">
        <f>SUMIFS('YTD Sales'!$N:$N,'YTD Sales'!$B:$B,Brokerage!$B7,'YTD Sales'!$M:$M,Brokerage!G$4)+SUMIFS('YTD Purchases'!$H:$H,'YTD Purchases'!$C:$C,Brokerage!$B7,'YTD Purchases'!$G:$G,Brokerage!G$4)</f>
        <v>0</v>
      </c>
      <c r="H7" s="857">
        <f>SUMIFS('YTD Sales'!$N:$N,'YTD Sales'!$B:$B,Brokerage!$B7,'YTD Sales'!$M:$M,Brokerage!H$4)+SUMIFS('YTD Purchases'!$H:$H,'YTD Purchases'!$C:$C,Brokerage!$B7,'YTD Purchases'!$G:$G,Brokerage!H$4)</f>
        <v>0</v>
      </c>
      <c r="I7" s="857">
        <f>SUMIFS('YTD Sales'!$N:$N,'YTD Sales'!$B:$B,Brokerage!$B7,'YTD Sales'!$M:$M,Brokerage!I$4)+SUMIFS('YTD Purchases'!$H:$H,'YTD Purchases'!$C:$C,Brokerage!$B7,'YTD Purchases'!$G:$G,Brokerage!I$4)</f>
        <v>0</v>
      </c>
      <c r="J7" s="857">
        <f>SUMIFS('YTD Sales'!$N:$N,'YTD Sales'!$B:$B,Brokerage!$B7,'YTD Sales'!$M:$M,Brokerage!J$4)+SUMIFS('YTD Purchases'!$H:$H,'YTD Purchases'!$C:$C,Brokerage!$B7,'YTD Purchases'!$G:$G,Brokerage!J$4)</f>
        <v>0</v>
      </c>
      <c r="K7" s="857">
        <f>SUMIFS('YTD Sales'!$N:$N,'YTD Sales'!$B:$B,Brokerage!$B7,'YTD Sales'!$M:$M,Brokerage!K$4)+SUMIFS('YTD Purchases'!$H:$H,'YTD Purchases'!$C:$C,Brokerage!$B7,'YTD Purchases'!$G:$G,Brokerage!K$4)</f>
        <v>0</v>
      </c>
      <c r="L7" s="857">
        <f>SUMIFS('YTD Sales'!$N:$N,'YTD Sales'!$B:$B,Brokerage!$B7,'YTD Sales'!$M:$M,Brokerage!L$4)+SUMIFS('YTD Purchases'!$H:$H,'YTD Purchases'!$C:$C,Brokerage!$B7,'YTD Purchases'!$G:$G,Brokerage!L$4)</f>
        <v>0</v>
      </c>
      <c r="M7" s="857">
        <f>SUMIFS('YTD Sales'!$N:$N,'YTD Sales'!$B:$B,Brokerage!$B7,'YTD Sales'!$M:$M,Brokerage!M$4)+SUMIFS('YTD Purchases'!$H:$H,'YTD Purchases'!$C:$C,Brokerage!$B7,'YTD Purchases'!$G:$G,Brokerage!M$4)</f>
        <v>0</v>
      </c>
      <c r="N7" s="857">
        <f>SUMIFS('YTD Sales'!$N:$N,'YTD Sales'!$B:$B,Brokerage!$B7,'YTD Sales'!$M:$M,Brokerage!N$4)+SUMIFS('YTD Purchases'!$H:$H,'YTD Purchases'!$C:$C,Brokerage!$B7,'YTD Purchases'!$G:$G,Brokerage!N$4)</f>
        <v>0</v>
      </c>
      <c r="O7" s="857">
        <f>SUMIFS('YTD Sales'!$N:$N,'YTD Sales'!$B:$B,Brokerage!$B7,'YTD Sales'!$M:$M,Brokerage!O$4)+SUMIFS('YTD Purchases'!$H:$H,'YTD Purchases'!$C:$C,Brokerage!$B7,'YTD Purchases'!$G:$G,Brokerage!O$4)</f>
        <v>0</v>
      </c>
      <c r="P7" s="857">
        <f>SUMIFS('YTD Sales'!$N:$N,'YTD Sales'!$B:$B,Brokerage!$B7,'YTD Sales'!$M:$M,Brokerage!P$4)+SUMIFS('YTD Purchases'!$H:$H,'YTD Purchases'!$C:$C,Brokerage!$B7,'YTD Purchases'!$G:$G,Brokerage!P$4)</f>
        <v>0</v>
      </c>
      <c r="Q7" s="857">
        <f>SUMIFS('YTD Sales'!$N:$N,'YTD Sales'!$B:$B,Brokerage!$B7,'YTD Sales'!$M:$M,Brokerage!Q$4)+SUMIFS('YTD Purchases'!$H:$H,'YTD Purchases'!$C:$C,Brokerage!$B7,'YTD Purchases'!$G:$G,Brokerage!Q$4)</f>
        <v>0</v>
      </c>
      <c r="R7" s="857">
        <f>SUMIFS('YTD Sales'!$N:$N,'YTD Sales'!$B:$B,Brokerage!$B7,'YTD Sales'!$M:$M,Brokerage!R$4)+SUMIFS('YTD Purchases'!$H:$H,'YTD Purchases'!$C:$C,Brokerage!$B7,'YTD Purchases'!$G:$G,Brokerage!R$4)</f>
        <v>0</v>
      </c>
      <c r="S7" s="857">
        <f>SUMIFS('YTD Sales'!$N:$N,'YTD Sales'!$B:$B,Brokerage!$B7,'YTD Sales'!$M:$M,Brokerage!S$4)+SUMIFS('YTD Purchases'!$H:$H,'YTD Purchases'!$C:$C,Brokerage!$B7,'YTD Purchases'!$G:$G,Brokerage!S$4)</f>
        <v>0</v>
      </c>
      <c r="T7" s="857">
        <f>SUMIFS('YTD Sales'!$N:$N,'YTD Sales'!$B:$B,Brokerage!$B7,'YTD Sales'!$M:$M,Brokerage!T$4)+SUMIFS('YTD Purchases'!$H:$H,'YTD Purchases'!$C:$C,Brokerage!$B7,'YTD Purchases'!$G:$G,Brokerage!T$4)</f>
        <v>0</v>
      </c>
      <c r="U7" s="857">
        <f>SUMIFS('YTD Sales'!$N:$N,'YTD Sales'!$B:$B,Brokerage!$B7,'YTD Sales'!$M:$M,Brokerage!U$4)+SUMIFS('YTD Purchases'!$H:$H,'YTD Purchases'!$C:$C,Brokerage!$B7,'YTD Purchases'!$G:$G,Brokerage!U$4)</f>
        <v>0</v>
      </c>
      <c r="V7" s="857">
        <f>SUMIFS('YTD Sales'!$N:$N,'YTD Sales'!$B:$B,Brokerage!$B7,'YTD Sales'!$M:$M,Brokerage!V$4)+SUMIFS('YTD Purchases'!$H:$H,'YTD Purchases'!$C:$C,Brokerage!$B7,'YTD Purchases'!$G:$G,Brokerage!V$4)</f>
        <v>0</v>
      </c>
      <c r="W7" s="857">
        <f>SUMIFS('YTD Sales'!$N:$N,'YTD Sales'!$B:$B,Brokerage!$B7,'YTD Sales'!$M:$M,Brokerage!W$4)+SUMIFS('YTD Purchases'!$H:$H,'YTD Purchases'!$C:$C,Brokerage!$B7,'YTD Purchases'!$G:$G,Brokerage!W$4)</f>
        <v>0</v>
      </c>
      <c r="X7" s="857">
        <f>SUMIFS('YTD Sales'!$N:$N,'YTD Sales'!$B:$B,Brokerage!$B7,'YTD Sales'!$M:$M,Brokerage!X$4)+SUMIFS('YTD Purchases'!$H:$H,'YTD Purchases'!$C:$C,Brokerage!$B7,'YTD Purchases'!$G:$G,Brokerage!X$4)</f>
        <v>0</v>
      </c>
      <c r="Y7" s="857">
        <f>SUMIFS('YTD Sales'!$N:$N,'YTD Sales'!$B:$B,Brokerage!$B7,'YTD Sales'!$M:$M,Brokerage!Y$4)+SUMIFS('YTD Purchases'!$H:$H,'YTD Purchases'!$C:$C,Brokerage!$B7,'YTD Purchases'!$G:$G,Brokerage!Y$4)</f>
        <v>0</v>
      </c>
      <c r="Z7" s="857">
        <f>SUMIFS('YTD Sales'!$N:$N,'YTD Sales'!$B:$B,Brokerage!$B7,'YTD Sales'!$M:$M,Brokerage!Z$4)+SUMIFS('YTD Purchases'!$H:$H,'YTD Purchases'!$C:$C,Brokerage!$B7,'YTD Purchases'!$G:$G,Brokerage!Z$4)</f>
        <v>0</v>
      </c>
      <c r="AA7" s="857">
        <f>SUMIFS('YTD Sales'!$N:$N,'YTD Sales'!$B:$B,Brokerage!$B7,'YTD Sales'!$M:$M,Brokerage!AA$4)+SUMIFS('YTD Purchases'!$H:$H,'YTD Purchases'!$C:$C,Brokerage!$B7,'YTD Purchases'!$G:$G,Brokerage!AA$4)</f>
        <v>0</v>
      </c>
      <c r="AB7" s="857">
        <f>SUMIFS('YTD Sales'!$N:$N,'YTD Sales'!$B:$B,Brokerage!$B7,'YTD Sales'!$M:$M,Brokerage!AB$4)+SUMIFS('YTD Purchases'!$H:$H,'YTD Purchases'!$C:$C,Brokerage!$B7,'YTD Purchases'!$G:$G,Brokerage!AB$4)</f>
        <v>0</v>
      </c>
      <c r="AC7" s="857">
        <f>SUMIFS('YTD Sales'!$N:$N,'YTD Sales'!$B:$B,Brokerage!$B7,'YTD Sales'!$M:$M,Brokerage!AC$4)+SUMIFS('YTD Purchases'!$H:$H,'YTD Purchases'!$C:$C,Brokerage!$B7,'YTD Purchases'!$G:$G,Brokerage!AC$4)</f>
        <v>0</v>
      </c>
      <c r="AD7" s="857">
        <f>+SUMIFS(PIB!AG:AG,PIB!AF:AF,Brokerage!AD$4,PIB!AA:AA,Brokerage!$B7)+SUMIFS('T-Bills'!AB:AB,'T-Bills'!AA:AA,Brokerage!AD$4,'T-Bills'!V:V,Brokerage!$B7)</f>
        <v>0</v>
      </c>
      <c r="AE7" s="857">
        <f>+SUMIFS(PIB!AH:AH,PIB!AG:AG,Brokerage!AE$4,PIB!AB:AB,Brokerage!$B7)+SUMIFS('T-Bills'!AC:AC,'T-Bills'!AB:AB,Brokerage!AE$4,'T-Bills'!W:W,Brokerage!$B7)</f>
        <v>0</v>
      </c>
      <c r="AF7" s="857">
        <f>+SUMIFS(PIB!AI:AI,PIB!AH:AH,Brokerage!AF$4,PIB!AC:AC,Brokerage!$B7)+SUMIFS('T-Bills'!AD:AD,'T-Bills'!AC:AC,Brokerage!AF$4,'T-Bills'!X:X,Brokerage!$B7)</f>
        <v>0</v>
      </c>
      <c r="AG7" s="857">
        <f t="shared" si="0"/>
        <v>0</v>
      </c>
      <c r="AH7" s="858">
        <f t="shared" ref="AH7:AH15" si="1">ROUND((AG7*1.5%)/365,0)</f>
        <v>0</v>
      </c>
    </row>
    <row r="8" spans="2:34" x14ac:dyDescent="0.15">
      <c r="B8" s="661">
        <f>+B7+1</f>
        <v>44564</v>
      </c>
      <c r="C8" s="857">
        <f>SUMIFS('YTD Sales'!$N:$N,'YTD Sales'!$B:$B,Brokerage!$B8,'YTD Sales'!$M:$M,Brokerage!C$4)+SUMIFS('YTD Purchases'!$H:$H,'YTD Purchases'!$C:$C,Brokerage!$B8,'YTD Purchases'!$G:$G,Brokerage!C$4)</f>
        <v>0</v>
      </c>
      <c r="D8" s="857">
        <f>SUMIFS('YTD Sales'!$N:$N,'YTD Sales'!$B:$B,Brokerage!$B8,'YTD Sales'!$M:$M,Brokerage!D$4)+SUMIFS('YTD Purchases'!$H:$H,'YTD Purchases'!$C:$C,Brokerage!$B8,'YTD Purchases'!$G:$G,Brokerage!D$4)</f>
        <v>9783.7999999999993</v>
      </c>
      <c r="E8" s="857">
        <f>SUMIFS('YTD Sales'!$N:$N,'YTD Sales'!$B:$B,Brokerage!$B8,'YTD Sales'!$M:$M,Brokerage!E$4)+SUMIFS('YTD Purchases'!$H:$H,'YTD Purchases'!$C:$C,Brokerage!$B8,'YTD Purchases'!$G:$G,Brokerage!E$4)</f>
        <v>0</v>
      </c>
      <c r="F8" s="857">
        <f>SUMIFS('YTD Sales'!$N:$N,'YTD Sales'!$B:$B,Brokerage!$B8,'YTD Sales'!$M:$M,Brokerage!F$4)+SUMIFS('YTD Purchases'!$H:$H,'YTD Purchases'!$C:$C,Brokerage!$B8,'YTD Purchases'!$G:$G,Brokerage!F$4)</f>
        <v>0</v>
      </c>
      <c r="G8" s="857">
        <f>SUMIFS('YTD Sales'!$N:$N,'YTD Sales'!$B:$B,Brokerage!$B8,'YTD Sales'!$M:$M,Brokerage!G$4)+SUMIFS('YTD Purchases'!$H:$H,'YTD Purchases'!$C:$C,Brokerage!$B8,'YTD Purchases'!$G:$G,Brokerage!G$4)</f>
        <v>0</v>
      </c>
      <c r="H8" s="857">
        <f>SUMIFS('YTD Sales'!$N:$N,'YTD Sales'!$B:$B,Brokerage!$B8,'YTD Sales'!$M:$M,Brokerage!H$4)+SUMIFS('YTD Purchases'!$H:$H,'YTD Purchases'!$C:$C,Brokerage!$B8,'YTD Purchases'!$G:$G,Brokerage!H$4)</f>
        <v>0</v>
      </c>
      <c r="I8" s="857">
        <f>SUMIFS('YTD Sales'!$N:$N,'YTD Sales'!$B:$B,Brokerage!$B8,'YTD Sales'!$M:$M,Brokerage!I$4)+SUMIFS('YTD Purchases'!$H:$H,'YTD Purchases'!$C:$C,Brokerage!$B8,'YTD Purchases'!$G:$G,Brokerage!I$4)</f>
        <v>0</v>
      </c>
      <c r="J8" s="857">
        <f>SUMIFS('YTD Sales'!$N:$N,'YTD Sales'!$B:$B,Brokerage!$B8,'YTD Sales'!$M:$M,Brokerage!J$4)+SUMIFS('YTD Purchases'!$H:$H,'YTD Purchases'!$C:$C,Brokerage!$B8,'YTD Purchases'!$G:$G,Brokerage!J$4)</f>
        <v>0</v>
      </c>
      <c r="K8" s="857">
        <f>SUMIFS('YTD Sales'!$N:$N,'YTD Sales'!$B:$B,Brokerage!$B8,'YTD Sales'!$M:$M,Brokerage!K$4)+SUMIFS('YTD Purchases'!$H:$H,'YTD Purchases'!$C:$C,Brokerage!$B8,'YTD Purchases'!$G:$G,Brokerage!K$4)</f>
        <v>0</v>
      </c>
      <c r="L8" s="857">
        <f>SUMIFS('YTD Sales'!$N:$N,'YTD Sales'!$B:$B,Brokerage!$B8,'YTD Sales'!$M:$M,Brokerage!L$4)+SUMIFS('YTD Purchases'!$H:$H,'YTD Purchases'!$C:$C,Brokerage!$B8,'YTD Purchases'!$G:$G,Brokerage!L$4)</f>
        <v>0</v>
      </c>
      <c r="M8" s="857">
        <f>SUMIFS('YTD Sales'!$N:$N,'YTD Sales'!$B:$B,Brokerage!$B8,'YTD Sales'!$M:$M,Brokerage!M$4)+SUMIFS('YTD Purchases'!$H:$H,'YTD Purchases'!$C:$C,Brokerage!$B8,'YTD Purchases'!$G:$G,Brokerage!M$4)</f>
        <v>0</v>
      </c>
      <c r="N8" s="857">
        <f>SUMIFS('YTD Sales'!$N:$N,'YTD Sales'!$B:$B,Brokerage!$B8,'YTD Sales'!$M:$M,Brokerage!N$4)+SUMIFS('YTD Purchases'!$H:$H,'YTD Purchases'!$C:$C,Brokerage!$B8,'YTD Purchases'!$G:$G,Brokerage!N$4)</f>
        <v>0</v>
      </c>
      <c r="O8" s="857">
        <f>SUMIFS('YTD Sales'!$N:$N,'YTD Sales'!$B:$B,Brokerage!$B8,'YTD Sales'!$M:$M,Brokerage!O$4)+SUMIFS('YTD Purchases'!$H:$H,'YTD Purchases'!$C:$C,Brokerage!$B8,'YTD Purchases'!$G:$G,Brokerage!O$4)</f>
        <v>0</v>
      </c>
      <c r="P8" s="857">
        <f>SUMIFS('YTD Sales'!$N:$N,'YTD Sales'!$B:$B,Brokerage!$B8,'YTD Sales'!$M:$M,Brokerage!P$4)+SUMIFS('YTD Purchases'!$H:$H,'YTD Purchases'!$C:$C,Brokerage!$B8,'YTD Purchases'!$G:$G,Brokerage!P$4)</f>
        <v>0</v>
      </c>
      <c r="Q8" s="857">
        <f>SUMIFS('YTD Sales'!$N:$N,'YTD Sales'!$B:$B,Brokerage!$B8,'YTD Sales'!$M:$M,Brokerage!Q$4)+SUMIFS('YTD Purchases'!$H:$H,'YTD Purchases'!$C:$C,Brokerage!$B8,'YTD Purchases'!$G:$G,Brokerage!Q$4)</f>
        <v>0</v>
      </c>
      <c r="R8" s="857">
        <f>SUMIFS('YTD Sales'!$N:$N,'YTD Sales'!$B:$B,Brokerage!$B8,'YTD Sales'!$M:$M,Brokerage!R$4)+SUMIFS('YTD Purchases'!$H:$H,'YTD Purchases'!$C:$C,Brokerage!$B8,'YTD Purchases'!$G:$G,Brokerage!R$4)</f>
        <v>0</v>
      </c>
      <c r="S8" s="857">
        <f>SUMIFS('YTD Sales'!$N:$N,'YTD Sales'!$B:$B,Brokerage!$B8,'YTD Sales'!$M:$M,Brokerage!S$4)+SUMIFS('YTD Purchases'!$H:$H,'YTD Purchases'!$C:$C,Brokerage!$B8,'YTD Purchases'!$G:$G,Brokerage!S$4)</f>
        <v>0</v>
      </c>
      <c r="T8" s="857">
        <f>SUMIFS('YTD Sales'!$N:$N,'YTD Sales'!$B:$B,Brokerage!$B8,'YTD Sales'!$M:$M,Brokerage!T$4)+SUMIFS('YTD Purchases'!$H:$H,'YTD Purchases'!$C:$C,Brokerage!$B8,'YTD Purchases'!$G:$G,Brokerage!T$4)</f>
        <v>0</v>
      </c>
      <c r="U8" s="857">
        <f>SUMIFS('YTD Sales'!$N:$N,'YTD Sales'!$B:$B,Brokerage!$B8,'YTD Sales'!$M:$M,Brokerage!U$4)+SUMIFS('YTD Purchases'!$H:$H,'YTD Purchases'!$C:$C,Brokerage!$B8,'YTD Purchases'!$G:$G,Brokerage!U$4)</f>
        <v>0</v>
      </c>
      <c r="V8" s="857">
        <f>SUMIFS('YTD Sales'!$N:$N,'YTD Sales'!$B:$B,Brokerage!$B8,'YTD Sales'!$M:$M,Brokerage!V$4)+SUMIFS('YTD Purchases'!$H:$H,'YTD Purchases'!$C:$C,Brokerage!$B8,'YTD Purchases'!$G:$G,Brokerage!V$4)</f>
        <v>0</v>
      </c>
      <c r="W8" s="857">
        <f>SUMIFS('YTD Sales'!$N:$N,'YTD Sales'!$B:$B,Brokerage!$B8,'YTD Sales'!$M:$M,Brokerage!W$4)+SUMIFS('YTD Purchases'!$H:$H,'YTD Purchases'!$C:$C,Brokerage!$B8,'YTD Purchases'!$G:$G,Brokerage!W$4)</f>
        <v>0</v>
      </c>
      <c r="X8" s="857">
        <f>SUMIFS('YTD Sales'!$N:$N,'YTD Sales'!$B:$B,Brokerage!$B8,'YTD Sales'!$M:$M,Brokerage!X$4)+SUMIFS('YTD Purchases'!$H:$H,'YTD Purchases'!$C:$C,Brokerage!$B8,'YTD Purchases'!$G:$G,Brokerage!X$4)</f>
        <v>0</v>
      </c>
      <c r="Y8" s="857">
        <f>SUMIFS('YTD Sales'!$N:$N,'YTD Sales'!$B:$B,Brokerage!$B8,'YTD Sales'!$M:$M,Brokerage!Y$4)+SUMIFS('YTD Purchases'!$H:$H,'YTD Purchases'!$C:$C,Brokerage!$B8,'YTD Purchases'!$G:$G,Brokerage!Y$4)</f>
        <v>0</v>
      </c>
      <c r="Z8" s="857">
        <f>SUMIFS('YTD Sales'!$N:$N,'YTD Sales'!$B:$B,Brokerage!$B8,'YTD Sales'!$M:$M,Brokerage!Z$4)+SUMIFS('YTD Purchases'!$H:$H,'YTD Purchases'!$C:$C,Brokerage!$B8,'YTD Purchases'!$G:$G,Brokerage!Z$4)</f>
        <v>0</v>
      </c>
      <c r="AA8" s="857">
        <f>SUMIFS('YTD Sales'!$N:$N,'YTD Sales'!$B:$B,Brokerage!$B8,'YTD Sales'!$M:$M,Brokerage!AA$4)+SUMIFS('YTD Purchases'!$H:$H,'YTD Purchases'!$C:$C,Brokerage!$B8,'YTD Purchases'!$G:$G,Brokerage!AA$4)</f>
        <v>0</v>
      </c>
      <c r="AB8" s="857">
        <f>SUMIFS('YTD Sales'!$N:$N,'YTD Sales'!$B:$B,Brokerage!$B8,'YTD Sales'!$M:$M,Brokerage!AB$4)+SUMIFS('YTD Purchases'!$H:$H,'YTD Purchases'!$C:$C,Brokerage!$B8,'YTD Purchases'!$G:$G,Brokerage!AB$4)</f>
        <v>0</v>
      </c>
      <c r="AC8" s="857">
        <f>SUMIFS('YTD Sales'!$N:$N,'YTD Sales'!$B:$B,Brokerage!$B8,'YTD Sales'!$M:$M,Brokerage!AC$4)+SUMIFS('YTD Purchases'!$H:$H,'YTD Purchases'!$C:$C,Brokerage!$B8,'YTD Purchases'!$G:$G,Brokerage!AC$4)</f>
        <v>0</v>
      </c>
      <c r="AD8" s="857">
        <f>+SUMIFS(PIB!AG:AG,PIB!AF:AF,Brokerage!AD$4,PIB!AA:AA,Brokerage!$B8)+SUMIFS('T-Bills'!AB:AB,'T-Bills'!AA:AA,Brokerage!AD$4,'T-Bills'!V:V,Brokerage!$B8)</f>
        <v>0</v>
      </c>
      <c r="AE8" s="857">
        <f>+SUMIFS(PIB!AH:AH,PIB!AG:AG,Brokerage!AE$4,PIB!AB:AB,Brokerage!$B8)+SUMIFS('T-Bills'!AC:AC,'T-Bills'!AB:AB,Brokerage!AE$4,'T-Bills'!W:W,Brokerage!$B8)</f>
        <v>0</v>
      </c>
      <c r="AF8" s="857">
        <f>+SUMIFS(PIB!AI:AI,PIB!AH:AH,Brokerage!AF$4,PIB!AC:AC,Brokerage!$B8)+SUMIFS('T-Bills'!AD:AD,'T-Bills'!AC:AC,Brokerage!AF$4,'T-Bills'!X:X,Brokerage!$B8)</f>
        <v>0</v>
      </c>
      <c r="AG8" s="857">
        <f>SUM(C8:AF8)</f>
        <v>9783.7999999999993</v>
      </c>
      <c r="AH8" s="858">
        <f t="shared" si="1"/>
        <v>0</v>
      </c>
    </row>
    <row r="9" spans="2:34" x14ac:dyDescent="0.15">
      <c r="B9" s="661">
        <f t="shared" ref="B9:B72" si="2">+B8+1</f>
        <v>44565</v>
      </c>
      <c r="C9" s="857">
        <f>SUMIFS('YTD Sales'!$N:$N,'YTD Sales'!$B:$B,Brokerage!$B9,'YTD Sales'!$M:$M,Brokerage!C$4)+SUMIFS('YTD Purchases'!$H:$H,'YTD Purchases'!$C:$C,Brokerage!$B9,'YTD Purchases'!$G:$G,Brokerage!C$4)</f>
        <v>0</v>
      </c>
      <c r="D9" s="857">
        <f>SUMIFS('YTD Sales'!$N:$N,'YTD Sales'!$B:$B,Brokerage!$B9,'YTD Sales'!$M:$M,Brokerage!D$4)+SUMIFS('YTD Purchases'!$H:$H,'YTD Purchases'!$C:$C,Brokerage!$B9,'YTD Purchases'!$G:$G,Brokerage!D$4)</f>
        <v>0</v>
      </c>
      <c r="E9" s="857">
        <f>SUMIFS('YTD Sales'!$N:$N,'YTD Sales'!$B:$B,Brokerage!$B9,'YTD Sales'!$M:$M,Brokerage!E$4)+SUMIFS('YTD Purchases'!$H:$H,'YTD Purchases'!$C:$C,Brokerage!$B9,'YTD Purchases'!$G:$G,Brokerage!E$4)</f>
        <v>0</v>
      </c>
      <c r="F9" s="857">
        <f>SUMIFS('YTD Sales'!$N:$N,'YTD Sales'!$B:$B,Brokerage!$B9,'YTD Sales'!$M:$M,Brokerage!F$4)+SUMIFS('YTD Purchases'!$H:$H,'YTD Purchases'!$C:$C,Brokerage!$B9,'YTD Purchases'!$G:$G,Brokerage!F$4)</f>
        <v>0</v>
      </c>
      <c r="G9" s="857">
        <f>SUMIFS('YTD Sales'!$N:$N,'YTD Sales'!$B:$B,Brokerage!$B9,'YTD Sales'!$M:$M,Brokerage!G$4)+SUMIFS('YTD Purchases'!$H:$H,'YTD Purchases'!$C:$C,Brokerage!$B9,'YTD Purchases'!$G:$G,Brokerage!G$4)</f>
        <v>0</v>
      </c>
      <c r="H9" s="857">
        <f>SUMIFS('YTD Sales'!$N:$N,'YTD Sales'!$B:$B,Brokerage!$B9,'YTD Sales'!$M:$M,Brokerage!H$4)+SUMIFS('YTD Purchases'!$H:$H,'YTD Purchases'!$C:$C,Brokerage!$B9,'YTD Purchases'!$G:$G,Brokerage!H$4)</f>
        <v>0</v>
      </c>
      <c r="I9" s="857">
        <f>SUMIFS('YTD Sales'!$N:$N,'YTD Sales'!$B:$B,Brokerage!$B9,'YTD Sales'!$M:$M,Brokerage!I$4)+SUMIFS('YTD Purchases'!$H:$H,'YTD Purchases'!$C:$C,Brokerage!$B9,'YTD Purchases'!$G:$G,Brokerage!I$4)</f>
        <v>0</v>
      </c>
      <c r="J9" s="857">
        <f>SUMIFS('YTD Sales'!$N:$N,'YTD Sales'!$B:$B,Brokerage!$B9,'YTD Sales'!$M:$M,Brokerage!J$4)+SUMIFS('YTD Purchases'!$H:$H,'YTD Purchases'!$C:$C,Brokerage!$B9,'YTD Purchases'!$G:$G,Brokerage!J$4)</f>
        <v>0</v>
      </c>
      <c r="K9" s="857">
        <f>SUMIFS('YTD Sales'!$N:$N,'YTD Sales'!$B:$B,Brokerage!$B9,'YTD Sales'!$M:$M,Brokerage!K$4)+SUMIFS('YTD Purchases'!$H:$H,'YTD Purchases'!$C:$C,Brokerage!$B9,'YTD Purchases'!$G:$G,Brokerage!K$4)</f>
        <v>124174.18650000001</v>
      </c>
      <c r="L9" s="857">
        <f>SUMIFS('YTD Sales'!$N:$N,'YTD Sales'!$B:$B,Brokerage!$B9,'YTD Sales'!$M:$M,Brokerage!L$4)+SUMIFS('YTD Purchases'!$H:$H,'YTD Purchases'!$C:$C,Brokerage!$B9,'YTD Purchases'!$G:$G,Brokerage!L$4)</f>
        <v>0</v>
      </c>
      <c r="M9" s="857">
        <f>SUMIFS('YTD Sales'!$N:$N,'YTD Sales'!$B:$B,Brokerage!$B9,'YTD Sales'!$M:$M,Brokerage!M$4)+SUMIFS('YTD Purchases'!$H:$H,'YTD Purchases'!$C:$C,Brokerage!$B9,'YTD Purchases'!$G:$G,Brokerage!M$4)</f>
        <v>5611.83</v>
      </c>
      <c r="N9" s="857">
        <f>SUMIFS('YTD Sales'!$N:$N,'YTD Sales'!$B:$B,Brokerage!$B9,'YTD Sales'!$M:$M,Brokerage!N$4)+SUMIFS('YTD Purchases'!$H:$H,'YTD Purchases'!$C:$C,Brokerage!$B9,'YTD Purchases'!$G:$G,Brokerage!N$4)</f>
        <v>64322.94</v>
      </c>
      <c r="O9" s="857">
        <f>SUMIFS('YTD Sales'!$N:$N,'YTD Sales'!$B:$B,Brokerage!$B9,'YTD Sales'!$M:$M,Brokerage!O$4)+SUMIFS('YTD Purchases'!$H:$H,'YTD Purchases'!$C:$C,Brokerage!$B9,'YTD Purchases'!$G:$G,Brokerage!O$4)</f>
        <v>0</v>
      </c>
      <c r="P9" s="857">
        <f>SUMIFS('YTD Sales'!$N:$N,'YTD Sales'!$B:$B,Brokerage!$B9,'YTD Sales'!$M:$M,Brokerage!P$4)+SUMIFS('YTD Purchases'!$H:$H,'YTD Purchases'!$C:$C,Brokerage!$B9,'YTD Purchases'!$G:$G,Brokerage!P$4)</f>
        <v>0</v>
      </c>
      <c r="Q9" s="857">
        <f>SUMIFS('YTD Sales'!$N:$N,'YTD Sales'!$B:$B,Brokerage!$B9,'YTD Sales'!$M:$M,Brokerage!Q$4)+SUMIFS('YTD Purchases'!$H:$H,'YTD Purchases'!$C:$C,Brokerage!$B9,'YTD Purchases'!$G:$G,Brokerage!Q$4)</f>
        <v>6143.39</v>
      </c>
      <c r="R9" s="857">
        <f>SUMIFS('YTD Sales'!$N:$N,'YTD Sales'!$B:$B,Brokerage!$B9,'YTD Sales'!$M:$M,Brokerage!R$4)+SUMIFS('YTD Purchases'!$H:$H,'YTD Purchases'!$C:$C,Brokerage!$B9,'YTD Purchases'!$G:$G,Brokerage!R$4)</f>
        <v>0</v>
      </c>
      <c r="S9" s="857">
        <f>SUMIFS('YTD Sales'!$N:$N,'YTD Sales'!$B:$B,Brokerage!$B9,'YTD Sales'!$M:$M,Brokerage!S$4)+SUMIFS('YTD Purchases'!$H:$H,'YTD Purchases'!$C:$C,Brokerage!$B9,'YTD Purchases'!$G:$G,Brokerage!S$4)</f>
        <v>0</v>
      </c>
      <c r="T9" s="857">
        <f>SUMIFS('YTD Sales'!$N:$N,'YTD Sales'!$B:$B,Brokerage!$B9,'YTD Sales'!$M:$M,Brokerage!T$4)+SUMIFS('YTD Purchases'!$H:$H,'YTD Purchases'!$C:$C,Brokerage!$B9,'YTD Purchases'!$G:$G,Brokerage!T$4)</f>
        <v>0</v>
      </c>
      <c r="U9" s="857">
        <f>SUMIFS('YTD Sales'!$N:$N,'YTD Sales'!$B:$B,Brokerage!$B9,'YTD Sales'!$M:$M,Brokerage!U$4)+SUMIFS('YTD Purchases'!$H:$H,'YTD Purchases'!$C:$C,Brokerage!$B9,'YTD Purchases'!$G:$G,Brokerage!U$4)</f>
        <v>0</v>
      </c>
      <c r="V9" s="857">
        <f>SUMIFS('YTD Sales'!$N:$N,'YTD Sales'!$B:$B,Brokerage!$B9,'YTD Sales'!$M:$M,Brokerage!V$4)+SUMIFS('YTD Purchases'!$H:$H,'YTD Purchases'!$C:$C,Brokerage!$B9,'YTD Purchases'!$G:$G,Brokerage!V$4)</f>
        <v>0</v>
      </c>
      <c r="W9" s="857">
        <f>SUMIFS('YTD Sales'!$N:$N,'YTD Sales'!$B:$B,Brokerage!$B9,'YTD Sales'!$M:$M,Brokerage!W$4)+SUMIFS('YTD Purchases'!$H:$H,'YTD Purchases'!$C:$C,Brokerage!$B9,'YTD Purchases'!$G:$G,Brokerage!W$4)</f>
        <v>0</v>
      </c>
      <c r="X9" s="857">
        <f>SUMIFS('YTD Sales'!$N:$N,'YTD Sales'!$B:$B,Brokerage!$B9,'YTD Sales'!$M:$M,Brokerage!X$4)+SUMIFS('YTD Purchases'!$H:$H,'YTD Purchases'!$C:$C,Brokerage!$B9,'YTD Purchases'!$G:$G,Brokerage!X$4)</f>
        <v>0</v>
      </c>
      <c r="Y9" s="857">
        <f>SUMIFS('YTD Sales'!$N:$N,'YTD Sales'!$B:$B,Brokerage!$B9,'YTD Sales'!$M:$M,Brokerage!Y$4)+SUMIFS('YTD Purchases'!$H:$H,'YTD Purchases'!$C:$C,Brokerage!$B9,'YTD Purchases'!$G:$G,Brokerage!Y$4)</f>
        <v>0</v>
      </c>
      <c r="Z9" s="857">
        <f>SUMIFS('YTD Sales'!$N:$N,'YTD Sales'!$B:$B,Brokerage!$B9,'YTD Sales'!$M:$M,Brokerage!Z$4)+SUMIFS('YTD Purchases'!$H:$H,'YTD Purchases'!$C:$C,Brokerage!$B9,'YTD Purchases'!$G:$G,Brokerage!Z$4)</f>
        <v>0</v>
      </c>
      <c r="AA9" s="857">
        <f>SUMIFS('YTD Sales'!$N:$N,'YTD Sales'!$B:$B,Brokerage!$B9,'YTD Sales'!$M:$M,Brokerage!AA$4)+SUMIFS('YTD Purchases'!$H:$H,'YTD Purchases'!$C:$C,Brokerage!$B9,'YTD Purchases'!$G:$G,Brokerage!AA$4)</f>
        <v>71982.919999999984</v>
      </c>
      <c r="AB9" s="857">
        <f>SUMIFS('YTD Sales'!$N:$N,'YTD Sales'!$B:$B,Brokerage!$B9,'YTD Sales'!$M:$M,Brokerage!AB$4)+SUMIFS('YTD Purchases'!$H:$H,'YTD Purchases'!$C:$C,Brokerage!$B9,'YTD Purchases'!$G:$G,Brokerage!AB$4)</f>
        <v>0</v>
      </c>
      <c r="AC9" s="857">
        <f>SUMIFS('YTD Sales'!$N:$N,'YTD Sales'!$B:$B,Brokerage!$B9,'YTD Sales'!$M:$M,Brokerage!AC$4)+SUMIFS('YTD Purchases'!$H:$H,'YTD Purchases'!$C:$C,Brokerage!$B9,'YTD Purchases'!$G:$G,Brokerage!AC$4)</f>
        <v>0</v>
      </c>
      <c r="AD9" s="857">
        <f>+SUMIFS(PIB!AG:AG,PIB!AF:AF,Brokerage!AD$4,PIB!AA:AA,Brokerage!$B9)+SUMIFS('T-Bills'!AB:AB,'T-Bills'!AA:AA,Brokerage!AD$4,'T-Bills'!V:V,Brokerage!$B9)</f>
        <v>0</v>
      </c>
      <c r="AE9" s="857">
        <f>+SUMIFS(PIB!AH:AH,PIB!AG:AG,Brokerage!AE$4,PIB!AB:AB,Brokerage!$B9)+SUMIFS('T-Bills'!AC:AC,'T-Bills'!AB:AB,Brokerage!AE$4,'T-Bills'!W:W,Brokerage!$B9)</f>
        <v>0</v>
      </c>
      <c r="AF9" s="857">
        <f>+SUMIFS(PIB!AI:AI,PIB!AH:AH,Brokerage!AF$4,PIB!AC:AC,Brokerage!$B9)+SUMIFS('T-Bills'!AD:AD,'T-Bills'!AC:AC,Brokerage!AF$4,'T-Bills'!X:X,Brokerage!$B9)</f>
        <v>0</v>
      </c>
      <c r="AG9" s="857">
        <f t="shared" ref="AG9:AG72" si="3">SUM(C9:AF9)</f>
        <v>272235.26650000003</v>
      </c>
      <c r="AH9" s="858">
        <f t="shared" si="1"/>
        <v>11</v>
      </c>
    </row>
    <row r="10" spans="2:34" x14ac:dyDescent="0.15">
      <c r="B10" s="661">
        <f t="shared" si="2"/>
        <v>44566</v>
      </c>
      <c r="C10" s="857">
        <f>SUMIFS('YTD Sales'!$N:$N,'YTD Sales'!$B:$B,Brokerage!$B10,'YTD Sales'!$M:$M,Brokerage!C$4)+SUMIFS('YTD Purchases'!$H:$H,'YTD Purchases'!$C:$C,Brokerage!$B10,'YTD Purchases'!$G:$G,Brokerage!C$4)</f>
        <v>0</v>
      </c>
      <c r="D10" s="857">
        <f>SUMIFS('YTD Sales'!$N:$N,'YTD Sales'!$B:$B,Brokerage!$B10,'YTD Sales'!$M:$M,Brokerage!D$4)+SUMIFS('YTD Purchases'!$H:$H,'YTD Purchases'!$C:$C,Brokerage!$B10,'YTD Purchases'!$G:$G,Brokerage!D$4)</f>
        <v>494.43</v>
      </c>
      <c r="E10" s="857">
        <f>SUMIFS('YTD Sales'!$N:$N,'YTD Sales'!$B:$B,Brokerage!$B10,'YTD Sales'!$M:$M,Brokerage!E$4)+SUMIFS('YTD Purchases'!$H:$H,'YTD Purchases'!$C:$C,Brokerage!$B10,'YTD Purchases'!$G:$G,Brokerage!E$4)</f>
        <v>0</v>
      </c>
      <c r="F10" s="857">
        <f>SUMIFS('YTD Sales'!$N:$N,'YTD Sales'!$B:$B,Brokerage!$B10,'YTD Sales'!$M:$M,Brokerage!F$4)+SUMIFS('YTD Purchases'!$H:$H,'YTD Purchases'!$C:$C,Brokerage!$B10,'YTD Purchases'!$G:$G,Brokerage!F$4)</f>
        <v>0</v>
      </c>
      <c r="G10" s="857">
        <f>SUMIFS('YTD Sales'!$N:$N,'YTD Sales'!$B:$B,Brokerage!$B10,'YTD Sales'!$M:$M,Brokerage!G$4)+SUMIFS('YTD Purchases'!$H:$H,'YTD Purchases'!$C:$C,Brokerage!$B10,'YTD Purchases'!$G:$G,Brokerage!G$4)</f>
        <v>0</v>
      </c>
      <c r="H10" s="857">
        <f>SUMIFS('YTD Sales'!$N:$N,'YTD Sales'!$B:$B,Brokerage!$B10,'YTD Sales'!$M:$M,Brokerage!H$4)+SUMIFS('YTD Purchases'!$H:$H,'YTD Purchases'!$C:$C,Brokerage!$B10,'YTD Purchases'!$G:$G,Brokerage!H$4)</f>
        <v>2880.27</v>
      </c>
      <c r="I10" s="857">
        <f>SUMIFS('YTD Sales'!$N:$N,'YTD Sales'!$B:$B,Brokerage!$B10,'YTD Sales'!$M:$M,Brokerage!I$4)+SUMIFS('YTD Purchases'!$H:$H,'YTD Purchases'!$C:$C,Brokerage!$B10,'YTD Purchases'!$G:$G,Brokerage!I$4)</f>
        <v>0</v>
      </c>
      <c r="J10" s="857">
        <f>SUMIFS('YTD Sales'!$N:$N,'YTD Sales'!$B:$B,Brokerage!$B10,'YTD Sales'!$M:$M,Brokerage!J$4)+SUMIFS('YTD Purchases'!$H:$H,'YTD Purchases'!$C:$C,Brokerage!$B10,'YTD Purchases'!$G:$G,Brokerage!J$4)</f>
        <v>0</v>
      </c>
      <c r="K10" s="857">
        <f>SUMIFS('YTD Sales'!$N:$N,'YTD Sales'!$B:$B,Brokerage!$B10,'YTD Sales'!$M:$M,Brokerage!K$4)+SUMIFS('YTD Purchases'!$H:$H,'YTD Purchases'!$C:$C,Brokerage!$B10,'YTD Purchases'!$G:$G,Brokerage!K$4)</f>
        <v>0</v>
      </c>
      <c r="L10" s="857">
        <f>SUMIFS('YTD Sales'!$N:$N,'YTD Sales'!$B:$B,Brokerage!$B10,'YTD Sales'!$M:$M,Brokerage!L$4)+SUMIFS('YTD Purchases'!$H:$H,'YTD Purchases'!$C:$C,Brokerage!$B10,'YTD Purchases'!$G:$G,Brokerage!L$4)</f>
        <v>0</v>
      </c>
      <c r="M10" s="857">
        <f>SUMIFS('YTD Sales'!$N:$N,'YTD Sales'!$B:$B,Brokerage!$B10,'YTD Sales'!$M:$M,Brokerage!M$4)+SUMIFS('YTD Purchases'!$H:$H,'YTD Purchases'!$C:$C,Brokerage!$B10,'YTD Purchases'!$G:$G,Brokerage!M$4)</f>
        <v>3224.3399999999997</v>
      </c>
      <c r="N10" s="857">
        <f>SUMIFS('YTD Sales'!$N:$N,'YTD Sales'!$B:$B,Brokerage!$B10,'YTD Sales'!$M:$M,Brokerage!N$4)+SUMIFS('YTD Purchases'!$H:$H,'YTD Purchases'!$C:$C,Brokerage!$B10,'YTD Purchases'!$G:$G,Brokerage!N$4)</f>
        <v>35013.919999999998</v>
      </c>
      <c r="O10" s="857">
        <f>SUMIFS('YTD Sales'!$N:$N,'YTD Sales'!$B:$B,Brokerage!$B10,'YTD Sales'!$M:$M,Brokerage!O$4)+SUMIFS('YTD Purchases'!$H:$H,'YTD Purchases'!$C:$C,Brokerage!$B10,'YTD Purchases'!$G:$G,Brokerage!O$4)</f>
        <v>0</v>
      </c>
      <c r="P10" s="857">
        <f>SUMIFS('YTD Sales'!$N:$N,'YTD Sales'!$B:$B,Brokerage!$B10,'YTD Sales'!$M:$M,Brokerage!P$4)+SUMIFS('YTD Purchases'!$H:$H,'YTD Purchases'!$C:$C,Brokerage!$B10,'YTD Purchases'!$G:$G,Brokerage!P$4)</f>
        <v>0</v>
      </c>
      <c r="Q10" s="857">
        <f>SUMIFS('YTD Sales'!$N:$N,'YTD Sales'!$B:$B,Brokerage!$B10,'YTD Sales'!$M:$M,Brokerage!Q$4)+SUMIFS('YTD Purchases'!$H:$H,'YTD Purchases'!$C:$C,Brokerage!$B10,'YTD Purchases'!$G:$G,Brokerage!Q$4)</f>
        <v>0</v>
      </c>
      <c r="R10" s="857">
        <f>SUMIFS('YTD Sales'!$N:$N,'YTD Sales'!$B:$B,Brokerage!$B10,'YTD Sales'!$M:$M,Brokerage!R$4)+SUMIFS('YTD Purchases'!$H:$H,'YTD Purchases'!$C:$C,Brokerage!$B10,'YTD Purchases'!$G:$G,Brokerage!R$4)</f>
        <v>0</v>
      </c>
      <c r="S10" s="857">
        <f>SUMIFS('YTD Sales'!$N:$N,'YTD Sales'!$B:$B,Brokerage!$B10,'YTD Sales'!$M:$M,Brokerage!S$4)+SUMIFS('YTD Purchases'!$H:$H,'YTD Purchases'!$C:$C,Brokerage!$B10,'YTD Purchases'!$G:$G,Brokerage!S$4)</f>
        <v>0</v>
      </c>
      <c r="T10" s="857">
        <f>SUMIFS('YTD Sales'!$N:$N,'YTD Sales'!$B:$B,Brokerage!$B10,'YTD Sales'!$M:$M,Brokerage!T$4)+SUMIFS('YTD Purchases'!$H:$H,'YTD Purchases'!$C:$C,Brokerage!$B10,'YTD Purchases'!$G:$G,Brokerage!T$4)</f>
        <v>0</v>
      </c>
      <c r="U10" s="857">
        <f>SUMIFS('YTD Sales'!$N:$N,'YTD Sales'!$B:$B,Brokerage!$B10,'YTD Sales'!$M:$M,Brokerage!U$4)+SUMIFS('YTD Purchases'!$H:$H,'YTD Purchases'!$C:$C,Brokerage!$B10,'YTD Purchases'!$G:$G,Brokerage!U$4)</f>
        <v>0</v>
      </c>
      <c r="V10" s="857">
        <f>SUMIFS('YTD Sales'!$N:$N,'YTD Sales'!$B:$B,Brokerage!$B10,'YTD Sales'!$M:$M,Brokerage!V$4)+SUMIFS('YTD Purchases'!$H:$H,'YTD Purchases'!$C:$C,Brokerage!$B10,'YTD Purchases'!$G:$G,Brokerage!V$4)</f>
        <v>0</v>
      </c>
      <c r="W10" s="857">
        <f>SUMIFS('YTD Sales'!$N:$N,'YTD Sales'!$B:$B,Brokerage!$B10,'YTD Sales'!$M:$M,Brokerage!W$4)+SUMIFS('YTD Purchases'!$H:$H,'YTD Purchases'!$C:$C,Brokerage!$B10,'YTD Purchases'!$G:$G,Brokerage!W$4)</f>
        <v>14920.283663366334</v>
      </c>
      <c r="X10" s="857">
        <f>SUMIFS('YTD Sales'!$N:$N,'YTD Sales'!$B:$B,Brokerage!$B10,'YTD Sales'!$M:$M,Brokerage!X$4)+SUMIFS('YTD Purchases'!$H:$H,'YTD Purchases'!$C:$C,Brokerage!$B10,'YTD Purchases'!$G:$G,Brokerage!X$4)</f>
        <v>0</v>
      </c>
      <c r="Y10" s="857">
        <f>SUMIFS('YTD Sales'!$N:$N,'YTD Sales'!$B:$B,Brokerage!$B10,'YTD Sales'!$M:$M,Brokerage!Y$4)+SUMIFS('YTD Purchases'!$H:$H,'YTD Purchases'!$C:$C,Brokerage!$B10,'YTD Purchases'!$G:$G,Brokerage!Y$4)</f>
        <v>0</v>
      </c>
      <c r="Z10" s="857">
        <f>SUMIFS('YTD Sales'!$N:$N,'YTD Sales'!$B:$B,Brokerage!$B10,'YTD Sales'!$M:$M,Brokerage!Z$4)+SUMIFS('YTD Purchases'!$H:$H,'YTD Purchases'!$C:$C,Brokerage!$B10,'YTD Purchases'!$G:$G,Brokerage!Z$4)</f>
        <v>0</v>
      </c>
      <c r="AA10" s="857">
        <f>SUMIFS('YTD Sales'!$N:$N,'YTD Sales'!$B:$B,Brokerage!$B10,'YTD Sales'!$M:$M,Brokerage!AA$4)+SUMIFS('YTD Purchases'!$H:$H,'YTD Purchases'!$C:$C,Brokerage!$B10,'YTD Purchases'!$G:$G,Brokerage!AA$4)</f>
        <v>0</v>
      </c>
      <c r="AB10" s="857">
        <f>SUMIFS('YTD Sales'!$N:$N,'YTD Sales'!$B:$B,Brokerage!$B10,'YTD Sales'!$M:$M,Brokerage!AB$4)+SUMIFS('YTD Purchases'!$H:$H,'YTD Purchases'!$C:$C,Brokerage!$B10,'YTD Purchases'!$G:$G,Brokerage!AB$4)</f>
        <v>0</v>
      </c>
      <c r="AC10" s="857">
        <f>SUMIFS('YTD Sales'!$N:$N,'YTD Sales'!$B:$B,Brokerage!$B10,'YTD Sales'!$M:$M,Brokerage!AC$4)+SUMIFS('YTD Purchases'!$H:$H,'YTD Purchases'!$C:$C,Brokerage!$B10,'YTD Purchases'!$G:$G,Brokerage!AC$4)</f>
        <v>0</v>
      </c>
      <c r="AD10" s="857">
        <f>+SUMIFS(PIB!AG:AG,PIB!AF:AF,Brokerage!AD$4,PIB!AA:AA,Brokerage!$B10)+SUMIFS('T-Bills'!AB:AB,'T-Bills'!AA:AA,Brokerage!AD$4,'T-Bills'!V:V,Brokerage!$B10)</f>
        <v>0</v>
      </c>
      <c r="AE10" s="857">
        <f>+SUMIFS(PIB!AH:AH,PIB!AG:AG,Brokerage!AE$4,PIB!AB:AB,Brokerage!$B10)+SUMIFS('T-Bills'!AC:AC,'T-Bills'!AB:AB,Brokerage!AE$4,'T-Bills'!W:W,Brokerage!$B10)</f>
        <v>0</v>
      </c>
      <c r="AF10" s="857">
        <f>+SUMIFS(PIB!AI:AI,PIB!AH:AH,Brokerage!AF$4,PIB!AC:AC,Brokerage!$B10)+SUMIFS('T-Bills'!AD:AD,'T-Bills'!AC:AC,Brokerage!AF$4,'T-Bills'!X:X,Brokerage!$B10)</f>
        <v>0</v>
      </c>
      <c r="AG10" s="857">
        <f t="shared" si="3"/>
        <v>56533.243663366331</v>
      </c>
      <c r="AH10" s="858">
        <f t="shared" si="1"/>
        <v>2</v>
      </c>
    </row>
    <row r="11" spans="2:34" x14ac:dyDescent="0.15">
      <c r="B11" s="661">
        <f t="shared" si="2"/>
        <v>44567</v>
      </c>
      <c r="C11" s="857">
        <f>SUMIFS('YTD Sales'!$N:$N,'YTD Sales'!$B:$B,Brokerage!$B11,'YTD Sales'!$M:$M,Brokerage!C$4)+SUMIFS('YTD Purchases'!$H:$H,'YTD Purchases'!$C:$C,Brokerage!$B11,'YTD Purchases'!$G:$G,Brokerage!C$4)</f>
        <v>0</v>
      </c>
      <c r="D11" s="857">
        <f>SUMIFS('YTD Sales'!$N:$N,'YTD Sales'!$B:$B,Brokerage!$B11,'YTD Sales'!$M:$M,Brokerage!D$4)+SUMIFS('YTD Purchases'!$H:$H,'YTD Purchases'!$C:$C,Brokerage!$B11,'YTD Purchases'!$G:$G,Brokerage!D$4)</f>
        <v>963.58</v>
      </c>
      <c r="E11" s="857">
        <f>SUMIFS('YTD Sales'!$N:$N,'YTD Sales'!$B:$B,Brokerage!$B11,'YTD Sales'!$M:$M,Brokerage!E$4)+SUMIFS('YTD Purchases'!$H:$H,'YTD Purchases'!$C:$C,Brokerage!$B11,'YTD Purchases'!$G:$G,Brokerage!E$4)</f>
        <v>826.48</v>
      </c>
      <c r="F11" s="857">
        <f>SUMIFS('YTD Sales'!$N:$N,'YTD Sales'!$B:$B,Brokerage!$B11,'YTD Sales'!$M:$M,Brokerage!F$4)+SUMIFS('YTD Purchases'!$H:$H,'YTD Purchases'!$C:$C,Brokerage!$B11,'YTD Purchases'!$G:$G,Brokerage!F$4)</f>
        <v>0</v>
      </c>
      <c r="G11" s="857">
        <f>SUMIFS('YTD Sales'!$N:$N,'YTD Sales'!$B:$B,Brokerage!$B11,'YTD Sales'!$M:$M,Brokerage!G$4)+SUMIFS('YTD Purchases'!$H:$H,'YTD Purchases'!$C:$C,Brokerage!$B11,'YTD Purchases'!$G:$G,Brokerage!G$4)</f>
        <v>0</v>
      </c>
      <c r="H11" s="857">
        <f>SUMIFS('YTD Sales'!$N:$N,'YTD Sales'!$B:$B,Brokerage!$B11,'YTD Sales'!$M:$M,Brokerage!H$4)+SUMIFS('YTD Purchases'!$H:$H,'YTD Purchases'!$C:$C,Brokerage!$B11,'YTD Purchases'!$G:$G,Brokerage!H$4)</f>
        <v>4649.17</v>
      </c>
      <c r="I11" s="857">
        <f>SUMIFS('YTD Sales'!$N:$N,'YTD Sales'!$B:$B,Brokerage!$B11,'YTD Sales'!$M:$M,Brokerage!I$4)+SUMIFS('YTD Purchases'!$H:$H,'YTD Purchases'!$C:$C,Brokerage!$B11,'YTD Purchases'!$G:$G,Brokerage!I$4)</f>
        <v>0</v>
      </c>
      <c r="J11" s="857">
        <f>SUMIFS('YTD Sales'!$N:$N,'YTD Sales'!$B:$B,Brokerage!$B11,'YTD Sales'!$M:$M,Brokerage!J$4)+SUMIFS('YTD Purchases'!$H:$H,'YTD Purchases'!$C:$C,Brokerage!$B11,'YTD Purchases'!$G:$G,Brokerage!J$4)</f>
        <v>0</v>
      </c>
      <c r="K11" s="857">
        <f>SUMIFS('YTD Sales'!$N:$N,'YTD Sales'!$B:$B,Brokerage!$B11,'YTD Sales'!$M:$M,Brokerage!K$4)+SUMIFS('YTD Purchases'!$H:$H,'YTD Purchases'!$C:$C,Brokerage!$B11,'YTD Purchases'!$G:$G,Brokerage!K$4)</f>
        <v>0</v>
      </c>
      <c r="L11" s="857">
        <f>SUMIFS('YTD Sales'!$N:$N,'YTD Sales'!$B:$B,Brokerage!$B11,'YTD Sales'!$M:$M,Brokerage!L$4)+SUMIFS('YTD Purchases'!$H:$H,'YTD Purchases'!$C:$C,Brokerage!$B11,'YTD Purchases'!$G:$G,Brokerage!L$4)</f>
        <v>0</v>
      </c>
      <c r="M11" s="857">
        <f>SUMIFS('YTD Sales'!$N:$N,'YTD Sales'!$B:$B,Brokerage!$B11,'YTD Sales'!$M:$M,Brokerage!M$4)+SUMIFS('YTD Purchases'!$H:$H,'YTD Purchases'!$C:$C,Brokerage!$B11,'YTD Purchases'!$G:$G,Brokerage!M$4)</f>
        <v>2214.2999999999997</v>
      </c>
      <c r="N11" s="857">
        <f>SUMIFS('YTD Sales'!$N:$N,'YTD Sales'!$B:$B,Brokerage!$B11,'YTD Sales'!$M:$M,Brokerage!N$4)+SUMIFS('YTD Purchases'!$H:$H,'YTD Purchases'!$C:$C,Brokerage!$B11,'YTD Purchases'!$G:$G,Brokerage!N$4)</f>
        <v>0</v>
      </c>
      <c r="O11" s="857">
        <f>SUMIFS('YTD Sales'!$N:$N,'YTD Sales'!$B:$B,Brokerage!$B11,'YTD Sales'!$M:$M,Brokerage!O$4)+SUMIFS('YTD Purchases'!$H:$H,'YTD Purchases'!$C:$C,Brokerage!$B11,'YTD Purchases'!$G:$G,Brokerage!O$4)</f>
        <v>0</v>
      </c>
      <c r="P11" s="857">
        <f>SUMIFS('YTD Sales'!$N:$N,'YTD Sales'!$B:$B,Brokerage!$B11,'YTD Sales'!$M:$M,Brokerage!P$4)+SUMIFS('YTD Purchases'!$H:$H,'YTD Purchases'!$C:$C,Brokerage!$B11,'YTD Purchases'!$G:$G,Brokerage!P$4)</f>
        <v>0</v>
      </c>
      <c r="Q11" s="857">
        <f>SUMIFS('YTD Sales'!$N:$N,'YTD Sales'!$B:$B,Brokerage!$B11,'YTD Sales'!$M:$M,Brokerage!Q$4)+SUMIFS('YTD Purchases'!$H:$H,'YTD Purchases'!$C:$C,Brokerage!$B11,'YTD Purchases'!$G:$G,Brokerage!Q$4)</f>
        <v>0</v>
      </c>
      <c r="R11" s="857">
        <f>SUMIFS('YTD Sales'!$N:$N,'YTD Sales'!$B:$B,Brokerage!$B11,'YTD Sales'!$M:$M,Brokerage!R$4)+SUMIFS('YTD Purchases'!$H:$H,'YTD Purchases'!$C:$C,Brokerage!$B11,'YTD Purchases'!$G:$G,Brokerage!R$4)</f>
        <v>0</v>
      </c>
      <c r="S11" s="857">
        <f>SUMIFS('YTD Sales'!$N:$N,'YTD Sales'!$B:$B,Brokerage!$B11,'YTD Sales'!$M:$M,Brokerage!S$4)+SUMIFS('YTD Purchases'!$H:$H,'YTD Purchases'!$C:$C,Brokerage!$B11,'YTD Purchases'!$G:$G,Brokerage!S$4)</f>
        <v>0</v>
      </c>
      <c r="T11" s="857">
        <f>SUMIFS('YTD Sales'!$N:$N,'YTD Sales'!$B:$B,Brokerage!$B11,'YTD Sales'!$M:$M,Brokerage!T$4)+SUMIFS('YTD Purchases'!$H:$H,'YTD Purchases'!$C:$C,Brokerage!$B11,'YTD Purchases'!$G:$G,Brokerage!T$4)</f>
        <v>0</v>
      </c>
      <c r="U11" s="857">
        <f>SUMIFS('YTD Sales'!$N:$N,'YTD Sales'!$B:$B,Brokerage!$B11,'YTD Sales'!$M:$M,Brokerage!U$4)+SUMIFS('YTD Purchases'!$H:$H,'YTD Purchases'!$C:$C,Brokerage!$B11,'YTD Purchases'!$G:$G,Brokerage!U$4)</f>
        <v>0</v>
      </c>
      <c r="V11" s="857">
        <f>SUMIFS('YTD Sales'!$N:$N,'YTD Sales'!$B:$B,Brokerage!$B11,'YTD Sales'!$M:$M,Brokerage!V$4)+SUMIFS('YTD Purchases'!$H:$H,'YTD Purchases'!$C:$C,Brokerage!$B11,'YTD Purchases'!$G:$G,Brokerage!V$4)</f>
        <v>0</v>
      </c>
      <c r="W11" s="857">
        <f>SUMIFS('YTD Sales'!$N:$N,'YTD Sales'!$B:$B,Brokerage!$B11,'YTD Sales'!$M:$M,Brokerage!W$4)+SUMIFS('YTD Purchases'!$H:$H,'YTD Purchases'!$C:$C,Brokerage!$B11,'YTD Purchases'!$G:$G,Brokerage!W$4)</f>
        <v>6772.72</v>
      </c>
      <c r="X11" s="857">
        <f>SUMIFS('YTD Sales'!$N:$N,'YTD Sales'!$B:$B,Brokerage!$B11,'YTD Sales'!$M:$M,Brokerage!X$4)+SUMIFS('YTD Purchases'!$H:$H,'YTD Purchases'!$C:$C,Brokerage!$B11,'YTD Purchases'!$G:$G,Brokerage!X$4)</f>
        <v>0</v>
      </c>
      <c r="Y11" s="857">
        <f>SUMIFS('YTD Sales'!$N:$N,'YTD Sales'!$B:$B,Brokerage!$B11,'YTD Sales'!$M:$M,Brokerage!Y$4)+SUMIFS('YTD Purchases'!$H:$H,'YTD Purchases'!$C:$C,Brokerage!$B11,'YTD Purchases'!$G:$G,Brokerage!Y$4)</f>
        <v>0</v>
      </c>
      <c r="Z11" s="857">
        <f>SUMIFS('YTD Sales'!$N:$N,'YTD Sales'!$B:$B,Brokerage!$B11,'YTD Sales'!$M:$M,Brokerage!Z$4)+SUMIFS('YTD Purchases'!$H:$H,'YTD Purchases'!$C:$C,Brokerage!$B11,'YTD Purchases'!$G:$G,Brokerage!Z$4)</f>
        <v>0</v>
      </c>
      <c r="AA11" s="857">
        <f>SUMIFS('YTD Sales'!$N:$N,'YTD Sales'!$B:$B,Brokerage!$B11,'YTD Sales'!$M:$M,Brokerage!AA$4)+SUMIFS('YTD Purchases'!$H:$H,'YTD Purchases'!$C:$C,Brokerage!$B11,'YTD Purchases'!$G:$G,Brokerage!AA$4)</f>
        <v>0</v>
      </c>
      <c r="AB11" s="857">
        <f>SUMIFS('YTD Sales'!$N:$N,'YTD Sales'!$B:$B,Brokerage!$B11,'YTD Sales'!$M:$M,Brokerage!AB$4)+SUMIFS('YTD Purchases'!$H:$H,'YTD Purchases'!$C:$C,Brokerage!$B11,'YTD Purchases'!$G:$G,Brokerage!AB$4)</f>
        <v>0</v>
      </c>
      <c r="AC11" s="857">
        <f>SUMIFS('YTD Sales'!$N:$N,'YTD Sales'!$B:$B,Brokerage!$B11,'YTD Sales'!$M:$M,Brokerage!AC$4)+SUMIFS('YTD Purchases'!$H:$H,'YTD Purchases'!$C:$C,Brokerage!$B11,'YTD Purchases'!$G:$G,Brokerage!AC$4)</f>
        <v>0</v>
      </c>
      <c r="AD11" s="857">
        <f>+SUMIFS(PIB!AG:AG,PIB!AF:AF,Brokerage!AD$4,PIB!AA:AA,Brokerage!$B11)+SUMIFS('T-Bills'!AB:AB,'T-Bills'!AA:AA,Brokerage!AD$4,'T-Bills'!V:V,Brokerage!$B11)</f>
        <v>0</v>
      </c>
      <c r="AE11" s="857">
        <f>+SUMIFS(PIB!AH:AH,PIB!AG:AG,Brokerage!AE$4,PIB!AB:AB,Brokerage!$B11)+SUMIFS('T-Bills'!AC:AC,'T-Bills'!AB:AB,Brokerage!AE$4,'T-Bills'!W:W,Brokerage!$B11)</f>
        <v>0</v>
      </c>
      <c r="AF11" s="857">
        <f>+SUMIFS(PIB!AI:AI,PIB!AH:AH,Brokerage!AF$4,PIB!AC:AC,Brokerage!$B11)+SUMIFS('T-Bills'!AD:AD,'T-Bills'!AC:AC,Brokerage!AF$4,'T-Bills'!X:X,Brokerage!$B11)</f>
        <v>0</v>
      </c>
      <c r="AG11" s="857">
        <f t="shared" si="3"/>
        <v>15426.25</v>
      </c>
      <c r="AH11" s="858">
        <f t="shared" si="1"/>
        <v>1</v>
      </c>
    </row>
    <row r="12" spans="2:34" x14ac:dyDescent="0.15">
      <c r="B12" s="661">
        <f t="shared" si="2"/>
        <v>44568</v>
      </c>
      <c r="C12" s="857">
        <f>SUMIFS('YTD Sales'!$N:$N,'YTD Sales'!$B:$B,Brokerage!$B12,'YTD Sales'!$M:$M,Brokerage!C$4)+SUMIFS('YTD Purchases'!$H:$H,'YTD Purchases'!$C:$C,Brokerage!$B12,'YTD Purchases'!$G:$G,Brokerage!C$4)</f>
        <v>0</v>
      </c>
      <c r="D12" s="857">
        <f>SUMIFS('YTD Sales'!$N:$N,'YTD Sales'!$B:$B,Brokerage!$B12,'YTD Sales'!$M:$M,Brokerage!D$4)+SUMIFS('YTD Purchases'!$H:$H,'YTD Purchases'!$C:$C,Brokerage!$B12,'YTD Purchases'!$G:$G,Brokerage!D$4)</f>
        <v>4440.0400000000009</v>
      </c>
      <c r="E12" s="857">
        <f>SUMIFS('YTD Sales'!$N:$N,'YTD Sales'!$B:$B,Brokerage!$B12,'YTD Sales'!$M:$M,Brokerage!E$4)+SUMIFS('YTD Purchases'!$H:$H,'YTD Purchases'!$C:$C,Brokerage!$B12,'YTD Purchases'!$G:$G,Brokerage!E$4)</f>
        <v>6575.73</v>
      </c>
      <c r="F12" s="857">
        <f>SUMIFS('YTD Sales'!$N:$N,'YTD Sales'!$B:$B,Brokerage!$B12,'YTD Sales'!$M:$M,Brokerage!F$4)+SUMIFS('YTD Purchases'!$H:$H,'YTD Purchases'!$C:$C,Brokerage!$B12,'YTD Purchases'!$G:$G,Brokerage!F$4)</f>
        <v>0</v>
      </c>
      <c r="G12" s="857">
        <f>SUMIFS('YTD Sales'!$N:$N,'YTD Sales'!$B:$B,Brokerage!$B12,'YTD Sales'!$M:$M,Brokerage!G$4)+SUMIFS('YTD Purchases'!$H:$H,'YTD Purchases'!$C:$C,Brokerage!$B12,'YTD Purchases'!$G:$G,Brokerage!G$4)</f>
        <v>0</v>
      </c>
      <c r="H12" s="857">
        <f>SUMIFS('YTD Sales'!$N:$N,'YTD Sales'!$B:$B,Brokerage!$B12,'YTD Sales'!$M:$M,Brokerage!H$4)+SUMIFS('YTD Purchases'!$H:$H,'YTD Purchases'!$C:$C,Brokerage!$B12,'YTD Purchases'!$G:$G,Brokerage!H$4)</f>
        <v>2246.98</v>
      </c>
      <c r="I12" s="857">
        <f>SUMIFS('YTD Sales'!$N:$N,'YTD Sales'!$B:$B,Brokerage!$B12,'YTD Sales'!$M:$M,Brokerage!I$4)+SUMIFS('YTD Purchases'!$H:$H,'YTD Purchases'!$C:$C,Brokerage!$B12,'YTD Purchases'!$G:$G,Brokerage!I$4)</f>
        <v>0</v>
      </c>
      <c r="J12" s="857">
        <f>SUMIFS('YTD Sales'!$N:$N,'YTD Sales'!$B:$B,Brokerage!$B12,'YTD Sales'!$M:$M,Brokerage!J$4)+SUMIFS('YTD Purchases'!$H:$H,'YTD Purchases'!$C:$C,Brokerage!$B12,'YTD Purchases'!$G:$G,Brokerage!J$4)</f>
        <v>0</v>
      </c>
      <c r="K12" s="857">
        <f>SUMIFS('YTD Sales'!$N:$N,'YTD Sales'!$B:$B,Brokerage!$B12,'YTD Sales'!$M:$M,Brokerage!K$4)+SUMIFS('YTD Purchases'!$H:$H,'YTD Purchases'!$C:$C,Brokerage!$B12,'YTD Purchases'!$G:$G,Brokerage!K$4)</f>
        <v>0</v>
      </c>
      <c r="L12" s="857">
        <f>SUMIFS('YTD Sales'!$N:$N,'YTD Sales'!$B:$B,Brokerage!$B12,'YTD Sales'!$M:$M,Brokerage!L$4)+SUMIFS('YTD Purchases'!$H:$H,'YTD Purchases'!$C:$C,Brokerage!$B12,'YTD Purchases'!$G:$G,Brokerage!L$4)</f>
        <v>0</v>
      </c>
      <c r="M12" s="857">
        <f>SUMIFS('YTD Sales'!$N:$N,'YTD Sales'!$B:$B,Brokerage!$B12,'YTD Sales'!$M:$M,Brokerage!M$4)+SUMIFS('YTD Purchases'!$H:$H,'YTD Purchases'!$C:$C,Brokerage!$B12,'YTD Purchases'!$G:$G,Brokerage!M$4)</f>
        <v>0</v>
      </c>
      <c r="N12" s="857">
        <f>SUMIFS('YTD Sales'!$N:$N,'YTD Sales'!$B:$B,Brokerage!$B12,'YTD Sales'!$M:$M,Brokerage!N$4)+SUMIFS('YTD Purchases'!$H:$H,'YTD Purchases'!$C:$C,Brokerage!$B12,'YTD Purchases'!$G:$G,Brokerage!N$4)</f>
        <v>0</v>
      </c>
      <c r="O12" s="857">
        <f>SUMIFS('YTD Sales'!$N:$N,'YTD Sales'!$B:$B,Brokerage!$B12,'YTD Sales'!$M:$M,Brokerage!O$4)+SUMIFS('YTD Purchases'!$H:$H,'YTD Purchases'!$C:$C,Brokerage!$B12,'YTD Purchases'!$G:$G,Brokerage!O$4)</f>
        <v>0</v>
      </c>
      <c r="P12" s="857">
        <f>SUMIFS('YTD Sales'!$N:$N,'YTD Sales'!$B:$B,Brokerage!$B12,'YTD Sales'!$M:$M,Brokerage!P$4)+SUMIFS('YTD Purchases'!$H:$H,'YTD Purchases'!$C:$C,Brokerage!$B12,'YTD Purchases'!$G:$G,Brokerage!P$4)</f>
        <v>0</v>
      </c>
      <c r="Q12" s="857">
        <f>SUMIFS('YTD Sales'!$N:$N,'YTD Sales'!$B:$B,Brokerage!$B12,'YTD Sales'!$M:$M,Brokerage!Q$4)+SUMIFS('YTD Purchases'!$H:$H,'YTD Purchases'!$C:$C,Brokerage!$B12,'YTD Purchases'!$G:$G,Brokerage!Q$4)</f>
        <v>0</v>
      </c>
      <c r="R12" s="857">
        <f>SUMIFS('YTD Sales'!$N:$N,'YTD Sales'!$B:$B,Brokerage!$B12,'YTD Sales'!$M:$M,Brokerage!R$4)+SUMIFS('YTD Purchases'!$H:$H,'YTD Purchases'!$C:$C,Brokerage!$B12,'YTD Purchases'!$G:$G,Brokerage!R$4)</f>
        <v>0</v>
      </c>
      <c r="S12" s="857">
        <f>SUMIFS('YTD Sales'!$N:$N,'YTD Sales'!$B:$B,Brokerage!$B12,'YTD Sales'!$M:$M,Brokerage!S$4)+SUMIFS('YTD Purchases'!$H:$H,'YTD Purchases'!$C:$C,Brokerage!$B12,'YTD Purchases'!$G:$G,Brokerage!S$4)</f>
        <v>9451.7400000000016</v>
      </c>
      <c r="T12" s="857">
        <f>SUMIFS('YTD Sales'!$N:$N,'YTD Sales'!$B:$B,Brokerage!$B12,'YTD Sales'!$M:$M,Brokerage!T$4)+SUMIFS('YTD Purchases'!$H:$H,'YTD Purchases'!$C:$C,Brokerage!$B12,'YTD Purchases'!$G:$G,Brokerage!T$4)</f>
        <v>0</v>
      </c>
      <c r="U12" s="857">
        <f>SUMIFS('YTD Sales'!$N:$N,'YTD Sales'!$B:$B,Brokerage!$B12,'YTD Sales'!$M:$M,Brokerage!U$4)+SUMIFS('YTD Purchases'!$H:$H,'YTD Purchases'!$C:$C,Brokerage!$B12,'YTD Purchases'!$G:$G,Brokerage!U$4)</f>
        <v>0</v>
      </c>
      <c r="V12" s="857">
        <f>SUMIFS('YTD Sales'!$N:$N,'YTD Sales'!$B:$B,Brokerage!$B12,'YTD Sales'!$M:$M,Brokerage!V$4)+SUMIFS('YTD Purchases'!$H:$H,'YTD Purchases'!$C:$C,Brokerage!$B12,'YTD Purchases'!$G:$G,Brokerage!V$4)</f>
        <v>0</v>
      </c>
      <c r="W12" s="857">
        <f>SUMIFS('YTD Sales'!$N:$N,'YTD Sales'!$B:$B,Brokerage!$B12,'YTD Sales'!$M:$M,Brokerage!W$4)+SUMIFS('YTD Purchases'!$H:$H,'YTD Purchases'!$C:$C,Brokerage!$B12,'YTD Purchases'!$G:$G,Brokerage!W$4)</f>
        <v>0</v>
      </c>
      <c r="X12" s="857">
        <f>SUMIFS('YTD Sales'!$N:$N,'YTD Sales'!$B:$B,Brokerage!$B12,'YTD Sales'!$M:$M,Brokerage!X$4)+SUMIFS('YTD Purchases'!$H:$H,'YTD Purchases'!$C:$C,Brokerage!$B12,'YTD Purchases'!$G:$G,Brokerage!X$4)</f>
        <v>0</v>
      </c>
      <c r="Y12" s="857">
        <f>SUMIFS('YTD Sales'!$N:$N,'YTD Sales'!$B:$B,Brokerage!$B12,'YTD Sales'!$M:$M,Brokerage!Y$4)+SUMIFS('YTD Purchases'!$H:$H,'YTD Purchases'!$C:$C,Brokerage!$B12,'YTD Purchases'!$G:$G,Brokerage!Y$4)</f>
        <v>0</v>
      </c>
      <c r="Z12" s="857">
        <f>SUMIFS('YTD Sales'!$N:$N,'YTD Sales'!$B:$B,Brokerage!$B12,'YTD Sales'!$M:$M,Brokerage!Z$4)+SUMIFS('YTD Purchases'!$H:$H,'YTD Purchases'!$C:$C,Brokerage!$B12,'YTD Purchases'!$G:$G,Brokerage!Z$4)</f>
        <v>0</v>
      </c>
      <c r="AA12" s="857">
        <f>SUMIFS('YTD Sales'!$N:$N,'YTD Sales'!$B:$B,Brokerage!$B12,'YTD Sales'!$M:$M,Brokerage!AA$4)+SUMIFS('YTD Purchases'!$H:$H,'YTD Purchases'!$C:$C,Brokerage!$B12,'YTD Purchases'!$G:$G,Brokerage!AA$4)</f>
        <v>0</v>
      </c>
      <c r="AB12" s="857">
        <f>SUMIFS('YTD Sales'!$N:$N,'YTD Sales'!$B:$B,Brokerage!$B12,'YTD Sales'!$M:$M,Brokerage!AB$4)+SUMIFS('YTD Purchases'!$H:$H,'YTD Purchases'!$C:$C,Brokerage!$B12,'YTD Purchases'!$G:$G,Brokerage!AB$4)</f>
        <v>0</v>
      </c>
      <c r="AC12" s="857">
        <f>SUMIFS('YTD Sales'!$N:$N,'YTD Sales'!$B:$B,Brokerage!$B12,'YTD Sales'!$M:$M,Brokerage!AC$4)+SUMIFS('YTD Purchases'!$H:$H,'YTD Purchases'!$C:$C,Brokerage!$B12,'YTD Purchases'!$G:$G,Brokerage!AC$4)</f>
        <v>0</v>
      </c>
      <c r="AD12" s="857">
        <f>+SUMIFS(PIB!AG:AG,PIB!AF:AF,Brokerage!AD$4,PIB!AA:AA,Brokerage!$B12)+SUMIFS('T-Bills'!AB:AB,'T-Bills'!AA:AA,Brokerage!AD$4,'T-Bills'!V:V,Brokerage!$B12)</f>
        <v>0</v>
      </c>
      <c r="AE12" s="857">
        <f>+SUMIFS(PIB!AH:AH,PIB!AG:AG,Brokerage!AE$4,PIB!AB:AB,Brokerage!$B12)+SUMIFS('T-Bills'!AC:AC,'T-Bills'!AB:AB,Brokerage!AE$4,'T-Bills'!W:W,Brokerage!$B12)</f>
        <v>0</v>
      </c>
      <c r="AF12" s="857">
        <f>+SUMIFS(PIB!AI:AI,PIB!AH:AH,Brokerage!AF$4,PIB!AC:AC,Brokerage!$B12)+SUMIFS('T-Bills'!AD:AD,'T-Bills'!AC:AC,Brokerage!AF$4,'T-Bills'!X:X,Brokerage!$B12)</f>
        <v>0</v>
      </c>
      <c r="AG12" s="857">
        <f t="shared" si="3"/>
        <v>22714.49</v>
      </c>
      <c r="AH12" s="858">
        <f t="shared" si="1"/>
        <v>1</v>
      </c>
    </row>
    <row r="13" spans="2:34" x14ac:dyDescent="0.15">
      <c r="B13" s="661">
        <f t="shared" si="2"/>
        <v>44569</v>
      </c>
      <c r="C13" s="857">
        <f>SUMIFS('YTD Sales'!$N:$N,'YTD Sales'!$B:$B,Brokerage!$B13,'YTD Sales'!$M:$M,Brokerage!C$4)+SUMIFS('YTD Purchases'!$H:$H,'YTD Purchases'!$C:$C,Brokerage!$B13,'YTD Purchases'!$G:$G,Brokerage!C$4)</f>
        <v>0</v>
      </c>
      <c r="D13" s="857">
        <f>SUMIFS('YTD Sales'!$N:$N,'YTD Sales'!$B:$B,Brokerage!$B13,'YTD Sales'!$M:$M,Brokerage!D$4)+SUMIFS('YTD Purchases'!$H:$H,'YTD Purchases'!$C:$C,Brokerage!$B13,'YTD Purchases'!$G:$G,Brokerage!D$4)</f>
        <v>0</v>
      </c>
      <c r="E13" s="857">
        <f>SUMIFS('YTD Sales'!$N:$N,'YTD Sales'!$B:$B,Brokerage!$B13,'YTD Sales'!$M:$M,Brokerage!E$4)+SUMIFS('YTD Purchases'!$H:$H,'YTD Purchases'!$C:$C,Brokerage!$B13,'YTD Purchases'!$G:$G,Brokerage!E$4)</f>
        <v>0</v>
      </c>
      <c r="F13" s="857">
        <f>SUMIFS('YTD Sales'!$N:$N,'YTD Sales'!$B:$B,Brokerage!$B13,'YTD Sales'!$M:$M,Brokerage!F$4)+SUMIFS('YTD Purchases'!$H:$H,'YTD Purchases'!$C:$C,Brokerage!$B13,'YTD Purchases'!$G:$G,Brokerage!F$4)</f>
        <v>0</v>
      </c>
      <c r="G13" s="857">
        <f>SUMIFS('YTD Sales'!$N:$N,'YTD Sales'!$B:$B,Brokerage!$B13,'YTD Sales'!$M:$M,Brokerage!G$4)+SUMIFS('YTD Purchases'!$H:$H,'YTD Purchases'!$C:$C,Brokerage!$B13,'YTD Purchases'!$G:$G,Brokerage!G$4)</f>
        <v>0</v>
      </c>
      <c r="H13" s="857">
        <f>SUMIFS('YTD Sales'!$N:$N,'YTD Sales'!$B:$B,Brokerage!$B13,'YTD Sales'!$M:$M,Brokerage!H$4)+SUMIFS('YTD Purchases'!$H:$H,'YTD Purchases'!$C:$C,Brokerage!$B13,'YTD Purchases'!$G:$G,Brokerage!H$4)</f>
        <v>0</v>
      </c>
      <c r="I13" s="857">
        <f>SUMIFS('YTD Sales'!$N:$N,'YTD Sales'!$B:$B,Brokerage!$B13,'YTD Sales'!$M:$M,Brokerage!I$4)+SUMIFS('YTD Purchases'!$H:$H,'YTD Purchases'!$C:$C,Brokerage!$B13,'YTD Purchases'!$G:$G,Brokerage!I$4)</f>
        <v>0</v>
      </c>
      <c r="J13" s="857">
        <f>SUMIFS('YTD Sales'!$N:$N,'YTD Sales'!$B:$B,Brokerage!$B13,'YTD Sales'!$M:$M,Brokerage!J$4)+SUMIFS('YTD Purchases'!$H:$H,'YTD Purchases'!$C:$C,Brokerage!$B13,'YTD Purchases'!$G:$G,Brokerage!J$4)</f>
        <v>0</v>
      </c>
      <c r="K13" s="857">
        <f>SUMIFS('YTD Sales'!$N:$N,'YTD Sales'!$B:$B,Brokerage!$B13,'YTD Sales'!$M:$M,Brokerage!K$4)+SUMIFS('YTD Purchases'!$H:$H,'YTD Purchases'!$C:$C,Brokerage!$B13,'YTD Purchases'!$G:$G,Brokerage!K$4)</f>
        <v>0</v>
      </c>
      <c r="L13" s="857">
        <f>SUMIFS('YTD Sales'!$N:$N,'YTD Sales'!$B:$B,Brokerage!$B13,'YTD Sales'!$M:$M,Brokerage!L$4)+SUMIFS('YTD Purchases'!$H:$H,'YTD Purchases'!$C:$C,Brokerage!$B13,'YTD Purchases'!$G:$G,Brokerage!L$4)</f>
        <v>0</v>
      </c>
      <c r="M13" s="857">
        <f>SUMIFS('YTD Sales'!$N:$N,'YTD Sales'!$B:$B,Brokerage!$B13,'YTD Sales'!$M:$M,Brokerage!M$4)+SUMIFS('YTD Purchases'!$H:$H,'YTD Purchases'!$C:$C,Brokerage!$B13,'YTD Purchases'!$G:$G,Brokerage!M$4)</f>
        <v>0</v>
      </c>
      <c r="N13" s="857">
        <f>SUMIFS('YTD Sales'!$N:$N,'YTD Sales'!$B:$B,Brokerage!$B13,'YTD Sales'!$M:$M,Brokerage!N$4)+SUMIFS('YTD Purchases'!$H:$H,'YTD Purchases'!$C:$C,Brokerage!$B13,'YTD Purchases'!$G:$G,Brokerage!N$4)</f>
        <v>0</v>
      </c>
      <c r="O13" s="857">
        <f>SUMIFS('YTD Sales'!$N:$N,'YTD Sales'!$B:$B,Brokerage!$B13,'YTD Sales'!$M:$M,Brokerage!O$4)+SUMIFS('YTD Purchases'!$H:$H,'YTD Purchases'!$C:$C,Brokerage!$B13,'YTD Purchases'!$G:$G,Brokerage!O$4)</f>
        <v>0</v>
      </c>
      <c r="P13" s="857">
        <f>SUMIFS('YTD Sales'!$N:$N,'YTD Sales'!$B:$B,Brokerage!$B13,'YTD Sales'!$M:$M,Brokerage!P$4)+SUMIFS('YTD Purchases'!$H:$H,'YTD Purchases'!$C:$C,Brokerage!$B13,'YTD Purchases'!$G:$G,Brokerage!P$4)</f>
        <v>0</v>
      </c>
      <c r="Q13" s="857">
        <f>SUMIFS('YTD Sales'!$N:$N,'YTD Sales'!$B:$B,Brokerage!$B13,'YTD Sales'!$M:$M,Brokerage!Q$4)+SUMIFS('YTD Purchases'!$H:$H,'YTD Purchases'!$C:$C,Brokerage!$B13,'YTD Purchases'!$G:$G,Brokerage!Q$4)</f>
        <v>0</v>
      </c>
      <c r="R13" s="857">
        <f>SUMIFS('YTD Sales'!$N:$N,'YTD Sales'!$B:$B,Brokerage!$B13,'YTD Sales'!$M:$M,Brokerage!R$4)+SUMIFS('YTD Purchases'!$H:$H,'YTD Purchases'!$C:$C,Brokerage!$B13,'YTD Purchases'!$G:$G,Brokerage!R$4)</f>
        <v>0</v>
      </c>
      <c r="S13" s="857">
        <f>SUMIFS('YTD Sales'!$N:$N,'YTD Sales'!$B:$B,Brokerage!$B13,'YTD Sales'!$M:$M,Brokerage!S$4)+SUMIFS('YTD Purchases'!$H:$H,'YTD Purchases'!$C:$C,Brokerage!$B13,'YTD Purchases'!$G:$G,Brokerage!S$4)</f>
        <v>0</v>
      </c>
      <c r="T13" s="857">
        <f>SUMIFS('YTD Sales'!$N:$N,'YTD Sales'!$B:$B,Brokerage!$B13,'YTD Sales'!$M:$M,Brokerage!T$4)+SUMIFS('YTD Purchases'!$H:$H,'YTD Purchases'!$C:$C,Brokerage!$B13,'YTD Purchases'!$G:$G,Brokerage!T$4)</f>
        <v>0</v>
      </c>
      <c r="U13" s="857">
        <f>SUMIFS('YTD Sales'!$N:$N,'YTD Sales'!$B:$B,Brokerage!$B13,'YTD Sales'!$M:$M,Brokerage!U$4)+SUMIFS('YTD Purchases'!$H:$H,'YTD Purchases'!$C:$C,Brokerage!$B13,'YTD Purchases'!$G:$G,Brokerage!U$4)</f>
        <v>0</v>
      </c>
      <c r="V13" s="857">
        <f>SUMIFS('YTD Sales'!$N:$N,'YTD Sales'!$B:$B,Brokerage!$B13,'YTD Sales'!$M:$M,Brokerage!V$4)+SUMIFS('YTD Purchases'!$H:$H,'YTD Purchases'!$C:$C,Brokerage!$B13,'YTD Purchases'!$G:$G,Brokerage!V$4)</f>
        <v>0</v>
      </c>
      <c r="W13" s="857">
        <f>SUMIFS('YTD Sales'!$N:$N,'YTD Sales'!$B:$B,Brokerage!$B13,'YTD Sales'!$M:$M,Brokerage!W$4)+SUMIFS('YTD Purchases'!$H:$H,'YTD Purchases'!$C:$C,Brokerage!$B13,'YTD Purchases'!$G:$G,Brokerage!W$4)</f>
        <v>0</v>
      </c>
      <c r="X13" s="857">
        <f>SUMIFS('YTD Sales'!$N:$N,'YTD Sales'!$B:$B,Brokerage!$B13,'YTD Sales'!$M:$M,Brokerage!X$4)+SUMIFS('YTD Purchases'!$H:$H,'YTD Purchases'!$C:$C,Brokerage!$B13,'YTD Purchases'!$G:$G,Brokerage!X$4)</f>
        <v>0</v>
      </c>
      <c r="Y13" s="857">
        <f>SUMIFS('YTD Sales'!$N:$N,'YTD Sales'!$B:$B,Brokerage!$B13,'YTD Sales'!$M:$M,Brokerage!Y$4)+SUMIFS('YTD Purchases'!$H:$H,'YTD Purchases'!$C:$C,Brokerage!$B13,'YTD Purchases'!$G:$G,Brokerage!Y$4)</f>
        <v>0</v>
      </c>
      <c r="Z13" s="857">
        <f>SUMIFS('YTD Sales'!$N:$N,'YTD Sales'!$B:$B,Brokerage!$B13,'YTD Sales'!$M:$M,Brokerage!Z$4)+SUMIFS('YTD Purchases'!$H:$H,'YTD Purchases'!$C:$C,Brokerage!$B13,'YTD Purchases'!$G:$G,Brokerage!Z$4)</f>
        <v>0</v>
      </c>
      <c r="AA13" s="857">
        <f>SUMIFS('YTD Sales'!$N:$N,'YTD Sales'!$B:$B,Brokerage!$B13,'YTD Sales'!$M:$M,Brokerage!AA$4)+SUMIFS('YTD Purchases'!$H:$H,'YTD Purchases'!$C:$C,Brokerage!$B13,'YTD Purchases'!$G:$G,Brokerage!AA$4)</f>
        <v>0</v>
      </c>
      <c r="AB13" s="857">
        <f>SUMIFS('YTD Sales'!$N:$N,'YTD Sales'!$B:$B,Brokerage!$B13,'YTD Sales'!$M:$M,Brokerage!AB$4)+SUMIFS('YTD Purchases'!$H:$H,'YTD Purchases'!$C:$C,Brokerage!$B13,'YTD Purchases'!$G:$G,Brokerage!AB$4)</f>
        <v>0</v>
      </c>
      <c r="AC13" s="857">
        <f>SUMIFS('YTD Sales'!$N:$N,'YTD Sales'!$B:$B,Brokerage!$B13,'YTD Sales'!$M:$M,Brokerage!AC$4)+SUMIFS('YTD Purchases'!$H:$H,'YTD Purchases'!$C:$C,Brokerage!$B13,'YTD Purchases'!$G:$G,Brokerage!AC$4)</f>
        <v>0</v>
      </c>
      <c r="AD13" s="857">
        <f>+SUMIFS(PIB!AG:AG,PIB!AF:AF,Brokerage!AD$4,PIB!AA:AA,Brokerage!$B13)+SUMIFS('T-Bills'!AB:AB,'T-Bills'!AA:AA,Brokerage!AD$4,'T-Bills'!V:V,Brokerage!$B13)</f>
        <v>0</v>
      </c>
      <c r="AE13" s="857">
        <f>+SUMIFS(PIB!AH:AH,PIB!AG:AG,Brokerage!AE$4,PIB!AB:AB,Brokerage!$B13)+SUMIFS('T-Bills'!AC:AC,'T-Bills'!AB:AB,Brokerage!AE$4,'T-Bills'!W:W,Brokerage!$B13)</f>
        <v>0</v>
      </c>
      <c r="AF13" s="857">
        <f>+SUMIFS(PIB!AI:AI,PIB!AH:AH,Brokerage!AF$4,PIB!AC:AC,Brokerage!$B13)+SUMIFS('T-Bills'!AD:AD,'T-Bills'!AC:AC,Brokerage!AF$4,'T-Bills'!X:X,Brokerage!$B13)</f>
        <v>0</v>
      </c>
      <c r="AG13" s="857">
        <f t="shared" si="3"/>
        <v>0</v>
      </c>
      <c r="AH13" s="858">
        <f t="shared" si="1"/>
        <v>0</v>
      </c>
    </row>
    <row r="14" spans="2:34" x14ac:dyDescent="0.15">
      <c r="B14" s="661">
        <f t="shared" si="2"/>
        <v>44570</v>
      </c>
      <c r="C14" s="857">
        <f>SUMIFS('YTD Sales'!$N:$N,'YTD Sales'!$B:$B,Brokerage!$B14,'YTD Sales'!$M:$M,Brokerage!C$4)+SUMIFS('YTD Purchases'!$H:$H,'YTD Purchases'!$C:$C,Brokerage!$B14,'YTD Purchases'!$G:$G,Brokerage!C$4)</f>
        <v>0</v>
      </c>
      <c r="D14" s="857">
        <f>SUMIFS('YTD Sales'!$N:$N,'YTD Sales'!$B:$B,Brokerage!$B14,'YTD Sales'!$M:$M,Brokerage!D$4)+SUMIFS('YTD Purchases'!$H:$H,'YTD Purchases'!$C:$C,Brokerage!$B14,'YTD Purchases'!$G:$G,Brokerage!D$4)</f>
        <v>0</v>
      </c>
      <c r="E14" s="857">
        <f>SUMIFS('YTD Sales'!$N:$N,'YTD Sales'!$B:$B,Brokerage!$B14,'YTD Sales'!$M:$M,Brokerage!E$4)+SUMIFS('YTD Purchases'!$H:$H,'YTD Purchases'!$C:$C,Brokerage!$B14,'YTD Purchases'!$G:$G,Brokerage!E$4)</f>
        <v>0</v>
      </c>
      <c r="F14" s="857">
        <f>SUMIFS('YTD Sales'!$N:$N,'YTD Sales'!$B:$B,Brokerage!$B14,'YTD Sales'!$M:$M,Brokerage!F$4)+SUMIFS('YTD Purchases'!$H:$H,'YTD Purchases'!$C:$C,Brokerage!$B14,'YTD Purchases'!$G:$G,Brokerage!F$4)</f>
        <v>0</v>
      </c>
      <c r="G14" s="857">
        <f>SUMIFS('YTD Sales'!$N:$N,'YTD Sales'!$B:$B,Brokerage!$B14,'YTD Sales'!$M:$M,Brokerage!G$4)+SUMIFS('YTD Purchases'!$H:$H,'YTD Purchases'!$C:$C,Brokerage!$B14,'YTD Purchases'!$G:$G,Brokerage!G$4)</f>
        <v>0</v>
      </c>
      <c r="H14" s="857">
        <f>SUMIFS('YTD Sales'!$N:$N,'YTD Sales'!$B:$B,Brokerage!$B14,'YTD Sales'!$M:$M,Brokerage!H$4)+SUMIFS('YTD Purchases'!$H:$H,'YTD Purchases'!$C:$C,Brokerage!$B14,'YTD Purchases'!$G:$G,Brokerage!H$4)</f>
        <v>0</v>
      </c>
      <c r="I14" s="857">
        <f>SUMIFS('YTD Sales'!$N:$N,'YTD Sales'!$B:$B,Brokerage!$B14,'YTD Sales'!$M:$M,Brokerage!I$4)+SUMIFS('YTD Purchases'!$H:$H,'YTD Purchases'!$C:$C,Brokerage!$B14,'YTD Purchases'!$G:$G,Brokerage!I$4)</f>
        <v>0</v>
      </c>
      <c r="J14" s="857">
        <f>SUMIFS('YTD Sales'!$N:$N,'YTD Sales'!$B:$B,Brokerage!$B14,'YTD Sales'!$M:$M,Brokerage!J$4)+SUMIFS('YTD Purchases'!$H:$H,'YTD Purchases'!$C:$C,Brokerage!$B14,'YTD Purchases'!$G:$G,Brokerage!J$4)</f>
        <v>0</v>
      </c>
      <c r="K14" s="857">
        <f>SUMIFS('YTD Sales'!$N:$N,'YTD Sales'!$B:$B,Brokerage!$B14,'YTD Sales'!$M:$M,Brokerage!K$4)+SUMIFS('YTD Purchases'!$H:$H,'YTD Purchases'!$C:$C,Brokerage!$B14,'YTD Purchases'!$G:$G,Brokerage!K$4)</f>
        <v>0</v>
      </c>
      <c r="L14" s="857">
        <f>SUMIFS('YTD Sales'!$N:$N,'YTD Sales'!$B:$B,Brokerage!$B14,'YTD Sales'!$M:$M,Brokerage!L$4)+SUMIFS('YTD Purchases'!$H:$H,'YTD Purchases'!$C:$C,Brokerage!$B14,'YTD Purchases'!$G:$G,Brokerage!L$4)</f>
        <v>0</v>
      </c>
      <c r="M14" s="857">
        <f>SUMIFS('YTD Sales'!$N:$N,'YTD Sales'!$B:$B,Brokerage!$B14,'YTD Sales'!$M:$M,Brokerage!M$4)+SUMIFS('YTD Purchases'!$H:$H,'YTD Purchases'!$C:$C,Brokerage!$B14,'YTD Purchases'!$G:$G,Brokerage!M$4)</f>
        <v>0</v>
      </c>
      <c r="N14" s="857">
        <f>SUMIFS('YTD Sales'!$N:$N,'YTD Sales'!$B:$B,Brokerage!$B14,'YTD Sales'!$M:$M,Brokerage!N$4)+SUMIFS('YTD Purchases'!$H:$H,'YTD Purchases'!$C:$C,Brokerage!$B14,'YTD Purchases'!$G:$G,Brokerage!N$4)</f>
        <v>0</v>
      </c>
      <c r="O14" s="857">
        <f>SUMIFS('YTD Sales'!$N:$N,'YTD Sales'!$B:$B,Brokerage!$B14,'YTD Sales'!$M:$M,Brokerage!O$4)+SUMIFS('YTD Purchases'!$H:$H,'YTD Purchases'!$C:$C,Brokerage!$B14,'YTD Purchases'!$G:$G,Brokerage!O$4)</f>
        <v>0</v>
      </c>
      <c r="P14" s="857">
        <f>SUMIFS('YTD Sales'!$N:$N,'YTD Sales'!$B:$B,Brokerage!$B14,'YTD Sales'!$M:$M,Brokerage!P$4)+SUMIFS('YTD Purchases'!$H:$H,'YTD Purchases'!$C:$C,Brokerage!$B14,'YTD Purchases'!$G:$G,Brokerage!P$4)</f>
        <v>0</v>
      </c>
      <c r="Q14" s="857">
        <f>SUMIFS('YTD Sales'!$N:$N,'YTD Sales'!$B:$B,Brokerage!$B14,'YTD Sales'!$M:$M,Brokerage!Q$4)+SUMIFS('YTD Purchases'!$H:$H,'YTD Purchases'!$C:$C,Brokerage!$B14,'YTD Purchases'!$G:$G,Brokerage!Q$4)</f>
        <v>0</v>
      </c>
      <c r="R14" s="857">
        <f>SUMIFS('YTD Sales'!$N:$N,'YTD Sales'!$B:$B,Brokerage!$B14,'YTD Sales'!$M:$M,Brokerage!R$4)+SUMIFS('YTD Purchases'!$H:$H,'YTD Purchases'!$C:$C,Brokerage!$B14,'YTD Purchases'!$G:$G,Brokerage!R$4)</f>
        <v>0</v>
      </c>
      <c r="S14" s="857">
        <f>SUMIFS('YTD Sales'!$N:$N,'YTD Sales'!$B:$B,Brokerage!$B14,'YTD Sales'!$M:$M,Brokerage!S$4)+SUMIFS('YTD Purchases'!$H:$H,'YTD Purchases'!$C:$C,Brokerage!$B14,'YTD Purchases'!$G:$G,Brokerage!S$4)</f>
        <v>0</v>
      </c>
      <c r="T14" s="857">
        <f>SUMIFS('YTD Sales'!$N:$N,'YTD Sales'!$B:$B,Brokerage!$B14,'YTD Sales'!$M:$M,Brokerage!T$4)+SUMIFS('YTD Purchases'!$H:$H,'YTD Purchases'!$C:$C,Brokerage!$B14,'YTD Purchases'!$G:$G,Brokerage!T$4)</f>
        <v>0</v>
      </c>
      <c r="U14" s="857">
        <f>SUMIFS('YTD Sales'!$N:$N,'YTD Sales'!$B:$B,Brokerage!$B14,'YTD Sales'!$M:$M,Brokerage!U$4)+SUMIFS('YTD Purchases'!$H:$H,'YTD Purchases'!$C:$C,Brokerage!$B14,'YTD Purchases'!$G:$G,Brokerage!U$4)</f>
        <v>0</v>
      </c>
      <c r="V14" s="857">
        <f>SUMIFS('YTD Sales'!$N:$N,'YTD Sales'!$B:$B,Brokerage!$B14,'YTD Sales'!$M:$M,Brokerage!V$4)+SUMIFS('YTD Purchases'!$H:$H,'YTD Purchases'!$C:$C,Brokerage!$B14,'YTD Purchases'!$G:$G,Brokerage!V$4)</f>
        <v>0</v>
      </c>
      <c r="W14" s="857">
        <f>SUMIFS('YTD Sales'!$N:$N,'YTD Sales'!$B:$B,Brokerage!$B14,'YTD Sales'!$M:$M,Brokerage!W$4)+SUMIFS('YTD Purchases'!$H:$H,'YTD Purchases'!$C:$C,Brokerage!$B14,'YTD Purchases'!$G:$G,Brokerage!W$4)</f>
        <v>0</v>
      </c>
      <c r="X14" s="857">
        <f>SUMIFS('YTD Sales'!$N:$N,'YTD Sales'!$B:$B,Brokerage!$B14,'YTD Sales'!$M:$M,Brokerage!X$4)+SUMIFS('YTD Purchases'!$H:$H,'YTD Purchases'!$C:$C,Brokerage!$B14,'YTD Purchases'!$G:$G,Brokerage!X$4)</f>
        <v>0</v>
      </c>
      <c r="Y14" s="857">
        <f>SUMIFS('YTD Sales'!$N:$N,'YTD Sales'!$B:$B,Brokerage!$B14,'YTD Sales'!$M:$M,Brokerage!Y$4)+SUMIFS('YTD Purchases'!$H:$H,'YTD Purchases'!$C:$C,Brokerage!$B14,'YTD Purchases'!$G:$G,Brokerage!Y$4)</f>
        <v>0</v>
      </c>
      <c r="Z14" s="857">
        <f>SUMIFS('YTD Sales'!$N:$N,'YTD Sales'!$B:$B,Brokerage!$B14,'YTD Sales'!$M:$M,Brokerage!Z$4)+SUMIFS('YTD Purchases'!$H:$H,'YTD Purchases'!$C:$C,Brokerage!$B14,'YTD Purchases'!$G:$G,Brokerage!Z$4)</f>
        <v>0</v>
      </c>
      <c r="AA14" s="857">
        <f>SUMIFS('YTD Sales'!$N:$N,'YTD Sales'!$B:$B,Brokerage!$B14,'YTD Sales'!$M:$M,Brokerage!AA$4)+SUMIFS('YTD Purchases'!$H:$H,'YTD Purchases'!$C:$C,Brokerage!$B14,'YTD Purchases'!$G:$G,Brokerage!AA$4)</f>
        <v>0</v>
      </c>
      <c r="AB14" s="857">
        <f>SUMIFS('YTD Sales'!$N:$N,'YTD Sales'!$B:$B,Brokerage!$B14,'YTD Sales'!$M:$M,Brokerage!AB$4)+SUMIFS('YTD Purchases'!$H:$H,'YTD Purchases'!$C:$C,Brokerage!$B14,'YTD Purchases'!$G:$G,Brokerage!AB$4)</f>
        <v>0</v>
      </c>
      <c r="AC14" s="857">
        <f>SUMIFS('YTD Sales'!$N:$N,'YTD Sales'!$B:$B,Brokerage!$B14,'YTD Sales'!$M:$M,Brokerage!AC$4)+SUMIFS('YTD Purchases'!$H:$H,'YTD Purchases'!$C:$C,Brokerage!$B14,'YTD Purchases'!$G:$G,Brokerage!AC$4)</f>
        <v>0</v>
      </c>
      <c r="AD14" s="857">
        <f>+SUMIFS(PIB!AG:AG,PIB!AF:AF,Brokerage!AD$4,PIB!AA:AA,Brokerage!$B14)+SUMIFS('T-Bills'!AB:AB,'T-Bills'!AA:AA,Brokerage!AD$4,'T-Bills'!V:V,Brokerage!$B14)</f>
        <v>0</v>
      </c>
      <c r="AE14" s="857">
        <f>+SUMIFS(PIB!AH:AH,PIB!AG:AG,Brokerage!AE$4,PIB!AB:AB,Brokerage!$B14)+SUMIFS('T-Bills'!AC:AC,'T-Bills'!AB:AB,Brokerage!AE$4,'T-Bills'!W:W,Brokerage!$B14)</f>
        <v>0</v>
      </c>
      <c r="AF14" s="857">
        <f>+SUMIFS(PIB!AI:AI,PIB!AH:AH,Brokerage!AF$4,PIB!AC:AC,Brokerage!$B14)+SUMIFS('T-Bills'!AD:AD,'T-Bills'!AC:AC,Brokerage!AF$4,'T-Bills'!X:X,Brokerage!$B14)</f>
        <v>0</v>
      </c>
      <c r="AG14" s="857">
        <f t="shared" si="3"/>
        <v>0</v>
      </c>
      <c r="AH14" s="858">
        <f t="shared" si="1"/>
        <v>0</v>
      </c>
    </row>
    <row r="15" spans="2:34" x14ac:dyDescent="0.15">
      <c r="B15" s="661">
        <f t="shared" si="2"/>
        <v>44571</v>
      </c>
      <c r="C15" s="857">
        <f>SUMIFS('YTD Sales'!$N:$N,'YTD Sales'!$B:$B,Brokerage!$B15,'YTD Sales'!$M:$M,Brokerage!C$4)+SUMIFS('YTD Purchases'!$H:$H,'YTD Purchases'!$C:$C,Brokerage!$B15,'YTD Purchases'!$G:$G,Brokerage!C$4)</f>
        <v>0</v>
      </c>
      <c r="D15" s="857">
        <f>SUMIFS('YTD Sales'!$N:$N,'YTD Sales'!$B:$B,Brokerage!$B15,'YTD Sales'!$M:$M,Brokerage!D$4)+SUMIFS('YTD Purchases'!$H:$H,'YTD Purchases'!$C:$C,Brokerage!$B15,'YTD Purchases'!$G:$G,Brokerage!D$4)</f>
        <v>40356.060000000005</v>
      </c>
      <c r="E15" s="857">
        <f>SUMIFS('YTD Sales'!$N:$N,'YTD Sales'!$B:$B,Brokerage!$B15,'YTD Sales'!$M:$M,Brokerage!E$4)+SUMIFS('YTD Purchases'!$H:$H,'YTD Purchases'!$C:$C,Brokerage!$B15,'YTD Purchases'!$G:$G,Brokerage!E$4)</f>
        <v>3756.85</v>
      </c>
      <c r="F15" s="857">
        <f>SUMIFS('YTD Sales'!$N:$N,'YTD Sales'!$B:$B,Brokerage!$B15,'YTD Sales'!$M:$M,Brokerage!F$4)+SUMIFS('YTD Purchases'!$H:$H,'YTD Purchases'!$C:$C,Brokerage!$B15,'YTD Purchases'!$G:$G,Brokerage!F$4)</f>
        <v>0</v>
      </c>
      <c r="G15" s="857">
        <f>SUMIFS('YTD Sales'!$N:$N,'YTD Sales'!$B:$B,Brokerage!$B15,'YTD Sales'!$M:$M,Brokerage!G$4)+SUMIFS('YTD Purchases'!$H:$H,'YTD Purchases'!$C:$C,Brokerage!$B15,'YTD Purchases'!$G:$G,Brokerage!G$4)</f>
        <v>0</v>
      </c>
      <c r="H15" s="857">
        <f>SUMIFS('YTD Sales'!$N:$N,'YTD Sales'!$B:$B,Brokerage!$B15,'YTD Sales'!$M:$M,Brokerage!H$4)+SUMIFS('YTD Purchases'!$H:$H,'YTD Purchases'!$C:$C,Brokerage!$B15,'YTD Purchases'!$G:$G,Brokerage!H$4)</f>
        <v>17544.510000000002</v>
      </c>
      <c r="I15" s="857">
        <f>SUMIFS('YTD Sales'!$N:$N,'YTD Sales'!$B:$B,Brokerage!$B15,'YTD Sales'!$M:$M,Brokerage!I$4)+SUMIFS('YTD Purchases'!$H:$H,'YTD Purchases'!$C:$C,Brokerage!$B15,'YTD Purchases'!$G:$G,Brokerage!I$4)</f>
        <v>0</v>
      </c>
      <c r="J15" s="857">
        <f>SUMIFS('YTD Sales'!$N:$N,'YTD Sales'!$B:$B,Brokerage!$B15,'YTD Sales'!$M:$M,Brokerage!J$4)+SUMIFS('YTD Purchases'!$H:$H,'YTD Purchases'!$C:$C,Brokerage!$B15,'YTD Purchases'!$G:$G,Brokerage!J$4)</f>
        <v>0</v>
      </c>
      <c r="K15" s="857">
        <f>SUMIFS('YTD Sales'!$N:$N,'YTD Sales'!$B:$B,Brokerage!$B15,'YTD Sales'!$M:$M,Brokerage!K$4)+SUMIFS('YTD Purchases'!$H:$H,'YTD Purchases'!$C:$C,Brokerage!$B15,'YTD Purchases'!$G:$G,Brokerage!K$4)</f>
        <v>0</v>
      </c>
      <c r="L15" s="857">
        <f>SUMIFS('YTD Sales'!$N:$N,'YTD Sales'!$B:$B,Brokerage!$B15,'YTD Sales'!$M:$M,Brokerage!L$4)+SUMIFS('YTD Purchases'!$H:$H,'YTD Purchases'!$C:$C,Brokerage!$B15,'YTD Purchases'!$G:$G,Brokerage!L$4)</f>
        <v>0</v>
      </c>
      <c r="M15" s="857">
        <f>SUMIFS('YTD Sales'!$N:$N,'YTD Sales'!$B:$B,Brokerage!$B15,'YTD Sales'!$M:$M,Brokerage!M$4)+SUMIFS('YTD Purchases'!$H:$H,'YTD Purchases'!$C:$C,Brokerage!$B15,'YTD Purchases'!$G:$G,Brokerage!M$4)</f>
        <v>0</v>
      </c>
      <c r="N15" s="857">
        <f>SUMIFS('YTD Sales'!$N:$N,'YTD Sales'!$B:$B,Brokerage!$B15,'YTD Sales'!$M:$M,Brokerage!N$4)+SUMIFS('YTD Purchases'!$H:$H,'YTD Purchases'!$C:$C,Brokerage!$B15,'YTD Purchases'!$G:$G,Brokerage!N$4)</f>
        <v>0</v>
      </c>
      <c r="O15" s="857">
        <f>SUMIFS('YTD Sales'!$N:$N,'YTD Sales'!$B:$B,Brokerage!$B15,'YTD Sales'!$M:$M,Brokerage!O$4)+SUMIFS('YTD Purchases'!$H:$H,'YTD Purchases'!$C:$C,Brokerage!$B15,'YTD Purchases'!$G:$G,Brokerage!O$4)</f>
        <v>0</v>
      </c>
      <c r="P15" s="857">
        <f>SUMIFS('YTD Sales'!$N:$N,'YTD Sales'!$B:$B,Brokerage!$B15,'YTD Sales'!$M:$M,Brokerage!P$4)+SUMIFS('YTD Purchases'!$H:$H,'YTD Purchases'!$C:$C,Brokerage!$B15,'YTD Purchases'!$G:$G,Brokerage!P$4)</f>
        <v>0</v>
      </c>
      <c r="Q15" s="857">
        <f>SUMIFS('YTD Sales'!$N:$N,'YTD Sales'!$B:$B,Brokerage!$B15,'YTD Sales'!$M:$M,Brokerage!Q$4)+SUMIFS('YTD Purchases'!$H:$H,'YTD Purchases'!$C:$C,Brokerage!$B15,'YTD Purchases'!$G:$G,Brokerage!Q$4)</f>
        <v>0</v>
      </c>
      <c r="R15" s="857">
        <f>SUMIFS('YTD Sales'!$N:$N,'YTD Sales'!$B:$B,Brokerage!$B15,'YTD Sales'!$M:$M,Brokerage!R$4)+SUMIFS('YTD Purchases'!$H:$H,'YTD Purchases'!$C:$C,Brokerage!$B15,'YTD Purchases'!$G:$G,Brokerage!R$4)</f>
        <v>0</v>
      </c>
      <c r="S15" s="857">
        <f>SUMIFS('YTD Sales'!$N:$N,'YTD Sales'!$B:$B,Brokerage!$B15,'YTD Sales'!$M:$M,Brokerage!S$4)+SUMIFS('YTD Purchases'!$H:$H,'YTD Purchases'!$C:$C,Brokerage!$B15,'YTD Purchases'!$G:$G,Brokerage!S$4)</f>
        <v>0</v>
      </c>
      <c r="T15" s="857">
        <f>SUMIFS('YTD Sales'!$N:$N,'YTD Sales'!$B:$B,Brokerage!$B15,'YTD Sales'!$M:$M,Brokerage!T$4)+SUMIFS('YTD Purchases'!$H:$H,'YTD Purchases'!$C:$C,Brokerage!$B15,'YTD Purchases'!$G:$G,Brokerage!T$4)</f>
        <v>0</v>
      </c>
      <c r="U15" s="857">
        <f>SUMIFS('YTD Sales'!$N:$N,'YTD Sales'!$B:$B,Brokerage!$B15,'YTD Sales'!$M:$M,Brokerage!U$4)+SUMIFS('YTD Purchases'!$H:$H,'YTD Purchases'!$C:$C,Brokerage!$B15,'YTD Purchases'!$G:$G,Brokerage!U$4)</f>
        <v>0</v>
      </c>
      <c r="V15" s="857">
        <f>SUMIFS('YTD Sales'!$N:$N,'YTD Sales'!$B:$B,Brokerage!$B15,'YTD Sales'!$M:$M,Brokerage!V$4)+SUMIFS('YTD Purchases'!$H:$H,'YTD Purchases'!$C:$C,Brokerage!$B15,'YTD Purchases'!$G:$G,Brokerage!V$4)</f>
        <v>0</v>
      </c>
      <c r="W15" s="857">
        <f>SUMIFS('YTD Sales'!$N:$N,'YTD Sales'!$B:$B,Brokerage!$B15,'YTD Sales'!$M:$M,Brokerage!W$4)+SUMIFS('YTD Purchases'!$H:$H,'YTD Purchases'!$C:$C,Brokerage!$B15,'YTD Purchases'!$G:$G,Brokerage!W$4)</f>
        <v>0</v>
      </c>
      <c r="X15" s="857">
        <f>SUMIFS('YTD Sales'!$N:$N,'YTD Sales'!$B:$B,Brokerage!$B15,'YTD Sales'!$M:$M,Brokerage!X$4)+SUMIFS('YTD Purchases'!$H:$H,'YTD Purchases'!$C:$C,Brokerage!$B15,'YTD Purchases'!$G:$G,Brokerage!X$4)</f>
        <v>0</v>
      </c>
      <c r="Y15" s="857">
        <f>SUMIFS('YTD Sales'!$N:$N,'YTD Sales'!$B:$B,Brokerage!$B15,'YTD Sales'!$M:$M,Brokerage!Y$4)+SUMIFS('YTD Purchases'!$H:$H,'YTD Purchases'!$C:$C,Brokerage!$B15,'YTD Purchases'!$G:$G,Brokerage!Y$4)</f>
        <v>2284.8599999999997</v>
      </c>
      <c r="Z15" s="857">
        <f>SUMIFS('YTD Sales'!$N:$N,'YTD Sales'!$B:$B,Brokerage!$B15,'YTD Sales'!$M:$M,Brokerage!Z$4)+SUMIFS('YTD Purchases'!$H:$H,'YTD Purchases'!$C:$C,Brokerage!$B15,'YTD Purchases'!$G:$G,Brokerage!Z$4)</f>
        <v>0</v>
      </c>
      <c r="AA15" s="857">
        <f>SUMIFS('YTD Sales'!$N:$N,'YTD Sales'!$B:$B,Brokerage!$B15,'YTD Sales'!$M:$M,Brokerage!AA$4)+SUMIFS('YTD Purchases'!$H:$H,'YTD Purchases'!$C:$C,Brokerage!$B15,'YTD Purchases'!$G:$G,Brokerage!AA$4)</f>
        <v>0</v>
      </c>
      <c r="AB15" s="857">
        <f>SUMIFS('YTD Sales'!$N:$N,'YTD Sales'!$B:$B,Brokerage!$B15,'YTD Sales'!$M:$M,Brokerage!AB$4)+SUMIFS('YTD Purchases'!$H:$H,'YTD Purchases'!$C:$C,Brokerage!$B15,'YTD Purchases'!$G:$G,Brokerage!AB$4)</f>
        <v>0</v>
      </c>
      <c r="AC15" s="857">
        <f>SUMIFS('YTD Sales'!$N:$N,'YTD Sales'!$B:$B,Brokerage!$B15,'YTD Sales'!$M:$M,Brokerage!AC$4)+SUMIFS('YTD Purchases'!$H:$H,'YTD Purchases'!$C:$C,Brokerage!$B15,'YTD Purchases'!$G:$G,Brokerage!AC$4)</f>
        <v>0</v>
      </c>
      <c r="AD15" s="857">
        <f>+SUMIFS(PIB!AG:AG,PIB!AF:AF,Brokerage!AD$4,PIB!AA:AA,Brokerage!$B15)+SUMIFS('T-Bills'!AB:AB,'T-Bills'!AA:AA,Brokerage!AD$4,'T-Bills'!V:V,Brokerage!$B15)</f>
        <v>0</v>
      </c>
      <c r="AE15" s="857">
        <f>+SUMIFS(PIB!AH:AH,PIB!AG:AG,Brokerage!AE$4,PIB!AB:AB,Brokerage!$B15)+SUMIFS('T-Bills'!AC:AC,'T-Bills'!AB:AB,Brokerage!AE$4,'T-Bills'!W:W,Brokerage!$B15)</f>
        <v>0</v>
      </c>
      <c r="AF15" s="857">
        <f>+SUMIFS(PIB!AI:AI,PIB!AH:AH,Brokerage!AF$4,PIB!AC:AC,Brokerage!$B15)+SUMIFS('T-Bills'!AD:AD,'T-Bills'!AC:AC,Brokerage!AF$4,'T-Bills'!X:X,Brokerage!$B15)</f>
        <v>0</v>
      </c>
      <c r="AG15" s="857">
        <f t="shared" si="3"/>
        <v>63942.280000000006</v>
      </c>
      <c r="AH15" s="858">
        <f t="shared" si="1"/>
        <v>3</v>
      </c>
    </row>
    <row r="16" spans="2:34" x14ac:dyDescent="0.15">
      <c r="B16" s="661">
        <f t="shared" si="2"/>
        <v>44572</v>
      </c>
      <c r="C16" s="857">
        <f>SUMIFS('YTD Sales'!$N:$N,'YTD Sales'!$B:$B,Brokerage!$B16,'YTD Sales'!$M:$M,Brokerage!C$4)+SUMIFS('YTD Purchases'!$H:$H,'YTD Purchases'!$C:$C,Brokerage!$B16,'YTD Purchases'!$G:$G,Brokerage!C$4)</f>
        <v>0</v>
      </c>
      <c r="D16" s="857">
        <f>SUMIFS('YTD Sales'!$N:$N,'YTD Sales'!$B:$B,Brokerage!$B16,'YTD Sales'!$M:$M,Brokerage!D$4)+SUMIFS('YTD Purchases'!$H:$H,'YTD Purchases'!$C:$C,Brokerage!$B16,'YTD Purchases'!$G:$G,Brokerage!D$4)</f>
        <v>0</v>
      </c>
      <c r="E16" s="857">
        <f>SUMIFS('YTD Sales'!$N:$N,'YTD Sales'!$B:$B,Brokerage!$B16,'YTD Sales'!$M:$M,Brokerage!E$4)+SUMIFS('YTD Purchases'!$H:$H,'YTD Purchases'!$C:$C,Brokerage!$B16,'YTD Purchases'!$G:$G,Brokerage!E$4)</f>
        <v>0</v>
      </c>
      <c r="F16" s="857">
        <f>SUMIFS('YTD Sales'!$N:$N,'YTD Sales'!$B:$B,Brokerage!$B16,'YTD Sales'!$M:$M,Brokerage!F$4)+SUMIFS('YTD Purchases'!$H:$H,'YTD Purchases'!$C:$C,Brokerage!$B16,'YTD Purchases'!$G:$G,Brokerage!F$4)</f>
        <v>0</v>
      </c>
      <c r="G16" s="857">
        <f>SUMIFS('YTD Sales'!$N:$N,'YTD Sales'!$B:$B,Brokerage!$B16,'YTD Sales'!$M:$M,Brokerage!G$4)+SUMIFS('YTD Purchases'!$H:$H,'YTD Purchases'!$C:$C,Brokerage!$B16,'YTD Purchases'!$G:$G,Brokerage!G$4)</f>
        <v>0</v>
      </c>
      <c r="H16" s="857">
        <f>SUMIFS('YTD Sales'!$N:$N,'YTD Sales'!$B:$B,Brokerage!$B16,'YTD Sales'!$M:$M,Brokerage!H$4)+SUMIFS('YTD Purchases'!$H:$H,'YTD Purchases'!$C:$C,Brokerage!$B16,'YTD Purchases'!$G:$G,Brokerage!H$4)</f>
        <v>0</v>
      </c>
      <c r="I16" s="857">
        <f>SUMIFS('YTD Sales'!$N:$N,'YTD Sales'!$B:$B,Brokerage!$B16,'YTD Sales'!$M:$M,Brokerage!I$4)+SUMIFS('YTD Purchases'!$H:$H,'YTD Purchases'!$C:$C,Brokerage!$B16,'YTD Purchases'!$G:$G,Brokerage!I$4)</f>
        <v>0</v>
      </c>
      <c r="J16" s="857">
        <f>SUMIFS('YTD Sales'!$N:$N,'YTD Sales'!$B:$B,Brokerage!$B16,'YTD Sales'!$M:$M,Brokerage!J$4)+SUMIFS('YTD Purchases'!$H:$H,'YTD Purchases'!$C:$C,Brokerage!$B16,'YTD Purchases'!$G:$G,Brokerage!J$4)</f>
        <v>0</v>
      </c>
      <c r="K16" s="857">
        <f>SUMIFS('YTD Sales'!$N:$N,'YTD Sales'!$B:$B,Brokerage!$B16,'YTD Sales'!$M:$M,Brokerage!K$4)+SUMIFS('YTD Purchases'!$H:$H,'YTD Purchases'!$C:$C,Brokerage!$B16,'YTD Purchases'!$G:$G,Brokerage!K$4)</f>
        <v>0</v>
      </c>
      <c r="L16" s="857">
        <f>SUMIFS('YTD Sales'!$N:$N,'YTD Sales'!$B:$B,Brokerage!$B16,'YTD Sales'!$M:$M,Brokerage!L$4)+SUMIFS('YTD Purchases'!$H:$H,'YTD Purchases'!$C:$C,Brokerage!$B16,'YTD Purchases'!$G:$G,Brokerage!L$4)</f>
        <v>0</v>
      </c>
      <c r="M16" s="857">
        <f>SUMIFS('YTD Sales'!$N:$N,'YTD Sales'!$B:$B,Brokerage!$B16,'YTD Sales'!$M:$M,Brokerage!M$4)+SUMIFS('YTD Purchases'!$H:$H,'YTD Purchases'!$C:$C,Brokerage!$B16,'YTD Purchases'!$G:$G,Brokerage!M$4)</f>
        <v>0</v>
      </c>
      <c r="N16" s="857">
        <f>SUMIFS('YTD Sales'!$N:$N,'YTD Sales'!$B:$B,Brokerage!$B16,'YTD Sales'!$M:$M,Brokerage!N$4)+SUMIFS('YTD Purchases'!$H:$H,'YTD Purchases'!$C:$C,Brokerage!$B16,'YTD Purchases'!$G:$G,Brokerage!N$4)</f>
        <v>0</v>
      </c>
      <c r="O16" s="857">
        <f>SUMIFS('YTD Sales'!$N:$N,'YTD Sales'!$B:$B,Brokerage!$B16,'YTD Sales'!$M:$M,Brokerage!O$4)+SUMIFS('YTD Purchases'!$H:$H,'YTD Purchases'!$C:$C,Brokerage!$B16,'YTD Purchases'!$G:$G,Brokerage!O$4)</f>
        <v>24757.059999999998</v>
      </c>
      <c r="P16" s="857">
        <f>SUMIFS('YTD Sales'!$N:$N,'YTD Sales'!$B:$B,Brokerage!$B16,'YTD Sales'!$M:$M,Brokerage!P$4)+SUMIFS('YTD Purchases'!$H:$H,'YTD Purchases'!$C:$C,Brokerage!$B16,'YTD Purchases'!$G:$G,Brokerage!P$4)</f>
        <v>16591.3328</v>
      </c>
      <c r="Q16" s="857">
        <f>SUMIFS('YTD Sales'!$N:$N,'YTD Sales'!$B:$B,Brokerage!$B16,'YTD Sales'!$M:$M,Brokerage!Q$4)+SUMIFS('YTD Purchases'!$H:$H,'YTD Purchases'!$C:$C,Brokerage!$B16,'YTD Purchases'!$G:$G,Brokerage!Q$4)</f>
        <v>4802.95</v>
      </c>
      <c r="R16" s="857">
        <f>SUMIFS('YTD Sales'!$N:$N,'YTD Sales'!$B:$B,Brokerage!$B16,'YTD Sales'!$M:$M,Brokerage!R$4)+SUMIFS('YTD Purchases'!$H:$H,'YTD Purchases'!$C:$C,Brokerage!$B16,'YTD Purchases'!$G:$G,Brokerage!R$4)</f>
        <v>0</v>
      </c>
      <c r="S16" s="857">
        <f>SUMIFS('YTD Sales'!$N:$N,'YTD Sales'!$B:$B,Brokerage!$B16,'YTD Sales'!$M:$M,Brokerage!S$4)+SUMIFS('YTD Purchases'!$H:$H,'YTD Purchases'!$C:$C,Brokerage!$B16,'YTD Purchases'!$G:$G,Brokerage!S$4)</f>
        <v>0</v>
      </c>
      <c r="T16" s="857">
        <f>SUMIFS('YTD Sales'!$N:$N,'YTD Sales'!$B:$B,Brokerage!$B16,'YTD Sales'!$M:$M,Brokerage!T$4)+SUMIFS('YTD Purchases'!$H:$H,'YTD Purchases'!$C:$C,Brokerage!$B16,'YTD Purchases'!$G:$G,Brokerage!T$4)</f>
        <v>0</v>
      </c>
      <c r="U16" s="857">
        <f>SUMIFS('YTD Sales'!$N:$N,'YTD Sales'!$B:$B,Brokerage!$B16,'YTD Sales'!$M:$M,Brokerage!U$4)+SUMIFS('YTD Purchases'!$H:$H,'YTD Purchases'!$C:$C,Brokerage!$B16,'YTD Purchases'!$G:$G,Brokerage!U$4)</f>
        <v>0</v>
      </c>
      <c r="V16" s="857">
        <f>SUMIFS('YTD Sales'!$N:$N,'YTD Sales'!$B:$B,Brokerage!$B16,'YTD Sales'!$M:$M,Brokerage!V$4)+SUMIFS('YTD Purchases'!$H:$H,'YTD Purchases'!$C:$C,Brokerage!$B16,'YTD Purchases'!$G:$G,Brokerage!V$4)</f>
        <v>0</v>
      </c>
      <c r="W16" s="857">
        <f>SUMIFS('YTD Sales'!$N:$N,'YTD Sales'!$B:$B,Brokerage!$B16,'YTD Sales'!$M:$M,Brokerage!W$4)+SUMIFS('YTD Purchases'!$H:$H,'YTD Purchases'!$C:$C,Brokerage!$B16,'YTD Purchases'!$G:$G,Brokerage!W$4)</f>
        <v>0</v>
      </c>
      <c r="X16" s="857">
        <f>SUMIFS('YTD Sales'!$N:$N,'YTD Sales'!$B:$B,Brokerage!$B16,'YTD Sales'!$M:$M,Brokerage!X$4)+SUMIFS('YTD Purchases'!$H:$H,'YTD Purchases'!$C:$C,Brokerage!$B16,'YTD Purchases'!$G:$G,Brokerage!X$4)</f>
        <v>0</v>
      </c>
      <c r="Y16" s="857">
        <f>SUMIFS('YTD Sales'!$N:$N,'YTD Sales'!$B:$B,Brokerage!$B16,'YTD Sales'!$M:$M,Brokerage!Y$4)+SUMIFS('YTD Purchases'!$H:$H,'YTD Purchases'!$C:$C,Brokerage!$B16,'YTD Purchases'!$G:$G,Brokerage!Y$4)</f>
        <v>0</v>
      </c>
      <c r="Z16" s="857">
        <f>SUMIFS('YTD Sales'!$N:$N,'YTD Sales'!$B:$B,Brokerage!$B16,'YTD Sales'!$M:$M,Brokerage!Z$4)+SUMIFS('YTD Purchases'!$H:$H,'YTD Purchases'!$C:$C,Brokerage!$B16,'YTD Purchases'!$G:$G,Brokerage!Z$4)</f>
        <v>0</v>
      </c>
      <c r="AA16" s="857">
        <f>SUMIFS('YTD Sales'!$N:$N,'YTD Sales'!$B:$B,Brokerage!$B16,'YTD Sales'!$M:$M,Brokerage!AA$4)+SUMIFS('YTD Purchases'!$H:$H,'YTD Purchases'!$C:$C,Brokerage!$B16,'YTD Purchases'!$G:$G,Brokerage!AA$4)</f>
        <v>0</v>
      </c>
      <c r="AB16" s="857">
        <f>SUMIFS('YTD Sales'!$N:$N,'YTD Sales'!$B:$B,Brokerage!$B16,'YTD Sales'!$M:$M,Brokerage!AB$4)+SUMIFS('YTD Purchases'!$H:$H,'YTD Purchases'!$C:$C,Brokerage!$B16,'YTD Purchases'!$G:$G,Brokerage!AB$4)</f>
        <v>0</v>
      </c>
      <c r="AC16" s="857">
        <f>SUMIFS('YTD Sales'!$N:$N,'YTD Sales'!$B:$B,Brokerage!$B16,'YTD Sales'!$M:$M,Brokerage!AC$4)+SUMIFS('YTD Purchases'!$H:$H,'YTD Purchases'!$C:$C,Brokerage!$B16,'YTD Purchases'!$G:$G,Brokerage!AC$4)</f>
        <v>0</v>
      </c>
      <c r="AD16" s="857">
        <f>+SUMIFS(PIB!AG:AG,PIB!AF:AF,Brokerage!AD$4,PIB!AA:AA,Brokerage!$B16)+SUMIFS('T-Bills'!AB:AB,'T-Bills'!AA:AA,Brokerage!AD$4,'T-Bills'!V:V,Brokerage!$B16)</f>
        <v>0</v>
      </c>
      <c r="AE16" s="857">
        <f>+SUMIFS(PIB!AH:AH,PIB!AG:AG,Brokerage!AE$4,PIB!AB:AB,Brokerage!$B16)+SUMIFS('T-Bills'!AC:AC,'T-Bills'!AB:AB,Brokerage!AE$4,'T-Bills'!W:W,Brokerage!$B16)</f>
        <v>0</v>
      </c>
      <c r="AF16" s="857">
        <f>+SUMIFS(PIB!AI:AI,PIB!AH:AH,Brokerage!AF$4,PIB!AC:AC,Brokerage!$B16)+SUMIFS('T-Bills'!AD:AD,'T-Bills'!AC:AC,Brokerage!AF$4,'T-Bills'!X:X,Brokerage!$B16)</f>
        <v>0</v>
      </c>
      <c r="AG16" s="857">
        <f t="shared" si="3"/>
        <v>46151.342799999999</v>
      </c>
      <c r="AH16" s="858">
        <f t="shared" ref="AH16:AH24" si="4">ROUND((AG16*1.5%)/365,0)</f>
        <v>2</v>
      </c>
    </row>
    <row r="17" spans="2:34" x14ac:dyDescent="0.15">
      <c r="B17" s="661">
        <f t="shared" si="2"/>
        <v>44573</v>
      </c>
      <c r="C17" s="857">
        <f>SUMIFS('YTD Sales'!$N:$N,'YTD Sales'!$B:$B,Brokerage!$B17,'YTD Sales'!$M:$M,Brokerage!C$4)+SUMIFS('YTD Purchases'!$H:$H,'YTD Purchases'!$C:$C,Brokerage!$B17,'YTD Purchases'!$G:$G,Brokerage!C$4)</f>
        <v>0</v>
      </c>
      <c r="D17" s="857">
        <f>SUMIFS('YTD Sales'!$N:$N,'YTD Sales'!$B:$B,Brokerage!$B17,'YTD Sales'!$M:$M,Brokerage!D$4)+SUMIFS('YTD Purchases'!$H:$H,'YTD Purchases'!$C:$C,Brokerage!$B17,'YTD Purchases'!$G:$G,Brokerage!D$4)</f>
        <v>0</v>
      </c>
      <c r="E17" s="857">
        <f>SUMIFS('YTD Sales'!$N:$N,'YTD Sales'!$B:$B,Brokerage!$B17,'YTD Sales'!$M:$M,Brokerage!E$4)+SUMIFS('YTD Purchases'!$H:$H,'YTD Purchases'!$C:$C,Brokerage!$B17,'YTD Purchases'!$G:$G,Brokerage!E$4)</f>
        <v>0</v>
      </c>
      <c r="F17" s="857">
        <f>SUMIFS('YTD Sales'!$N:$N,'YTD Sales'!$B:$B,Brokerage!$B17,'YTD Sales'!$M:$M,Brokerage!F$4)+SUMIFS('YTD Purchases'!$H:$H,'YTD Purchases'!$C:$C,Brokerage!$B17,'YTD Purchases'!$G:$G,Brokerage!F$4)</f>
        <v>0</v>
      </c>
      <c r="G17" s="857">
        <f>SUMIFS('YTD Sales'!$N:$N,'YTD Sales'!$B:$B,Brokerage!$B17,'YTD Sales'!$M:$M,Brokerage!G$4)+SUMIFS('YTD Purchases'!$H:$H,'YTD Purchases'!$C:$C,Brokerage!$B17,'YTD Purchases'!$G:$G,Brokerage!G$4)</f>
        <v>0</v>
      </c>
      <c r="H17" s="857">
        <f>SUMIFS('YTD Sales'!$N:$N,'YTD Sales'!$B:$B,Brokerage!$B17,'YTD Sales'!$M:$M,Brokerage!H$4)+SUMIFS('YTD Purchases'!$H:$H,'YTD Purchases'!$C:$C,Brokerage!$B17,'YTD Purchases'!$G:$G,Brokerage!H$4)</f>
        <v>0</v>
      </c>
      <c r="I17" s="857">
        <f>SUMIFS('YTD Sales'!$N:$N,'YTD Sales'!$B:$B,Brokerage!$B17,'YTD Sales'!$M:$M,Brokerage!I$4)+SUMIFS('YTD Purchases'!$H:$H,'YTD Purchases'!$C:$C,Brokerage!$B17,'YTD Purchases'!$G:$G,Brokerage!I$4)</f>
        <v>0</v>
      </c>
      <c r="J17" s="857">
        <f>SUMIFS('YTD Sales'!$N:$N,'YTD Sales'!$B:$B,Brokerage!$B17,'YTD Sales'!$M:$M,Brokerage!J$4)+SUMIFS('YTD Purchases'!$H:$H,'YTD Purchases'!$C:$C,Brokerage!$B17,'YTD Purchases'!$G:$G,Brokerage!J$4)</f>
        <v>0</v>
      </c>
      <c r="K17" s="857">
        <f>SUMIFS('YTD Sales'!$N:$N,'YTD Sales'!$B:$B,Brokerage!$B17,'YTD Sales'!$M:$M,Brokerage!K$4)+SUMIFS('YTD Purchases'!$H:$H,'YTD Purchases'!$C:$C,Brokerage!$B17,'YTD Purchases'!$G:$G,Brokerage!K$4)</f>
        <v>0</v>
      </c>
      <c r="L17" s="857">
        <f>SUMIFS('YTD Sales'!$N:$N,'YTD Sales'!$B:$B,Brokerage!$B17,'YTD Sales'!$M:$M,Brokerage!L$4)+SUMIFS('YTD Purchases'!$H:$H,'YTD Purchases'!$C:$C,Brokerage!$B17,'YTD Purchases'!$G:$G,Brokerage!L$4)</f>
        <v>0</v>
      </c>
      <c r="M17" s="857">
        <f>SUMIFS('YTD Sales'!$N:$N,'YTD Sales'!$B:$B,Brokerage!$B17,'YTD Sales'!$M:$M,Brokerage!M$4)+SUMIFS('YTD Purchases'!$H:$H,'YTD Purchases'!$C:$C,Brokerage!$B17,'YTD Purchases'!$G:$G,Brokerage!M$4)</f>
        <v>0</v>
      </c>
      <c r="N17" s="857">
        <f>SUMIFS('YTD Sales'!$N:$N,'YTD Sales'!$B:$B,Brokerage!$B17,'YTD Sales'!$M:$M,Brokerage!N$4)+SUMIFS('YTD Purchases'!$H:$H,'YTD Purchases'!$C:$C,Brokerage!$B17,'YTD Purchases'!$G:$G,Brokerage!N$4)</f>
        <v>0</v>
      </c>
      <c r="O17" s="857">
        <f>SUMIFS('YTD Sales'!$N:$N,'YTD Sales'!$B:$B,Brokerage!$B17,'YTD Sales'!$M:$M,Brokerage!O$4)+SUMIFS('YTD Purchases'!$H:$H,'YTD Purchases'!$C:$C,Brokerage!$B17,'YTD Purchases'!$G:$G,Brokerage!O$4)</f>
        <v>0</v>
      </c>
      <c r="P17" s="857">
        <f>SUMIFS('YTD Sales'!$N:$N,'YTD Sales'!$B:$B,Brokerage!$B17,'YTD Sales'!$M:$M,Brokerage!P$4)+SUMIFS('YTD Purchases'!$H:$H,'YTD Purchases'!$C:$C,Brokerage!$B17,'YTD Purchases'!$G:$G,Brokerage!P$4)</f>
        <v>0</v>
      </c>
      <c r="Q17" s="857">
        <f>SUMIFS('YTD Sales'!$N:$N,'YTD Sales'!$B:$B,Brokerage!$B17,'YTD Sales'!$M:$M,Brokerage!Q$4)+SUMIFS('YTD Purchases'!$H:$H,'YTD Purchases'!$C:$C,Brokerage!$B17,'YTD Purchases'!$G:$G,Brokerage!Q$4)</f>
        <v>771.16000000000008</v>
      </c>
      <c r="R17" s="857">
        <f>SUMIFS('YTD Sales'!$N:$N,'YTD Sales'!$B:$B,Brokerage!$B17,'YTD Sales'!$M:$M,Brokerage!R$4)+SUMIFS('YTD Purchases'!$H:$H,'YTD Purchases'!$C:$C,Brokerage!$B17,'YTD Purchases'!$G:$G,Brokerage!R$4)</f>
        <v>6588.78</v>
      </c>
      <c r="S17" s="857">
        <f>SUMIFS('YTD Sales'!$N:$N,'YTD Sales'!$B:$B,Brokerage!$B17,'YTD Sales'!$M:$M,Brokerage!S$4)+SUMIFS('YTD Purchases'!$H:$H,'YTD Purchases'!$C:$C,Brokerage!$B17,'YTD Purchases'!$G:$G,Brokerage!S$4)</f>
        <v>1293.5</v>
      </c>
      <c r="T17" s="857">
        <f>SUMIFS('YTD Sales'!$N:$N,'YTD Sales'!$B:$B,Brokerage!$B17,'YTD Sales'!$M:$M,Brokerage!T$4)+SUMIFS('YTD Purchases'!$H:$H,'YTD Purchases'!$C:$C,Brokerage!$B17,'YTD Purchases'!$G:$G,Brokerage!T$4)</f>
        <v>0</v>
      </c>
      <c r="U17" s="857">
        <f>SUMIFS('YTD Sales'!$N:$N,'YTD Sales'!$B:$B,Brokerage!$B17,'YTD Sales'!$M:$M,Brokerage!U$4)+SUMIFS('YTD Purchases'!$H:$H,'YTD Purchases'!$C:$C,Brokerage!$B17,'YTD Purchases'!$G:$G,Brokerage!U$4)</f>
        <v>0</v>
      </c>
      <c r="V17" s="857">
        <f>SUMIFS('YTD Sales'!$N:$N,'YTD Sales'!$B:$B,Brokerage!$B17,'YTD Sales'!$M:$M,Brokerage!V$4)+SUMIFS('YTD Purchases'!$H:$H,'YTD Purchases'!$C:$C,Brokerage!$B17,'YTD Purchases'!$G:$G,Brokerage!V$4)</f>
        <v>0</v>
      </c>
      <c r="W17" s="857">
        <f>SUMIFS('YTD Sales'!$N:$N,'YTD Sales'!$B:$B,Brokerage!$B17,'YTD Sales'!$M:$M,Brokerage!W$4)+SUMIFS('YTD Purchases'!$H:$H,'YTD Purchases'!$C:$C,Brokerage!$B17,'YTD Purchases'!$G:$G,Brokerage!W$4)</f>
        <v>0</v>
      </c>
      <c r="X17" s="857">
        <f>SUMIFS('YTD Sales'!$N:$N,'YTD Sales'!$B:$B,Brokerage!$B17,'YTD Sales'!$M:$M,Brokerage!X$4)+SUMIFS('YTD Purchases'!$H:$H,'YTD Purchases'!$C:$C,Brokerage!$B17,'YTD Purchases'!$G:$G,Brokerage!X$4)</f>
        <v>0</v>
      </c>
      <c r="Y17" s="857">
        <f>SUMIFS('YTD Sales'!$N:$N,'YTD Sales'!$B:$B,Brokerage!$B17,'YTD Sales'!$M:$M,Brokerage!Y$4)+SUMIFS('YTD Purchases'!$H:$H,'YTD Purchases'!$C:$C,Brokerage!$B17,'YTD Purchases'!$G:$G,Brokerage!Y$4)</f>
        <v>0</v>
      </c>
      <c r="Z17" s="857">
        <f>SUMIFS('YTD Sales'!$N:$N,'YTD Sales'!$B:$B,Brokerage!$B17,'YTD Sales'!$M:$M,Brokerage!Z$4)+SUMIFS('YTD Purchases'!$H:$H,'YTD Purchases'!$C:$C,Brokerage!$B17,'YTD Purchases'!$G:$G,Brokerage!Z$4)</f>
        <v>0</v>
      </c>
      <c r="AA17" s="857">
        <f>SUMIFS('YTD Sales'!$N:$N,'YTD Sales'!$B:$B,Brokerage!$B17,'YTD Sales'!$M:$M,Brokerage!AA$4)+SUMIFS('YTD Purchases'!$H:$H,'YTD Purchases'!$C:$C,Brokerage!$B17,'YTD Purchases'!$G:$G,Brokerage!AA$4)</f>
        <v>0</v>
      </c>
      <c r="AB17" s="857">
        <f>SUMIFS('YTD Sales'!$N:$N,'YTD Sales'!$B:$B,Brokerage!$B17,'YTD Sales'!$M:$M,Brokerage!AB$4)+SUMIFS('YTD Purchases'!$H:$H,'YTD Purchases'!$C:$C,Brokerage!$B17,'YTD Purchases'!$G:$G,Brokerage!AB$4)</f>
        <v>0</v>
      </c>
      <c r="AC17" s="857">
        <f>SUMIFS('YTD Sales'!$N:$N,'YTD Sales'!$B:$B,Brokerage!$B17,'YTD Sales'!$M:$M,Brokerage!AC$4)+SUMIFS('YTD Purchases'!$H:$H,'YTD Purchases'!$C:$C,Brokerage!$B17,'YTD Purchases'!$G:$G,Brokerage!AC$4)</f>
        <v>0</v>
      </c>
      <c r="AD17" s="857">
        <f>+SUMIFS(PIB!AG:AG,PIB!AF:AF,Brokerage!AD$4,PIB!AA:AA,Brokerage!$B17)+SUMIFS('T-Bills'!AB:AB,'T-Bills'!AA:AA,Brokerage!AD$4,'T-Bills'!V:V,Brokerage!$B17)</f>
        <v>0</v>
      </c>
      <c r="AE17" s="857">
        <f>+SUMIFS(PIB!AH:AH,PIB!AG:AG,Brokerage!AE$4,PIB!AB:AB,Brokerage!$B17)+SUMIFS('T-Bills'!AC:AC,'T-Bills'!AB:AB,Brokerage!AE$4,'T-Bills'!W:W,Brokerage!$B17)</f>
        <v>0</v>
      </c>
      <c r="AF17" s="857">
        <f>+SUMIFS(PIB!AI:AI,PIB!AH:AH,Brokerage!AF$4,PIB!AC:AC,Brokerage!$B17)+SUMIFS('T-Bills'!AD:AD,'T-Bills'!AC:AC,Brokerage!AF$4,'T-Bills'!X:X,Brokerage!$B17)</f>
        <v>0</v>
      </c>
      <c r="AG17" s="857">
        <f t="shared" si="3"/>
        <v>8653.4399999999987</v>
      </c>
      <c r="AH17" s="858">
        <f t="shared" si="4"/>
        <v>0</v>
      </c>
    </row>
    <row r="18" spans="2:34" x14ac:dyDescent="0.15">
      <c r="B18" s="661">
        <f t="shared" si="2"/>
        <v>44574</v>
      </c>
      <c r="C18" s="857">
        <f>SUMIFS('YTD Sales'!$N:$N,'YTD Sales'!$B:$B,Brokerage!$B18,'YTD Sales'!$M:$M,Brokerage!C$4)+SUMIFS('YTD Purchases'!$H:$H,'YTD Purchases'!$C:$C,Brokerage!$B18,'YTD Purchases'!$G:$G,Brokerage!C$4)</f>
        <v>0</v>
      </c>
      <c r="D18" s="857">
        <f>SUMIFS('YTD Sales'!$N:$N,'YTD Sales'!$B:$B,Brokerage!$B18,'YTD Sales'!$M:$M,Brokerage!D$4)+SUMIFS('YTD Purchases'!$H:$H,'YTD Purchases'!$C:$C,Brokerage!$B18,'YTD Purchases'!$G:$G,Brokerage!D$4)</f>
        <v>0</v>
      </c>
      <c r="E18" s="857">
        <f>SUMIFS('YTD Sales'!$N:$N,'YTD Sales'!$B:$B,Brokerage!$B18,'YTD Sales'!$M:$M,Brokerage!E$4)+SUMIFS('YTD Purchases'!$H:$H,'YTD Purchases'!$C:$C,Brokerage!$B18,'YTD Purchases'!$G:$G,Brokerage!E$4)</f>
        <v>0</v>
      </c>
      <c r="F18" s="857">
        <f>SUMIFS('YTD Sales'!$N:$N,'YTD Sales'!$B:$B,Brokerage!$B18,'YTD Sales'!$M:$M,Brokerage!F$4)+SUMIFS('YTD Purchases'!$H:$H,'YTD Purchases'!$C:$C,Brokerage!$B18,'YTD Purchases'!$G:$G,Brokerage!F$4)</f>
        <v>0</v>
      </c>
      <c r="G18" s="857">
        <f>SUMIFS('YTD Sales'!$N:$N,'YTD Sales'!$B:$B,Brokerage!$B18,'YTD Sales'!$M:$M,Brokerage!G$4)+SUMIFS('YTD Purchases'!$H:$H,'YTD Purchases'!$C:$C,Brokerage!$B18,'YTD Purchases'!$G:$G,Brokerage!G$4)</f>
        <v>3309.93</v>
      </c>
      <c r="H18" s="857">
        <f>SUMIFS('YTD Sales'!$N:$N,'YTD Sales'!$B:$B,Brokerage!$B18,'YTD Sales'!$M:$M,Brokerage!H$4)+SUMIFS('YTD Purchases'!$H:$H,'YTD Purchases'!$C:$C,Brokerage!$B18,'YTD Purchases'!$G:$G,Brokerage!H$4)</f>
        <v>0</v>
      </c>
      <c r="I18" s="857">
        <f>SUMIFS('YTD Sales'!$N:$N,'YTD Sales'!$B:$B,Brokerage!$B18,'YTD Sales'!$M:$M,Brokerage!I$4)+SUMIFS('YTD Purchases'!$H:$H,'YTD Purchases'!$C:$C,Brokerage!$B18,'YTD Purchases'!$G:$G,Brokerage!I$4)</f>
        <v>0</v>
      </c>
      <c r="J18" s="857">
        <f>SUMIFS('YTD Sales'!$N:$N,'YTD Sales'!$B:$B,Brokerage!$B18,'YTD Sales'!$M:$M,Brokerage!J$4)+SUMIFS('YTD Purchases'!$H:$H,'YTD Purchases'!$C:$C,Brokerage!$B18,'YTD Purchases'!$G:$G,Brokerage!J$4)</f>
        <v>0</v>
      </c>
      <c r="K18" s="857">
        <f>SUMIFS('YTD Sales'!$N:$N,'YTD Sales'!$B:$B,Brokerage!$B18,'YTD Sales'!$M:$M,Brokerage!K$4)+SUMIFS('YTD Purchases'!$H:$H,'YTD Purchases'!$C:$C,Brokerage!$B18,'YTD Purchases'!$G:$G,Brokerage!K$4)</f>
        <v>0</v>
      </c>
      <c r="L18" s="857">
        <f>SUMIFS('YTD Sales'!$N:$N,'YTD Sales'!$B:$B,Brokerage!$B18,'YTD Sales'!$M:$M,Brokerage!L$4)+SUMIFS('YTD Purchases'!$H:$H,'YTD Purchases'!$C:$C,Brokerage!$B18,'YTD Purchases'!$G:$G,Brokerage!L$4)</f>
        <v>0</v>
      </c>
      <c r="M18" s="857">
        <f>SUMIFS('YTD Sales'!$N:$N,'YTD Sales'!$B:$B,Brokerage!$B18,'YTD Sales'!$M:$M,Brokerage!M$4)+SUMIFS('YTD Purchases'!$H:$H,'YTD Purchases'!$C:$C,Brokerage!$B18,'YTD Purchases'!$G:$G,Brokerage!M$4)</f>
        <v>0</v>
      </c>
      <c r="N18" s="857">
        <f>SUMIFS('YTD Sales'!$N:$N,'YTD Sales'!$B:$B,Brokerage!$B18,'YTD Sales'!$M:$M,Brokerage!N$4)+SUMIFS('YTD Purchases'!$H:$H,'YTD Purchases'!$C:$C,Brokerage!$B18,'YTD Purchases'!$G:$G,Brokerage!N$4)</f>
        <v>0</v>
      </c>
      <c r="O18" s="857">
        <f>SUMIFS('YTD Sales'!$N:$N,'YTD Sales'!$B:$B,Brokerage!$B18,'YTD Sales'!$M:$M,Brokerage!O$4)+SUMIFS('YTD Purchases'!$H:$H,'YTD Purchases'!$C:$C,Brokerage!$B18,'YTD Purchases'!$G:$G,Brokerage!O$4)</f>
        <v>0</v>
      </c>
      <c r="P18" s="857">
        <f>SUMIFS('YTD Sales'!$N:$N,'YTD Sales'!$B:$B,Brokerage!$B18,'YTD Sales'!$M:$M,Brokerage!P$4)+SUMIFS('YTD Purchases'!$H:$H,'YTD Purchases'!$C:$C,Brokerage!$B18,'YTD Purchases'!$G:$G,Brokerage!P$4)</f>
        <v>0</v>
      </c>
      <c r="Q18" s="857">
        <f>SUMIFS('YTD Sales'!$N:$N,'YTD Sales'!$B:$B,Brokerage!$B18,'YTD Sales'!$M:$M,Brokerage!Q$4)+SUMIFS('YTD Purchases'!$H:$H,'YTD Purchases'!$C:$C,Brokerage!$B18,'YTD Purchases'!$G:$G,Brokerage!Q$4)</f>
        <v>0</v>
      </c>
      <c r="R18" s="857">
        <f>SUMIFS('YTD Sales'!$N:$N,'YTD Sales'!$B:$B,Brokerage!$B18,'YTD Sales'!$M:$M,Brokerage!R$4)+SUMIFS('YTD Purchases'!$H:$H,'YTD Purchases'!$C:$C,Brokerage!$B18,'YTD Purchases'!$G:$G,Brokerage!R$4)</f>
        <v>13732.8</v>
      </c>
      <c r="S18" s="857">
        <f>SUMIFS('YTD Sales'!$N:$N,'YTD Sales'!$B:$B,Brokerage!$B18,'YTD Sales'!$M:$M,Brokerage!S$4)+SUMIFS('YTD Purchases'!$H:$H,'YTD Purchases'!$C:$C,Brokerage!$B18,'YTD Purchases'!$G:$G,Brokerage!S$4)</f>
        <v>0</v>
      </c>
      <c r="T18" s="857">
        <f>SUMIFS('YTD Sales'!$N:$N,'YTD Sales'!$B:$B,Brokerage!$B18,'YTD Sales'!$M:$M,Brokerage!T$4)+SUMIFS('YTD Purchases'!$H:$H,'YTD Purchases'!$C:$C,Brokerage!$B18,'YTD Purchases'!$G:$G,Brokerage!T$4)</f>
        <v>0</v>
      </c>
      <c r="U18" s="857">
        <f>SUMIFS('YTD Sales'!$N:$N,'YTD Sales'!$B:$B,Brokerage!$B18,'YTD Sales'!$M:$M,Brokerage!U$4)+SUMIFS('YTD Purchases'!$H:$H,'YTD Purchases'!$C:$C,Brokerage!$B18,'YTD Purchases'!$G:$G,Brokerage!U$4)</f>
        <v>0</v>
      </c>
      <c r="V18" s="857">
        <f>SUMIFS('YTD Sales'!$N:$N,'YTD Sales'!$B:$B,Brokerage!$B18,'YTD Sales'!$M:$M,Brokerage!V$4)+SUMIFS('YTD Purchases'!$H:$H,'YTD Purchases'!$C:$C,Brokerage!$B18,'YTD Purchases'!$G:$G,Brokerage!V$4)</f>
        <v>0</v>
      </c>
      <c r="W18" s="857">
        <f>SUMIFS('YTD Sales'!$N:$N,'YTD Sales'!$B:$B,Brokerage!$B18,'YTD Sales'!$M:$M,Brokerage!W$4)+SUMIFS('YTD Purchases'!$H:$H,'YTD Purchases'!$C:$C,Brokerage!$B18,'YTD Purchases'!$G:$G,Brokerage!W$4)</f>
        <v>0</v>
      </c>
      <c r="X18" s="857">
        <f>SUMIFS('YTD Sales'!$N:$N,'YTD Sales'!$B:$B,Brokerage!$B18,'YTD Sales'!$M:$M,Brokerage!X$4)+SUMIFS('YTD Purchases'!$H:$H,'YTD Purchases'!$C:$C,Brokerage!$B18,'YTD Purchases'!$G:$G,Brokerage!X$4)</f>
        <v>0</v>
      </c>
      <c r="Y18" s="857">
        <f>SUMIFS('YTD Sales'!$N:$N,'YTD Sales'!$B:$B,Brokerage!$B18,'YTD Sales'!$M:$M,Brokerage!Y$4)+SUMIFS('YTD Purchases'!$H:$H,'YTD Purchases'!$C:$C,Brokerage!$B18,'YTD Purchases'!$G:$G,Brokerage!Y$4)</f>
        <v>0</v>
      </c>
      <c r="Z18" s="857">
        <f>SUMIFS('YTD Sales'!$N:$N,'YTD Sales'!$B:$B,Brokerage!$B18,'YTD Sales'!$M:$M,Brokerage!Z$4)+SUMIFS('YTD Purchases'!$H:$H,'YTD Purchases'!$C:$C,Brokerage!$B18,'YTD Purchases'!$G:$G,Brokerage!Z$4)</f>
        <v>0</v>
      </c>
      <c r="AA18" s="857">
        <f>SUMIFS('YTD Sales'!$N:$N,'YTD Sales'!$B:$B,Brokerage!$B18,'YTD Sales'!$M:$M,Brokerage!AA$4)+SUMIFS('YTD Purchases'!$H:$H,'YTD Purchases'!$C:$C,Brokerage!$B18,'YTD Purchases'!$G:$G,Brokerage!AA$4)</f>
        <v>0</v>
      </c>
      <c r="AB18" s="857">
        <f>SUMIFS('YTD Sales'!$N:$N,'YTD Sales'!$B:$B,Brokerage!$B18,'YTD Sales'!$M:$M,Brokerage!AB$4)+SUMIFS('YTD Purchases'!$H:$H,'YTD Purchases'!$C:$C,Brokerage!$B18,'YTD Purchases'!$G:$G,Brokerage!AB$4)</f>
        <v>0</v>
      </c>
      <c r="AC18" s="857">
        <f>SUMIFS('YTD Sales'!$N:$N,'YTD Sales'!$B:$B,Brokerage!$B18,'YTD Sales'!$M:$M,Brokerage!AC$4)+SUMIFS('YTD Purchases'!$H:$H,'YTD Purchases'!$C:$C,Brokerage!$B18,'YTD Purchases'!$G:$G,Brokerage!AC$4)</f>
        <v>0</v>
      </c>
      <c r="AD18" s="857">
        <f>+SUMIFS(PIB!AG:AG,PIB!AF:AF,Brokerage!AD$4,PIB!AA:AA,Brokerage!$B18)+SUMIFS('T-Bills'!AB:AB,'T-Bills'!AA:AA,Brokerage!AD$4,'T-Bills'!V:V,Brokerage!$B18)</f>
        <v>0</v>
      </c>
      <c r="AE18" s="857">
        <f>+SUMIFS(PIB!AH:AH,PIB!AG:AG,Brokerage!AE$4,PIB!AB:AB,Brokerage!$B18)+SUMIFS('T-Bills'!AC:AC,'T-Bills'!AB:AB,Brokerage!AE$4,'T-Bills'!W:W,Brokerage!$B18)</f>
        <v>0</v>
      </c>
      <c r="AF18" s="857">
        <f>+SUMIFS(PIB!AI:AI,PIB!AH:AH,Brokerage!AF$4,PIB!AC:AC,Brokerage!$B18)+SUMIFS('T-Bills'!AD:AD,'T-Bills'!AC:AC,Brokerage!AF$4,'T-Bills'!X:X,Brokerage!$B18)</f>
        <v>0</v>
      </c>
      <c r="AG18" s="857">
        <f t="shared" si="3"/>
        <v>17042.73</v>
      </c>
      <c r="AH18" s="858">
        <f t="shared" si="4"/>
        <v>1</v>
      </c>
    </row>
    <row r="19" spans="2:34" x14ac:dyDescent="0.15">
      <c r="B19" s="661">
        <f t="shared" si="2"/>
        <v>44575</v>
      </c>
      <c r="C19" s="857">
        <f>SUMIFS('YTD Sales'!$N:$N,'YTD Sales'!$B:$B,Brokerage!$B19,'YTD Sales'!$M:$M,Brokerage!C$4)+SUMIFS('YTD Purchases'!$H:$H,'YTD Purchases'!$C:$C,Brokerage!$B19,'YTD Purchases'!$G:$G,Brokerage!C$4)</f>
        <v>0</v>
      </c>
      <c r="D19" s="857">
        <f>SUMIFS('YTD Sales'!$N:$N,'YTD Sales'!$B:$B,Brokerage!$B19,'YTD Sales'!$M:$M,Brokerage!D$4)+SUMIFS('YTD Purchases'!$H:$H,'YTD Purchases'!$C:$C,Brokerage!$B19,'YTD Purchases'!$G:$G,Brokerage!D$4)</f>
        <v>0</v>
      </c>
      <c r="E19" s="857">
        <f>SUMIFS('YTD Sales'!$N:$N,'YTD Sales'!$B:$B,Brokerage!$B19,'YTD Sales'!$M:$M,Brokerage!E$4)+SUMIFS('YTD Purchases'!$H:$H,'YTD Purchases'!$C:$C,Brokerage!$B19,'YTD Purchases'!$G:$G,Brokerage!E$4)</f>
        <v>0</v>
      </c>
      <c r="F19" s="857">
        <f>SUMIFS('YTD Sales'!$N:$N,'YTD Sales'!$B:$B,Brokerage!$B19,'YTD Sales'!$M:$M,Brokerage!F$4)+SUMIFS('YTD Purchases'!$H:$H,'YTD Purchases'!$C:$C,Brokerage!$B19,'YTD Purchases'!$G:$G,Brokerage!F$4)</f>
        <v>0</v>
      </c>
      <c r="G19" s="857">
        <f>SUMIFS('YTD Sales'!$N:$N,'YTD Sales'!$B:$B,Brokerage!$B19,'YTD Sales'!$M:$M,Brokerage!G$4)+SUMIFS('YTD Purchases'!$H:$H,'YTD Purchases'!$C:$C,Brokerage!$B19,'YTD Purchases'!$G:$G,Brokerage!G$4)</f>
        <v>0</v>
      </c>
      <c r="H19" s="857">
        <f>SUMIFS('YTD Sales'!$N:$N,'YTD Sales'!$B:$B,Brokerage!$B19,'YTD Sales'!$M:$M,Brokerage!H$4)+SUMIFS('YTD Purchases'!$H:$H,'YTD Purchases'!$C:$C,Brokerage!$B19,'YTD Purchases'!$G:$G,Brokerage!H$4)</f>
        <v>552.86500000000001</v>
      </c>
      <c r="I19" s="857">
        <f>SUMIFS('YTD Sales'!$N:$N,'YTD Sales'!$B:$B,Brokerage!$B19,'YTD Sales'!$M:$M,Brokerage!I$4)+SUMIFS('YTD Purchases'!$H:$H,'YTD Purchases'!$C:$C,Brokerage!$B19,'YTD Purchases'!$G:$G,Brokerage!I$4)</f>
        <v>0</v>
      </c>
      <c r="J19" s="857">
        <f>SUMIFS('YTD Sales'!$N:$N,'YTD Sales'!$B:$B,Brokerage!$B19,'YTD Sales'!$M:$M,Brokerage!J$4)+SUMIFS('YTD Purchases'!$H:$H,'YTD Purchases'!$C:$C,Brokerage!$B19,'YTD Purchases'!$G:$G,Brokerage!J$4)</f>
        <v>0</v>
      </c>
      <c r="K19" s="857">
        <f>SUMIFS('YTD Sales'!$N:$N,'YTD Sales'!$B:$B,Brokerage!$B19,'YTD Sales'!$M:$M,Brokerage!K$4)+SUMIFS('YTD Purchases'!$H:$H,'YTD Purchases'!$C:$C,Brokerage!$B19,'YTD Purchases'!$G:$G,Brokerage!K$4)</f>
        <v>0</v>
      </c>
      <c r="L19" s="857">
        <f>SUMIFS('YTD Sales'!$N:$N,'YTD Sales'!$B:$B,Brokerage!$B19,'YTD Sales'!$M:$M,Brokerage!L$4)+SUMIFS('YTD Purchases'!$H:$H,'YTD Purchases'!$C:$C,Brokerage!$B19,'YTD Purchases'!$G:$G,Brokerage!L$4)</f>
        <v>0</v>
      </c>
      <c r="M19" s="857">
        <f>SUMIFS('YTD Sales'!$N:$N,'YTD Sales'!$B:$B,Brokerage!$B19,'YTD Sales'!$M:$M,Brokerage!M$4)+SUMIFS('YTD Purchases'!$H:$H,'YTD Purchases'!$C:$C,Brokerage!$B19,'YTD Purchases'!$G:$G,Brokerage!M$4)</f>
        <v>0</v>
      </c>
      <c r="N19" s="857">
        <f>SUMIFS('YTD Sales'!$N:$N,'YTD Sales'!$B:$B,Brokerage!$B19,'YTD Sales'!$M:$M,Brokerage!N$4)+SUMIFS('YTD Purchases'!$H:$H,'YTD Purchases'!$C:$C,Brokerage!$B19,'YTD Purchases'!$G:$G,Brokerage!N$4)</f>
        <v>0</v>
      </c>
      <c r="O19" s="857">
        <f>SUMIFS('YTD Sales'!$N:$N,'YTD Sales'!$B:$B,Brokerage!$B19,'YTD Sales'!$M:$M,Brokerage!O$4)+SUMIFS('YTD Purchases'!$H:$H,'YTD Purchases'!$C:$C,Brokerage!$B19,'YTD Purchases'!$G:$G,Brokerage!O$4)</f>
        <v>0</v>
      </c>
      <c r="P19" s="857">
        <f>SUMIFS('YTD Sales'!$N:$N,'YTD Sales'!$B:$B,Brokerage!$B19,'YTD Sales'!$M:$M,Brokerage!P$4)+SUMIFS('YTD Purchases'!$H:$H,'YTD Purchases'!$C:$C,Brokerage!$B19,'YTD Purchases'!$G:$G,Brokerage!P$4)</f>
        <v>0</v>
      </c>
      <c r="Q19" s="857">
        <f>SUMIFS('YTD Sales'!$N:$N,'YTD Sales'!$B:$B,Brokerage!$B19,'YTD Sales'!$M:$M,Brokerage!Q$4)+SUMIFS('YTD Purchases'!$H:$H,'YTD Purchases'!$C:$C,Brokerage!$B19,'YTD Purchases'!$G:$G,Brokerage!Q$4)</f>
        <v>0</v>
      </c>
      <c r="R19" s="857">
        <f>SUMIFS('YTD Sales'!$N:$N,'YTD Sales'!$B:$B,Brokerage!$B19,'YTD Sales'!$M:$M,Brokerage!R$4)+SUMIFS('YTD Purchases'!$H:$H,'YTD Purchases'!$C:$C,Brokerage!$B19,'YTD Purchases'!$G:$G,Brokerage!R$4)</f>
        <v>0</v>
      </c>
      <c r="S19" s="857">
        <f>SUMIFS('YTD Sales'!$N:$N,'YTD Sales'!$B:$B,Brokerage!$B19,'YTD Sales'!$M:$M,Brokerage!S$4)+SUMIFS('YTD Purchases'!$H:$H,'YTD Purchases'!$C:$C,Brokerage!$B19,'YTD Purchases'!$G:$G,Brokerage!S$4)</f>
        <v>0</v>
      </c>
      <c r="T19" s="857">
        <f>SUMIFS('YTD Sales'!$N:$N,'YTD Sales'!$B:$B,Brokerage!$B19,'YTD Sales'!$M:$M,Brokerage!T$4)+SUMIFS('YTD Purchases'!$H:$H,'YTD Purchases'!$C:$C,Brokerage!$B19,'YTD Purchases'!$G:$G,Brokerage!T$4)</f>
        <v>0</v>
      </c>
      <c r="U19" s="857">
        <f>SUMIFS('YTD Sales'!$N:$N,'YTD Sales'!$B:$B,Brokerage!$B19,'YTD Sales'!$M:$M,Brokerage!U$4)+SUMIFS('YTD Purchases'!$H:$H,'YTD Purchases'!$C:$C,Brokerage!$B19,'YTD Purchases'!$G:$G,Brokerage!U$4)</f>
        <v>0</v>
      </c>
      <c r="V19" s="857">
        <f>SUMIFS('YTD Sales'!$N:$N,'YTD Sales'!$B:$B,Brokerage!$B19,'YTD Sales'!$M:$M,Brokerage!V$4)+SUMIFS('YTD Purchases'!$H:$H,'YTD Purchases'!$C:$C,Brokerage!$B19,'YTD Purchases'!$G:$G,Brokerage!V$4)</f>
        <v>0</v>
      </c>
      <c r="W19" s="857">
        <f>SUMIFS('YTD Sales'!$N:$N,'YTD Sales'!$B:$B,Brokerage!$B19,'YTD Sales'!$M:$M,Brokerage!W$4)+SUMIFS('YTD Purchases'!$H:$H,'YTD Purchases'!$C:$C,Brokerage!$B19,'YTD Purchases'!$G:$G,Brokerage!W$4)</f>
        <v>0</v>
      </c>
      <c r="X19" s="857">
        <f>SUMIFS('YTD Sales'!$N:$N,'YTD Sales'!$B:$B,Brokerage!$B19,'YTD Sales'!$M:$M,Brokerage!X$4)+SUMIFS('YTD Purchases'!$H:$H,'YTD Purchases'!$C:$C,Brokerage!$B19,'YTD Purchases'!$G:$G,Brokerage!X$4)</f>
        <v>0</v>
      </c>
      <c r="Y19" s="857">
        <f>SUMIFS('YTD Sales'!$N:$N,'YTD Sales'!$B:$B,Brokerage!$B19,'YTD Sales'!$M:$M,Brokerage!Y$4)+SUMIFS('YTD Purchases'!$H:$H,'YTD Purchases'!$C:$C,Brokerage!$B19,'YTD Purchases'!$G:$G,Brokerage!Y$4)</f>
        <v>0</v>
      </c>
      <c r="Z19" s="857">
        <f>SUMIFS('YTD Sales'!$N:$N,'YTD Sales'!$B:$B,Brokerage!$B19,'YTD Sales'!$M:$M,Brokerage!Z$4)+SUMIFS('YTD Purchases'!$H:$H,'YTD Purchases'!$C:$C,Brokerage!$B19,'YTD Purchases'!$G:$G,Brokerage!Z$4)</f>
        <v>0</v>
      </c>
      <c r="AA19" s="857">
        <f>SUMIFS('YTD Sales'!$N:$N,'YTD Sales'!$B:$B,Brokerage!$B19,'YTD Sales'!$M:$M,Brokerage!AA$4)+SUMIFS('YTD Purchases'!$H:$H,'YTD Purchases'!$C:$C,Brokerage!$B19,'YTD Purchases'!$G:$G,Brokerage!AA$4)</f>
        <v>0</v>
      </c>
      <c r="AB19" s="857">
        <f>SUMIFS('YTD Sales'!$N:$N,'YTD Sales'!$B:$B,Brokerage!$B19,'YTD Sales'!$M:$M,Brokerage!AB$4)+SUMIFS('YTD Purchases'!$H:$H,'YTD Purchases'!$C:$C,Brokerage!$B19,'YTD Purchases'!$G:$G,Brokerage!AB$4)</f>
        <v>0</v>
      </c>
      <c r="AC19" s="857">
        <f>SUMIFS('YTD Sales'!$N:$N,'YTD Sales'!$B:$B,Brokerage!$B19,'YTD Sales'!$M:$M,Brokerage!AC$4)+SUMIFS('YTD Purchases'!$H:$H,'YTD Purchases'!$C:$C,Brokerage!$B19,'YTD Purchases'!$G:$G,Brokerage!AC$4)</f>
        <v>0</v>
      </c>
      <c r="AD19" s="857">
        <f>+SUMIFS(PIB!AG:AG,PIB!AF:AF,Brokerage!AD$4,PIB!AA:AA,Brokerage!$B19)+SUMIFS('T-Bills'!AB:AB,'T-Bills'!AA:AA,Brokerage!AD$4,'T-Bills'!V:V,Brokerage!$B19)</f>
        <v>0</v>
      </c>
      <c r="AE19" s="857">
        <f>+SUMIFS(PIB!AH:AH,PIB!AG:AG,Brokerage!AE$4,PIB!AB:AB,Brokerage!$B19)+SUMIFS('T-Bills'!AC:AC,'T-Bills'!AB:AB,Brokerage!AE$4,'T-Bills'!W:W,Brokerage!$B19)+5158</f>
        <v>5158</v>
      </c>
      <c r="AF19" s="857">
        <f>+SUMIFS(PIB!AI:AI,PIB!AH:AH,Brokerage!AF$4,PIB!AC:AC,Brokerage!$B19)+SUMIFS('T-Bills'!AD:AD,'T-Bills'!AC:AC,Brokerage!AF$4,'T-Bills'!X:X,Brokerage!$B19)</f>
        <v>0</v>
      </c>
      <c r="AG19" s="857">
        <f t="shared" si="3"/>
        <v>5710.8649999999998</v>
      </c>
      <c r="AH19" s="858">
        <f t="shared" si="4"/>
        <v>0</v>
      </c>
    </row>
    <row r="20" spans="2:34" x14ac:dyDescent="0.15">
      <c r="B20" s="661">
        <f t="shared" si="2"/>
        <v>44576</v>
      </c>
      <c r="C20" s="857">
        <f>SUMIFS('YTD Sales'!$N:$N,'YTD Sales'!$B:$B,Brokerage!$B20,'YTD Sales'!$M:$M,Brokerage!C$4)+SUMIFS('YTD Purchases'!$H:$H,'YTD Purchases'!$C:$C,Brokerage!$B20,'YTD Purchases'!$G:$G,Brokerage!C$4)</f>
        <v>0</v>
      </c>
      <c r="D20" s="857">
        <f>SUMIFS('YTD Sales'!$N:$N,'YTD Sales'!$B:$B,Brokerage!$B20,'YTD Sales'!$M:$M,Brokerage!D$4)+SUMIFS('YTD Purchases'!$H:$H,'YTD Purchases'!$C:$C,Brokerage!$B20,'YTD Purchases'!$G:$G,Brokerage!D$4)</f>
        <v>0</v>
      </c>
      <c r="E20" s="857">
        <f>SUMIFS('YTD Sales'!$N:$N,'YTD Sales'!$B:$B,Brokerage!$B20,'YTD Sales'!$M:$M,Brokerage!E$4)+SUMIFS('YTD Purchases'!$H:$H,'YTD Purchases'!$C:$C,Brokerage!$B20,'YTD Purchases'!$G:$G,Brokerage!E$4)</f>
        <v>0</v>
      </c>
      <c r="F20" s="857">
        <f>SUMIFS('YTD Sales'!$N:$N,'YTD Sales'!$B:$B,Brokerage!$B20,'YTD Sales'!$M:$M,Brokerage!F$4)+SUMIFS('YTD Purchases'!$H:$H,'YTD Purchases'!$C:$C,Brokerage!$B20,'YTD Purchases'!$G:$G,Brokerage!F$4)</f>
        <v>0</v>
      </c>
      <c r="G20" s="857">
        <f>SUMIFS('YTD Sales'!$N:$N,'YTD Sales'!$B:$B,Brokerage!$B20,'YTD Sales'!$M:$M,Brokerage!G$4)+SUMIFS('YTD Purchases'!$H:$H,'YTD Purchases'!$C:$C,Brokerage!$B20,'YTD Purchases'!$G:$G,Brokerage!G$4)</f>
        <v>0</v>
      </c>
      <c r="H20" s="857">
        <f>SUMIFS('YTD Sales'!$N:$N,'YTD Sales'!$B:$B,Brokerage!$B20,'YTD Sales'!$M:$M,Brokerage!H$4)+SUMIFS('YTD Purchases'!$H:$H,'YTD Purchases'!$C:$C,Brokerage!$B20,'YTD Purchases'!$G:$G,Brokerage!H$4)</f>
        <v>0</v>
      </c>
      <c r="I20" s="857">
        <f>SUMIFS('YTD Sales'!$N:$N,'YTD Sales'!$B:$B,Brokerage!$B20,'YTD Sales'!$M:$M,Brokerage!I$4)+SUMIFS('YTD Purchases'!$H:$H,'YTD Purchases'!$C:$C,Brokerage!$B20,'YTD Purchases'!$G:$G,Brokerage!I$4)</f>
        <v>0</v>
      </c>
      <c r="J20" s="857">
        <f>SUMIFS('YTD Sales'!$N:$N,'YTD Sales'!$B:$B,Brokerage!$B20,'YTD Sales'!$M:$M,Brokerage!J$4)+SUMIFS('YTD Purchases'!$H:$H,'YTD Purchases'!$C:$C,Brokerage!$B20,'YTD Purchases'!$G:$G,Brokerage!J$4)</f>
        <v>0</v>
      </c>
      <c r="K20" s="857">
        <f>SUMIFS('YTD Sales'!$N:$N,'YTD Sales'!$B:$B,Brokerage!$B20,'YTD Sales'!$M:$M,Brokerage!K$4)+SUMIFS('YTD Purchases'!$H:$H,'YTD Purchases'!$C:$C,Brokerage!$B20,'YTD Purchases'!$G:$G,Brokerage!K$4)</f>
        <v>0</v>
      </c>
      <c r="L20" s="857">
        <f>SUMIFS('YTD Sales'!$N:$N,'YTD Sales'!$B:$B,Brokerage!$B20,'YTD Sales'!$M:$M,Brokerage!L$4)+SUMIFS('YTD Purchases'!$H:$H,'YTD Purchases'!$C:$C,Brokerage!$B20,'YTD Purchases'!$G:$G,Brokerage!L$4)</f>
        <v>0</v>
      </c>
      <c r="M20" s="857">
        <f>SUMIFS('YTD Sales'!$N:$N,'YTD Sales'!$B:$B,Brokerage!$B20,'YTD Sales'!$M:$M,Brokerage!M$4)+SUMIFS('YTD Purchases'!$H:$H,'YTD Purchases'!$C:$C,Brokerage!$B20,'YTD Purchases'!$G:$G,Brokerage!M$4)</f>
        <v>0</v>
      </c>
      <c r="N20" s="857">
        <f>SUMIFS('YTD Sales'!$N:$N,'YTD Sales'!$B:$B,Brokerage!$B20,'YTD Sales'!$M:$M,Brokerage!N$4)+SUMIFS('YTD Purchases'!$H:$H,'YTD Purchases'!$C:$C,Brokerage!$B20,'YTD Purchases'!$G:$G,Brokerage!N$4)</f>
        <v>0</v>
      </c>
      <c r="O20" s="857">
        <f>SUMIFS('YTD Sales'!$N:$N,'YTD Sales'!$B:$B,Brokerage!$B20,'YTD Sales'!$M:$M,Brokerage!O$4)+SUMIFS('YTD Purchases'!$H:$H,'YTD Purchases'!$C:$C,Brokerage!$B20,'YTD Purchases'!$G:$G,Brokerage!O$4)</f>
        <v>0</v>
      </c>
      <c r="P20" s="857">
        <f>SUMIFS('YTD Sales'!$N:$N,'YTD Sales'!$B:$B,Brokerage!$B20,'YTD Sales'!$M:$M,Brokerage!P$4)+SUMIFS('YTD Purchases'!$H:$H,'YTD Purchases'!$C:$C,Brokerage!$B20,'YTD Purchases'!$G:$G,Brokerage!P$4)</f>
        <v>0</v>
      </c>
      <c r="Q20" s="857">
        <f>SUMIFS('YTD Sales'!$N:$N,'YTD Sales'!$B:$B,Brokerage!$B20,'YTD Sales'!$M:$M,Brokerage!Q$4)+SUMIFS('YTD Purchases'!$H:$H,'YTD Purchases'!$C:$C,Brokerage!$B20,'YTD Purchases'!$G:$G,Brokerage!Q$4)</f>
        <v>0</v>
      </c>
      <c r="R20" s="857">
        <f>SUMIFS('YTD Sales'!$N:$N,'YTD Sales'!$B:$B,Brokerage!$B20,'YTD Sales'!$M:$M,Brokerage!R$4)+SUMIFS('YTD Purchases'!$H:$H,'YTD Purchases'!$C:$C,Brokerage!$B20,'YTD Purchases'!$G:$G,Brokerage!R$4)</f>
        <v>0</v>
      </c>
      <c r="S20" s="857">
        <f>SUMIFS('YTD Sales'!$N:$N,'YTD Sales'!$B:$B,Brokerage!$B20,'YTD Sales'!$M:$M,Brokerage!S$4)+SUMIFS('YTD Purchases'!$H:$H,'YTD Purchases'!$C:$C,Brokerage!$B20,'YTD Purchases'!$G:$G,Brokerage!S$4)</f>
        <v>0</v>
      </c>
      <c r="T20" s="857">
        <f>SUMIFS('YTD Sales'!$N:$N,'YTD Sales'!$B:$B,Brokerage!$B20,'YTD Sales'!$M:$M,Brokerage!T$4)+SUMIFS('YTD Purchases'!$H:$H,'YTD Purchases'!$C:$C,Brokerage!$B20,'YTD Purchases'!$G:$G,Brokerage!T$4)</f>
        <v>0</v>
      </c>
      <c r="U20" s="857">
        <f>SUMIFS('YTD Sales'!$N:$N,'YTD Sales'!$B:$B,Brokerage!$B20,'YTD Sales'!$M:$M,Brokerage!U$4)+SUMIFS('YTD Purchases'!$H:$H,'YTD Purchases'!$C:$C,Brokerage!$B20,'YTD Purchases'!$G:$G,Brokerage!U$4)</f>
        <v>0</v>
      </c>
      <c r="V20" s="857">
        <f>SUMIFS('YTD Sales'!$N:$N,'YTD Sales'!$B:$B,Brokerage!$B20,'YTD Sales'!$M:$M,Brokerage!V$4)+SUMIFS('YTD Purchases'!$H:$H,'YTD Purchases'!$C:$C,Brokerage!$B20,'YTD Purchases'!$G:$G,Brokerage!V$4)</f>
        <v>0</v>
      </c>
      <c r="W20" s="857">
        <f>SUMIFS('YTD Sales'!$N:$N,'YTD Sales'!$B:$B,Brokerage!$B20,'YTD Sales'!$M:$M,Brokerage!W$4)+SUMIFS('YTD Purchases'!$H:$H,'YTD Purchases'!$C:$C,Brokerage!$B20,'YTD Purchases'!$G:$G,Brokerage!W$4)</f>
        <v>0</v>
      </c>
      <c r="X20" s="857">
        <f>SUMIFS('YTD Sales'!$N:$N,'YTD Sales'!$B:$B,Brokerage!$B20,'YTD Sales'!$M:$M,Brokerage!X$4)+SUMIFS('YTD Purchases'!$H:$H,'YTD Purchases'!$C:$C,Brokerage!$B20,'YTD Purchases'!$G:$G,Brokerage!X$4)</f>
        <v>0</v>
      </c>
      <c r="Y20" s="857">
        <f>SUMIFS('YTD Sales'!$N:$N,'YTD Sales'!$B:$B,Brokerage!$B20,'YTD Sales'!$M:$M,Brokerage!Y$4)+SUMIFS('YTD Purchases'!$H:$H,'YTD Purchases'!$C:$C,Brokerage!$B20,'YTD Purchases'!$G:$G,Brokerage!Y$4)</f>
        <v>0</v>
      </c>
      <c r="Z20" s="857">
        <f>SUMIFS('YTD Sales'!$N:$N,'YTD Sales'!$B:$B,Brokerage!$B20,'YTD Sales'!$M:$M,Brokerage!Z$4)+SUMIFS('YTD Purchases'!$H:$H,'YTD Purchases'!$C:$C,Brokerage!$B20,'YTD Purchases'!$G:$G,Brokerage!Z$4)</f>
        <v>0</v>
      </c>
      <c r="AA20" s="857">
        <f>SUMIFS('YTD Sales'!$N:$N,'YTD Sales'!$B:$B,Brokerage!$B20,'YTD Sales'!$M:$M,Brokerage!AA$4)+SUMIFS('YTD Purchases'!$H:$H,'YTD Purchases'!$C:$C,Brokerage!$B20,'YTD Purchases'!$G:$G,Brokerage!AA$4)</f>
        <v>0</v>
      </c>
      <c r="AB20" s="857">
        <f>SUMIFS('YTD Sales'!$N:$N,'YTD Sales'!$B:$B,Brokerage!$B20,'YTD Sales'!$M:$M,Brokerage!AB$4)+SUMIFS('YTD Purchases'!$H:$H,'YTD Purchases'!$C:$C,Brokerage!$B20,'YTD Purchases'!$G:$G,Brokerage!AB$4)</f>
        <v>0</v>
      </c>
      <c r="AC20" s="857">
        <f>SUMIFS('YTD Sales'!$N:$N,'YTD Sales'!$B:$B,Brokerage!$B20,'YTD Sales'!$M:$M,Brokerage!AC$4)+SUMIFS('YTD Purchases'!$H:$H,'YTD Purchases'!$C:$C,Brokerage!$B20,'YTD Purchases'!$G:$G,Brokerage!AC$4)</f>
        <v>0</v>
      </c>
      <c r="AD20" s="857">
        <f>+SUMIFS(PIB!AG:AG,PIB!AF:AF,Brokerage!AD$4,PIB!AA:AA,Brokerage!$B20)+SUMIFS('T-Bills'!AB:AB,'T-Bills'!AA:AA,Brokerage!AD$4,'T-Bills'!V:V,Brokerage!$B20)</f>
        <v>0</v>
      </c>
      <c r="AE20" s="857">
        <f>+SUMIFS(PIB!AH:AH,PIB!AG:AG,Brokerage!AE$4,PIB!AB:AB,Brokerage!$B20)+SUMIFS('T-Bills'!AC:AC,'T-Bills'!AB:AB,Brokerage!AE$4,'T-Bills'!W:W,Brokerage!$B20)</f>
        <v>0</v>
      </c>
      <c r="AF20" s="857">
        <f>+SUMIFS(PIB!AI:AI,PIB!AH:AH,Brokerage!AF$4,PIB!AC:AC,Brokerage!$B20)+SUMIFS('T-Bills'!AD:AD,'T-Bills'!AC:AC,Brokerage!AF$4,'T-Bills'!X:X,Brokerage!$B20)</f>
        <v>0</v>
      </c>
      <c r="AG20" s="857">
        <f t="shared" si="3"/>
        <v>0</v>
      </c>
      <c r="AH20" s="858">
        <f t="shared" si="4"/>
        <v>0</v>
      </c>
    </row>
    <row r="21" spans="2:34" x14ac:dyDescent="0.15">
      <c r="B21" s="661">
        <f t="shared" si="2"/>
        <v>44577</v>
      </c>
      <c r="C21" s="857">
        <f>SUMIFS('YTD Sales'!$N:$N,'YTD Sales'!$B:$B,Brokerage!$B21,'YTD Sales'!$M:$M,Brokerage!C$4)+SUMIFS('YTD Purchases'!$H:$H,'YTD Purchases'!$C:$C,Brokerage!$B21,'YTD Purchases'!$G:$G,Brokerage!C$4)</f>
        <v>0</v>
      </c>
      <c r="D21" s="857">
        <f>SUMIFS('YTD Sales'!$N:$N,'YTD Sales'!$B:$B,Brokerage!$B21,'YTD Sales'!$M:$M,Brokerage!D$4)+SUMIFS('YTD Purchases'!$H:$H,'YTD Purchases'!$C:$C,Brokerage!$B21,'YTD Purchases'!$G:$G,Brokerage!D$4)</f>
        <v>0</v>
      </c>
      <c r="E21" s="857">
        <f>SUMIFS('YTD Sales'!$N:$N,'YTD Sales'!$B:$B,Brokerage!$B21,'YTD Sales'!$M:$M,Brokerage!E$4)+SUMIFS('YTD Purchases'!$H:$H,'YTD Purchases'!$C:$C,Brokerage!$B21,'YTD Purchases'!$G:$G,Brokerage!E$4)</f>
        <v>0</v>
      </c>
      <c r="F21" s="857">
        <f>SUMIFS('YTD Sales'!$N:$N,'YTD Sales'!$B:$B,Brokerage!$B21,'YTD Sales'!$M:$M,Brokerage!F$4)+SUMIFS('YTD Purchases'!$H:$H,'YTD Purchases'!$C:$C,Brokerage!$B21,'YTD Purchases'!$G:$G,Brokerage!F$4)</f>
        <v>0</v>
      </c>
      <c r="G21" s="857">
        <f>SUMIFS('YTD Sales'!$N:$N,'YTD Sales'!$B:$B,Brokerage!$B21,'YTD Sales'!$M:$M,Brokerage!G$4)+SUMIFS('YTD Purchases'!$H:$H,'YTD Purchases'!$C:$C,Brokerage!$B21,'YTD Purchases'!$G:$G,Brokerage!G$4)</f>
        <v>0</v>
      </c>
      <c r="H21" s="857">
        <f>SUMIFS('YTD Sales'!$N:$N,'YTD Sales'!$B:$B,Brokerage!$B21,'YTD Sales'!$M:$M,Brokerage!H$4)+SUMIFS('YTD Purchases'!$H:$H,'YTD Purchases'!$C:$C,Brokerage!$B21,'YTD Purchases'!$G:$G,Brokerage!H$4)</f>
        <v>0</v>
      </c>
      <c r="I21" s="857">
        <f>SUMIFS('YTD Sales'!$N:$N,'YTD Sales'!$B:$B,Brokerage!$B21,'YTD Sales'!$M:$M,Brokerage!I$4)+SUMIFS('YTD Purchases'!$H:$H,'YTD Purchases'!$C:$C,Brokerage!$B21,'YTD Purchases'!$G:$G,Brokerage!I$4)</f>
        <v>0</v>
      </c>
      <c r="J21" s="857">
        <f>SUMIFS('YTD Sales'!$N:$N,'YTD Sales'!$B:$B,Brokerage!$B21,'YTD Sales'!$M:$M,Brokerage!J$4)+SUMIFS('YTD Purchases'!$H:$H,'YTD Purchases'!$C:$C,Brokerage!$B21,'YTD Purchases'!$G:$G,Brokerage!J$4)</f>
        <v>0</v>
      </c>
      <c r="K21" s="857">
        <f>SUMIFS('YTD Sales'!$N:$N,'YTD Sales'!$B:$B,Brokerage!$B21,'YTD Sales'!$M:$M,Brokerage!K$4)+SUMIFS('YTD Purchases'!$H:$H,'YTD Purchases'!$C:$C,Brokerage!$B21,'YTD Purchases'!$G:$G,Brokerage!K$4)</f>
        <v>0</v>
      </c>
      <c r="L21" s="857">
        <f>SUMIFS('YTD Sales'!$N:$N,'YTD Sales'!$B:$B,Brokerage!$B21,'YTD Sales'!$M:$M,Brokerage!L$4)+SUMIFS('YTD Purchases'!$H:$H,'YTD Purchases'!$C:$C,Brokerage!$B21,'YTD Purchases'!$G:$G,Brokerage!L$4)</f>
        <v>0</v>
      </c>
      <c r="M21" s="857">
        <f>SUMIFS('YTD Sales'!$N:$N,'YTD Sales'!$B:$B,Brokerage!$B21,'YTD Sales'!$M:$M,Brokerage!M$4)+SUMIFS('YTD Purchases'!$H:$H,'YTD Purchases'!$C:$C,Brokerage!$B21,'YTD Purchases'!$G:$G,Brokerage!M$4)</f>
        <v>0</v>
      </c>
      <c r="N21" s="857">
        <f>SUMIFS('YTD Sales'!$N:$N,'YTD Sales'!$B:$B,Brokerage!$B21,'YTD Sales'!$M:$M,Brokerage!N$4)+SUMIFS('YTD Purchases'!$H:$H,'YTD Purchases'!$C:$C,Brokerage!$B21,'YTD Purchases'!$G:$G,Brokerage!N$4)</f>
        <v>0</v>
      </c>
      <c r="O21" s="857">
        <f>SUMIFS('YTD Sales'!$N:$N,'YTD Sales'!$B:$B,Brokerage!$B21,'YTD Sales'!$M:$M,Brokerage!O$4)+SUMIFS('YTD Purchases'!$H:$H,'YTD Purchases'!$C:$C,Brokerage!$B21,'YTD Purchases'!$G:$G,Brokerage!O$4)</f>
        <v>0</v>
      </c>
      <c r="P21" s="857">
        <f>SUMIFS('YTD Sales'!$N:$N,'YTD Sales'!$B:$B,Brokerage!$B21,'YTD Sales'!$M:$M,Brokerage!P$4)+SUMIFS('YTD Purchases'!$H:$H,'YTD Purchases'!$C:$C,Brokerage!$B21,'YTD Purchases'!$G:$G,Brokerage!P$4)</f>
        <v>0</v>
      </c>
      <c r="Q21" s="857">
        <f>SUMIFS('YTD Sales'!$N:$N,'YTD Sales'!$B:$B,Brokerage!$B21,'YTD Sales'!$M:$M,Brokerage!Q$4)+SUMIFS('YTD Purchases'!$H:$H,'YTD Purchases'!$C:$C,Brokerage!$B21,'YTD Purchases'!$G:$G,Brokerage!Q$4)</f>
        <v>0</v>
      </c>
      <c r="R21" s="857">
        <f>SUMIFS('YTD Sales'!$N:$N,'YTD Sales'!$B:$B,Brokerage!$B21,'YTD Sales'!$M:$M,Brokerage!R$4)+SUMIFS('YTD Purchases'!$H:$H,'YTD Purchases'!$C:$C,Brokerage!$B21,'YTD Purchases'!$G:$G,Brokerage!R$4)</f>
        <v>0</v>
      </c>
      <c r="S21" s="857">
        <f>SUMIFS('YTD Sales'!$N:$N,'YTD Sales'!$B:$B,Brokerage!$B21,'YTD Sales'!$M:$M,Brokerage!S$4)+SUMIFS('YTD Purchases'!$H:$H,'YTD Purchases'!$C:$C,Brokerage!$B21,'YTD Purchases'!$G:$G,Brokerage!S$4)</f>
        <v>0</v>
      </c>
      <c r="T21" s="857">
        <f>SUMIFS('YTD Sales'!$N:$N,'YTD Sales'!$B:$B,Brokerage!$B21,'YTD Sales'!$M:$M,Brokerage!T$4)+SUMIFS('YTD Purchases'!$H:$H,'YTD Purchases'!$C:$C,Brokerage!$B21,'YTD Purchases'!$G:$G,Brokerage!T$4)</f>
        <v>0</v>
      </c>
      <c r="U21" s="857">
        <f>SUMIFS('YTD Sales'!$N:$N,'YTD Sales'!$B:$B,Brokerage!$B21,'YTD Sales'!$M:$M,Brokerage!U$4)+SUMIFS('YTD Purchases'!$H:$H,'YTD Purchases'!$C:$C,Brokerage!$B21,'YTD Purchases'!$G:$G,Brokerage!U$4)</f>
        <v>0</v>
      </c>
      <c r="V21" s="857">
        <f>SUMIFS('YTD Sales'!$N:$N,'YTD Sales'!$B:$B,Brokerage!$B21,'YTD Sales'!$M:$M,Brokerage!V$4)+SUMIFS('YTD Purchases'!$H:$H,'YTD Purchases'!$C:$C,Brokerage!$B21,'YTD Purchases'!$G:$G,Brokerage!V$4)</f>
        <v>0</v>
      </c>
      <c r="W21" s="857">
        <f>SUMIFS('YTD Sales'!$N:$N,'YTD Sales'!$B:$B,Brokerage!$B21,'YTD Sales'!$M:$M,Brokerage!W$4)+SUMIFS('YTD Purchases'!$H:$H,'YTD Purchases'!$C:$C,Brokerage!$B21,'YTD Purchases'!$G:$G,Brokerage!W$4)</f>
        <v>0</v>
      </c>
      <c r="X21" s="857">
        <f>SUMIFS('YTD Sales'!$N:$N,'YTD Sales'!$B:$B,Brokerage!$B21,'YTD Sales'!$M:$M,Brokerage!X$4)+SUMIFS('YTD Purchases'!$H:$H,'YTD Purchases'!$C:$C,Brokerage!$B21,'YTD Purchases'!$G:$G,Brokerage!X$4)</f>
        <v>0</v>
      </c>
      <c r="Y21" s="857">
        <f>SUMIFS('YTD Sales'!$N:$N,'YTD Sales'!$B:$B,Brokerage!$B21,'YTD Sales'!$M:$M,Brokerage!Y$4)+SUMIFS('YTD Purchases'!$H:$H,'YTD Purchases'!$C:$C,Brokerage!$B21,'YTD Purchases'!$G:$G,Brokerage!Y$4)</f>
        <v>0</v>
      </c>
      <c r="Z21" s="857">
        <f>SUMIFS('YTD Sales'!$N:$N,'YTD Sales'!$B:$B,Brokerage!$B21,'YTD Sales'!$M:$M,Brokerage!Z$4)+SUMIFS('YTD Purchases'!$H:$H,'YTD Purchases'!$C:$C,Brokerage!$B21,'YTD Purchases'!$G:$G,Brokerage!Z$4)</f>
        <v>0</v>
      </c>
      <c r="AA21" s="857">
        <f>SUMIFS('YTD Sales'!$N:$N,'YTD Sales'!$B:$B,Brokerage!$B21,'YTD Sales'!$M:$M,Brokerage!AA$4)+SUMIFS('YTD Purchases'!$H:$H,'YTD Purchases'!$C:$C,Brokerage!$B21,'YTD Purchases'!$G:$G,Brokerage!AA$4)</f>
        <v>0</v>
      </c>
      <c r="AB21" s="857">
        <f>SUMIFS('YTD Sales'!$N:$N,'YTD Sales'!$B:$B,Brokerage!$B21,'YTD Sales'!$M:$M,Brokerage!AB$4)+SUMIFS('YTD Purchases'!$H:$H,'YTD Purchases'!$C:$C,Brokerage!$B21,'YTD Purchases'!$G:$G,Brokerage!AB$4)</f>
        <v>0</v>
      </c>
      <c r="AC21" s="857">
        <f>SUMIFS('YTD Sales'!$N:$N,'YTD Sales'!$B:$B,Brokerage!$B21,'YTD Sales'!$M:$M,Brokerage!AC$4)+SUMIFS('YTD Purchases'!$H:$H,'YTD Purchases'!$C:$C,Brokerage!$B21,'YTD Purchases'!$G:$G,Brokerage!AC$4)</f>
        <v>0</v>
      </c>
      <c r="AD21" s="857">
        <f>+SUMIFS(PIB!AG:AG,PIB!AF:AF,Brokerage!AD$4,PIB!AA:AA,Brokerage!$B21)+SUMIFS('T-Bills'!AB:AB,'T-Bills'!AA:AA,Brokerage!AD$4,'T-Bills'!V:V,Brokerage!$B21)</f>
        <v>0</v>
      </c>
      <c r="AE21" s="857">
        <f>+SUMIFS(PIB!AH:AH,PIB!AG:AG,Brokerage!AE$4,PIB!AB:AB,Brokerage!$B21)+SUMIFS('T-Bills'!AC:AC,'T-Bills'!AB:AB,Brokerage!AE$4,'T-Bills'!W:W,Brokerage!$B21)</f>
        <v>0</v>
      </c>
      <c r="AF21" s="857">
        <f>+SUMIFS(PIB!AI:AI,PIB!AH:AH,Brokerage!AF$4,PIB!AC:AC,Brokerage!$B21)+SUMIFS('T-Bills'!AD:AD,'T-Bills'!AC:AC,Brokerage!AF$4,'T-Bills'!X:X,Brokerage!$B21)</f>
        <v>0</v>
      </c>
      <c r="AG21" s="857">
        <f t="shared" si="3"/>
        <v>0</v>
      </c>
      <c r="AH21" s="858">
        <f t="shared" si="4"/>
        <v>0</v>
      </c>
    </row>
    <row r="22" spans="2:34" x14ac:dyDescent="0.15">
      <c r="B22" s="661">
        <f t="shared" si="2"/>
        <v>44578</v>
      </c>
      <c r="C22" s="857">
        <f>SUMIFS('YTD Sales'!$N:$N,'YTD Sales'!$B:$B,Brokerage!$B22,'YTD Sales'!$M:$M,Brokerage!C$4)+SUMIFS('YTD Purchases'!$H:$H,'YTD Purchases'!$C:$C,Brokerage!$B22,'YTD Purchases'!$G:$G,Brokerage!C$4)</f>
        <v>0</v>
      </c>
      <c r="D22" s="857">
        <f>SUMIFS('YTD Sales'!$N:$N,'YTD Sales'!$B:$B,Brokerage!$B22,'YTD Sales'!$M:$M,Brokerage!D$4)+SUMIFS('YTD Purchases'!$H:$H,'YTD Purchases'!$C:$C,Brokerage!$B22,'YTD Purchases'!$G:$G,Brokerage!D$4)</f>
        <v>6894.05</v>
      </c>
      <c r="E22" s="857">
        <f>SUMIFS('YTD Sales'!$N:$N,'YTD Sales'!$B:$B,Brokerage!$B22,'YTD Sales'!$M:$M,Brokerage!E$4)+SUMIFS('YTD Purchases'!$H:$H,'YTD Purchases'!$C:$C,Brokerage!$B22,'YTD Purchases'!$G:$G,Brokerage!E$4)</f>
        <v>0</v>
      </c>
      <c r="F22" s="857">
        <f>SUMIFS('YTD Sales'!$N:$N,'YTD Sales'!$B:$B,Brokerage!$B22,'YTD Sales'!$M:$M,Brokerage!F$4)+SUMIFS('YTD Purchases'!$H:$H,'YTD Purchases'!$C:$C,Brokerage!$B22,'YTD Purchases'!$G:$G,Brokerage!F$4)</f>
        <v>0</v>
      </c>
      <c r="G22" s="857">
        <f>SUMIFS('YTD Sales'!$N:$N,'YTD Sales'!$B:$B,Brokerage!$B22,'YTD Sales'!$M:$M,Brokerage!G$4)+SUMIFS('YTD Purchases'!$H:$H,'YTD Purchases'!$C:$C,Brokerage!$B22,'YTD Purchases'!$G:$G,Brokerage!G$4)</f>
        <v>0</v>
      </c>
      <c r="H22" s="857">
        <f>SUMIFS('YTD Sales'!$N:$N,'YTD Sales'!$B:$B,Brokerage!$B22,'YTD Sales'!$M:$M,Brokerage!H$4)+SUMIFS('YTD Purchases'!$H:$H,'YTD Purchases'!$C:$C,Brokerage!$B22,'YTD Purchases'!$G:$G,Brokerage!H$4)</f>
        <v>7963.77</v>
      </c>
      <c r="I22" s="857">
        <f>SUMIFS('YTD Sales'!$N:$N,'YTD Sales'!$B:$B,Brokerage!$B22,'YTD Sales'!$M:$M,Brokerage!I$4)+SUMIFS('YTD Purchases'!$H:$H,'YTD Purchases'!$C:$C,Brokerage!$B22,'YTD Purchases'!$G:$G,Brokerage!I$4)</f>
        <v>0</v>
      </c>
      <c r="J22" s="857">
        <f>SUMIFS('YTD Sales'!$N:$N,'YTD Sales'!$B:$B,Brokerage!$B22,'YTD Sales'!$M:$M,Brokerage!J$4)+SUMIFS('YTD Purchases'!$H:$H,'YTD Purchases'!$C:$C,Brokerage!$B22,'YTD Purchases'!$G:$G,Brokerage!J$4)</f>
        <v>0</v>
      </c>
      <c r="K22" s="857">
        <f>SUMIFS('YTD Sales'!$N:$N,'YTD Sales'!$B:$B,Brokerage!$B22,'YTD Sales'!$M:$M,Brokerage!K$4)+SUMIFS('YTD Purchases'!$H:$H,'YTD Purchases'!$C:$C,Brokerage!$B22,'YTD Purchases'!$G:$G,Brokerage!K$4)</f>
        <v>0</v>
      </c>
      <c r="L22" s="857">
        <f>SUMIFS('YTD Sales'!$N:$N,'YTD Sales'!$B:$B,Brokerage!$B22,'YTD Sales'!$M:$M,Brokerage!L$4)+SUMIFS('YTD Purchases'!$H:$H,'YTD Purchases'!$C:$C,Brokerage!$B22,'YTD Purchases'!$G:$G,Brokerage!L$4)</f>
        <v>0</v>
      </c>
      <c r="M22" s="857">
        <f>SUMIFS('YTD Sales'!$N:$N,'YTD Sales'!$B:$B,Brokerage!$B22,'YTD Sales'!$M:$M,Brokerage!M$4)+SUMIFS('YTD Purchases'!$H:$H,'YTD Purchases'!$C:$C,Brokerage!$B22,'YTD Purchases'!$G:$G,Brokerage!M$4)</f>
        <v>0</v>
      </c>
      <c r="N22" s="857">
        <f>SUMIFS('YTD Sales'!$N:$N,'YTD Sales'!$B:$B,Brokerage!$B22,'YTD Sales'!$M:$M,Brokerage!N$4)+SUMIFS('YTD Purchases'!$H:$H,'YTD Purchases'!$C:$C,Brokerage!$B22,'YTD Purchases'!$G:$G,Brokerage!N$4)</f>
        <v>0</v>
      </c>
      <c r="O22" s="857">
        <f>SUMIFS('YTD Sales'!$N:$N,'YTD Sales'!$B:$B,Brokerage!$B22,'YTD Sales'!$M:$M,Brokerage!O$4)+SUMIFS('YTD Purchases'!$H:$H,'YTD Purchases'!$C:$C,Brokerage!$B22,'YTD Purchases'!$G:$G,Brokerage!O$4)</f>
        <v>0</v>
      </c>
      <c r="P22" s="857">
        <f>SUMIFS('YTD Sales'!$N:$N,'YTD Sales'!$B:$B,Brokerage!$B22,'YTD Sales'!$M:$M,Brokerage!P$4)+SUMIFS('YTD Purchases'!$H:$H,'YTD Purchases'!$C:$C,Brokerage!$B22,'YTD Purchases'!$G:$G,Brokerage!P$4)</f>
        <v>0</v>
      </c>
      <c r="Q22" s="857">
        <f>SUMIFS('YTD Sales'!$N:$N,'YTD Sales'!$B:$B,Brokerage!$B22,'YTD Sales'!$M:$M,Brokerage!Q$4)+SUMIFS('YTD Purchases'!$H:$H,'YTD Purchases'!$C:$C,Brokerage!$B22,'YTD Purchases'!$G:$G,Brokerage!Q$4)</f>
        <v>0</v>
      </c>
      <c r="R22" s="857">
        <f>SUMIFS('YTD Sales'!$N:$N,'YTD Sales'!$B:$B,Brokerage!$B22,'YTD Sales'!$M:$M,Brokerage!R$4)+SUMIFS('YTD Purchases'!$H:$H,'YTD Purchases'!$C:$C,Brokerage!$B22,'YTD Purchases'!$G:$G,Brokerage!R$4)</f>
        <v>4524.91</v>
      </c>
      <c r="S22" s="857">
        <f>SUMIFS('YTD Sales'!$N:$N,'YTD Sales'!$B:$B,Brokerage!$B22,'YTD Sales'!$M:$M,Brokerage!S$4)+SUMIFS('YTD Purchases'!$H:$H,'YTD Purchases'!$C:$C,Brokerage!$B22,'YTD Purchases'!$G:$G,Brokerage!S$4)</f>
        <v>0</v>
      </c>
      <c r="T22" s="857">
        <f>SUMIFS('YTD Sales'!$N:$N,'YTD Sales'!$B:$B,Brokerage!$B22,'YTD Sales'!$M:$M,Brokerage!T$4)+SUMIFS('YTD Purchases'!$H:$H,'YTD Purchases'!$C:$C,Brokerage!$B22,'YTD Purchases'!$G:$G,Brokerage!T$4)</f>
        <v>0</v>
      </c>
      <c r="U22" s="857">
        <f>SUMIFS('YTD Sales'!$N:$N,'YTD Sales'!$B:$B,Brokerage!$B22,'YTD Sales'!$M:$M,Brokerage!U$4)+SUMIFS('YTD Purchases'!$H:$H,'YTD Purchases'!$C:$C,Brokerage!$B22,'YTD Purchases'!$G:$G,Brokerage!U$4)</f>
        <v>0</v>
      </c>
      <c r="V22" s="857">
        <f>SUMIFS('YTD Sales'!$N:$N,'YTD Sales'!$B:$B,Brokerage!$B22,'YTD Sales'!$M:$M,Brokerage!V$4)+SUMIFS('YTD Purchases'!$H:$H,'YTD Purchases'!$C:$C,Brokerage!$B22,'YTD Purchases'!$G:$G,Brokerage!V$4)</f>
        <v>0</v>
      </c>
      <c r="W22" s="857">
        <f>SUMIFS('YTD Sales'!$N:$N,'YTD Sales'!$B:$B,Brokerage!$B22,'YTD Sales'!$M:$M,Brokerage!W$4)+SUMIFS('YTD Purchases'!$H:$H,'YTD Purchases'!$C:$C,Brokerage!$B22,'YTD Purchases'!$G:$G,Brokerage!W$4)</f>
        <v>0</v>
      </c>
      <c r="X22" s="857">
        <f>SUMIFS('YTD Sales'!$N:$N,'YTD Sales'!$B:$B,Brokerage!$B22,'YTD Sales'!$M:$M,Brokerage!X$4)+SUMIFS('YTD Purchases'!$H:$H,'YTD Purchases'!$C:$C,Brokerage!$B22,'YTD Purchases'!$G:$G,Brokerage!X$4)</f>
        <v>0</v>
      </c>
      <c r="Y22" s="857">
        <f>SUMIFS('YTD Sales'!$N:$N,'YTD Sales'!$B:$B,Brokerage!$B22,'YTD Sales'!$M:$M,Brokerage!Y$4)+SUMIFS('YTD Purchases'!$H:$H,'YTD Purchases'!$C:$C,Brokerage!$B22,'YTD Purchases'!$G:$G,Brokerage!Y$4)</f>
        <v>0</v>
      </c>
      <c r="Z22" s="857">
        <f>SUMIFS('YTD Sales'!$N:$N,'YTD Sales'!$B:$B,Brokerage!$B22,'YTD Sales'!$M:$M,Brokerage!Z$4)+SUMIFS('YTD Purchases'!$H:$H,'YTD Purchases'!$C:$C,Brokerage!$B22,'YTD Purchases'!$G:$G,Brokerage!Z$4)</f>
        <v>0</v>
      </c>
      <c r="AA22" s="857">
        <f>SUMIFS('YTD Sales'!$N:$N,'YTD Sales'!$B:$B,Brokerage!$B22,'YTD Sales'!$M:$M,Brokerage!AA$4)+SUMIFS('YTD Purchases'!$H:$H,'YTD Purchases'!$C:$C,Brokerage!$B22,'YTD Purchases'!$G:$G,Brokerage!AA$4)</f>
        <v>0</v>
      </c>
      <c r="AB22" s="857">
        <f>SUMIFS('YTD Sales'!$N:$N,'YTD Sales'!$B:$B,Brokerage!$B22,'YTD Sales'!$M:$M,Brokerage!AB$4)+SUMIFS('YTD Purchases'!$H:$H,'YTD Purchases'!$C:$C,Brokerage!$B22,'YTD Purchases'!$G:$G,Brokerage!AB$4)</f>
        <v>0</v>
      </c>
      <c r="AC22" s="857">
        <f>SUMIFS('YTD Sales'!$N:$N,'YTD Sales'!$B:$B,Brokerage!$B22,'YTD Sales'!$M:$M,Brokerage!AC$4)+SUMIFS('YTD Purchases'!$H:$H,'YTD Purchases'!$C:$C,Brokerage!$B22,'YTD Purchases'!$G:$G,Brokerage!AC$4)</f>
        <v>0</v>
      </c>
      <c r="AD22" s="857">
        <f>+SUMIFS(PIB!AG:AG,PIB!AF:AF,Brokerage!AD$4,PIB!AA:AA,Brokerage!$B22)+SUMIFS('T-Bills'!AB:AB,'T-Bills'!AA:AA,Brokerage!AD$4,'T-Bills'!V:V,Brokerage!$B22)</f>
        <v>0</v>
      </c>
      <c r="AE22" s="857">
        <f>+SUMIFS(PIB!AH:AH,PIB!AG:AG,Brokerage!AE$4,PIB!AB:AB,Brokerage!$B22)+SUMIFS('T-Bills'!AC:AC,'T-Bills'!AB:AB,Brokerage!AE$4,'T-Bills'!W:W,Brokerage!$B22)</f>
        <v>0</v>
      </c>
      <c r="AF22" s="857">
        <f>+SUMIFS(PIB!AI:AI,PIB!AH:AH,Brokerage!AF$4,PIB!AC:AC,Brokerage!$B22)+SUMIFS('T-Bills'!AD:AD,'T-Bills'!AC:AC,Brokerage!AF$4,'T-Bills'!X:X,Brokerage!$B22)</f>
        <v>0</v>
      </c>
      <c r="AG22" s="857">
        <f t="shared" si="3"/>
        <v>19382.73</v>
      </c>
      <c r="AH22" s="858">
        <f t="shared" si="4"/>
        <v>1</v>
      </c>
    </row>
    <row r="23" spans="2:34" x14ac:dyDescent="0.15">
      <c r="B23" s="661">
        <f t="shared" si="2"/>
        <v>44579</v>
      </c>
      <c r="C23" s="857">
        <f>SUMIFS('YTD Sales'!$N:$N,'YTD Sales'!$B:$B,Brokerage!$B23,'YTD Sales'!$M:$M,Brokerage!C$4)+SUMIFS('YTD Purchases'!$H:$H,'YTD Purchases'!$C:$C,Brokerage!$B23,'YTD Purchases'!$G:$G,Brokerage!C$4)</f>
        <v>0</v>
      </c>
      <c r="D23" s="857">
        <f>SUMIFS('YTD Sales'!$N:$N,'YTD Sales'!$B:$B,Brokerage!$B23,'YTD Sales'!$M:$M,Brokerage!D$4)+SUMIFS('YTD Purchases'!$H:$H,'YTD Purchases'!$C:$C,Brokerage!$B23,'YTD Purchases'!$G:$G,Brokerage!D$4)</f>
        <v>0</v>
      </c>
      <c r="E23" s="857">
        <f>SUMIFS('YTD Sales'!$N:$N,'YTD Sales'!$B:$B,Brokerage!$B23,'YTD Sales'!$M:$M,Brokerage!E$4)+SUMIFS('YTD Purchases'!$H:$H,'YTD Purchases'!$C:$C,Brokerage!$B23,'YTD Purchases'!$G:$G,Brokerage!E$4)</f>
        <v>0</v>
      </c>
      <c r="F23" s="857">
        <f>SUMIFS('YTD Sales'!$N:$N,'YTD Sales'!$B:$B,Brokerage!$B23,'YTD Sales'!$M:$M,Brokerage!F$4)+SUMIFS('YTD Purchases'!$H:$H,'YTD Purchases'!$C:$C,Brokerage!$B23,'YTD Purchases'!$G:$G,Brokerage!F$4)</f>
        <v>0</v>
      </c>
      <c r="G23" s="857">
        <f>SUMIFS('YTD Sales'!$N:$N,'YTD Sales'!$B:$B,Brokerage!$B23,'YTD Sales'!$M:$M,Brokerage!G$4)+SUMIFS('YTD Purchases'!$H:$H,'YTD Purchases'!$C:$C,Brokerage!$B23,'YTD Purchases'!$G:$G,Brokerage!G$4)</f>
        <v>0</v>
      </c>
      <c r="H23" s="857">
        <f>SUMIFS('YTD Sales'!$N:$N,'YTD Sales'!$B:$B,Brokerage!$B23,'YTD Sales'!$M:$M,Brokerage!H$4)+SUMIFS('YTD Purchases'!$H:$H,'YTD Purchases'!$C:$C,Brokerage!$B23,'YTD Purchases'!$G:$G,Brokerage!H$4)</f>
        <v>0</v>
      </c>
      <c r="I23" s="857">
        <f>SUMIFS('YTD Sales'!$N:$N,'YTD Sales'!$B:$B,Brokerage!$B23,'YTD Sales'!$M:$M,Brokerage!I$4)+SUMIFS('YTD Purchases'!$H:$H,'YTD Purchases'!$C:$C,Brokerage!$B23,'YTD Purchases'!$G:$G,Brokerage!I$4)</f>
        <v>0</v>
      </c>
      <c r="J23" s="857">
        <f>SUMIFS('YTD Sales'!$N:$N,'YTD Sales'!$B:$B,Brokerage!$B23,'YTD Sales'!$M:$M,Brokerage!J$4)+SUMIFS('YTD Purchases'!$H:$H,'YTD Purchases'!$C:$C,Brokerage!$B23,'YTD Purchases'!$G:$G,Brokerage!J$4)</f>
        <v>0</v>
      </c>
      <c r="K23" s="857">
        <f>SUMIFS('YTD Sales'!$N:$N,'YTD Sales'!$B:$B,Brokerage!$B23,'YTD Sales'!$M:$M,Brokerage!K$4)+SUMIFS('YTD Purchases'!$H:$H,'YTD Purchases'!$C:$C,Brokerage!$B23,'YTD Purchases'!$G:$G,Brokerage!K$4)</f>
        <v>0</v>
      </c>
      <c r="L23" s="857">
        <f>SUMIFS('YTD Sales'!$N:$N,'YTD Sales'!$B:$B,Brokerage!$B23,'YTD Sales'!$M:$M,Brokerage!L$4)+SUMIFS('YTD Purchases'!$H:$H,'YTD Purchases'!$C:$C,Brokerage!$B23,'YTD Purchases'!$G:$G,Brokerage!L$4)</f>
        <v>0</v>
      </c>
      <c r="M23" s="857">
        <f>SUMIFS('YTD Sales'!$N:$N,'YTD Sales'!$B:$B,Brokerage!$B23,'YTD Sales'!$M:$M,Brokerage!M$4)+SUMIFS('YTD Purchases'!$H:$H,'YTD Purchases'!$C:$C,Brokerage!$B23,'YTD Purchases'!$G:$G,Brokerage!M$4)</f>
        <v>0</v>
      </c>
      <c r="N23" s="857">
        <f>SUMIFS('YTD Sales'!$N:$N,'YTD Sales'!$B:$B,Brokerage!$B23,'YTD Sales'!$M:$M,Brokerage!N$4)+SUMIFS('YTD Purchases'!$H:$H,'YTD Purchases'!$C:$C,Brokerage!$B23,'YTD Purchases'!$G:$G,Brokerage!N$4)</f>
        <v>0</v>
      </c>
      <c r="O23" s="857">
        <f>SUMIFS('YTD Sales'!$N:$N,'YTD Sales'!$B:$B,Brokerage!$B23,'YTD Sales'!$M:$M,Brokerage!O$4)+SUMIFS('YTD Purchases'!$H:$H,'YTD Purchases'!$C:$C,Brokerage!$B23,'YTD Purchases'!$G:$G,Brokerage!O$4)</f>
        <v>0</v>
      </c>
      <c r="P23" s="857">
        <f>SUMIFS('YTD Sales'!$N:$N,'YTD Sales'!$B:$B,Brokerage!$B23,'YTD Sales'!$M:$M,Brokerage!P$4)+SUMIFS('YTD Purchases'!$H:$H,'YTD Purchases'!$C:$C,Brokerage!$B23,'YTD Purchases'!$G:$G,Brokerage!P$4)</f>
        <v>0</v>
      </c>
      <c r="Q23" s="857">
        <f>SUMIFS('YTD Sales'!$N:$N,'YTD Sales'!$B:$B,Brokerage!$B23,'YTD Sales'!$M:$M,Brokerage!Q$4)+SUMIFS('YTD Purchases'!$H:$H,'YTD Purchases'!$C:$C,Brokerage!$B23,'YTD Purchases'!$G:$G,Brokerage!Q$4)</f>
        <v>0</v>
      </c>
      <c r="R23" s="857">
        <f>SUMIFS('YTD Sales'!$N:$N,'YTD Sales'!$B:$B,Brokerage!$B23,'YTD Sales'!$M:$M,Brokerage!R$4)+SUMIFS('YTD Purchases'!$H:$H,'YTD Purchases'!$C:$C,Brokerage!$B23,'YTD Purchases'!$G:$G,Brokerage!R$4)</f>
        <v>0</v>
      </c>
      <c r="S23" s="857">
        <f>SUMIFS('YTD Sales'!$N:$N,'YTD Sales'!$B:$B,Brokerage!$B23,'YTD Sales'!$M:$M,Brokerage!S$4)+SUMIFS('YTD Purchases'!$H:$H,'YTD Purchases'!$C:$C,Brokerage!$B23,'YTD Purchases'!$G:$G,Brokerage!S$4)</f>
        <v>0</v>
      </c>
      <c r="T23" s="857">
        <f>SUMIFS('YTD Sales'!$N:$N,'YTD Sales'!$B:$B,Brokerage!$B23,'YTD Sales'!$M:$M,Brokerage!T$4)+SUMIFS('YTD Purchases'!$H:$H,'YTD Purchases'!$C:$C,Brokerage!$B23,'YTD Purchases'!$G:$G,Brokerage!T$4)</f>
        <v>0</v>
      </c>
      <c r="U23" s="857">
        <f>SUMIFS('YTD Sales'!$N:$N,'YTD Sales'!$B:$B,Brokerage!$B23,'YTD Sales'!$M:$M,Brokerage!U$4)+SUMIFS('YTD Purchases'!$H:$H,'YTD Purchases'!$C:$C,Brokerage!$B23,'YTD Purchases'!$G:$G,Brokerage!U$4)</f>
        <v>0</v>
      </c>
      <c r="V23" s="857">
        <f>SUMIFS('YTD Sales'!$N:$N,'YTD Sales'!$B:$B,Brokerage!$B23,'YTD Sales'!$M:$M,Brokerage!V$4)+SUMIFS('YTD Purchases'!$H:$H,'YTD Purchases'!$C:$C,Brokerage!$B23,'YTD Purchases'!$G:$G,Brokerage!V$4)</f>
        <v>0</v>
      </c>
      <c r="W23" s="857">
        <f>SUMIFS('YTD Sales'!$N:$N,'YTD Sales'!$B:$B,Brokerage!$B23,'YTD Sales'!$M:$M,Brokerage!W$4)+SUMIFS('YTD Purchases'!$H:$H,'YTD Purchases'!$C:$C,Brokerage!$B23,'YTD Purchases'!$G:$G,Brokerage!W$4)</f>
        <v>0</v>
      </c>
      <c r="X23" s="857">
        <f>SUMIFS('YTD Sales'!$N:$N,'YTD Sales'!$B:$B,Brokerage!$B23,'YTD Sales'!$M:$M,Brokerage!X$4)+SUMIFS('YTD Purchases'!$H:$H,'YTD Purchases'!$C:$C,Brokerage!$B23,'YTD Purchases'!$G:$G,Brokerage!X$4)</f>
        <v>0</v>
      </c>
      <c r="Y23" s="857">
        <f>SUMIFS('YTD Sales'!$N:$N,'YTD Sales'!$B:$B,Brokerage!$B23,'YTD Sales'!$M:$M,Brokerage!Y$4)+SUMIFS('YTD Purchases'!$H:$H,'YTD Purchases'!$C:$C,Brokerage!$B23,'YTD Purchases'!$G:$G,Brokerage!Y$4)</f>
        <v>0</v>
      </c>
      <c r="Z23" s="857">
        <f>SUMIFS('YTD Sales'!$N:$N,'YTD Sales'!$B:$B,Brokerage!$B23,'YTD Sales'!$M:$M,Brokerage!Z$4)+SUMIFS('YTD Purchases'!$H:$H,'YTD Purchases'!$C:$C,Brokerage!$B23,'YTD Purchases'!$G:$G,Brokerage!Z$4)</f>
        <v>0</v>
      </c>
      <c r="AA23" s="857">
        <f>SUMIFS('YTD Sales'!$N:$N,'YTD Sales'!$B:$B,Brokerage!$B23,'YTD Sales'!$M:$M,Brokerage!AA$4)+SUMIFS('YTD Purchases'!$H:$H,'YTD Purchases'!$C:$C,Brokerage!$B23,'YTD Purchases'!$G:$G,Brokerage!AA$4)</f>
        <v>0</v>
      </c>
      <c r="AB23" s="857">
        <f>SUMIFS('YTD Sales'!$N:$N,'YTD Sales'!$B:$B,Brokerage!$B23,'YTD Sales'!$M:$M,Brokerage!AB$4)+SUMIFS('YTD Purchases'!$H:$H,'YTD Purchases'!$C:$C,Brokerage!$B23,'YTD Purchases'!$G:$G,Brokerage!AB$4)</f>
        <v>0</v>
      </c>
      <c r="AC23" s="857">
        <f>SUMIFS('YTD Sales'!$N:$N,'YTD Sales'!$B:$B,Brokerage!$B23,'YTD Sales'!$M:$M,Brokerage!AC$4)+SUMIFS('YTD Purchases'!$H:$H,'YTD Purchases'!$C:$C,Brokerage!$B23,'YTD Purchases'!$G:$G,Brokerage!AC$4)</f>
        <v>0</v>
      </c>
      <c r="AD23" s="857">
        <f>+SUMIFS(PIB!AG:AG,PIB!AF:AF,Brokerage!AD$4,PIB!AA:AA,Brokerage!$B23)+SUMIFS('T-Bills'!AB:AB,'T-Bills'!AA:AA,Brokerage!AD$4,'T-Bills'!V:V,Brokerage!$B23)</f>
        <v>0</v>
      </c>
      <c r="AE23" s="857">
        <f>+SUMIFS(PIB!AH:AH,PIB!AG:AG,Brokerage!AE$4,PIB!AB:AB,Brokerage!$B23)+SUMIFS('T-Bills'!AC:AC,'T-Bills'!AB:AB,Brokerage!AE$4,'T-Bills'!W:W,Brokerage!$B23)</f>
        <v>0</v>
      </c>
      <c r="AF23" s="857">
        <f>+SUMIFS(PIB!AI:AI,PIB!AH:AH,Brokerage!AF$4,PIB!AC:AC,Brokerage!$B23)+SUMIFS('T-Bills'!AD:AD,'T-Bills'!AC:AC,Brokerage!AF$4,'T-Bills'!X:X,Brokerage!$B23)</f>
        <v>0</v>
      </c>
      <c r="AG23" s="857">
        <f t="shared" si="3"/>
        <v>0</v>
      </c>
      <c r="AH23" s="858">
        <f t="shared" si="4"/>
        <v>0</v>
      </c>
    </row>
    <row r="24" spans="2:34" x14ac:dyDescent="0.15">
      <c r="B24" s="661">
        <f t="shared" si="2"/>
        <v>44580</v>
      </c>
      <c r="C24" s="857">
        <f>SUMIFS('YTD Sales'!$N:$N,'YTD Sales'!$B:$B,Brokerage!$B24,'YTD Sales'!$M:$M,Brokerage!C$4)+SUMIFS('YTD Purchases'!$H:$H,'YTD Purchases'!$C:$C,Brokerage!$B24,'YTD Purchases'!$G:$G,Brokerage!C$4)</f>
        <v>0</v>
      </c>
      <c r="D24" s="857">
        <f>SUMIFS('YTD Sales'!$N:$N,'YTD Sales'!$B:$B,Brokerage!$B24,'YTD Sales'!$M:$M,Brokerage!D$4)+SUMIFS('YTD Purchases'!$H:$H,'YTD Purchases'!$C:$C,Brokerage!$B24,'YTD Purchases'!$G:$G,Brokerage!D$4)</f>
        <v>0</v>
      </c>
      <c r="E24" s="857">
        <f>SUMIFS('YTD Sales'!$N:$N,'YTD Sales'!$B:$B,Brokerage!$B24,'YTD Sales'!$M:$M,Brokerage!E$4)+SUMIFS('YTD Purchases'!$H:$H,'YTD Purchases'!$C:$C,Brokerage!$B24,'YTD Purchases'!$G:$G,Brokerage!E$4)</f>
        <v>0</v>
      </c>
      <c r="F24" s="857">
        <f>SUMIFS('YTD Sales'!$N:$N,'YTD Sales'!$B:$B,Brokerage!$B24,'YTD Sales'!$M:$M,Brokerage!F$4)+SUMIFS('YTD Purchases'!$H:$H,'YTD Purchases'!$C:$C,Brokerage!$B24,'YTD Purchases'!$G:$G,Brokerage!F$4)</f>
        <v>0</v>
      </c>
      <c r="G24" s="857">
        <f>SUMIFS('YTD Sales'!$N:$N,'YTD Sales'!$B:$B,Brokerage!$B24,'YTD Sales'!$M:$M,Brokerage!G$4)+SUMIFS('YTD Purchases'!$H:$H,'YTD Purchases'!$C:$C,Brokerage!$B24,'YTD Purchases'!$G:$G,Brokerage!G$4)</f>
        <v>0</v>
      </c>
      <c r="H24" s="857">
        <f>SUMIFS('YTD Sales'!$N:$N,'YTD Sales'!$B:$B,Brokerage!$B24,'YTD Sales'!$M:$M,Brokerage!H$4)+SUMIFS('YTD Purchases'!$H:$H,'YTD Purchases'!$C:$C,Brokerage!$B24,'YTD Purchases'!$G:$G,Brokerage!H$4)</f>
        <v>0</v>
      </c>
      <c r="I24" s="857">
        <f>SUMIFS('YTD Sales'!$N:$N,'YTD Sales'!$B:$B,Brokerage!$B24,'YTD Sales'!$M:$M,Brokerage!I$4)+SUMIFS('YTD Purchases'!$H:$H,'YTD Purchases'!$C:$C,Brokerage!$B24,'YTD Purchases'!$G:$G,Brokerage!I$4)</f>
        <v>0</v>
      </c>
      <c r="J24" s="857">
        <f>SUMIFS('YTD Sales'!$N:$N,'YTD Sales'!$B:$B,Brokerage!$B24,'YTD Sales'!$M:$M,Brokerage!J$4)+SUMIFS('YTD Purchases'!$H:$H,'YTD Purchases'!$C:$C,Brokerage!$B24,'YTD Purchases'!$G:$G,Brokerage!J$4)</f>
        <v>0</v>
      </c>
      <c r="K24" s="857">
        <f>SUMIFS('YTD Sales'!$N:$N,'YTD Sales'!$B:$B,Brokerage!$B24,'YTD Sales'!$M:$M,Brokerage!K$4)+SUMIFS('YTD Purchases'!$H:$H,'YTD Purchases'!$C:$C,Brokerage!$B24,'YTD Purchases'!$G:$G,Brokerage!K$4)</f>
        <v>0</v>
      </c>
      <c r="L24" s="857">
        <f>SUMIFS('YTD Sales'!$N:$N,'YTD Sales'!$B:$B,Brokerage!$B24,'YTD Sales'!$M:$M,Brokerage!L$4)+SUMIFS('YTD Purchases'!$H:$H,'YTD Purchases'!$C:$C,Brokerage!$B24,'YTD Purchases'!$G:$G,Brokerage!L$4)</f>
        <v>0</v>
      </c>
      <c r="M24" s="857">
        <f>SUMIFS('YTD Sales'!$N:$N,'YTD Sales'!$B:$B,Brokerage!$B24,'YTD Sales'!$M:$M,Brokerage!M$4)+SUMIFS('YTD Purchases'!$H:$H,'YTD Purchases'!$C:$C,Brokerage!$B24,'YTD Purchases'!$G:$G,Brokerage!M$4)</f>
        <v>0</v>
      </c>
      <c r="N24" s="857">
        <f>SUMIFS('YTD Sales'!$N:$N,'YTD Sales'!$B:$B,Brokerage!$B24,'YTD Sales'!$M:$M,Brokerage!N$4)+SUMIFS('YTD Purchases'!$H:$H,'YTD Purchases'!$C:$C,Brokerage!$B24,'YTD Purchases'!$G:$G,Brokerage!N$4)</f>
        <v>0</v>
      </c>
      <c r="O24" s="857">
        <f>SUMIFS('YTD Sales'!$N:$N,'YTD Sales'!$B:$B,Brokerage!$B24,'YTD Sales'!$M:$M,Brokerage!O$4)+SUMIFS('YTD Purchases'!$H:$H,'YTD Purchases'!$C:$C,Brokerage!$B24,'YTD Purchases'!$G:$G,Brokerage!O$4)</f>
        <v>0</v>
      </c>
      <c r="P24" s="857">
        <f>SUMIFS('YTD Sales'!$N:$N,'YTD Sales'!$B:$B,Brokerage!$B24,'YTD Sales'!$M:$M,Brokerage!P$4)+SUMIFS('YTD Purchases'!$H:$H,'YTD Purchases'!$C:$C,Brokerage!$B24,'YTD Purchases'!$G:$G,Brokerage!P$4)</f>
        <v>0</v>
      </c>
      <c r="Q24" s="857">
        <f>SUMIFS('YTD Sales'!$N:$N,'YTD Sales'!$B:$B,Brokerage!$B24,'YTD Sales'!$M:$M,Brokerage!Q$4)+SUMIFS('YTD Purchases'!$H:$H,'YTD Purchases'!$C:$C,Brokerage!$B24,'YTD Purchases'!$G:$G,Brokerage!Q$4)</f>
        <v>0</v>
      </c>
      <c r="R24" s="857">
        <f>SUMIFS('YTD Sales'!$N:$N,'YTD Sales'!$B:$B,Brokerage!$B24,'YTD Sales'!$M:$M,Brokerage!R$4)+SUMIFS('YTD Purchases'!$H:$H,'YTD Purchases'!$C:$C,Brokerage!$B24,'YTD Purchases'!$G:$G,Brokerage!R$4)</f>
        <v>0</v>
      </c>
      <c r="S24" s="857">
        <f>SUMIFS('YTD Sales'!$N:$N,'YTD Sales'!$B:$B,Brokerage!$B24,'YTD Sales'!$M:$M,Brokerage!S$4)+SUMIFS('YTD Purchases'!$H:$H,'YTD Purchases'!$C:$C,Brokerage!$B24,'YTD Purchases'!$G:$G,Brokerage!S$4)</f>
        <v>0</v>
      </c>
      <c r="T24" s="857">
        <f>SUMIFS('YTD Sales'!$N:$N,'YTD Sales'!$B:$B,Brokerage!$B24,'YTD Sales'!$M:$M,Brokerage!T$4)+SUMIFS('YTD Purchases'!$H:$H,'YTD Purchases'!$C:$C,Brokerage!$B24,'YTD Purchases'!$G:$G,Brokerage!T$4)</f>
        <v>0</v>
      </c>
      <c r="U24" s="857">
        <f>SUMIFS('YTD Sales'!$N:$N,'YTD Sales'!$B:$B,Brokerage!$B24,'YTD Sales'!$M:$M,Brokerage!U$4)+SUMIFS('YTD Purchases'!$H:$H,'YTD Purchases'!$C:$C,Brokerage!$B24,'YTD Purchases'!$G:$G,Brokerage!U$4)</f>
        <v>0</v>
      </c>
      <c r="V24" s="857">
        <f>SUMIFS('YTD Sales'!$N:$N,'YTD Sales'!$B:$B,Brokerage!$B24,'YTD Sales'!$M:$M,Brokerage!V$4)+SUMIFS('YTD Purchases'!$H:$H,'YTD Purchases'!$C:$C,Brokerage!$B24,'YTD Purchases'!$G:$G,Brokerage!V$4)</f>
        <v>0</v>
      </c>
      <c r="W24" s="857">
        <f>SUMIFS('YTD Sales'!$N:$N,'YTD Sales'!$B:$B,Brokerage!$B24,'YTD Sales'!$M:$M,Brokerage!W$4)+SUMIFS('YTD Purchases'!$H:$H,'YTD Purchases'!$C:$C,Brokerage!$B24,'YTD Purchases'!$G:$G,Brokerage!W$4)</f>
        <v>0</v>
      </c>
      <c r="X24" s="857">
        <f>SUMIFS('YTD Sales'!$N:$N,'YTD Sales'!$B:$B,Brokerage!$B24,'YTD Sales'!$M:$M,Brokerage!X$4)+SUMIFS('YTD Purchases'!$H:$H,'YTD Purchases'!$C:$C,Brokerage!$B24,'YTD Purchases'!$G:$G,Brokerage!X$4)</f>
        <v>0</v>
      </c>
      <c r="Y24" s="857">
        <f>SUMIFS('YTD Sales'!$N:$N,'YTD Sales'!$B:$B,Brokerage!$B24,'YTD Sales'!$M:$M,Brokerage!Y$4)+SUMIFS('YTD Purchases'!$H:$H,'YTD Purchases'!$C:$C,Brokerage!$B24,'YTD Purchases'!$G:$G,Brokerage!Y$4)</f>
        <v>0</v>
      </c>
      <c r="Z24" s="857">
        <f>SUMIFS('YTD Sales'!$N:$N,'YTD Sales'!$B:$B,Brokerage!$B24,'YTD Sales'!$M:$M,Brokerage!Z$4)+SUMIFS('YTD Purchases'!$H:$H,'YTD Purchases'!$C:$C,Brokerage!$B24,'YTD Purchases'!$G:$G,Brokerage!Z$4)</f>
        <v>0</v>
      </c>
      <c r="AA24" s="857">
        <f>SUMIFS('YTD Sales'!$N:$N,'YTD Sales'!$B:$B,Brokerage!$B24,'YTD Sales'!$M:$M,Brokerage!AA$4)+SUMIFS('YTD Purchases'!$H:$H,'YTD Purchases'!$C:$C,Brokerage!$B24,'YTD Purchases'!$G:$G,Brokerage!AA$4)</f>
        <v>0</v>
      </c>
      <c r="AB24" s="857">
        <f>SUMIFS('YTD Sales'!$N:$N,'YTD Sales'!$B:$B,Brokerage!$B24,'YTD Sales'!$M:$M,Brokerage!AB$4)+SUMIFS('YTD Purchases'!$H:$H,'YTD Purchases'!$C:$C,Brokerage!$B24,'YTD Purchases'!$G:$G,Brokerage!AB$4)</f>
        <v>0</v>
      </c>
      <c r="AC24" s="857">
        <f>SUMIFS('YTD Sales'!$N:$N,'YTD Sales'!$B:$B,Brokerage!$B24,'YTD Sales'!$M:$M,Brokerage!AC$4)+SUMIFS('YTD Purchases'!$H:$H,'YTD Purchases'!$C:$C,Brokerage!$B24,'YTD Purchases'!$G:$G,Brokerage!AC$4)</f>
        <v>0</v>
      </c>
      <c r="AD24" s="857">
        <f>+SUMIFS(PIB!AG:AG,PIB!AF:AF,Brokerage!AD$4,PIB!AA:AA,Brokerage!$B24)+SUMIFS('T-Bills'!AB:AB,'T-Bills'!AA:AA,Brokerage!AD$4,'T-Bills'!V:V,Brokerage!$B24)</f>
        <v>0</v>
      </c>
      <c r="AE24" s="857">
        <f>+SUMIFS(PIB!AH:AH,PIB!AG:AG,Brokerage!AE$4,PIB!AB:AB,Brokerage!$B24)+SUMIFS('T-Bills'!AC:AC,'T-Bills'!AB:AB,Brokerage!AE$4,'T-Bills'!W:W,Brokerage!$B24)</f>
        <v>0</v>
      </c>
      <c r="AF24" s="857">
        <f>+SUMIFS(PIB!AI:AI,PIB!AH:AH,Brokerage!AF$4,PIB!AC:AC,Brokerage!$B24)+SUMIFS('T-Bills'!AD:AD,'T-Bills'!AC:AC,Brokerage!AF$4,'T-Bills'!X:X,Brokerage!$B24)</f>
        <v>0</v>
      </c>
      <c r="AG24" s="857">
        <f t="shared" si="3"/>
        <v>0</v>
      </c>
      <c r="AH24" s="858">
        <f t="shared" si="4"/>
        <v>0</v>
      </c>
    </row>
    <row r="25" spans="2:34" x14ac:dyDescent="0.15">
      <c r="B25" s="661">
        <f t="shared" si="2"/>
        <v>44581</v>
      </c>
      <c r="C25" s="857">
        <f>SUMIFS('YTD Sales'!$N:$N,'YTD Sales'!$B:$B,Brokerage!$B25,'YTD Sales'!$M:$M,Brokerage!C$4)+SUMIFS('YTD Purchases'!$H:$H,'YTD Purchases'!$C:$C,Brokerage!$B25,'YTD Purchases'!$G:$G,Brokerage!C$4)</f>
        <v>0</v>
      </c>
      <c r="D25" s="857">
        <f>SUMIFS('YTD Sales'!$N:$N,'YTD Sales'!$B:$B,Brokerage!$B25,'YTD Sales'!$M:$M,Brokerage!D$4)+SUMIFS('YTD Purchases'!$H:$H,'YTD Purchases'!$C:$C,Brokerage!$B25,'YTD Purchases'!$G:$G,Brokerage!D$4)</f>
        <v>0</v>
      </c>
      <c r="E25" s="857">
        <f>SUMIFS('YTD Sales'!$N:$N,'YTD Sales'!$B:$B,Brokerage!$B25,'YTD Sales'!$M:$M,Brokerage!E$4)+SUMIFS('YTD Purchases'!$H:$H,'YTD Purchases'!$C:$C,Brokerage!$B25,'YTD Purchases'!$G:$G,Brokerage!E$4)</f>
        <v>0</v>
      </c>
      <c r="F25" s="857">
        <f>SUMIFS('YTD Sales'!$N:$N,'YTD Sales'!$B:$B,Brokerage!$B25,'YTD Sales'!$M:$M,Brokerage!F$4)+SUMIFS('YTD Purchases'!$H:$H,'YTD Purchases'!$C:$C,Brokerage!$B25,'YTD Purchases'!$G:$G,Brokerage!F$4)</f>
        <v>0</v>
      </c>
      <c r="G25" s="857">
        <f>SUMIFS('YTD Sales'!$N:$N,'YTD Sales'!$B:$B,Brokerage!$B25,'YTD Sales'!$M:$M,Brokerage!G$4)+SUMIFS('YTD Purchases'!$H:$H,'YTD Purchases'!$C:$C,Brokerage!$B25,'YTD Purchases'!$G:$G,Brokerage!G$4)</f>
        <v>0</v>
      </c>
      <c r="H25" s="857">
        <f>SUMIFS('YTD Sales'!$N:$N,'YTD Sales'!$B:$B,Brokerage!$B25,'YTD Sales'!$M:$M,Brokerage!H$4)+SUMIFS('YTD Purchases'!$H:$H,'YTD Purchases'!$C:$C,Brokerage!$B25,'YTD Purchases'!$G:$G,Brokerage!H$4)</f>
        <v>0</v>
      </c>
      <c r="I25" s="857">
        <f>SUMIFS('YTD Sales'!$N:$N,'YTD Sales'!$B:$B,Brokerage!$B25,'YTD Sales'!$M:$M,Brokerage!I$4)+SUMIFS('YTD Purchases'!$H:$H,'YTD Purchases'!$C:$C,Brokerage!$B25,'YTD Purchases'!$G:$G,Brokerage!I$4)</f>
        <v>0</v>
      </c>
      <c r="J25" s="857">
        <f>SUMIFS('YTD Sales'!$N:$N,'YTD Sales'!$B:$B,Brokerage!$B25,'YTD Sales'!$M:$M,Brokerage!J$4)+SUMIFS('YTD Purchases'!$H:$H,'YTD Purchases'!$C:$C,Brokerage!$B25,'YTD Purchases'!$G:$G,Brokerage!J$4)</f>
        <v>0</v>
      </c>
      <c r="K25" s="857">
        <f>SUMIFS('YTD Sales'!$N:$N,'YTD Sales'!$B:$B,Brokerage!$B25,'YTD Sales'!$M:$M,Brokerage!K$4)+SUMIFS('YTD Purchases'!$H:$H,'YTD Purchases'!$C:$C,Brokerage!$B25,'YTD Purchases'!$G:$G,Brokerage!K$4)</f>
        <v>0</v>
      </c>
      <c r="L25" s="857">
        <f>SUMIFS('YTD Sales'!$N:$N,'YTD Sales'!$B:$B,Brokerage!$B25,'YTD Sales'!$M:$M,Brokerage!L$4)+SUMIFS('YTD Purchases'!$H:$H,'YTD Purchases'!$C:$C,Brokerage!$B25,'YTD Purchases'!$G:$G,Brokerage!L$4)</f>
        <v>0</v>
      </c>
      <c r="M25" s="857">
        <f>SUMIFS('YTD Sales'!$N:$N,'YTD Sales'!$B:$B,Brokerage!$B25,'YTD Sales'!$M:$M,Brokerage!M$4)+SUMIFS('YTD Purchases'!$H:$H,'YTD Purchases'!$C:$C,Brokerage!$B25,'YTD Purchases'!$G:$G,Brokerage!M$4)</f>
        <v>0</v>
      </c>
      <c r="N25" s="857">
        <f>SUMIFS('YTD Sales'!$N:$N,'YTD Sales'!$B:$B,Brokerage!$B25,'YTD Sales'!$M:$M,Brokerage!N$4)+SUMIFS('YTD Purchases'!$H:$H,'YTD Purchases'!$C:$C,Brokerage!$B25,'YTD Purchases'!$G:$G,Brokerage!N$4)</f>
        <v>0</v>
      </c>
      <c r="O25" s="857">
        <f>SUMIFS('YTD Sales'!$N:$N,'YTD Sales'!$B:$B,Brokerage!$B25,'YTD Sales'!$M:$M,Brokerage!O$4)+SUMIFS('YTD Purchases'!$H:$H,'YTD Purchases'!$C:$C,Brokerage!$B25,'YTD Purchases'!$G:$G,Brokerage!O$4)</f>
        <v>0</v>
      </c>
      <c r="P25" s="857">
        <f>SUMIFS('YTD Sales'!$N:$N,'YTD Sales'!$B:$B,Brokerage!$B25,'YTD Sales'!$M:$M,Brokerage!P$4)+SUMIFS('YTD Purchases'!$H:$H,'YTD Purchases'!$C:$C,Brokerage!$B25,'YTD Purchases'!$G:$G,Brokerage!P$4)</f>
        <v>0</v>
      </c>
      <c r="Q25" s="857">
        <f>SUMIFS('YTD Sales'!$N:$N,'YTD Sales'!$B:$B,Brokerage!$B25,'YTD Sales'!$M:$M,Brokerage!Q$4)+SUMIFS('YTD Purchases'!$H:$H,'YTD Purchases'!$C:$C,Brokerage!$B25,'YTD Purchases'!$G:$G,Brokerage!Q$4)</f>
        <v>0</v>
      </c>
      <c r="R25" s="857">
        <f>SUMIFS('YTD Sales'!$N:$N,'YTD Sales'!$B:$B,Brokerage!$B25,'YTD Sales'!$M:$M,Brokerage!R$4)+SUMIFS('YTD Purchases'!$H:$H,'YTD Purchases'!$C:$C,Brokerage!$B25,'YTD Purchases'!$G:$G,Brokerage!R$4)</f>
        <v>0</v>
      </c>
      <c r="S25" s="857">
        <f>SUMIFS('YTD Sales'!$N:$N,'YTD Sales'!$B:$B,Brokerage!$B25,'YTD Sales'!$M:$M,Brokerage!S$4)+SUMIFS('YTD Purchases'!$H:$H,'YTD Purchases'!$C:$C,Brokerage!$B25,'YTD Purchases'!$G:$G,Brokerage!S$4)</f>
        <v>0</v>
      </c>
      <c r="T25" s="857">
        <f>SUMIFS('YTD Sales'!$N:$N,'YTD Sales'!$B:$B,Brokerage!$B25,'YTD Sales'!$M:$M,Brokerage!T$4)+SUMIFS('YTD Purchases'!$H:$H,'YTD Purchases'!$C:$C,Brokerage!$B25,'YTD Purchases'!$G:$G,Brokerage!T$4)</f>
        <v>0</v>
      </c>
      <c r="U25" s="857">
        <f>SUMIFS('YTD Sales'!$N:$N,'YTD Sales'!$B:$B,Brokerage!$B25,'YTD Sales'!$M:$M,Brokerage!U$4)+SUMIFS('YTD Purchases'!$H:$H,'YTD Purchases'!$C:$C,Brokerage!$B25,'YTD Purchases'!$G:$G,Brokerage!U$4)</f>
        <v>0</v>
      </c>
      <c r="V25" s="857">
        <f>SUMIFS('YTD Sales'!$N:$N,'YTD Sales'!$B:$B,Brokerage!$B25,'YTD Sales'!$M:$M,Brokerage!V$4)+SUMIFS('YTD Purchases'!$H:$H,'YTD Purchases'!$C:$C,Brokerage!$B25,'YTD Purchases'!$G:$G,Brokerage!V$4)</f>
        <v>0</v>
      </c>
      <c r="W25" s="857">
        <f>SUMIFS('YTD Sales'!$N:$N,'YTD Sales'!$B:$B,Brokerage!$B25,'YTD Sales'!$M:$M,Brokerage!W$4)+SUMIFS('YTD Purchases'!$H:$H,'YTD Purchases'!$C:$C,Brokerage!$B25,'YTD Purchases'!$G:$G,Brokerage!W$4)</f>
        <v>0</v>
      </c>
      <c r="X25" s="857">
        <f>SUMIFS('YTD Sales'!$N:$N,'YTD Sales'!$B:$B,Brokerage!$B25,'YTD Sales'!$M:$M,Brokerage!X$4)+SUMIFS('YTD Purchases'!$H:$H,'YTD Purchases'!$C:$C,Brokerage!$B25,'YTD Purchases'!$G:$G,Brokerage!X$4)</f>
        <v>0</v>
      </c>
      <c r="Y25" s="857">
        <f>SUMIFS('YTD Sales'!$N:$N,'YTD Sales'!$B:$B,Brokerage!$B25,'YTD Sales'!$M:$M,Brokerage!Y$4)+SUMIFS('YTD Purchases'!$H:$H,'YTD Purchases'!$C:$C,Brokerage!$B25,'YTD Purchases'!$G:$G,Brokerage!Y$4)</f>
        <v>0</v>
      </c>
      <c r="Z25" s="857">
        <f>SUMIFS('YTD Sales'!$N:$N,'YTD Sales'!$B:$B,Brokerage!$B25,'YTD Sales'!$M:$M,Brokerage!Z$4)+SUMIFS('YTD Purchases'!$H:$H,'YTD Purchases'!$C:$C,Brokerage!$B25,'YTD Purchases'!$G:$G,Brokerage!Z$4)</f>
        <v>0</v>
      </c>
      <c r="AA25" s="857">
        <f>SUMIFS('YTD Sales'!$N:$N,'YTD Sales'!$B:$B,Brokerage!$B25,'YTD Sales'!$M:$M,Brokerage!AA$4)+SUMIFS('YTD Purchases'!$H:$H,'YTD Purchases'!$C:$C,Brokerage!$B25,'YTD Purchases'!$G:$G,Brokerage!AA$4)</f>
        <v>0</v>
      </c>
      <c r="AB25" s="857">
        <f>SUMIFS('YTD Sales'!$N:$N,'YTD Sales'!$B:$B,Brokerage!$B25,'YTD Sales'!$M:$M,Brokerage!AB$4)+SUMIFS('YTD Purchases'!$H:$H,'YTD Purchases'!$C:$C,Brokerage!$B25,'YTD Purchases'!$G:$G,Brokerage!AB$4)</f>
        <v>0</v>
      </c>
      <c r="AC25" s="857">
        <f>SUMIFS('YTD Sales'!$N:$N,'YTD Sales'!$B:$B,Brokerage!$B25,'YTD Sales'!$M:$M,Brokerage!AC$4)+SUMIFS('YTD Purchases'!$H:$H,'YTD Purchases'!$C:$C,Brokerage!$B25,'YTD Purchases'!$G:$G,Brokerage!AC$4)</f>
        <v>0</v>
      </c>
      <c r="AD25" s="857">
        <f>+SUMIFS(PIB!AG:AG,PIB!AF:AF,Brokerage!AD$4,PIB!AA:AA,Brokerage!$B25)+SUMIFS('T-Bills'!AB:AB,'T-Bills'!AA:AA,Brokerage!AD$4,'T-Bills'!V:V,Brokerage!$B25)</f>
        <v>0</v>
      </c>
      <c r="AE25" s="857">
        <f>+SUMIFS(PIB!AH:AH,PIB!AG:AG,Brokerage!AE$4,PIB!AB:AB,Brokerage!$B25)+SUMIFS('T-Bills'!AC:AC,'T-Bills'!AB:AB,Brokerage!AE$4,'T-Bills'!W:W,Brokerage!$B25)</f>
        <v>0</v>
      </c>
      <c r="AF25" s="857">
        <f>+SUMIFS(PIB!AI:AI,PIB!AH:AH,Brokerage!AF$4,PIB!AC:AC,Brokerage!$B25)+SUMIFS('T-Bills'!AD:AD,'T-Bills'!AC:AC,Brokerage!AF$4,'T-Bills'!X:X,Brokerage!$B25)</f>
        <v>0</v>
      </c>
      <c r="AG25" s="857">
        <f t="shared" si="3"/>
        <v>0</v>
      </c>
      <c r="AH25" s="858">
        <f t="shared" ref="AH25" si="5">ROUND((AG25*1.5%)/365,0)</f>
        <v>0</v>
      </c>
    </row>
    <row r="26" spans="2:34" x14ac:dyDescent="0.15">
      <c r="B26" s="661">
        <f t="shared" si="2"/>
        <v>44582</v>
      </c>
      <c r="C26" s="857">
        <f>SUMIFS('YTD Sales'!$N:$N,'YTD Sales'!$B:$B,Brokerage!$B26,'YTD Sales'!$M:$M,Brokerage!C$4)+SUMIFS('YTD Purchases'!$H:$H,'YTD Purchases'!$C:$C,Brokerage!$B26,'YTD Purchases'!$G:$G,Brokerage!C$4)</f>
        <v>0</v>
      </c>
      <c r="D26" s="857">
        <f>SUMIFS('YTD Sales'!$N:$N,'YTD Sales'!$B:$B,Brokerage!$B26,'YTD Sales'!$M:$M,Brokerage!D$4)+SUMIFS('YTD Purchases'!$H:$H,'YTD Purchases'!$C:$C,Brokerage!$B26,'YTD Purchases'!$G:$G,Brokerage!D$4)</f>
        <v>0</v>
      </c>
      <c r="E26" s="857">
        <f>SUMIFS('YTD Sales'!$N:$N,'YTD Sales'!$B:$B,Brokerage!$B26,'YTD Sales'!$M:$M,Brokerage!E$4)+SUMIFS('YTD Purchases'!$H:$H,'YTD Purchases'!$C:$C,Brokerage!$B26,'YTD Purchases'!$G:$G,Brokerage!E$4)</f>
        <v>0</v>
      </c>
      <c r="F26" s="857">
        <f>SUMIFS('YTD Sales'!$N:$N,'YTD Sales'!$B:$B,Brokerage!$B26,'YTD Sales'!$M:$M,Brokerage!F$4)+SUMIFS('YTD Purchases'!$H:$H,'YTD Purchases'!$C:$C,Brokerage!$B26,'YTD Purchases'!$G:$G,Brokerage!F$4)</f>
        <v>0</v>
      </c>
      <c r="G26" s="857">
        <f>SUMIFS('YTD Sales'!$N:$N,'YTD Sales'!$B:$B,Brokerage!$B26,'YTD Sales'!$M:$M,Brokerage!G$4)+SUMIFS('YTD Purchases'!$H:$H,'YTD Purchases'!$C:$C,Brokerage!$B26,'YTD Purchases'!$G:$G,Brokerage!G$4)</f>
        <v>0</v>
      </c>
      <c r="H26" s="857">
        <f>SUMIFS('YTD Sales'!$N:$N,'YTD Sales'!$B:$B,Brokerage!$B26,'YTD Sales'!$M:$M,Brokerage!H$4)+SUMIFS('YTD Purchases'!$H:$H,'YTD Purchases'!$C:$C,Brokerage!$B26,'YTD Purchases'!$G:$G,Brokerage!H$4)</f>
        <v>0</v>
      </c>
      <c r="I26" s="857">
        <f>SUMIFS('YTD Sales'!$N:$N,'YTD Sales'!$B:$B,Brokerage!$B26,'YTD Sales'!$M:$M,Brokerage!I$4)+SUMIFS('YTD Purchases'!$H:$H,'YTD Purchases'!$C:$C,Brokerage!$B26,'YTD Purchases'!$G:$G,Brokerage!I$4)</f>
        <v>0</v>
      </c>
      <c r="J26" s="857">
        <f>SUMIFS('YTD Sales'!$N:$N,'YTD Sales'!$B:$B,Brokerage!$B26,'YTD Sales'!$M:$M,Brokerage!J$4)+SUMIFS('YTD Purchases'!$H:$H,'YTD Purchases'!$C:$C,Brokerage!$B26,'YTD Purchases'!$G:$G,Brokerage!J$4)</f>
        <v>0</v>
      </c>
      <c r="K26" s="857">
        <f>SUMIFS('YTD Sales'!$N:$N,'YTD Sales'!$B:$B,Brokerage!$B26,'YTD Sales'!$M:$M,Brokerage!K$4)+SUMIFS('YTD Purchases'!$H:$H,'YTD Purchases'!$C:$C,Brokerage!$B26,'YTD Purchases'!$G:$G,Brokerage!K$4)</f>
        <v>0</v>
      </c>
      <c r="L26" s="857">
        <f>SUMIFS('YTD Sales'!$N:$N,'YTD Sales'!$B:$B,Brokerage!$B26,'YTD Sales'!$M:$M,Brokerage!L$4)+SUMIFS('YTD Purchases'!$H:$H,'YTD Purchases'!$C:$C,Brokerage!$B26,'YTD Purchases'!$G:$G,Brokerage!L$4)</f>
        <v>0</v>
      </c>
      <c r="M26" s="857">
        <f>SUMIFS('YTD Sales'!$N:$N,'YTD Sales'!$B:$B,Brokerage!$B26,'YTD Sales'!$M:$M,Brokerage!M$4)+SUMIFS('YTD Purchases'!$H:$H,'YTD Purchases'!$C:$C,Brokerage!$B26,'YTD Purchases'!$G:$G,Brokerage!M$4)</f>
        <v>0</v>
      </c>
      <c r="N26" s="857">
        <f>SUMIFS('YTD Sales'!$N:$N,'YTD Sales'!$B:$B,Brokerage!$B26,'YTD Sales'!$M:$M,Brokerage!N$4)+SUMIFS('YTD Purchases'!$H:$H,'YTD Purchases'!$C:$C,Brokerage!$B26,'YTD Purchases'!$G:$G,Brokerage!N$4)</f>
        <v>0</v>
      </c>
      <c r="O26" s="857">
        <f>SUMIFS('YTD Sales'!$N:$N,'YTD Sales'!$B:$B,Brokerage!$B26,'YTD Sales'!$M:$M,Brokerage!O$4)+SUMIFS('YTD Purchases'!$H:$H,'YTD Purchases'!$C:$C,Brokerage!$B26,'YTD Purchases'!$G:$G,Brokerage!O$4)</f>
        <v>0</v>
      </c>
      <c r="P26" s="857">
        <f>SUMIFS('YTD Sales'!$N:$N,'YTD Sales'!$B:$B,Brokerage!$B26,'YTD Sales'!$M:$M,Brokerage!P$4)+SUMIFS('YTD Purchases'!$H:$H,'YTD Purchases'!$C:$C,Brokerage!$B26,'YTD Purchases'!$G:$G,Brokerage!P$4)</f>
        <v>0</v>
      </c>
      <c r="Q26" s="857">
        <f>SUMIFS('YTD Sales'!$N:$N,'YTD Sales'!$B:$B,Brokerage!$B26,'YTD Sales'!$M:$M,Brokerage!Q$4)+SUMIFS('YTD Purchases'!$H:$H,'YTD Purchases'!$C:$C,Brokerage!$B26,'YTD Purchases'!$G:$G,Brokerage!Q$4)</f>
        <v>0</v>
      </c>
      <c r="R26" s="857">
        <f>SUMIFS('YTD Sales'!$N:$N,'YTD Sales'!$B:$B,Brokerage!$B26,'YTD Sales'!$M:$M,Brokerage!R$4)+SUMIFS('YTD Purchases'!$H:$H,'YTD Purchases'!$C:$C,Brokerage!$B26,'YTD Purchases'!$G:$G,Brokerage!R$4)</f>
        <v>0</v>
      </c>
      <c r="S26" s="857">
        <f>SUMIFS('YTD Sales'!$N:$N,'YTD Sales'!$B:$B,Brokerage!$B26,'YTD Sales'!$M:$M,Brokerage!S$4)+SUMIFS('YTD Purchases'!$H:$H,'YTD Purchases'!$C:$C,Brokerage!$B26,'YTD Purchases'!$G:$G,Brokerage!S$4)</f>
        <v>0</v>
      </c>
      <c r="T26" s="857">
        <f>SUMIFS('YTD Sales'!$N:$N,'YTD Sales'!$B:$B,Brokerage!$B26,'YTD Sales'!$M:$M,Brokerage!T$4)+SUMIFS('YTD Purchases'!$H:$H,'YTD Purchases'!$C:$C,Brokerage!$B26,'YTD Purchases'!$G:$G,Brokerage!T$4)</f>
        <v>0</v>
      </c>
      <c r="U26" s="857">
        <f>SUMIFS('YTD Sales'!$N:$N,'YTD Sales'!$B:$B,Brokerage!$B26,'YTD Sales'!$M:$M,Brokerage!U$4)+SUMIFS('YTD Purchases'!$H:$H,'YTD Purchases'!$C:$C,Brokerage!$B26,'YTD Purchases'!$G:$G,Brokerage!U$4)</f>
        <v>0</v>
      </c>
      <c r="V26" s="857">
        <f>SUMIFS('YTD Sales'!$N:$N,'YTD Sales'!$B:$B,Brokerage!$B26,'YTD Sales'!$M:$M,Brokerage!V$4)+SUMIFS('YTD Purchases'!$H:$H,'YTD Purchases'!$C:$C,Brokerage!$B26,'YTD Purchases'!$G:$G,Brokerage!V$4)</f>
        <v>0</v>
      </c>
      <c r="W26" s="857">
        <f>SUMIFS('YTD Sales'!$N:$N,'YTD Sales'!$B:$B,Brokerage!$B26,'YTD Sales'!$M:$M,Brokerage!W$4)+SUMIFS('YTD Purchases'!$H:$H,'YTD Purchases'!$C:$C,Brokerage!$B26,'YTD Purchases'!$G:$G,Brokerage!W$4)</f>
        <v>0</v>
      </c>
      <c r="X26" s="857">
        <f>SUMIFS('YTD Sales'!$N:$N,'YTD Sales'!$B:$B,Brokerage!$B26,'YTD Sales'!$M:$M,Brokerage!X$4)+SUMIFS('YTD Purchases'!$H:$H,'YTD Purchases'!$C:$C,Brokerage!$B26,'YTD Purchases'!$G:$G,Brokerage!X$4)</f>
        <v>0</v>
      </c>
      <c r="Y26" s="857">
        <f>SUMIFS('YTD Sales'!$N:$N,'YTD Sales'!$B:$B,Brokerage!$B26,'YTD Sales'!$M:$M,Brokerage!Y$4)+SUMIFS('YTD Purchases'!$H:$H,'YTD Purchases'!$C:$C,Brokerage!$B26,'YTD Purchases'!$G:$G,Brokerage!Y$4)</f>
        <v>0</v>
      </c>
      <c r="Z26" s="857">
        <f>SUMIFS('YTD Sales'!$N:$N,'YTD Sales'!$B:$B,Brokerage!$B26,'YTD Sales'!$M:$M,Brokerage!Z$4)+SUMIFS('YTD Purchases'!$H:$H,'YTD Purchases'!$C:$C,Brokerage!$B26,'YTD Purchases'!$G:$G,Brokerage!Z$4)</f>
        <v>0</v>
      </c>
      <c r="AA26" s="857">
        <f>SUMIFS('YTD Sales'!$N:$N,'YTD Sales'!$B:$B,Brokerage!$B26,'YTD Sales'!$M:$M,Brokerage!AA$4)+SUMIFS('YTD Purchases'!$H:$H,'YTD Purchases'!$C:$C,Brokerage!$B26,'YTD Purchases'!$G:$G,Brokerage!AA$4)</f>
        <v>0</v>
      </c>
      <c r="AB26" s="857">
        <f>SUMIFS('YTD Sales'!$N:$N,'YTD Sales'!$B:$B,Brokerage!$B26,'YTD Sales'!$M:$M,Brokerage!AB$4)+SUMIFS('YTD Purchases'!$H:$H,'YTD Purchases'!$C:$C,Brokerage!$B26,'YTD Purchases'!$G:$G,Brokerage!AB$4)</f>
        <v>0</v>
      </c>
      <c r="AC26" s="857">
        <f>SUMIFS('YTD Sales'!$N:$N,'YTD Sales'!$B:$B,Brokerage!$B26,'YTD Sales'!$M:$M,Brokerage!AC$4)+SUMIFS('YTD Purchases'!$H:$H,'YTD Purchases'!$C:$C,Brokerage!$B26,'YTD Purchases'!$G:$G,Brokerage!AC$4)</f>
        <v>0</v>
      </c>
      <c r="AD26" s="857">
        <f>+SUMIFS(PIB!AG:AG,PIB!AF:AF,Brokerage!AD$4,PIB!AA:AA,Brokerage!$B26)+SUMIFS('T-Bills'!AB:AB,'T-Bills'!AA:AA,Brokerage!AD$4,'T-Bills'!V:V,Brokerage!$B26)</f>
        <v>0</v>
      </c>
      <c r="AE26" s="857">
        <f>+SUMIFS(PIB!AH:AH,PIB!AG:AG,Brokerage!AE$4,PIB!AB:AB,Brokerage!$B26)+SUMIFS('T-Bills'!AC:AC,'T-Bills'!AB:AB,Brokerage!AE$4,'T-Bills'!W:W,Brokerage!$B26)</f>
        <v>0</v>
      </c>
      <c r="AF26" s="857">
        <f>+SUMIFS(PIB!AI:AI,PIB!AH:AH,Brokerage!AF$4,PIB!AC:AC,Brokerage!$B26)+SUMIFS('T-Bills'!AD:AD,'T-Bills'!AC:AC,Brokerage!AF$4,'T-Bills'!X:X,Brokerage!$B26)</f>
        <v>0</v>
      </c>
      <c r="AG26" s="857">
        <f t="shared" si="3"/>
        <v>0</v>
      </c>
      <c r="AH26" s="858">
        <f t="shared" ref="AH26" si="6">ROUND((AG26*1.5%)/365,0)</f>
        <v>0</v>
      </c>
    </row>
    <row r="27" spans="2:34" x14ac:dyDescent="0.15">
      <c r="B27" s="661">
        <f t="shared" si="2"/>
        <v>44583</v>
      </c>
      <c r="C27" s="857">
        <f>SUMIFS('YTD Sales'!$N:$N,'YTD Sales'!$B:$B,Brokerage!$B27,'YTD Sales'!$M:$M,Brokerage!C$4)+SUMIFS('YTD Purchases'!$H:$H,'YTD Purchases'!$C:$C,Brokerage!$B27,'YTD Purchases'!$G:$G,Brokerage!C$4)</f>
        <v>0</v>
      </c>
      <c r="D27" s="857">
        <f>SUMIFS('YTD Sales'!$N:$N,'YTD Sales'!$B:$B,Brokerage!$B27,'YTD Sales'!$M:$M,Brokerage!D$4)+SUMIFS('YTD Purchases'!$H:$H,'YTD Purchases'!$C:$C,Brokerage!$B27,'YTD Purchases'!$G:$G,Brokerage!D$4)</f>
        <v>0</v>
      </c>
      <c r="E27" s="857">
        <f>SUMIFS('YTD Sales'!$N:$N,'YTD Sales'!$B:$B,Brokerage!$B27,'YTD Sales'!$M:$M,Brokerage!E$4)+SUMIFS('YTD Purchases'!$H:$H,'YTD Purchases'!$C:$C,Brokerage!$B27,'YTD Purchases'!$G:$G,Brokerage!E$4)</f>
        <v>0</v>
      </c>
      <c r="F27" s="857">
        <f>SUMIFS('YTD Sales'!$N:$N,'YTD Sales'!$B:$B,Brokerage!$B27,'YTD Sales'!$M:$M,Brokerage!F$4)+SUMIFS('YTD Purchases'!$H:$H,'YTD Purchases'!$C:$C,Brokerage!$B27,'YTD Purchases'!$G:$G,Brokerage!F$4)</f>
        <v>0</v>
      </c>
      <c r="G27" s="857">
        <f>SUMIFS('YTD Sales'!$N:$N,'YTD Sales'!$B:$B,Brokerage!$B27,'YTD Sales'!$M:$M,Brokerage!G$4)+SUMIFS('YTD Purchases'!$H:$H,'YTD Purchases'!$C:$C,Brokerage!$B27,'YTD Purchases'!$G:$G,Brokerage!G$4)</f>
        <v>0</v>
      </c>
      <c r="H27" s="857">
        <f>SUMIFS('YTD Sales'!$N:$N,'YTD Sales'!$B:$B,Brokerage!$B27,'YTD Sales'!$M:$M,Brokerage!H$4)+SUMIFS('YTD Purchases'!$H:$H,'YTD Purchases'!$C:$C,Brokerage!$B27,'YTD Purchases'!$G:$G,Brokerage!H$4)</f>
        <v>0</v>
      </c>
      <c r="I27" s="857">
        <f>SUMIFS('YTD Sales'!$N:$N,'YTD Sales'!$B:$B,Brokerage!$B27,'YTD Sales'!$M:$M,Brokerage!I$4)+SUMIFS('YTD Purchases'!$H:$H,'YTD Purchases'!$C:$C,Brokerage!$B27,'YTD Purchases'!$G:$G,Brokerage!I$4)</f>
        <v>0</v>
      </c>
      <c r="J27" s="857">
        <f>SUMIFS('YTD Sales'!$N:$N,'YTD Sales'!$B:$B,Brokerage!$B27,'YTD Sales'!$M:$M,Brokerage!J$4)+SUMIFS('YTD Purchases'!$H:$H,'YTD Purchases'!$C:$C,Brokerage!$B27,'YTD Purchases'!$G:$G,Brokerage!J$4)</f>
        <v>0</v>
      </c>
      <c r="K27" s="857">
        <f>SUMIFS('YTD Sales'!$N:$N,'YTD Sales'!$B:$B,Brokerage!$B27,'YTD Sales'!$M:$M,Brokerage!K$4)+SUMIFS('YTD Purchases'!$H:$H,'YTD Purchases'!$C:$C,Brokerage!$B27,'YTD Purchases'!$G:$G,Brokerage!K$4)</f>
        <v>0</v>
      </c>
      <c r="L27" s="857">
        <f>SUMIFS('YTD Sales'!$N:$N,'YTD Sales'!$B:$B,Brokerage!$B27,'YTD Sales'!$M:$M,Brokerage!L$4)+SUMIFS('YTD Purchases'!$H:$H,'YTD Purchases'!$C:$C,Brokerage!$B27,'YTD Purchases'!$G:$G,Brokerage!L$4)</f>
        <v>0</v>
      </c>
      <c r="M27" s="857">
        <f>SUMIFS('YTD Sales'!$N:$N,'YTD Sales'!$B:$B,Brokerage!$B27,'YTD Sales'!$M:$M,Brokerage!M$4)+SUMIFS('YTD Purchases'!$H:$H,'YTD Purchases'!$C:$C,Brokerage!$B27,'YTD Purchases'!$G:$G,Brokerage!M$4)</f>
        <v>0</v>
      </c>
      <c r="N27" s="857">
        <f>SUMIFS('YTD Sales'!$N:$N,'YTD Sales'!$B:$B,Brokerage!$B27,'YTD Sales'!$M:$M,Brokerage!N$4)+SUMIFS('YTD Purchases'!$H:$H,'YTD Purchases'!$C:$C,Brokerage!$B27,'YTD Purchases'!$G:$G,Brokerage!N$4)</f>
        <v>0</v>
      </c>
      <c r="O27" s="857">
        <f>SUMIFS('YTD Sales'!$N:$N,'YTD Sales'!$B:$B,Brokerage!$B27,'YTD Sales'!$M:$M,Brokerage!O$4)+SUMIFS('YTD Purchases'!$H:$H,'YTD Purchases'!$C:$C,Brokerage!$B27,'YTD Purchases'!$G:$G,Brokerage!O$4)</f>
        <v>0</v>
      </c>
      <c r="P27" s="857">
        <f>SUMIFS('YTD Sales'!$N:$N,'YTD Sales'!$B:$B,Brokerage!$B27,'YTD Sales'!$M:$M,Brokerage!P$4)+SUMIFS('YTD Purchases'!$H:$H,'YTD Purchases'!$C:$C,Brokerage!$B27,'YTD Purchases'!$G:$G,Brokerage!P$4)</f>
        <v>0</v>
      </c>
      <c r="Q27" s="857">
        <f>SUMIFS('YTD Sales'!$N:$N,'YTD Sales'!$B:$B,Brokerage!$B27,'YTD Sales'!$M:$M,Brokerage!Q$4)+SUMIFS('YTD Purchases'!$H:$H,'YTD Purchases'!$C:$C,Brokerage!$B27,'YTD Purchases'!$G:$G,Brokerage!Q$4)</f>
        <v>0</v>
      </c>
      <c r="R27" s="857">
        <f>SUMIFS('YTD Sales'!$N:$N,'YTD Sales'!$B:$B,Brokerage!$B27,'YTD Sales'!$M:$M,Brokerage!R$4)+SUMIFS('YTD Purchases'!$H:$H,'YTD Purchases'!$C:$C,Brokerage!$B27,'YTD Purchases'!$G:$G,Brokerage!R$4)</f>
        <v>0</v>
      </c>
      <c r="S27" s="857">
        <f>SUMIFS('YTD Sales'!$N:$N,'YTD Sales'!$B:$B,Brokerage!$B27,'YTD Sales'!$M:$M,Brokerage!S$4)+SUMIFS('YTD Purchases'!$H:$H,'YTD Purchases'!$C:$C,Brokerage!$B27,'YTD Purchases'!$G:$G,Brokerage!S$4)</f>
        <v>0</v>
      </c>
      <c r="T27" s="857">
        <f>SUMIFS('YTD Sales'!$N:$N,'YTD Sales'!$B:$B,Brokerage!$B27,'YTD Sales'!$M:$M,Brokerage!T$4)+SUMIFS('YTD Purchases'!$H:$H,'YTD Purchases'!$C:$C,Brokerage!$B27,'YTD Purchases'!$G:$G,Brokerage!T$4)</f>
        <v>0</v>
      </c>
      <c r="U27" s="857">
        <f>SUMIFS('YTD Sales'!$N:$N,'YTD Sales'!$B:$B,Brokerage!$B27,'YTD Sales'!$M:$M,Brokerage!U$4)+SUMIFS('YTD Purchases'!$H:$H,'YTD Purchases'!$C:$C,Brokerage!$B27,'YTD Purchases'!$G:$G,Brokerage!U$4)</f>
        <v>0</v>
      </c>
      <c r="V27" s="857">
        <f>SUMIFS('YTD Sales'!$N:$N,'YTD Sales'!$B:$B,Brokerage!$B27,'YTD Sales'!$M:$M,Brokerage!V$4)+SUMIFS('YTD Purchases'!$H:$H,'YTD Purchases'!$C:$C,Brokerage!$B27,'YTD Purchases'!$G:$G,Brokerage!V$4)</f>
        <v>0</v>
      </c>
      <c r="W27" s="857">
        <f>SUMIFS('YTD Sales'!$N:$N,'YTD Sales'!$B:$B,Brokerage!$B27,'YTD Sales'!$M:$M,Brokerage!W$4)+SUMIFS('YTD Purchases'!$H:$H,'YTD Purchases'!$C:$C,Brokerage!$B27,'YTD Purchases'!$G:$G,Brokerage!W$4)</f>
        <v>0</v>
      </c>
      <c r="X27" s="857">
        <f>SUMIFS('YTD Sales'!$N:$N,'YTD Sales'!$B:$B,Brokerage!$B27,'YTD Sales'!$M:$M,Brokerage!X$4)+SUMIFS('YTD Purchases'!$H:$H,'YTD Purchases'!$C:$C,Brokerage!$B27,'YTD Purchases'!$G:$G,Brokerage!X$4)</f>
        <v>0</v>
      </c>
      <c r="Y27" s="857">
        <f>SUMIFS('YTD Sales'!$N:$N,'YTD Sales'!$B:$B,Brokerage!$B27,'YTD Sales'!$M:$M,Brokerage!Y$4)+SUMIFS('YTD Purchases'!$H:$H,'YTD Purchases'!$C:$C,Brokerage!$B27,'YTD Purchases'!$G:$G,Brokerage!Y$4)</f>
        <v>0</v>
      </c>
      <c r="Z27" s="857">
        <f>SUMIFS('YTD Sales'!$N:$N,'YTD Sales'!$B:$B,Brokerage!$B27,'YTD Sales'!$M:$M,Brokerage!Z$4)+SUMIFS('YTD Purchases'!$H:$H,'YTD Purchases'!$C:$C,Brokerage!$B27,'YTD Purchases'!$G:$G,Brokerage!Z$4)</f>
        <v>0</v>
      </c>
      <c r="AA27" s="857">
        <f>SUMIFS('YTD Sales'!$N:$N,'YTD Sales'!$B:$B,Brokerage!$B27,'YTD Sales'!$M:$M,Brokerage!AA$4)+SUMIFS('YTD Purchases'!$H:$H,'YTD Purchases'!$C:$C,Brokerage!$B27,'YTD Purchases'!$G:$G,Brokerage!AA$4)</f>
        <v>0</v>
      </c>
      <c r="AB27" s="857">
        <f>SUMIFS('YTD Sales'!$N:$N,'YTD Sales'!$B:$B,Brokerage!$B27,'YTD Sales'!$M:$M,Brokerage!AB$4)+SUMIFS('YTD Purchases'!$H:$H,'YTD Purchases'!$C:$C,Brokerage!$B27,'YTD Purchases'!$G:$G,Brokerage!AB$4)</f>
        <v>0</v>
      </c>
      <c r="AC27" s="857">
        <f>SUMIFS('YTD Sales'!$N:$N,'YTD Sales'!$B:$B,Brokerage!$B27,'YTD Sales'!$M:$M,Brokerage!AC$4)+SUMIFS('YTD Purchases'!$H:$H,'YTD Purchases'!$C:$C,Brokerage!$B27,'YTD Purchases'!$G:$G,Brokerage!AC$4)</f>
        <v>0</v>
      </c>
      <c r="AD27" s="857">
        <f>+SUMIFS(PIB!AG:AG,PIB!AF:AF,Brokerage!AD$4,PIB!AA:AA,Brokerage!$B27)+SUMIFS('T-Bills'!AB:AB,'T-Bills'!AA:AA,Brokerage!AD$4,'T-Bills'!V:V,Brokerage!$B27)</f>
        <v>0</v>
      </c>
      <c r="AE27" s="857">
        <f>+SUMIFS(PIB!AH:AH,PIB!AG:AG,Brokerage!AE$4,PIB!AB:AB,Brokerage!$B27)+SUMIFS('T-Bills'!AC:AC,'T-Bills'!AB:AB,Brokerage!AE$4,'T-Bills'!W:W,Brokerage!$B27)</f>
        <v>0</v>
      </c>
      <c r="AF27" s="857">
        <f>+SUMIFS(PIB!AI:AI,PIB!AH:AH,Brokerage!AF$4,PIB!AC:AC,Brokerage!$B27)+SUMIFS('T-Bills'!AD:AD,'T-Bills'!AC:AC,Brokerage!AF$4,'T-Bills'!X:X,Brokerage!$B27)</f>
        <v>0</v>
      </c>
      <c r="AG27" s="857">
        <f t="shared" si="3"/>
        <v>0</v>
      </c>
      <c r="AH27" s="858">
        <f t="shared" ref="AH27:AH31" si="7">ROUND((AG27*1.5%)/365,0)</f>
        <v>0</v>
      </c>
    </row>
    <row r="28" spans="2:34" x14ac:dyDescent="0.15">
      <c r="B28" s="661">
        <f t="shared" si="2"/>
        <v>44584</v>
      </c>
      <c r="C28" s="857">
        <f>SUMIFS('YTD Sales'!$N:$N,'YTD Sales'!$B:$B,Brokerage!$B28,'YTD Sales'!$M:$M,Brokerage!C$4)+SUMIFS('YTD Purchases'!$H:$H,'YTD Purchases'!$C:$C,Brokerage!$B28,'YTD Purchases'!$G:$G,Brokerage!C$4)</f>
        <v>0</v>
      </c>
      <c r="D28" s="857">
        <f>SUMIFS('YTD Sales'!$N:$N,'YTD Sales'!$B:$B,Brokerage!$B28,'YTD Sales'!$M:$M,Brokerage!D$4)+SUMIFS('YTD Purchases'!$H:$H,'YTD Purchases'!$C:$C,Brokerage!$B28,'YTD Purchases'!$G:$G,Brokerage!D$4)</f>
        <v>0</v>
      </c>
      <c r="E28" s="857">
        <f>SUMIFS('YTD Sales'!$N:$N,'YTD Sales'!$B:$B,Brokerage!$B28,'YTD Sales'!$M:$M,Brokerage!E$4)+SUMIFS('YTD Purchases'!$H:$H,'YTD Purchases'!$C:$C,Brokerage!$B28,'YTD Purchases'!$G:$G,Brokerage!E$4)</f>
        <v>0</v>
      </c>
      <c r="F28" s="857">
        <f>SUMIFS('YTD Sales'!$N:$N,'YTD Sales'!$B:$B,Brokerage!$B28,'YTD Sales'!$M:$M,Brokerage!F$4)+SUMIFS('YTD Purchases'!$H:$H,'YTD Purchases'!$C:$C,Brokerage!$B28,'YTD Purchases'!$G:$G,Brokerage!F$4)</f>
        <v>0</v>
      </c>
      <c r="G28" s="857">
        <f>SUMIFS('YTD Sales'!$N:$N,'YTD Sales'!$B:$B,Brokerage!$B28,'YTD Sales'!$M:$M,Brokerage!G$4)+SUMIFS('YTD Purchases'!$H:$H,'YTD Purchases'!$C:$C,Brokerage!$B28,'YTD Purchases'!$G:$G,Brokerage!G$4)</f>
        <v>0</v>
      </c>
      <c r="H28" s="857">
        <f>SUMIFS('YTD Sales'!$N:$N,'YTD Sales'!$B:$B,Brokerage!$B28,'YTD Sales'!$M:$M,Brokerage!H$4)+SUMIFS('YTD Purchases'!$H:$H,'YTD Purchases'!$C:$C,Brokerage!$B28,'YTD Purchases'!$G:$G,Brokerage!H$4)</f>
        <v>0</v>
      </c>
      <c r="I28" s="857">
        <f>SUMIFS('YTD Sales'!$N:$N,'YTD Sales'!$B:$B,Brokerage!$B28,'YTD Sales'!$M:$M,Brokerage!I$4)+SUMIFS('YTD Purchases'!$H:$H,'YTD Purchases'!$C:$C,Brokerage!$B28,'YTD Purchases'!$G:$G,Brokerage!I$4)</f>
        <v>0</v>
      </c>
      <c r="J28" s="857">
        <f>SUMIFS('YTD Sales'!$N:$N,'YTD Sales'!$B:$B,Brokerage!$B28,'YTD Sales'!$M:$M,Brokerage!J$4)+SUMIFS('YTD Purchases'!$H:$H,'YTD Purchases'!$C:$C,Brokerage!$B28,'YTD Purchases'!$G:$G,Brokerage!J$4)</f>
        <v>0</v>
      </c>
      <c r="K28" s="857">
        <f>SUMIFS('YTD Sales'!$N:$N,'YTD Sales'!$B:$B,Brokerage!$B28,'YTD Sales'!$M:$M,Brokerage!K$4)+SUMIFS('YTD Purchases'!$H:$H,'YTD Purchases'!$C:$C,Brokerage!$B28,'YTD Purchases'!$G:$G,Brokerage!K$4)</f>
        <v>0</v>
      </c>
      <c r="L28" s="857">
        <f>SUMIFS('YTD Sales'!$N:$N,'YTD Sales'!$B:$B,Brokerage!$B28,'YTD Sales'!$M:$M,Brokerage!L$4)+SUMIFS('YTD Purchases'!$H:$H,'YTD Purchases'!$C:$C,Brokerage!$B28,'YTD Purchases'!$G:$G,Brokerage!L$4)</f>
        <v>0</v>
      </c>
      <c r="M28" s="857">
        <f>SUMIFS('YTD Sales'!$N:$N,'YTD Sales'!$B:$B,Brokerage!$B28,'YTD Sales'!$M:$M,Brokerage!M$4)+SUMIFS('YTD Purchases'!$H:$H,'YTD Purchases'!$C:$C,Brokerage!$B28,'YTD Purchases'!$G:$G,Brokerage!M$4)</f>
        <v>0</v>
      </c>
      <c r="N28" s="857">
        <f>SUMIFS('YTD Sales'!$N:$N,'YTD Sales'!$B:$B,Brokerage!$B28,'YTD Sales'!$M:$M,Brokerage!N$4)+SUMIFS('YTD Purchases'!$H:$H,'YTD Purchases'!$C:$C,Brokerage!$B28,'YTD Purchases'!$G:$G,Brokerage!N$4)</f>
        <v>0</v>
      </c>
      <c r="O28" s="857">
        <f>SUMIFS('YTD Sales'!$N:$N,'YTD Sales'!$B:$B,Brokerage!$B28,'YTD Sales'!$M:$M,Brokerage!O$4)+SUMIFS('YTD Purchases'!$H:$H,'YTD Purchases'!$C:$C,Brokerage!$B28,'YTD Purchases'!$G:$G,Brokerage!O$4)</f>
        <v>0</v>
      </c>
      <c r="P28" s="857">
        <f>SUMIFS('YTD Sales'!$N:$N,'YTD Sales'!$B:$B,Brokerage!$B28,'YTD Sales'!$M:$M,Brokerage!P$4)+SUMIFS('YTD Purchases'!$H:$H,'YTD Purchases'!$C:$C,Brokerage!$B28,'YTD Purchases'!$G:$G,Brokerage!P$4)</f>
        <v>0</v>
      </c>
      <c r="Q28" s="857">
        <f>SUMIFS('YTD Sales'!$N:$N,'YTD Sales'!$B:$B,Brokerage!$B28,'YTD Sales'!$M:$M,Brokerage!Q$4)+SUMIFS('YTD Purchases'!$H:$H,'YTD Purchases'!$C:$C,Brokerage!$B28,'YTD Purchases'!$G:$G,Brokerage!Q$4)</f>
        <v>0</v>
      </c>
      <c r="R28" s="857">
        <f>SUMIFS('YTD Sales'!$N:$N,'YTD Sales'!$B:$B,Brokerage!$B28,'YTD Sales'!$M:$M,Brokerage!R$4)+SUMIFS('YTD Purchases'!$H:$H,'YTD Purchases'!$C:$C,Brokerage!$B28,'YTD Purchases'!$G:$G,Brokerage!R$4)</f>
        <v>0</v>
      </c>
      <c r="S28" s="857">
        <f>SUMIFS('YTD Sales'!$N:$N,'YTD Sales'!$B:$B,Brokerage!$B28,'YTD Sales'!$M:$M,Brokerage!S$4)+SUMIFS('YTD Purchases'!$H:$H,'YTD Purchases'!$C:$C,Brokerage!$B28,'YTD Purchases'!$G:$G,Brokerage!S$4)</f>
        <v>0</v>
      </c>
      <c r="T28" s="857">
        <f>SUMIFS('YTD Sales'!$N:$N,'YTD Sales'!$B:$B,Brokerage!$B28,'YTD Sales'!$M:$M,Brokerage!T$4)+SUMIFS('YTD Purchases'!$H:$H,'YTD Purchases'!$C:$C,Brokerage!$B28,'YTD Purchases'!$G:$G,Brokerage!T$4)</f>
        <v>0</v>
      </c>
      <c r="U28" s="857">
        <f>SUMIFS('YTD Sales'!$N:$N,'YTD Sales'!$B:$B,Brokerage!$B28,'YTD Sales'!$M:$M,Brokerage!U$4)+SUMIFS('YTD Purchases'!$H:$H,'YTD Purchases'!$C:$C,Brokerage!$B28,'YTD Purchases'!$G:$G,Brokerage!U$4)</f>
        <v>0</v>
      </c>
      <c r="V28" s="857">
        <f>SUMIFS('YTD Sales'!$N:$N,'YTD Sales'!$B:$B,Brokerage!$B28,'YTD Sales'!$M:$M,Brokerage!V$4)+SUMIFS('YTD Purchases'!$H:$H,'YTD Purchases'!$C:$C,Brokerage!$B28,'YTD Purchases'!$G:$G,Brokerage!V$4)</f>
        <v>0</v>
      </c>
      <c r="W28" s="857">
        <f>SUMIFS('YTD Sales'!$N:$N,'YTD Sales'!$B:$B,Brokerage!$B28,'YTD Sales'!$M:$M,Brokerage!W$4)+SUMIFS('YTD Purchases'!$H:$H,'YTD Purchases'!$C:$C,Brokerage!$B28,'YTD Purchases'!$G:$G,Brokerage!W$4)</f>
        <v>0</v>
      </c>
      <c r="X28" s="857">
        <f>SUMIFS('YTD Sales'!$N:$N,'YTD Sales'!$B:$B,Brokerage!$B28,'YTD Sales'!$M:$M,Brokerage!X$4)+SUMIFS('YTD Purchases'!$H:$H,'YTD Purchases'!$C:$C,Brokerage!$B28,'YTD Purchases'!$G:$G,Brokerage!X$4)</f>
        <v>0</v>
      </c>
      <c r="Y28" s="857">
        <f>SUMIFS('YTD Sales'!$N:$N,'YTD Sales'!$B:$B,Brokerage!$B28,'YTD Sales'!$M:$M,Brokerage!Y$4)+SUMIFS('YTD Purchases'!$H:$H,'YTD Purchases'!$C:$C,Brokerage!$B28,'YTD Purchases'!$G:$G,Brokerage!Y$4)</f>
        <v>0</v>
      </c>
      <c r="Z28" s="857">
        <f>SUMIFS('YTD Sales'!$N:$N,'YTD Sales'!$B:$B,Brokerage!$B28,'YTD Sales'!$M:$M,Brokerage!Z$4)+SUMIFS('YTD Purchases'!$H:$H,'YTD Purchases'!$C:$C,Brokerage!$B28,'YTD Purchases'!$G:$G,Brokerage!Z$4)</f>
        <v>0</v>
      </c>
      <c r="AA28" s="857">
        <f>SUMIFS('YTD Sales'!$N:$N,'YTD Sales'!$B:$B,Brokerage!$B28,'YTD Sales'!$M:$M,Brokerage!AA$4)+SUMIFS('YTD Purchases'!$H:$H,'YTD Purchases'!$C:$C,Brokerage!$B28,'YTD Purchases'!$G:$G,Brokerage!AA$4)</f>
        <v>0</v>
      </c>
      <c r="AB28" s="857">
        <f>SUMIFS('YTD Sales'!$N:$N,'YTD Sales'!$B:$B,Brokerage!$B28,'YTD Sales'!$M:$M,Brokerage!AB$4)+SUMIFS('YTD Purchases'!$H:$H,'YTD Purchases'!$C:$C,Brokerage!$B28,'YTD Purchases'!$G:$G,Brokerage!AB$4)</f>
        <v>0</v>
      </c>
      <c r="AC28" s="857">
        <f>SUMIFS('YTD Sales'!$N:$N,'YTD Sales'!$B:$B,Brokerage!$B28,'YTD Sales'!$M:$M,Brokerage!AC$4)+SUMIFS('YTD Purchases'!$H:$H,'YTD Purchases'!$C:$C,Brokerage!$B28,'YTD Purchases'!$G:$G,Brokerage!AC$4)</f>
        <v>0</v>
      </c>
      <c r="AD28" s="857">
        <f>+SUMIFS(PIB!AG:AG,PIB!AF:AF,Brokerage!AD$4,PIB!AA:AA,Brokerage!$B28)+SUMIFS('T-Bills'!AB:AB,'T-Bills'!AA:AA,Brokerage!AD$4,'T-Bills'!V:V,Brokerage!$B28)</f>
        <v>0</v>
      </c>
      <c r="AE28" s="857">
        <f>+SUMIFS(PIB!AH:AH,PIB!AG:AG,Brokerage!AE$4,PIB!AB:AB,Brokerage!$B28)+SUMIFS('T-Bills'!AC:AC,'T-Bills'!AB:AB,Brokerage!AE$4,'T-Bills'!W:W,Brokerage!$B28)</f>
        <v>0</v>
      </c>
      <c r="AF28" s="857">
        <f>+SUMIFS(PIB!AI:AI,PIB!AH:AH,Brokerage!AF$4,PIB!AC:AC,Brokerage!$B28)+SUMIFS('T-Bills'!AD:AD,'T-Bills'!AC:AC,Brokerage!AF$4,'T-Bills'!X:X,Brokerage!$B28)</f>
        <v>0</v>
      </c>
      <c r="AG28" s="857">
        <f t="shared" si="3"/>
        <v>0</v>
      </c>
      <c r="AH28" s="858">
        <f t="shared" si="7"/>
        <v>0</v>
      </c>
    </row>
    <row r="29" spans="2:34" x14ac:dyDescent="0.15">
      <c r="B29" s="661">
        <f t="shared" si="2"/>
        <v>44585</v>
      </c>
      <c r="C29" s="857">
        <f>SUMIFS('YTD Sales'!$N:$N,'YTD Sales'!$B:$B,Brokerage!$B29,'YTD Sales'!$M:$M,Brokerage!C$4)+SUMIFS('YTD Purchases'!$H:$H,'YTD Purchases'!$C:$C,Brokerage!$B29,'YTD Purchases'!$G:$G,Brokerage!C$4)</f>
        <v>0</v>
      </c>
      <c r="D29" s="857">
        <f>SUMIFS('YTD Sales'!$N:$N,'YTD Sales'!$B:$B,Brokerage!$B29,'YTD Sales'!$M:$M,Brokerage!D$4)+SUMIFS('YTD Purchases'!$H:$H,'YTD Purchases'!$C:$C,Brokerage!$B29,'YTD Purchases'!$G:$G,Brokerage!D$4)</f>
        <v>0</v>
      </c>
      <c r="E29" s="857">
        <f>SUMIFS('YTD Sales'!$N:$N,'YTD Sales'!$B:$B,Brokerage!$B29,'YTD Sales'!$M:$M,Brokerage!E$4)+SUMIFS('YTD Purchases'!$H:$H,'YTD Purchases'!$C:$C,Brokerage!$B29,'YTD Purchases'!$G:$G,Brokerage!E$4)</f>
        <v>0</v>
      </c>
      <c r="F29" s="857">
        <f>SUMIFS('YTD Sales'!$N:$N,'YTD Sales'!$B:$B,Brokerage!$B29,'YTD Sales'!$M:$M,Brokerage!F$4)+SUMIFS('YTD Purchases'!$H:$H,'YTD Purchases'!$C:$C,Brokerage!$B29,'YTD Purchases'!$G:$G,Brokerage!F$4)</f>
        <v>0</v>
      </c>
      <c r="G29" s="857">
        <f>SUMIFS('YTD Sales'!$N:$N,'YTD Sales'!$B:$B,Brokerage!$B29,'YTD Sales'!$M:$M,Brokerage!G$4)+SUMIFS('YTD Purchases'!$H:$H,'YTD Purchases'!$C:$C,Brokerage!$B29,'YTD Purchases'!$G:$G,Brokerage!G$4)</f>
        <v>0</v>
      </c>
      <c r="H29" s="857">
        <f>SUMIFS('YTD Sales'!$N:$N,'YTD Sales'!$B:$B,Brokerage!$B29,'YTD Sales'!$M:$M,Brokerage!H$4)+SUMIFS('YTD Purchases'!$H:$H,'YTD Purchases'!$C:$C,Brokerage!$B29,'YTD Purchases'!$G:$G,Brokerage!H$4)</f>
        <v>0</v>
      </c>
      <c r="I29" s="857">
        <f>SUMIFS('YTD Sales'!$N:$N,'YTD Sales'!$B:$B,Brokerage!$B29,'YTD Sales'!$M:$M,Brokerage!I$4)+SUMIFS('YTD Purchases'!$H:$H,'YTD Purchases'!$C:$C,Brokerage!$B29,'YTD Purchases'!$G:$G,Brokerage!I$4)</f>
        <v>0</v>
      </c>
      <c r="J29" s="857">
        <f>SUMIFS('YTD Sales'!$N:$N,'YTD Sales'!$B:$B,Brokerage!$B29,'YTD Sales'!$M:$M,Brokerage!J$4)+SUMIFS('YTD Purchases'!$H:$H,'YTD Purchases'!$C:$C,Brokerage!$B29,'YTD Purchases'!$G:$G,Brokerage!J$4)</f>
        <v>0</v>
      </c>
      <c r="K29" s="857">
        <f>SUMIFS('YTD Sales'!$N:$N,'YTD Sales'!$B:$B,Brokerage!$B29,'YTD Sales'!$M:$M,Brokerage!K$4)+SUMIFS('YTD Purchases'!$H:$H,'YTD Purchases'!$C:$C,Brokerage!$B29,'YTD Purchases'!$G:$G,Brokerage!K$4)</f>
        <v>0</v>
      </c>
      <c r="L29" s="857">
        <f>SUMIFS('YTD Sales'!$N:$N,'YTD Sales'!$B:$B,Brokerage!$B29,'YTD Sales'!$M:$M,Brokerage!L$4)+SUMIFS('YTD Purchases'!$H:$H,'YTD Purchases'!$C:$C,Brokerage!$B29,'YTD Purchases'!$G:$G,Brokerage!L$4)</f>
        <v>0</v>
      </c>
      <c r="M29" s="857">
        <f>SUMIFS('YTD Sales'!$N:$N,'YTD Sales'!$B:$B,Brokerage!$B29,'YTD Sales'!$M:$M,Brokerage!M$4)+SUMIFS('YTD Purchases'!$H:$H,'YTD Purchases'!$C:$C,Brokerage!$B29,'YTD Purchases'!$G:$G,Brokerage!M$4)</f>
        <v>0</v>
      </c>
      <c r="N29" s="857">
        <f>SUMIFS('YTD Sales'!$N:$N,'YTD Sales'!$B:$B,Brokerage!$B29,'YTD Sales'!$M:$M,Brokerage!N$4)+SUMIFS('YTD Purchases'!$H:$H,'YTD Purchases'!$C:$C,Brokerage!$B29,'YTD Purchases'!$G:$G,Brokerage!N$4)</f>
        <v>0</v>
      </c>
      <c r="O29" s="857">
        <f>SUMIFS('YTD Sales'!$N:$N,'YTD Sales'!$B:$B,Brokerage!$B29,'YTD Sales'!$M:$M,Brokerage!O$4)+SUMIFS('YTD Purchases'!$H:$H,'YTD Purchases'!$C:$C,Brokerage!$B29,'YTD Purchases'!$G:$G,Brokerage!O$4)</f>
        <v>0</v>
      </c>
      <c r="P29" s="857">
        <f>SUMIFS('YTD Sales'!$N:$N,'YTD Sales'!$B:$B,Brokerage!$B29,'YTD Sales'!$M:$M,Brokerage!P$4)+SUMIFS('YTD Purchases'!$H:$H,'YTD Purchases'!$C:$C,Brokerage!$B29,'YTD Purchases'!$G:$G,Brokerage!P$4)</f>
        <v>0</v>
      </c>
      <c r="Q29" s="857">
        <f>SUMIFS('YTD Sales'!$N:$N,'YTD Sales'!$B:$B,Brokerage!$B29,'YTD Sales'!$M:$M,Brokerage!Q$4)+SUMIFS('YTD Purchases'!$H:$H,'YTD Purchases'!$C:$C,Brokerage!$B29,'YTD Purchases'!$G:$G,Brokerage!Q$4)</f>
        <v>0</v>
      </c>
      <c r="R29" s="857">
        <f>SUMIFS('YTD Sales'!$N:$N,'YTD Sales'!$B:$B,Brokerage!$B29,'YTD Sales'!$M:$M,Brokerage!R$4)+SUMIFS('YTD Purchases'!$H:$H,'YTD Purchases'!$C:$C,Brokerage!$B29,'YTD Purchases'!$G:$G,Brokerage!R$4)</f>
        <v>0</v>
      </c>
      <c r="S29" s="857">
        <f>SUMIFS('YTD Sales'!$N:$N,'YTD Sales'!$B:$B,Brokerage!$B29,'YTD Sales'!$M:$M,Brokerage!S$4)+SUMIFS('YTD Purchases'!$H:$H,'YTD Purchases'!$C:$C,Brokerage!$B29,'YTD Purchases'!$G:$G,Brokerage!S$4)</f>
        <v>0</v>
      </c>
      <c r="T29" s="857">
        <f>SUMIFS('YTD Sales'!$N:$N,'YTD Sales'!$B:$B,Brokerage!$B29,'YTD Sales'!$M:$M,Brokerage!T$4)+SUMIFS('YTD Purchases'!$H:$H,'YTD Purchases'!$C:$C,Brokerage!$B29,'YTD Purchases'!$G:$G,Brokerage!T$4)</f>
        <v>0</v>
      </c>
      <c r="U29" s="857">
        <f>SUMIFS('YTD Sales'!$N:$N,'YTD Sales'!$B:$B,Brokerage!$B29,'YTD Sales'!$M:$M,Brokerage!U$4)+SUMIFS('YTD Purchases'!$H:$H,'YTD Purchases'!$C:$C,Brokerage!$B29,'YTD Purchases'!$G:$G,Brokerage!U$4)</f>
        <v>0</v>
      </c>
      <c r="V29" s="857">
        <f>SUMIFS('YTD Sales'!$N:$N,'YTD Sales'!$B:$B,Brokerage!$B29,'YTD Sales'!$M:$M,Brokerage!V$4)+SUMIFS('YTD Purchases'!$H:$H,'YTD Purchases'!$C:$C,Brokerage!$B29,'YTD Purchases'!$G:$G,Brokerage!V$4)</f>
        <v>0</v>
      </c>
      <c r="W29" s="857">
        <f>SUMIFS('YTD Sales'!$N:$N,'YTD Sales'!$B:$B,Brokerage!$B29,'YTD Sales'!$M:$M,Brokerage!W$4)+SUMIFS('YTD Purchases'!$H:$H,'YTD Purchases'!$C:$C,Brokerage!$B29,'YTD Purchases'!$G:$G,Brokerage!W$4)</f>
        <v>0</v>
      </c>
      <c r="X29" s="857">
        <f>SUMIFS('YTD Sales'!$N:$N,'YTD Sales'!$B:$B,Brokerage!$B29,'YTD Sales'!$M:$M,Brokerage!X$4)+SUMIFS('YTD Purchases'!$H:$H,'YTD Purchases'!$C:$C,Brokerage!$B29,'YTD Purchases'!$G:$G,Brokerage!X$4)</f>
        <v>0</v>
      </c>
      <c r="Y29" s="857">
        <f>SUMIFS('YTD Sales'!$N:$N,'YTD Sales'!$B:$B,Brokerage!$B29,'YTD Sales'!$M:$M,Brokerage!Y$4)+SUMIFS('YTD Purchases'!$H:$H,'YTD Purchases'!$C:$C,Brokerage!$B29,'YTD Purchases'!$G:$G,Brokerage!Y$4)</f>
        <v>0</v>
      </c>
      <c r="Z29" s="857">
        <f>SUMIFS('YTD Sales'!$N:$N,'YTD Sales'!$B:$B,Brokerage!$B29,'YTD Sales'!$M:$M,Brokerage!Z$4)+SUMIFS('YTD Purchases'!$H:$H,'YTD Purchases'!$C:$C,Brokerage!$B29,'YTD Purchases'!$G:$G,Brokerage!Z$4)</f>
        <v>0</v>
      </c>
      <c r="AA29" s="857">
        <f>SUMIFS('YTD Sales'!$N:$N,'YTD Sales'!$B:$B,Brokerage!$B29,'YTD Sales'!$M:$M,Brokerage!AA$4)+SUMIFS('YTD Purchases'!$H:$H,'YTD Purchases'!$C:$C,Brokerage!$B29,'YTD Purchases'!$G:$G,Brokerage!AA$4)</f>
        <v>0</v>
      </c>
      <c r="AB29" s="857">
        <f>SUMIFS('YTD Sales'!$N:$N,'YTD Sales'!$B:$B,Brokerage!$B29,'YTD Sales'!$M:$M,Brokerage!AB$4)+SUMIFS('YTD Purchases'!$H:$H,'YTD Purchases'!$C:$C,Brokerage!$B29,'YTD Purchases'!$G:$G,Brokerage!AB$4)</f>
        <v>0</v>
      </c>
      <c r="AC29" s="857">
        <f>SUMIFS('YTD Sales'!$N:$N,'YTD Sales'!$B:$B,Brokerage!$B29,'YTD Sales'!$M:$M,Brokerage!AC$4)+SUMIFS('YTD Purchases'!$H:$H,'YTD Purchases'!$C:$C,Brokerage!$B29,'YTD Purchases'!$G:$G,Brokerage!AC$4)</f>
        <v>0</v>
      </c>
      <c r="AD29" s="857">
        <f>+SUMIFS(PIB!AG:AG,PIB!AF:AF,Brokerage!AD$4,PIB!AA:AA,Brokerage!$B29)+SUMIFS('T-Bills'!AB:AB,'T-Bills'!AA:AA,Brokerage!AD$4,'T-Bills'!V:V,Brokerage!$B29)</f>
        <v>0</v>
      </c>
      <c r="AE29" s="857">
        <f>+SUMIFS(PIB!AH:AH,PIB!AG:AG,Brokerage!AE$4,PIB!AB:AB,Brokerage!$B29)+SUMIFS('T-Bills'!AC:AC,'T-Bills'!AB:AB,Brokerage!AE$4,'T-Bills'!W:W,Brokerage!$B29)</f>
        <v>0</v>
      </c>
      <c r="AF29" s="857">
        <f>+SUMIFS(PIB!AI:AI,PIB!AH:AH,Brokerage!AF$4,PIB!AC:AC,Brokerage!$B29)+SUMIFS('T-Bills'!AD:AD,'T-Bills'!AC:AC,Brokerage!AF$4,'T-Bills'!X:X,Brokerage!$B29)</f>
        <v>0</v>
      </c>
      <c r="AG29" s="857">
        <f t="shared" si="3"/>
        <v>0</v>
      </c>
      <c r="AH29" s="858">
        <f t="shared" si="7"/>
        <v>0</v>
      </c>
    </row>
    <row r="30" spans="2:34" x14ac:dyDescent="0.15">
      <c r="B30" s="661">
        <f t="shared" si="2"/>
        <v>44586</v>
      </c>
      <c r="C30" s="857">
        <f>SUMIFS('YTD Sales'!$N:$N,'YTD Sales'!$B:$B,Brokerage!$B30,'YTD Sales'!$M:$M,Brokerage!C$4)+SUMIFS('YTD Purchases'!$H:$H,'YTD Purchases'!$C:$C,Brokerage!$B30,'YTD Purchases'!$G:$G,Brokerage!C$4)</f>
        <v>0</v>
      </c>
      <c r="D30" s="857">
        <f>SUMIFS('YTD Sales'!$N:$N,'YTD Sales'!$B:$B,Brokerage!$B30,'YTD Sales'!$M:$M,Brokerage!D$4)+SUMIFS('YTD Purchases'!$H:$H,'YTD Purchases'!$C:$C,Brokerage!$B30,'YTD Purchases'!$G:$G,Brokerage!D$4)</f>
        <v>0</v>
      </c>
      <c r="E30" s="857">
        <f>SUMIFS('YTD Sales'!$N:$N,'YTD Sales'!$B:$B,Brokerage!$B30,'YTD Sales'!$M:$M,Brokerage!E$4)+SUMIFS('YTD Purchases'!$H:$H,'YTD Purchases'!$C:$C,Brokerage!$B30,'YTD Purchases'!$G:$G,Brokerage!E$4)</f>
        <v>0</v>
      </c>
      <c r="F30" s="857">
        <f>SUMIFS('YTD Sales'!$N:$N,'YTD Sales'!$B:$B,Brokerage!$B30,'YTD Sales'!$M:$M,Brokerage!F$4)+SUMIFS('YTD Purchases'!$H:$H,'YTD Purchases'!$C:$C,Brokerage!$B30,'YTD Purchases'!$G:$G,Brokerage!F$4)</f>
        <v>0</v>
      </c>
      <c r="G30" s="857">
        <f>SUMIFS('YTD Sales'!$N:$N,'YTD Sales'!$B:$B,Brokerage!$B30,'YTD Sales'!$M:$M,Brokerage!G$4)+SUMIFS('YTD Purchases'!$H:$H,'YTD Purchases'!$C:$C,Brokerage!$B30,'YTD Purchases'!$G:$G,Brokerage!G$4)</f>
        <v>0</v>
      </c>
      <c r="H30" s="857">
        <f>SUMIFS('YTD Sales'!$N:$N,'YTD Sales'!$B:$B,Brokerage!$B30,'YTD Sales'!$M:$M,Brokerage!H$4)+SUMIFS('YTD Purchases'!$H:$H,'YTD Purchases'!$C:$C,Brokerage!$B30,'YTD Purchases'!$G:$G,Brokerage!H$4)</f>
        <v>0</v>
      </c>
      <c r="I30" s="857">
        <f>SUMIFS('YTD Sales'!$N:$N,'YTD Sales'!$B:$B,Brokerage!$B30,'YTD Sales'!$M:$M,Brokerage!I$4)+SUMIFS('YTD Purchases'!$H:$H,'YTD Purchases'!$C:$C,Brokerage!$B30,'YTD Purchases'!$G:$G,Brokerage!I$4)</f>
        <v>0</v>
      </c>
      <c r="J30" s="857">
        <f>SUMIFS('YTD Sales'!$N:$N,'YTD Sales'!$B:$B,Brokerage!$B30,'YTD Sales'!$M:$M,Brokerage!J$4)+SUMIFS('YTD Purchases'!$H:$H,'YTD Purchases'!$C:$C,Brokerage!$B30,'YTD Purchases'!$G:$G,Brokerage!J$4)</f>
        <v>0</v>
      </c>
      <c r="K30" s="857">
        <f>SUMIFS('YTD Sales'!$N:$N,'YTD Sales'!$B:$B,Brokerage!$B30,'YTD Sales'!$M:$M,Brokerage!K$4)+SUMIFS('YTD Purchases'!$H:$H,'YTD Purchases'!$C:$C,Brokerage!$B30,'YTD Purchases'!$G:$G,Brokerage!K$4)</f>
        <v>0</v>
      </c>
      <c r="L30" s="857">
        <f>SUMIFS('YTD Sales'!$N:$N,'YTD Sales'!$B:$B,Brokerage!$B30,'YTD Sales'!$M:$M,Brokerage!L$4)+SUMIFS('YTD Purchases'!$H:$H,'YTD Purchases'!$C:$C,Brokerage!$B30,'YTD Purchases'!$G:$G,Brokerage!L$4)</f>
        <v>0</v>
      </c>
      <c r="M30" s="857">
        <f>SUMIFS('YTD Sales'!$N:$N,'YTD Sales'!$B:$B,Brokerage!$B30,'YTD Sales'!$M:$M,Brokerage!M$4)+SUMIFS('YTD Purchases'!$H:$H,'YTD Purchases'!$C:$C,Brokerage!$B30,'YTD Purchases'!$G:$G,Brokerage!M$4)</f>
        <v>0</v>
      </c>
      <c r="N30" s="857">
        <f>SUMIFS('YTD Sales'!$N:$N,'YTD Sales'!$B:$B,Brokerage!$B30,'YTD Sales'!$M:$M,Brokerage!N$4)+SUMIFS('YTD Purchases'!$H:$H,'YTD Purchases'!$C:$C,Brokerage!$B30,'YTD Purchases'!$G:$G,Brokerage!N$4)</f>
        <v>0</v>
      </c>
      <c r="O30" s="857">
        <f>SUMIFS('YTD Sales'!$N:$N,'YTD Sales'!$B:$B,Brokerage!$B30,'YTD Sales'!$M:$M,Brokerage!O$4)+SUMIFS('YTD Purchases'!$H:$H,'YTD Purchases'!$C:$C,Brokerage!$B30,'YTD Purchases'!$G:$G,Brokerage!O$4)</f>
        <v>0</v>
      </c>
      <c r="P30" s="857">
        <f>SUMIFS('YTD Sales'!$N:$N,'YTD Sales'!$B:$B,Brokerage!$B30,'YTD Sales'!$M:$M,Brokerage!P$4)+SUMIFS('YTD Purchases'!$H:$H,'YTD Purchases'!$C:$C,Brokerage!$B30,'YTD Purchases'!$G:$G,Brokerage!P$4)</f>
        <v>0</v>
      </c>
      <c r="Q30" s="857">
        <f>SUMIFS('YTD Sales'!$N:$N,'YTD Sales'!$B:$B,Brokerage!$B30,'YTD Sales'!$M:$M,Brokerage!Q$4)+SUMIFS('YTD Purchases'!$H:$H,'YTD Purchases'!$C:$C,Brokerage!$B30,'YTD Purchases'!$G:$G,Brokerage!Q$4)</f>
        <v>0</v>
      </c>
      <c r="R30" s="857">
        <f>SUMIFS('YTD Sales'!$N:$N,'YTD Sales'!$B:$B,Brokerage!$B30,'YTD Sales'!$M:$M,Brokerage!R$4)+SUMIFS('YTD Purchases'!$H:$H,'YTD Purchases'!$C:$C,Brokerage!$B30,'YTD Purchases'!$G:$G,Brokerage!R$4)</f>
        <v>0</v>
      </c>
      <c r="S30" s="857">
        <f>SUMIFS('YTD Sales'!$N:$N,'YTD Sales'!$B:$B,Brokerage!$B30,'YTD Sales'!$M:$M,Brokerage!S$4)+SUMIFS('YTD Purchases'!$H:$H,'YTD Purchases'!$C:$C,Brokerage!$B30,'YTD Purchases'!$G:$G,Brokerage!S$4)</f>
        <v>0</v>
      </c>
      <c r="T30" s="857">
        <f>SUMIFS('YTD Sales'!$N:$N,'YTD Sales'!$B:$B,Brokerage!$B30,'YTD Sales'!$M:$M,Brokerage!T$4)+SUMIFS('YTD Purchases'!$H:$H,'YTD Purchases'!$C:$C,Brokerage!$B30,'YTD Purchases'!$G:$G,Brokerage!T$4)</f>
        <v>0</v>
      </c>
      <c r="U30" s="857">
        <f>SUMIFS('YTD Sales'!$N:$N,'YTD Sales'!$B:$B,Brokerage!$B30,'YTD Sales'!$M:$M,Brokerage!U$4)+SUMIFS('YTD Purchases'!$H:$H,'YTD Purchases'!$C:$C,Brokerage!$B30,'YTD Purchases'!$G:$G,Brokerage!U$4)</f>
        <v>0</v>
      </c>
      <c r="V30" s="857">
        <f>SUMIFS('YTD Sales'!$N:$N,'YTD Sales'!$B:$B,Brokerage!$B30,'YTD Sales'!$M:$M,Brokerage!V$4)+SUMIFS('YTD Purchases'!$H:$H,'YTD Purchases'!$C:$C,Brokerage!$B30,'YTD Purchases'!$G:$G,Brokerage!V$4)</f>
        <v>0</v>
      </c>
      <c r="W30" s="857">
        <f>SUMIFS('YTD Sales'!$N:$N,'YTD Sales'!$B:$B,Brokerage!$B30,'YTD Sales'!$M:$M,Brokerage!W$4)+SUMIFS('YTD Purchases'!$H:$H,'YTD Purchases'!$C:$C,Brokerage!$B30,'YTD Purchases'!$G:$G,Brokerage!W$4)</f>
        <v>0</v>
      </c>
      <c r="X30" s="857">
        <f>SUMIFS('YTD Sales'!$N:$N,'YTD Sales'!$B:$B,Brokerage!$B30,'YTD Sales'!$M:$M,Brokerage!X$4)+SUMIFS('YTD Purchases'!$H:$H,'YTD Purchases'!$C:$C,Brokerage!$B30,'YTD Purchases'!$G:$G,Brokerage!X$4)</f>
        <v>0</v>
      </c>
      <c r="Y30" s="857">
        <f>SUMIFS('YTD Sales'!$N:$N,'YTD Sales'!$B:$B,Brokerage!$B30,'YTD Sales'!$M:$M,Brokerage!Y$4)+SUMIFS('YTD Purchases'!$H:$H,'YTD Purchases'!$C:$C,Brokerage!$B30,'YTD Purchases'!$G:$G,Brokerage!Y$4)</f>
        <v>0</v>
      </c>
      <c r="Z30" s="857">
        <f>SUMIFS('YTD Sales'!$N:$N,'YTD Sales'!$B:$B,Brokerage!$B30,'YTD Sales'!$M:$M,Brokerage!Z$4)+SUMIFS('YTD Purchases'!$H:$H,'YTD Purchases'!$C:$C,Brokerage!$B30,'YTD Purchases'!$G:$G,Brokerage!Z$4)</f>
        <v>0</v>
      </c>
      <c r="AA30" s="857">
        <f>SUMIFS('YTD Sales'!$N:$N,'YTD Sales'!$B:$B,Brokerage!$B30,'YTD Sales'!$M:$M,Brokerage!AA$4)+SUMIFS('YTD Purchases'!$H:$H,'YTD Purchases'!$C:$C,Brokerage!$B30,'YTD Purchases'!$G:$G,Brokerage!AA$4)</f>
        <v>0</v>
      </c>
      <c r="AB30" s="857">
        <f>SUMIFS('YTD Sales'!$N:$N,'YTD Sales'!$B:$B,Brokerage!$B30,'YTD Sales'!$M:$M,Brokerage!AB$4)+SUMIFS('YTD Purchases'!$H:$H,'YTD Purchases'!$C:$C,Brokerage!$B30,'YTD Purchases'!$G:$G,Brokerage!AB$4)</f>
        <v>0</v>
      </c>
      <c r="AC30" s="857">
        <f>SUMIFS('YTD Sales'!$N:$N,'YTD Sales'!$B:$B,Brokerage!$B30,'YTD Sales'!$M:$M,Brokerage!AC$4)+SUMIFS('YTD Purchases'!$H:$H,'YTD Purchases'!$C:$C,Brokerage!$B30,'YTD Purchases'!$G:$G,Brokerage!AC$4)</f>
        <v>0</v>
      </c>
      <c r="AD30" s="857">
        <f>+SUMIFS(PIB!AG:AG,PIB!AF:AF,Brokerage!AD$4,PIB!AA:AA,Brokerage!$B30)+SUMIFS('T-Bills'!AB:AB,'T-Bills'!AA:AA,Brokerage!AD$4,'T-Bills'!V:V,Brokerage!$B30)</f>
        <v>0</v>
      </c>
      <c r="AE30" s="857">
        <f>+SUMIFS(PIB!AH:AH,PIB!AG:AG,Brokerage!AE$4,PIB!AB:AB,Brokerage!$B30)+SUMIFS('T-Bills'!AC:AC,'T-Bills'!AB:AB,Brokerage!AE$4,'T-Bills'!W:W,Brokerage!$B30)</f>
        <v>0</v>
      </c>
      <c r="AF30" s="857">
        <f>+SUMIFS(PIB!AI:AI,PIB!AH:AH,Brokerage!AF$4,PIB!AC:AC,Brokerage!$B30)+SUMIFS('T-Bills'!AD:AD,'T-Bills'!AC:AC,Brokerage!AF$4,'T-Bills'!X:X,Brokerage!$B30)</f>
        <v>0</v>
      </c>
      <c r="AG30" s="857">
        <f t="shared" si="3"/>
        <v>0</v>
      </c>
      <c r="AH30" s="858">
        <f t="shared" si="7"/>
        <v>0</v>
      </c>
    </row>
    <row r="31" spans="2:34" x14ac:dyDescent="0.15">
      <c r="B31" s="661">
        <f t="shared" si="2"/>
        <v>44587</v>
      </c>
      <c r="C31" s="857">
        <f>SUMIFS('YTD Sales'!$N:$N,'YTD Sales'!$B:$B,Brokerage!$B31,'YTD Sales'!$M:$M,Brokerage!C$4)+SUMIFS('YTD Purchases'!$H:$H,'YTD Purchases'!$C:$C,Brokerage!$B31,'YTD Purchases'!$G:$G,Brokerage!C$4)</f>
        <v>0</v>
      </c>
      <c r="D31" s="857">
        <f>SUMIFS('YTD Sales'!$N:$N,'YTD Sales'!$B:$B,Brokerage!$B31,'YTD Sales'!$M:$M,Brokerage!D$4)+SUMIFS('YTD Purchases'!$H:$H,'YTD Purchases'!$C:$C,Brokerage!$B31,'YTD Purchases'!$G:$G,Brokerage!D$4)</f>
        <v>0</v>
      </c>
      <c r="E31" s="857">
        <f>SUMIFS('YTD Sales'!$N:$N,'YTD Sales'!$B:$B,Brokerage!$B31,'YTD Sales'!$M:$M,Brokerage!E$4)+SUMIFS('YTD Purchases'!$H:$H,'YTD Purchases'!$C:$C,Brokerage!$B31,'YTD Purchases'!$G:$G,Brokerage!E$4)</f>
        <v>0</v>
      </c>
      <c r="F31" s="857">
        <f>SUMIFS('YTD Sales'!$N:$N,'YTD Sales'!$B:$B,Brokerage!$B31,'YTD Sales'!$M:$M,Brokerage!F$4)+SUMIFS('YTD Purchases'!$H:$H,'YTD Purchases'!$C:$C,Brokerage!$B31,'YTD Purchases'!$G:$G,Brokerage!F$4)</f>
        <v>0</v>
      </c>
      <c r="G31" s="857">
        <f>SUMIFS('YTD Sales'!$N:$N,'YTD Sales'!$B:$B,Brokerage!$B31,'YTD Sales'!$M:$M,Brokerage!G$4)+SUMIFS('YTD Purchases'!$H:$H,'YTD Purchases'!$C:$C,Brokerage!$B31,'YTD Purchases'!$G:$G,Brokerage!G$4)</f>
        <v>0</v>
      </c>
      <c r="H31" s="857">
        <f>SUMIFS('YTD Sales'!$N:$N,'YTD Sales'!$B:$B,Brokerage!$B31,'YTD Sales'!$M:$M,Brokerage!H$4)+SUMIFS('YTD Purchases'!$H:$H,'YTD Purchases'!$C:$C,Brokerage!$B31,'YTD Purchases'!$G:$G,Brokerage!H$4)</f>
        <v>0</v>
      </c>
      <c r="I31" s="857">
        <f>SUMIFS('YTD Sales'!$N:$N,'YTD Sales'!$B:$B,Brokerage!$B31,'YTD Sales'!$M:$M,Brokerage!I$4)+SUMIFS('YTD Purchases'!$H:$H,'YTD Purchases'!$C:$C,Brokerage!$B31,'YTD Purchases'!$G:$G,Brokerage!I$4)</f>
        <v>0</v>
      </c>
      <c r="J31" s="857">
        <f>SUMIFS('YTD Sales'!$N:$N,'YTD Sales'!$B:$B,Brokerage!$B31,'YTD Sales'!$M:$M,Brokerage!J$4)+SUMIFS('YTD Purchases'!$H:$H,'YTD Purchases'!$C:$C,Brokerage!$B31,'YTD Purchases'!$G:$G,Brokerage!J$4)</f>
        <v>0</v>
      </c>
      <c r="K31" s="857">
        <f>SUMIFS('YTD Sales'!$N:$N,'YTD Sales'!$B:$B,Brokerage!$B31,'YTD Sales'!$M:$M,Brokerage!K$4)+SUMIFS('YTD Purchases'!$H:$H,'YTD Purchases'!$C:$C,Brokerage!$B31,'YTD Purchases'!$G:$G,Brokerage!K$4)</f>
        <v>0</v>
      </c>
      <c r="L31" s="857">
        <f>SUMIFS('YTD Sales'!$N:$N,'YTD Sales'!$B:$B,Brokerage!$B31,'YTD Sales'!$M:$M,Brokerage!L$4)+SUMIFS('YTD Purchases'!$H:$H,'YTD Purchases'!$C:$C,Brokerage!$B31,'YTD Purchases'!$G:$G,Brokerage!L$4)</f>
        <v>0</v>
      </c>
      <c r="M31" s="857">
        <f>SUMIFS('YTD Sales'!$N:$N,'YTD Sales'!$B:$B,Brokerage!$B31,'YTD Sales'!$M:$M,Brokerage!M$4)+SUMIFS('YTD Purchases'!$H:$H,'YTD Purchases'!$C:$C,Brokerage!$B31,'YTD Purchases'!$G:$G,Brokerage!M$4)</f>
        <v>0</v>
      </c>
      <c r="N31" s="857">
        <f>SUMIFS('YTD Sales'!$N:$N,'YTD Sales'!$B:$B,Brokerage!$B31,'YTD Sales'!$M:$M,Brokerage!N$4)+SUMIFS('YTD Purchases'!$H:$H,'YTD Purchases'!$C:$C,Brokerage!$B31,'YTD Purchases'!$G:$G,Brokerage!N$4)</f>
        <v>0</v>
      </c>
      <c r="O31" s="857">
        <f>SUMIFS('YTD Sales'!$N:$N,'YTD Sales'!$B:$B,Brokerage!$B31,'YTD Sales'!$M:$M,Brokerage!O$4)+SUMIFS('YTD Purchases'!$H:$H,'YTD Purchases'!$C:$C,Brokerage!$B31,'YTD Purchases'!$G:$G,Brokerage!O$4)</f>
        <v>0</v>
      </c>
      <c r="P31" s="857">
        <f>SUMIFS('YTD Sales'!$N:$N,'YTD Sales'!$B:$B,Brokerage!$B31,'YTD Sales'!$M:$M,Brokerage!P$4)+SUMIFS('YTD Purchases'!$H:$H,'YTD Purchases'!$C:$C,Brokerage!$B31,'YTD Purchases'!$G:$G,Brokerage!P$4)</f>
        <v>0</v>
      </c>
      <c r="Q31" s="857">
        <f>SUMIFS('YTD Sales'!$N:$N,'YTD Sales'!$B:$B,Brokerage!$B31,'YTD Sales'!$M:$M,Brokerage!Q$4)+SUMIFS('YTD Purchases'!$H:$H,'YTD Purchases'!$C:$C,Brokerage!$B31,'YTD Purchases'!$G:$G,Brokerage!Q$4)</f>
        <v>0</v>
      </c>
      <c r="R31" s="857">
        <f>SUMIFS('YTD Sales'!$N:$N,'YTD Sales'!$B:$B,Brokerage!$B31,'YTD Sales'!$M:$M,Brokerage!R$4)+SUMIFS('YTD Purchases'!$H:$H,'YTD Purchases'!$C:$C,Brokerage!$B31,'YTD Purchases'!$G:$G,Brokerage!R$4)</f>
        <v>0</v>
      </c>
      <c r="S31" s="857">
        <f>SUMIFS('YTD Sales'!$N:$N,'YTD Sales'!$B:$B,Brokerage!$B31,'YTD Sales'!$M:$M,Brokerage!S$4)+SUMIFS('YTD Purchases'!$H:$H,'YTD Purchases'!$C:$C,Brokerage!$B31,'YTD Purchases'!$G:$G,Brokerage!S$4)</f>
        <v>0</v>
      </c>
      <c r="T31" s="857">
        <f>SUMIFS('YTD Sales'!$N:$N,'YTD Sales'!$B:$B,Brokerage!$B31,'YTD Sales'!$M:$M,Brokerage!T$4)+SUMIFS('YTD Purchases'!$H:$H,'YTD Purchases'!$C:$C,Brokerage!$B31,'YTD Purchases'!$G:$G,Brokerage!T$4)</f>
        <v>0</v>
      </c>
      <c r="U31" s="857">
        <f>SUMIFS('YTD Sales'!$N:$N,'YTD Sales'!$B:$B,Brokerage!$B31,'YTD Sales'!$M:$M,Brokerage!U$4)+SUMIFS('YTD Purchases'!$H:$H,'YTD Purchases'!$C:$C,Brokerage!$B31,'YTD Purchases'!$G:$G,Brokerage!U$4)</f>
        <v>0</v>
      </c>
      <c r="V31" s="857">
        <f>SUMIFS('YTD Sales'!$N:$N,'YTD Sales'!$B:$B,Brokerage!$B31,'YTD Sales'!$M:$M,Brokerage!V$4)+SUMIFS('YTD Purchases'!$H:$H,'YTD Purchases'!$C:$C,Brokerage!$B31,'YTD Purchases'!$G:$G,Brokerage!V$4)</f>
        <v>0</v>
      </c>
      <c r="W31" s="857">
        <f>SUMIFS('YTD Sales'!$N:$N,'YTD Sales'!$B:$B,Brokerage!$B31,'YTD Sales'!$M:$M,Brokerage!W$4)+SUMIFS('YTD Purchases'!$H:$H,'YTD Purchases'!$C:$C,Brokerage!$B31,'YTD Purchases'!$G:$G,Brokerage!W$4)</f>
        <v>0</v>
      </c>
      <c r="X31" s="857">
        <f>SUMIFS('YTD Sales'!$N:$N,'YTD Sales'!$B:$B,Brokerage!$B31,'YTD Sales'!$M:$M,Brokerage!X$4)+SUMIFS('YTD Purchases'!$H:$H,'YTD Purchases'!$C:$C,Brokerage!$B31,'YTD Purchases'!$G:$G,Brokerage!X$4)</f>
        <v>0</v>
      </c>
      <c r="Y31" s="857">
        <f>SUMIFS('YTD Sales'!$N:$N,'YTD Sales'!$B:$B,Brokerage!$B31,'YTD Sales'!$M:$M,Brokerage!Y$4)+SUMIFS('YTD Purchases'!$H:$H,'YTD Purchases'!$C:$C,Brokerage!$B31,'YTD Purchases'!$G:$G,Brokerage!Y$4)</f>
        <v>0</v>
      </c>
      <c r="Z31" s="857">
        <f>SUMIFS('YTD Sales'!$N:$N,'YTD Sales'!$B:$B,Brokerage!$B31,'YTD Sales'!$M:$M,Brokerage!Z$4)+SUMIFS('YTD Purchases'!$H:$H,'YTD Purchases'!$C:$C,Brokerage!$B31,'YTD Purchases'!$G:$G,Brokerage!Z$4)</f>
        <v>0</v>
      </c>
      <c r="AA31" s="857">
        <f>SUMIFS('YTD Sales'!$N:$N,'YTD Sales'!$B:$B,Brokerage!$B31,'YTD Sales'!$M:$M,Brokerage!AA$4)+SUMIFS('YTD Purchases'!$H:$H,'YTD Purchases'!$C:$C,Brokerage!$B31,'YTD Purchases'!$G:$G,Brokerage!AA$4)</f>
        <v>0</v>
      </c>
      <c r="AB31" s="857">
        <f>SUMIFS('YTD Sales'!$N:$N,'YTD Sales'!$B:$B,Brokerage!$B31,'YTD Sales'!$M:$M,Brokerage!AB$4)+SUMIFS('YTD Purchases'!$H:$H,'YTD Purchases'!$C:$C,Brokerage!$B31,'YTD Purchases'!$G:$G,Brokerage!AB$4)</f>
        <v>0</v>
      </c>
      <c r="AC31" s="857">
        <f>SUMIFS('YTD Sales'!$N:$N,'YTD Sales'!$B:$B,Brokerage!$B31,'YTD Sales'!$M:$M,Brokerage!AC$4)+SUMIFS('YTD Purchases'!$H:$H,'YTD Purchases'!$C:$C,Brokerage!$B31,'YTD Purchases'!$G:$G,Brokerage!AC$4)</f>
        <v>0</v>
      </c>
      <c r="AD31" s="857">
        <f>+SUMIFS(PIB!AG:AG,PIB!AF:AF,Brokerage!AD$4,PIB!AA:AA,Brokerage!$B31)+SUMIFS('T-Bills'!AB:AB,'T-Bills'!AA:AA,Brokerage!AD$4,'T-Bills'!V:V,Brokerage!$B31)</f>
        <v>0</v>
      </c>
      <c r="AE31" s="857">
        <f>+SUMIFS(PIB!AH:AH,PIB!AG:AG,Brokerage!AE$4,PIB!AB:AB,Brokerage!$B31)+SUMIFS('T-Bills'!AC:AC,'T-Bills'!AB:AB,Brokerage!AE$4,'T-Bills'!W:W,Brokerage!$B31)</f>
        <v>0</v>
      </c>
      <c r="AF31" s="857">
        <f>+SUMIFS(PIB!AI:AI,PIB!AH:AH,Brokerage!AF$4,PIB!AC:AC,Brokerage!$B31)+SUMIFS('T-Bills'!AD:AD,'T-Bills'!AC:AC,Brokerage!AF$4,'T-Bills'!X:X,Brokerage!$B31)</f>
        <v>0</v>
      </c>
      <c r="AG31" s="857">
        <f t="shared" si="3"/>
        <v>0</v>
      </c>
      <c r="AH31" s="858">
        <f t="shared" si="7"/>
        <v>0</v>
      </c>
    </row>
    <row r="32" spans="2:34" x14ac:dyDescent="0.15">
      <c r="B32" s="661">
        <f t="shared" si="2"/>
        <v>44588</v>
      </c>
      <c r="C32" s="857">
        <f>SUMIFS('YTD Sales'!$N:$N,'YTD Sales'!$B:$B,Brokerage!$B32,'YTD Sales'!$M:$M,Brokerage!C$4)+SUMIFS('YTD Purchases'!$H:$H,'YTD Purchases'!$C:$C,Brokerage!$B32,'YTD Purchases'!$G:$G,Brokerage!C$4)</f>
        <v>0</v>
      </c>
      <c r="D32" s="857">
        <f>SUMIFS('YTD Sales'!$N:$N,'YTD Sales'!$B:$B,Brokerage!$B32,'YTD Sales'!$M:$M,Brokerage!D$4)+SUMIFS('YTD Purchases'!$H:$H,'YTD Purchases'!$C:$C,Brokerage!$B32,'YTD Purchases'!$G:$G,Brokerage!D$4)</f>
        <v>0</v>
      </c>
      <c r="E32" s="857">
        <f>SUMIFS('YTD Sales'!$N:$N,'YTD Sales'!$B:$B,Brokerage!$B32,'YTD Sales'!$M:$M,Brokerage!E$4)+SUMIFS('YTD Purchases'!$H:$H,'YTD Purchases'!$C:$C,Brokerage!$B32,'YTD Purchases'!$G:$G,Brokerage!E$4)</f>
        <v>0</v>
      </c>
      <c r="F32" s="857">
        <f>SUMIFS('YTD Sales'!$N:$N,'YTD Sales'!$B:$B,Brokerage!$B32,'YTD Sales'!$M:$M,Brokerage!F$4)+SUMIFS('YTD Purchases'!$H:$H,'YTD Purchases'!$C:$C,Brokerage!$B32,'YTD Purchases'!$G:$G,Brokerage!F$4)</f>
        <v>0</v>
      </c>
      <c r="G32" s="857">
        <f>SUMIFS('YTD Sales'!$N:$N,'YTD Sales'!$B:$B,Brokerage!$B32,'YTD Sales'!$M:$M,Brokerage!G$4)+SUMIFS('YTD Purchases'!$H:$H,'YTD Purchases'!$C:$C,Brokerage!$B32,'YTD Purchases'!$G:$G,Brokerage!G$4)</f>
        <v>0</v>
      </c>
      <c r="H32" s="857">
        <f>SUMIFS('YTD Sales'!$N:$N,'YTD Sales'!$B:$B,Brokerage!$B32,'YTD Sales'!$M:$M,Brokerage!H$4)+SUMIFS('YTD Purchases'!$H:$H,'YTD Purchases'!$C:$C,Brokerage!$B32,'YTD Purchases'!$G:$G,Brokerage!H$4)</f>
        <v>0</v>
      </c>
      <c r="I32" s="857">
        <f>SUMIFS('YTD Sales'!$N:$N,'YTD Sales'!$B:$B,Brokerage!$B32,'YTD Sales'!$M:$M,Brokerage!I$4)+SUMIFS('YTD Purchases'!$H:$H,'YTD Purchases'!$C:$C,Brokerage!$B32,'YTD Purchases'!$G:$G,Brokerage!I$4)</f>
        <v>33889.592400000001</v>
      </c>
      <c r="J32" s="857">
        <f>SUMIFS('YTD Sales'!$N:$N,'YTD Sales'!$B:$B,Brokerage!$B32,'YTD Sales'!$M:$M,Brokerage!J$4)+SUMIFS('YTD Purchases'!$H:$H,'YTD Purchases'!$C:$C,Brokerage!$B32,'YTD Purchases'!$G:$G,Brokerage!J$4)</f>
        <v>0</v>
      </c>
      <c r="K32" s="857">
        <f>SUMIFS('YTD Sales'!$N:$N,'YTD Sales'!$B:$B,Brokerage!$B32,'YTD Sales'!$M:$M,Brokerage!K$4)+SUMIFS('YTD Purchases'!$H:$H,'YTD Purchases'!$C:$C,Brokerage!$B32,'YTD Purchases'!$G:$G,Brokerage!K$4)</f>
        <v>0</v>
      </c>
      <c r="L32" s="857">
        <f>SUMIFS('YTD Sales'!$N:$N,'YTD Sales'!$B:$B,Brokerage!$B32,'YTD Sales'!$M:$M,Brokerage!L$4)+SUMIFS('YTD Purchases'!$H:$H,'YTD Purchases'!$C:$C,Brokerage!$B32,'YTD Purchases'!$G:$G,Brokerage!L$4)</f>
        <v>0</v>
      </c>
      <c r="M32" s="857">
        <f>SUMIFS('YTD Sales'!$N:$N,'YTD Sales'!$B:$B,Brokerage!$B32,'YTD Sales'!$M:$M,Brokerage!M$4)+SUMIFS('YTD Purchases'!$H:$H,'YTD Purchases'!$C:$C,Brokerage!$B32,'YTD Purchases'!$G:$G,Brokerage!M$4)</f>
        <v>0</v>
      </c>
      <c r="N32" s="857">
        <f>SUMIFS('YTD Sales'!$N:$N,'YTD Sales'!$B:$B,Brokerage!$B32,'YTD Sales'!$M:$M,Brokerage!N$4)+SUMIFS('YTD Purchases'!$H:$H,'YTD Purchases'!$C:$C,Brokerage!$B32,'YTD Purchases'!$G:$G,Brokerage!N$4)</f>
        <v>0</v>
      </c>
      <c r="O32" s="857">
        <f>SUMIFS('YTD Sales'!$N:$N,'YTD Sales'!$B:$B,Brokerage!$B32,'YTD Sales'!$M:$M,Brokerage!O$4)+SUMIFS('YTD Purchases'!$H:$H,'YTD Purchases'!$C:$C,Brokerage!$B32,'YTD Purchases'!$G:$G,Brokerage!O$4)</f>
        <v>0</v>
      </c>
      <c r="P32" s="857">
        <f>SUMIFS('YTD Sales'!$N:$N,'YTD Sales'!$B:$B,Brokerage!$B32,'YTD Sales'!$M:$M,Brokerage!P$4)+SUMIFS('YTD Purchases'!$H:$H,'YTD Purchases'!$C:$C,Brokerage!$B32,'YTD Purchases'!$G:$G,Brokerage!P$4)</f>
        <v>0</v>
      </c>
      <c r="Q32" s="857">
        <f>SUMIFS('YTD Sales'!$N:$N,'YTD Sales'!$B:$B,Brokerage!$B32,'YTD Sales'!$M:$M,Brokerage!Q$4)+SUMIFS('YTD Purchases'!$H:$H,'YTD Purchases'!$C:$C,Brokerage!$B32,'YTD Purchases'!$G:$G,Brokerage!Q$4)</f>
        <v>0</v>
      </c>
      <c r="R32" s="857">
        <f>SUMIFS('YTD Sales'!$N:$N,'YTD Sales'!$B:$B,Brokerage!$B32,'YTD Sales'!$M:$M,Brokerage!R$4)+SUMIFS('YTD Purchases'!$H:$H,'YTD Purchases'!$C:$C,Brokerage!$B32,'YTD Purchases'!$G:$G,Brokerage!R$4)</f>
        <v>0</v>
      </c>
      <c r="S32" s="857">
        <f>SUMIFS('YTD Sales'!$N:$N,'YTD Sales'!$B:$B,Brokerage!$B32,'YTD Sales'!$M:$M,Brokerage!S$4)+SUMIFS('YTD Purchases'!$H:$H,'YTD Purchases'!$C:$C,Brokerage!$B32,'YTD Purchases'!$G:$G,Brokerage!S$4)</f>
        <v>0</v>
      </c>
      <c r="T32" s="857">
        <f>SUMIFS('YTD Sales'!$N:$N,'YTD Sales'!$B:$B,Brokerage!$B32,'YTD Sales'!$M:$M,Brokerage!T$4)+SUMIFS('YTD Purchases'!$H:$H,'YTD Purchases'!$C:$C,Brokerage!$B32,'YTD Purchases'!$G:$G,Brokerage!T$4)</f>
        <v>0</v>
      </c>
      <c r="U32" s="857">
        <f>SUMIFS('YTD Sales'!$N:$N,'YTD Sales'!$B:$B,Brokerage!$B32,'YTD Sales'!$M:$M,Brokerage!U$4)+SUMIFS('YTD Purchases'!$H:$H,'YTD Purchases'!$C:$C,Brokerage!$B32,'YTD Purchases'!$G:$G,Brokerage!U$4)</f>
        <v>0</v>
      </c>
      <c r="V32" s="857">
        <f>SUMIFS('YTD Sales'!$N:$N,'YTD Sales'!$B:$B,Brokerage!$B32,'YTD Sales'!$M:$M,Brokerage!V$4)+SUMIFS('YTD Purchases'!$H:$H,'YTD Purchases'!$C:$C,Brokerage!$B32,'YTD Purchases'!$G:$G,Brokerage!V$4)</f>
        <v>0</v>
      </c>
      <c r="W32" s="857">
        <f>SUMIFS('YTD Sales'!$N:$N,'YTD Sales'!$B:$B,Brokerage!$B32,'YTD Sales'!$M:$M,Brokerage!W$4)+SUMIFS('YTD Purchases'!$H:$H,'YTD Purchases'!$C:$C,Brokerage!$B32,'YTD Purchases'!$G:$G,Brokerage!W$4)</f>
        <v>0</v>
      </c>
      <c r="X32" s="857">
        <f>SUMIFS('YTD Sales'!$N:$N,'YTD Sales'!$B:$B,Brokerage!$B32,'YTD Sales'!$M:$M,Brokerage!X$4)+SUMIFS('YTD Purchases'!$H:$H,'YTD Purchases'!$C:$C,Brokerage!$B32,'YTD Purchases'!$G:$G,Brokerage!X$4)</f>
        <v>0</v>
      </c>
      <c r="Y32" s="857">
        <f>SUMIFS('YTD Sales'!$N:$N,'YTD Sales'!$B:$B,Brokerage!$B32,'YTD Sales'!$M:$M,Brokerage!Y$4)+SUMIFS('YTD Purchases'!$H:$H,'YTD Purchases'!$C:$C,Brokerage!$B32,'YTD Purchases'!$G:$G,Brokerage!Y$4)</f>
        <v>0</v>
      </c>
      <c r="Z32" s="857">
        <f>SUMIFS('YTD Sales'!$N:$N,'YTD Sales'!$B:$B,Brokerage!$B32,'YTD Sales'!$M:$M,Brokerage!Z$4)+SUMIFS('YTD Purchases'!$H:$H,'YTD Purchases'!$C:$C,Brokerage!$B32,'YTD Purchases'!$G:$G,Brokerage!Z$4)</f>
        <v>0</v>
      </c>
      <c r="AA32" s="857">
        <f>SUMIFS('YTD Sales'!$N:$N,'YTD Sales'!$B:$B,Brokerage!$B32,'YTD Sales'!$M:$M,Brokerage!AA$4)+SUMIFS('YTD Purchases'!$H:$H,'YTD Purchases'!$C:$C,Brokerage!$B32,'YTD Purchases'!$G:$G,Brokerage!AA$4)</f>
        <v>0</v>
      </c>
      <c r="AB32" s="857">
        <f>SUMIFS('YTD Sales'!$N:$N,'YTD Sales'!$B:$B,Brokerage!$B32,'YTD Sales'!$M:$M,Brokerage!AB$4)+SUMIFS('YTD Purchases'!$H:$H,'YTD Purchases'!$C:$C,Brokerage!$B32,'YTD Purchases'!$G:$G,Brokerage!AB$4)</f>
        <v>0</v>
      </c>
      <c r="AC32" s="857">
        <f>SUMIFS('YTD Sales'!$N:$N,'YTD Sales'!$B:$B,Brokerage!$B32,'YTD Sales'!$M:$M,Brokerage!AC$4)+SUMIFS('YTD Purchases'!$H:$H,'YTD Purchases'!$C:$C,Brokerage!$B32,'YTD Purchases'!$G:$G,Brokerage!AC$4)</f>
        <v>0</v>
      </c>
      <c r="AD32" s="857">
        <f>+SUMIFS(PIB!AG:AG,PIB!AF:AF,Brokerage!AD$4,PIB!AA:AA,Brokerage!$B32)+SUMIFS('T-Bills'!AB:AB,'T-Bills'!AA:AA,Brokerage!AD$4,'T-Bills'!V:V,Brokerage!$B32)</f>
        <v>0</v>
      </c>
      <c r="AE32" s="857">
        <f>+SUMIFS(PIB!AH:AH,PIB!AG:AG,Brokerage!AE$4,PIB!AB:AB,Brokerage!$B32)+SUMIFS('T-Bills'!AC:AC,'T-Bills'!AB:AB,Brokerage!AE$4,'T-Bills'!W:W,Brokerage!$B32)</f>
        <v>0</v>
      </c>
      <c r="AF32" s="857">
        <f>+SUMIFS(PIB!AI:AI,PIB!AH:AH,Brokerage!AF$4,PIB!AC:AC,Brokerage!$B32)+SUMIFS('T-Bills'!AD:AD,'T-Bills'!AC:AC,Brokerage!AF$4,'T-Bills'!X:X,Brokerage!$B32)</f>
        <v>0</v>
      </c>
      <c r="AG32" s="857">
        <f t="shared" si="3"/>
        <v>33889.592400000001</v>
      </c>
      <c r="AH32" s="858">
        <f t="shared" ref="AH32:AH73" si="8">ROUND((AG32*1.5%)/365,0)</f>
        <v>1</v>
      </c>
    </row>
    <row r="33" spans="2:36" x14ac:dyDescent="0.15">
      <c r="B33" s="661">
        <f t="shared" si="2"/>
        <v>44589</v>
      </c>
      <c r="C33" s="857">
        <f>SUMIFS('YTD Sales'!$N:$N,'YTD Sales'!$B:$B,Brokerage!$B33,'YTD Sales'!$M:$M,Brokerage!C$4)+SUMIFS('YTD Purchases'!$H:$H,'YTD Purchases'!$C:$C,Brokerage!$B33,'YTD Purchases'!$G:$G,Brokerage!C$4)</f>
        <v>0</v>
      </c>
      <c r="D33" s="857">
        <f>SUMIFS('YTD Sales'!$N:$N,'YTD Sales'!$B:$B,Brokerage!$B33,'YTD Sales'!$M:$M,Brokerage!D$4)+SUMIFS('YTD Purchases'!$H:$H,'YTD Purchases'!$C:$C,Brokerage!$B33,'YTD Purchases'!$G:$G,Brokerage!D$4)</f>
        <v>0</v>
      </c>
      <c r="E33" s="857">
        <f>SUMIFS('YTD Sales'!$N:$N,'YTD Sales'!$B:$B,Brokerage!$B33,'YTD Sales'!$M:$M,Brokerage!E$4)+SUMIFS('YTD Purchases'!$H:$H,'YTD Purchases'!$C:$C,Brokerage!$B33,'YTD Purchases'!$G:$G,Brokerage!E$4)</f>
        <v>0</v>
      </c>
      <c r="F33" s="857">
        <f>SUMIFS('YTD Sales'!$N:$N,'YTD Sales'!$B:$B,Brokerage!$B33,'YTD Sales'!$M:$M,Brokerage!F$4)+SUMIFS('YTD Purchases'!$H:$H,'YTD Purchases'!$C:$C,Brokerage!$B33,'YTD Purchases'!$G:$G,Brokerage!F$4)</f>
        <v>0</v>
      </c>
      <c r="G33" s="857">
        <f>SUMIFS('YTD Sales'!$N:$N,'YTD Sales'!$B:$B,Brokerage!$B33,'YTD Sales'!$M:$M,Brokerage!G$4)+SUMIFS('YTD Purchases'!$H:$H,'YTD Purchases'!$C:$C,Brokerage!$B33,'YTD Purchases'!$G:$G,Brokerage!G$4)</f>
        <v>0</v>
      </c>
      <c r="H33" s="857">
        <f>SUMIFS('YTD Sales'!$N:$N,'YTD Sales'!$B:$B,Brokerage!$B33,'YTD Sales'!$M:$M,Brokerage!H$4)+SUMIFS('YTD Purchases'!$H:$H,'YTD Purchases'!$C:$C,Brokerage!$B33,'YTD Purchases'!$G:$G,Brokerage!H$4)</f>
        <v>0</v>
      </c>
      <c r="I33" s="857">
        <f>SUMIFS('YTD Sales'!$N:$N,'YTD Sales'!$B:$B,Brokerage!$B33,'YTD Sales'!$M:$M,Brokerage!I$4)+SUMIFS('YTD Purchases'!$H:$H,'YTD Purchases'!$C:$C,Brokerage!$B33,'YTD Purchases'!$G:$G,Brokerage!I$4)</f>
        <v>0</v>
      </c>
      <c r="J33" s="857">
        <f>SUMIFS('YTD Sales'!$N:$N,'YTD Sales'!$B:$B,Brokerage!$B33,'YTD Sales'!$M:$M,Brokerage!J$4)+SUMIFS('YTD Purchases'!$H:$H,'YTD Purchases'!$C:$C,Brokerage!$B33,'YTD Purchases'!$G:$G,Brokerage!J$4)</f>
        <v>0</v>
      </c>
      <c r="K33" s="857">
        <f>SUMIFS('YTD Sales'!$N:$N,'YTD Sales'!$B:$B,Brokerage!$B33,'YTD Sales'!$M:$M,Brokerage!K$4)+SUMIFS('YTD Purchases'!$H:$H,'YTD Purchases'!$C:$C,Brokerage!$B33,'YTD Purchases'!$G:$G,Brokerage!K$4)</f>
        <v>0</v>
      </c>
      <c r="L33" s="857">
        <f>SUMIFS('YTD Sales'!$N:$N,'YTD Sales'!$B:$B,Brokerage!$B33,'YTD Sales'!$M:$M,Brokerage!L$4)+SUMIFS('YTD Purchases'!$H:$H,'YTD Purchases'!$C:$C,Brokerage!$B33,'YTD Purchases'!$G:$G,Brokerage!L$4)</f>
        <v>0</v>
      </c>
      <c r="M33" s="857">
        <f>SUMIFS('YTD Sales'!$N:$N,'YTD Sales'!$B:$B,Brokerage!$B33,'YTD Sales'!$M:$M,Brokerage!M$4)+SUMIFS('YTD Purchases'!$H:$H,'YTD Purchases'!$C:$C,Brokerage!$B33,'YTD Purchases'!$G:$G,Brokerage!M$4)</f>
        <v>0</v>
      </c>
      <c r="N33" s="857">
        <f>SUMIFS('YTD Sales'!$N:$N,'YTD Sales'!$B:$B,Brokerage!$B33,'YTD Sales'!$M:$M,Brokerage!N$4)+SUMIFS('YTD Purchases'!$H:$H,'YTD Purchases'!$C:$C,Brokerage!$B33,'YTD Purchases'!$G:$G,Brokerage!N$4)</f>
        <v>0</v>
      </c>
      <c r="O33" s="857">
        <f>SUMIFS('YTD Sales'!$N:$N,'YTD Sales'!$B:$B,Brokerage!$B33,'YTD Sales'!$M:$M,Brokerage!O$4)+SUMIFS('YTD Purchases'!$H:$H,'YTD Purchases'!$C:$C,Brokerage!$B33,'YTD Purchases'!$G:$G,Brokerage!O$4)</f>
        <v>0</v>
      </c>
      <c r="P33" s="857">
        <f>SUMIFS('YTD Sales'!$N:$N,'YTD Sales'!$B:$B,Brokerage!$B33,'YTD Sales'!$M:$M,Brokerage!P$4)+SUMIFS('YTD Purchases'!$H:$H,'YTD Purchases'!$C:$C,Brokerage!$B33,'YTD Purchases'!$G:$G,Brokerage!P$4)</f>
        <v>0</v>
      </c>
      <c r="Q33" s="857">
        <f>SUMIFS('YTD Sales'!$N:$N,'YTD Sales'!$B:$B,Brokerage!$B33,'YTD Sales'!$M:$M,Brokerage!Q$4)+SUMIFS('YTD Purchases'!$H:$H,'YTD Purchases'!$C:$C,Brokerage!$B33,'YTD Purchases'!$G:$G,Brokerage!Q$4)</f>
        <v>0</v>
      </c>
      <c r="R33" s="857">
        <f>SUMIFS('YTD Sales'!$N:$N,'YTD Sales'!$B:$B,Brokerage!$B33,'YTD Sales'!$M:$M,Brokerage!R$4)+SUMIFS('YTD Purchases'!$H:$H,'YTD Purchases'!$C:$C,Brokerage!$B33,'YTD Purchases'!$G:$G,Brokerage!R$4)</f>
        <v>0</v>
      </c>
      <c r="S33" s="857">
        <f>SUMIFS('YTD Sales'!$N:$N,'YTD Sales'!$B:$B,Brokerage!$B33,'YTD Sales'!$M:$M,Brokerage!S$4)+SUMIFS('YTD Purchases'!$H:$H,'YTD Purchases'!$C:$C,Brokerage!$B33,'YTD Purchases'!$G:$G,Brokerage!S$4)</f>
        <v>0</v>
      </c>
      <c r="T33" s="857">
        <f>SUMIFS('YTD Sales'!$N:$N,'YTD Sales'!$B:$B,Brokerage!$B33,'YTD Sales'!$M:$M,Brokerage!T$4)+SUMIFS('YTD Purchases'!$H:$H,'YTD Purchases'!$C:$C,Brokerage!$B33,'YTD Purchases'!$G:$G,Brokerage!T$4)</f>
        <v>0</v>
      </c>
      <c r="U33" s="857">
        <f>SUMIFS('YTD Sales'!$N:$N,'YTD Sales'!$B:$B,Brokerage!$B33,'YTD Sales'!$M:$M,Brokerage!U$4)+SUMIFS('YTD Purchases'!$H:$H,'YTD Purchases'!$C:$C,Brokerage!$B33,'YTD Purchases'!$G:$G,Brokerage!U$4)</f>
        <v>0</v>
      </c>
      <c r="V33" s="857">
        <f>SUMIFS('YTD Sales'!$N:$N,'YTD Sales'!$B:$B,Brokerage!$B33,'YTD Sales'!$M:$M,Brokerage!V$4)+SUMIFS('YTD Purchases'!$H:$H,'YTD Purchases'!$C:$C,Brokerage!$B33,'YTD Purchases'!$G:$G,Brokerage!V$4)</f>
        <v>0</v>
      </c>
      <c r="W33" s="857">
        <f>SUMIFS('YTD Sales'!$N:$N,'YTD Sales'!$B:$B,Brokerage!$B33,'YTD Sales'!$M:$M,Brokerage!W$4)+SUMIFS('YTD Purchases'!$H:$H,'YTD Purchases'!$C:$C,Brokerage!$B33,'YTD Purchases'!$G:$G,Brokerage!W$4)</f>
        <v>0</v>
      </c>
      <c r="X33" s="857">
        <f>SUMIFS('YTD Sales'!$N:$N,'YTD Sales'!$B:$B,Brokerage!$B33,'YTD Sales'!$M:$M,Brokerage!X$4)+SUMIFS('YTD Purchases'!$H:$H,'YTD Purchases'!$C:$C,Brokerage!$B33,'YTD Purchases'!$G:$G,Brokerage!X$4)</f>
        <v>0</v>
      </c>
      <c r="Y33" s="857">
        <f>SUMIFS('YTD Sales'!$N:$N,'YTD Sales'!$B:$B,Brokerage!$B33,'YTD Sales'!$M:$M,Brokerage!Y$4)+SUMIFS('YTD Purchases'!$H:$H,'YTD Purchases'!$C:$C,Brokerage!$B33,'YTD Purchases'!$G:$G,Brokerage!Y$4)</f>
        <v>0</v>
      </c>
      <c r="Z33" s="857">
        <f>SUMIFS('YTD Sales'!$N:$N,'YTD Sales'!$B:$B,Brokerage!$B33,'YTD Sales'!$M:$M,Brokerage!Z$4)+SUMIFS('YTD Purchases'!$H:$H,'YTD Purchases'!$C:$C,Brokerage!$B33,'YTD Purchases'!$G:$G,Brokerage!Z$4)</f>
        <v>0</v>
      </c>
      <c r="AA33" s="857">
        <f>SUMIFS('YTD Sales'!$N:$N,'YTD Sales'!$B:$B,Brokerage!$B33,'YTD Sales'!$M:$M,Brokerage!AA$4)+SUMIFS('YTD Purchases'!$H:$H,'YTD Purchases'!$C:$C,Brokerage!$B33,'YTD Purchases'!$G:$G,Brokerage!AA$4)</f>
        <v>0</v>
      </c>
      <c r="AB33" s="857">
        <f>SUMIFS('YTD Sales'!$N:$N,'YTD Sales'!$B:$B,Brokerage!$B33,'YTD Sales'!$M:$M,Brokerage!AB$4)+SUMIFS('YTD Purchases'!$H:$H,'YTD Purchases'!$C:$C,Brokerage!$B33,'YTD Purchases'!$G:$G,Brokerage!AB$4)</f>
        <v>0</v>
      </c>
      <c r="AC33" s="857">
        <f>SUMIFS('YTD Sales'!$N:$N,'YTD Sales'!$B:$B,Brokerage!$B33,'YTD Sales'!$M:$M,Brokerage!AC$4)+SUMIFS('YTD Purchases'!$H:$H,'YTD Purchases'!$C:$C,Brokerage!$B33,'YTD Purchases'!$G:$G,Brokerage!AC$4)</f>
        <v>0</v>
      </c>
      <c r="AD33" s="857">
        <f>+SUMIFS(PIB!AG:AG,PIB!AF:AF,Brokerage!AD$4,PIB!AA:AA,Brokerage!$B33)+SUMIFS('T-Bills'!AB:AB,'T-Bills'!AA:AA,Brokerage!AD$4,'T-Bills'!V:V,Brokerage!$B33)</f>
        <v>0</v>
      </c>
      <c r="AE33" s="857">
        <f>+SUMIFS(PIB!AH:AH,PIB!AG:AG,Brokerage!AE$4,PIB!AB:AB,Brokerage!$B33)+SUMIFS('T-Bills'!AC:AC,'T-Bills'!AB:AB,Brokerage!AE$4,'T-Bills'!W:W,Brokerage!$B33)</f>
        <v>0</v>
      </c>
      <c r="AF33" s="857">
        <f>+SUMIFS(PIB!AI:AI,PIB!AH:AH,Brokerage!AF$4,PIB!AC:AC,Brokerage!$B33)+SUMIFS('T-Bills'!AD:AD,'T-Bills'!AC:AC,Brokerage!AF$4,'T-Bills'!X:X,Brokerage!$B33)</f>
        <v>0</v>
      </c>
      <c r="AG33" s="857">
        <f t="shared" si="3"/>
        <v>0</v>
      </c>
      <c r="AH33" s="858">
        <f t="shared" si="8"/>
        <v>0</v>
      </c>
    </row>
    <row r="34" spans="2:36" x14ac:dyDescent="0.15">
      <c r="B34" s="661">
        <f t="shared" si="2"/>
        <v>44590</v>
      </c>
      <c r="C34" s="857">
        <f>SUMIFS('YTD Sales'!$N:$N,'YTD Sales'!$B:$B,Brokerage!$B34,'YTD Sales'!$M:$M,Brokerage!C$4)+SUMIFS('YTD Purchases'!$H:$H,'YTD Purchases'!$C:$C,Brokerage!$B34,'YTD Purchases'!$G:$G,Brokerage!C$4)</f>
        <v>0</v>
      </c>
      <c r="D34" s="857">
        <f>SUMIFS('YTD Sales'!$N:$N,'YTD Sales'!$B:$B,Brokerage!$B34,'YTD Sales'!$M:$M,Brokerage!D$4)+SUMIFS('YTD Purchases'!$H:$H,'YTD Purchases'!$C:$C,Brokerage!$B34,'YTD Purchases'!$G:$G,Brokerage!D$4)</f>
        <v>0</v>
      </c>
      <c r="E34" s="857">
        <f>SUMIFS('YTD Sales'!$N:$N,'YTD Sales'!$B:$B,Brokerage!$B34,'YTD Sales'!$M:$M,Brokerage!E$4)+SUMIFS('YTD Purchases'!$H:$H,'YTD Purchases'!$C:$C,Brokerage!$B34,'YTD Purchases'!$G:$G,Brokerage!E$4)</f>
        <v>0</v>
      </c>
      <c r="F34" s="857">
        <f>SUMIFS('YTD Sales'!$N:$N,'YTD Sales'!$B:$B,Brokerage!$B34,'YTD Sales'!$M:$M,Brokerage!F$4)+SUMIFS('YTD Purchases'!$H:$H,'YTD Purchases'!$C:$C,Brokerage!$B34,'YTD Purchases'!$G:$G,Brokerage!F$4)</f>
        <v>0</v>
      </c>
      <c r="G34" s="857">
        <f>SUMIFS('YTD Sales'!$N:$N,'YTD Sales'!$B:$B,Brokerage!$B34,'YTD Sales'!$M:$M,Brokerage!G$4)+SUMIFS('YTD Purchases'!$H:$H,'YTD Purchases'!$C:$C,Brokerage!$B34,'YTD Purchases'!$G:$G,Brokerage!G$4)</f>
        <v>0</v>
      </c>
      <c r="H34" s="857">
        <f>SUMIFS('YTD Sales'!$N:$N,'YTD Sales'!$B:$B,Brokerage!$B34,'YTD Sales'!$M:$M,Brokerage!H$4)+SUMIFS('YTD Purchases'!$H:$H,'YTD Purchases'!$C:$C,Brokerage!$B34,'YTD Purchases'!$G:$G,Brokerage!H$4)</f>
        <v>0</v>
      </c>
      <c r="I34" s="857">
        <f>SUMIFS('YTD Sales'!$N:$N,'YTD Sales'!$B:$B,Brokerage!$B34,'YTD Sales'!$M:$M,Brokerage!I$4)+SUMIFS('YTD Purchases'!$H:$H,'YTD Purchases'!$C:$C,Brokerage!$B34,'YTD Purchases'!$G:$G,Brokerage!I$4)</f>
        <v>0</v>
      </c>
      <c r="J34" s="857">
        <f>SUMIFS('YTD Sales'!$N:$N,'YTD Sales'!$B:$B,Brokerage!$B34,'YTD Sales'!$M:$M,Brokerage!J$4)+SUMIFS('YTD Purchases'!$H:$H,'YTD Purchases'!$C:$C,Brokerage!$B34,'YTD Purchases'!$G:$G,Brokerage!J$4)</f>
        <v>0</v>
      </c>
      <c r="K34" s="857">
        <f>SUMIFS('YTD Sales'!$N:$N,'YTD Sales'!$B:$B,Brokerage!$B34,'YTD Sales'!$M:$M,Brokerage!K$4)+SUMIFS('YTD Purchases'!$H:$H,'YTD Purchases'!$C:$C,Brokerage!$B34,'YTD Purchases'!$G:$G,Brokerage!K$4)</f>
        <v>0</v>
      </c>
      <c r="L34" s="857">
        <f>SUMIFS('YTD Sales'!$N:$N,'YTD Sales'!$B:$B,Brokerage!$B34,'YTD Sales'!$M:$M,Brokerage!L$4)+SUMIFS('YTD Purchases'!$H:$H,'YTD Purchases'!$C:$C,Brokerage!$B34,'YTD Purchases'!$G:$G,Brokerage!L$4)</f>
        <v>0</v>
      </c>
      <c r="M34" s="857">
        <f>SUMIFS('YTD Sales'!$N:$N,'YTD Sales'!$B:$B,Brokerage!$B34,'YTD Sales'!$M:$M,Brokerage!M$4)+SUMIFS('YTD Purchases'!$H:$H,'YTD Purchases'!$C:$C,Brokerage!$B34,'YTD Purchases'!$G:$G,Brokerage!M$4)</f>
        <v>0</v>
      </c>
      <c r="N34" s="857">
        <f>SUMIFS('YTD Sales'!$N:$N,'YTD Sales'!$B:$B,Brokerage!$B34,'YTD Sales'!$M:$M,Brokerage!N$4)+SUMIFS('YTD Purchases'!$H:$H,'YTD Purchases'!$C:$C,Brokerage!$B34,'YTD Purchases'!$G:$G,Brokerage!N$4)</f>
        <v>0</v>
      </c>
      <c r="O34" s="857">
        <f>SUMIFS('YTD Sales'!$N:$N,'YTD Sales'!$B:$B,Brokerage!$B34,'YTD Sales'!$M:$M,Brokerage!O$4)+SUMIFS('YTD Purchases'!$H:$H,'YTD Purchases'!$C:$C,Brokerage!$B34,'YTD Purchases'!$G:$G,Brokerage!O$4)</f>
        <v>0</v>
      </c>
      <c r="P34" s="857">
        <f>SUMIFS('YTD Sales'!$N:$N,'YTD Sales'!$B:$B,Brokerage!$B34,'YTD Sales'!$M:$M,Brokerage!P$4)+SUMIFS('YTD Purchases'!$H:$H,'YTD Purchases'!$C:$C,Brokerage!$B34,'YTD Purchases'!$G:$G,Brokerage!P$4)</f>
        <v>0</v>
      </c>
      <c r="Q34" s="857">
        <f>SUMIFS('YTD Sales'!$N:$N,'YTD Sales'!$B:$B,Brokerage!$B34,'YTD Sales'!$M:$M,Brokerage!Q$4)+SUMIFS('YTD Purchases'!$H:$H,'YTD Purchases'!$C:$C,Brokerage!$B34,'YTD Purchases'!$G:$G,Brokerage!Q$4)</f>
        <v>0</v>
      </c>
      <c r="R34" s="857">
        <f>SUMIFS('YTD Sales'!$N:$N,'YTD Sales'!$B:$B,Brokerage!$B34,'YTD Sales'!$M:$M,Brokerage!R$4)+SUMIFS('YTD Purchases'!$H:$H,'YTD Purchases'!$C:$C,Brokerage!$B34,'YTD Purchases'!$G:$G,Brokerage!R$4)</f>
        <v>0</v>
      </c>
      <c r="S34" s="857">
        <f>SUMIFS('YTD Sales'!$N:$N,'YTD Sales'!$B:$B,Brokerage!$B34,'YTD Sales'!$M:$M,Brokerage!S$4)+SUMIFS('YTD Purchases'!$H:$H,'YTD Purchases'!$C:$C,Brokerage!$B34,'YTD Purchases'!$G:$G,Brokerage!S$4)</f>
        <v>0</v>
      </c>
      <c r="T34" s="857">
        <f>SUMIFS('YTD Sales'!$N:$N,'YTD Sales'!$B:$B,Brokerage!$B34,'YTD Sales'!$M:$M,Brokerage!T$4)+SUMIFS('YTD Purchases'!$H:$H,'YTD Purchases'!$C:$C,Brokerage!$B34,'YTD Purchases'!$G:$G,Brokerage!T$4)</f>
        <v>0</v>
      </c>
      <c r="U34" s="857">
        <f>SUMIFS('YTD Sales'!$N:$N,'YTD Sales'!$B:$B,Brokerage!$B34,'YTD Sales'!$M:$M,Brokerage!U$4)+SUMIFS('YTD Purchases'!$H:$H,'YTD Purchases'!$C:$C,Brokerage!$B34,'YTD Purchases'!$G:$G,Brokerage!U$4)</f>
        <v>0</v>
      </c>
      <c r="V34" s="857">
        <f>SUMIFS('YTD Sales'!$N:$N,'YTD Sales'!$B:$B,Brokerage!$B34,'YTD Sales'!$M:$M,Brokerage!V$4)+SUMIFS('YTD Purchases'!$H:$H,'YTD Purchases'!$C:$C,Brokerage!$B34,'YTD Purchases'!$G:$G,Brokerage!V$4)</f>
        <v>0</v>
      </c>
      <c r="W34" s="857">
        <f>SUMIFS('YTD Sales'!$N:$N,'YTD Sales'!$B:$B,Brokerage!$B34,'YTD Sales'!$M:$M,Brokerage!W$4)+SUMIFS('YTD Purchases'!$H:$H,'YTD Purchases'!$C:$C,Brokerage!$B34,'YTD Purchases'!$G:$G,Brokerage!W$4)</f>
        <v>0</v>
      </c>
      <c r="X34" s="857">
        <f>SUMIFS('YTD Sales'!$N:$N,'YTD Sales'!$B:$B,Brokerage!$B34,'YTD Sales'!$M:$M,Brokerage!X$4)+SUMIFS('YTD Purchases'!$H:$H,'YTD Purchases'!$C:$C,Brokerage!$B34,'YTD Purchases'!$G:$G,Brokerage!X$4)</f>
        <v>0</v>
      </c>
      <c r="Y34" s="857">
        <f>SUMIFS('YTD Sales'!$N:$N,'YTD Sales'!$B:$B,Brokerage!$B34,'YTD Sales'!$M:$M,Brokerage!Y$4)+SUMIFS('YTD Purchases'!$H:$H,'YTD Purchases'!$C:$C,Brokerage!$B34,'YTD Purchases'!$G:$G,Brokerage!Y$4)</f>
        <v>0</v>
      </c>
      <c r="Z34" s="857">
        <f>SUMIFS('YTD Sales'!$N:$N,'YTD Sales'!$B:$B,Brokerage!$B34,'YTD Sales'!$M:$M,Brokerage!Z$4)+SUMIFS('YTD Purchases'!$H:$H,'YTD Purchases'!$C:$C,Brokerage!$B34,'YTD Purchases'!$G:$G,Brokerage!Z$4)</f>
        <v>0</v>
      </c>
      <c r="AA34" s="857">
        <f>SUMIFS('YTD Sales'!$N:$N,'YTD Sales'!$B:$B,Brokerage!$B34,'YTD Sales'!$M:$M,Brokerage!AA$4)+SUMIFS('YTD Purchases'!$H:$H,'YTD Purchases'!$C:$C,Brokerage!$B34,'YTD Purchases'!$G:$G,Brokerage!AA$4)</f>
        <v>0</v>
      </c>
      <c r="AB34" s="857">
        <f>SUMIFS('YTD Sales'!$N:$N,'YTD Sales'!$B:$B,Brokerage!$B34,'YTD Sales'!$M:$M,Brokerage!AB$4)+SUMIFS('YTD Purchases'!$H:$H,'YTD Purchases'!$C:$C,Brokerage!$B34,'YTD Purchases'!$G:$G,Brokerage!AB$4)</f>
        <v>0</v>
      </c>
      <c r="AC34" s="857">
        <f>SUMIFS('YTD Sales'!$N:$N,'YTD Sales'!$B:$B,Brokerage!$B34,'YTD Sales'!$M:$M,Brokerage!AC$4)+SUMIFS('YTD Purchases'!$H:$H,'YTD Purchases'!$C:$C,Brokerage!$B34,'YTD Purchases'!$G:$G,Brokerage!AC$4)</f>
        <v>0</v>
      </c>
      <c r="AD34" s="857">
        <f>+SUMIFS(PIB!AG:AG,PIB!AF:AF,Brokerage!AD$4,PIB!AA:AA,Brokerage!$B34)+SUMIFS('T-Bills'!AB:AB,'T-Bills'!AA:AA,Brokerage!AD$4,'T-Bills'!V:V,Brokerage!$B34)</f>
        <v>0</v>
      </c>
      <c r="AE34" s="857">
        <f>+SUMIFS(PIB!AH:AH,PIB!AG:AG,Brokerage!AE$4,PIB!AB:AB,Brokerage!$B34)+SUMIFS('T-Bills'!AC:AC,'T-Bills'!AB:AB,Brokerage!AE$4,'T-Bills'!W:W,Brokerage!$B34)</f>
        <v>0</v>
      </c>
      <c r="AF34" s="857">
        <f>+SUMIFS(PIB!AI:AI,PIB!AH:AH,Brokerage!AF$4,PIB!AC:AC,Brokerage!$B34)+SUMIFS('T-Bills'!AD:AD,'T-Bills'!AC:AC,Brokerage!AF$4,'T-Bills'!X:X,Brokerage!$B34)</f>
        <v>0</v>
      </c>
      <c r="AG34" s="857">
        <f t="shared" si="3"/>
        <v>0</v>
      </c>
      <c r="AH34" s="858">
        <f t="shared" si="8"/>
        <v>0</v>
      </c>
    </row>
    <row r="35" spans="2:36" x14ac:dyDescent="0.15">
      <c r="B35" s="661">
        <f t="shared" si="2"/>
        <v>44591</v>
      </c>
      <c r="C35" s="857">
        <f>SUMIFS('YTD Sales'!$N:$N,'YTD Sales'!$B:$B,Brokerage!$B35,'YTD Sales'!$M:$M,Brokerage!C$4)+SUMIFS('YTD Purchases'!$H:$H,'YTD Purchases'!$C:$C,Brokerage!$B35,'YTD Purchases'!$G:$G,Brokerage!C$4)</f>
        <v>0</v>
      </c>
      <c r="D35" s="857">
        <f>SUMIFS('YTD Sales'!$N:$N,'YTD Sales'!$B:$B,Brokerage!$B35,'YTD Sales'!$M:$M,Brokerage!D$4)+SUMIFS('YTD Purchases'!$H:$H,'YTD Purchases'!$C:$C,Brokerage!$B35,'YTD Purchases'!$G:$G,Brokerage!D$4)</f>
        <v>0</v>
      </c>
      <c r="E35" s="857">
        <f>SUMIFS('YTD Sales'!$N:$N,'YTD Sales'!$B:$B,Brokerage!$B35,'YTD Sales'!$M:$M,Brokerage!E$4)+SUMIFS('YTD Purchases'!$H:$H,'YTD Purchases'!$C:$C,Brokerage!$B35,'YTD Purchases'!$G:$G,Brokerage!E$4)</f>
        <v>0</v>
      </c>
      <c r="F35" s="857">
        <f>SUMIFS('YTD Sales'!$N:$N,'YTD Sales'!$B:$B,Brokerage!$B35,'YTD Sales'!$M:$M,Brokerage!F$4)+SUMIFS('YTD Purchases'!$H:$H,'YTD Purchases'!$C:$C,Brokerage!$B35,'YTD Purchases'!$G:$G,Brokerage!F$4)</f>
        <v>0</v>
      </c>
      <c r="G35" s="857">
        <f>SUMIFS('YTD Sales'!$N:$N,'YTD Sales'!$B:$B,Brokerage!$B35,'YTD Sales'!$M:$M,Brokerage!G$4)+SUMIFS('YTD Purchases'!$H:$H,'YTD Purchases'!$C:$C,Brokerage!$B35,'YTD Purchases'!$G:$G,Brokerage!G$4)</f>
        <v>0</v>
      </c>
      <c r="H35" s="857">
        <f>SUMIFS('YTD Sales'!$N:$N,'YTD Sales'!$B:$B,Brokerage!$B35,'YTD Sales'!$M:$M,Brokerage!H$4)+SUMIFS('YTD Purchases'!$H:$H,'YTD Purchases'!$C:$C,Brokerage!$B35,'YTD Purchases'!$G:$G,Brokerage!H$4)</f>
        <v>0</v>
      </c>
      <c r="I35" s="857">
        <f>SUMIFS('YTD Sales'!$N:$N,'YTD Sales'!$B:$B,Brokerage!$B35,'YTD Sales'!$M:$M,Brokerage!I$4)+SUMIFS('YTD Purchases'!$H:$H,'YTD Purchases'!$C:$C,Brokerage!$B35,'YTD Purchases'!$G:$G,Brokerage!I$4)</f>
        <v>0</v>
      </c>
      <c r="J35" s="857">
        <f>SUMIFS('YTD Sales'!$N:$N,'YTD Sales'!$B:$B,Brokerage!$B35,'YTD Sales'!$M:$M,Brokerage!J$4)+SUMIFS('YTD Purchases'!$H:$H,'YTD Purchases'!$C:$C,Brokerage!$B35,'YTD Purchases'!$G:$G,Brokerage!J$4)</f>
        <v>0</v>
      </c>
      <c r="K35" s="857">
        <f>SUMIFS('YTD Sales'!$N:$N,'YTD Sales'!$B:$B,Brokerage!$B35,'YTD Sales'!$M:$M,Brokerage!K$4)+SUMIFS('YTD Purchases'!$H:$H,'YTD Purchases'!$C:$C,Brokerage!$B35,'YTD Purchases'!$G:$G,Brokerage!K$4)</f>
        <v>0</v>
      </c>
      <c r="L35" s="857">
        <f>SUMIFS('YTD Sales'!$N:$N,'YTD Sales'!$B:$B,Brokerage!$B35,'YTD Sales'!$M:$M,Brokerage!L$4)+SUMIFS('YTD Purchases'!$H:$H,'YTD Purchases'!$C:$C,Brokerage!$B35,'YTD Purchases'!$G:$G,Brokerage!L$4)</f>
        <v>0</v>
      </c>
      <c r="M35" s="857">
        <f>SUMIFS('YTD Sales'!$N:$N,'YTD Sales'!$B:$B,Brokerage!$B35,'YTD Sales'!$M:$M,Brokerage!M$4)+SUMIFS('YTD Purchases'!$H:$H,'YTD Purchases'!$C:$C,Brokerage!$B35,'YTD Purchases'!$G:$G,Brokerage!M$4)</f>
        <v>0</v>
      </c>
      <c r="N35" s="857">
        <f>SUMIFS('YTD Sales'!$N:$N,'YTD Sales'!$B:$B,Brokerage!$B35,'YTD Sales'!$M:$M,Brokerage!N$4)+SUMIFS('YTD Purchases'!$H:$H,'YTD Purchases'!$C:$C,Brokerage!$B35,'YTD Purchases'!$G:$G,Brokerage!N$4)</f>
        <v>0</v>
      </c>
      <c r="O35" s="857">
        <f>SUMIFS('YTD Sales'!$N:$N,'YTD Sales'!$B:$B,Brokerage!$B35,'YTD Sales'!$M:$M,Brokerage!O$4)+SUMIFS('YTD Purchases'!$H:$H,'YTD Purchases'!$C:$C,Brokerage!$B35,'YTD Purchases'!$G:$G,Brokerage!O$4)</f>
        <v>0</v>
      </c>
      <c r="P35" s="857">
        <f>SUMIFS('YTD Sales'!$N:$N,'YTD Sales'!$B:$B,Brokerage!$B35,'YTD Sales'!$M:$M,Brokerage!P$4)+SUMIFS('YTD Purchases'!$H:$H,'YTD Purchases'!$C:$C,Brokerage!$B35,'YTD Purchases'!$G:$G,Brokerage!P$4)</f>
        <v>0</v>
      </c>
      <c r="Q35" s="857">
        <f>SUMIFS('YTD Sales'!$N:$N,'YTD Sales'!$B:$B,Brokerage!$B35,'YTD Sales'!$M:$M,Brokerage!Q$4)+SUMIFS('YTD Purchases'!$H:$H,'YTD Purchases'!$C:$C,Brokerage!$B35,'YTD Purchases'!$G:$G,Brokerage!Q$4)</f>
        <v>0</v>
      </c>
      <c r="R35" s="857">
        <f>SUMIFS('YTD Sales'!$N:$N,'YTD Sales'!$B:$B,Brokerage!$B35,'YTD Sales'!$M:$M,Brokerage!R$4)+SUMIFS('YTD Purchases'!$H:$H,'YTD Purchases'!$C:$C,Brokerage!$B35,'YTD Purchases'!$G:$G,Brokerage!R$4)</f>
        <v>0</v>
      </c>
      <c r="S35" s="857">
        <f>SUMIFS('YTD Sales'!$N:$N,'YTD Sales'!$B:$B,Brokerage!$B35,'YTD Sales'!$M:$M,Brokerage!S$4)+SUMIFS('YTD Purchases'!$H:$H,'YTD Purchases'!$C:$C,Brokerage!$B35,'YTD Purchases'!$G:$G,Brokerage!S$4)</f>
        <v>0</v>
      </c>
      <c r="T35" s="857">
        <f>SUMIFS('YTD Sales'!$N:$N,'YTD Sales'!$B:$B,Brokerage!$B35,'YTD Sales'!$M:$M,Brokerage!T$4)+SUMIFS('YTD Purchases'!$H:$H,'YTD Purchases'!$C:$C,Brokerage!$B35,'YTD Purchases'!$G:$G,Brokerage!T$4)</f>
        <v>0</v>
      </c>
      <c r="U35" s="857">
        <f>SUMIFS('YTD Sales'!$N:$N,'YTD Sales'!$B:$B,Brokerage!$B35,'YTD Sales'!$M:$M,Brokerage!U$4)+SUMIFS('YTD Purchases'!$H:$H,'YTD Purchases'!$C:$C,Brokerage!$B35,'YTD Purchases'!$G:$G,Brokerage!U$4)</f>
        <v>0</v>
      </c>
      <c r="V35" s="857">
        <f>SUMIFS('YTD Sales'!$N:$N,'YTD Sales'!$B:$B,Brokerage!$B35,'YTD Sales'!$M:$M,Brokerage!V$4)+SUMIFS('YTD Purchases'!$H:$H,'YTD Purchases'!$C:$C,Brokerage!$B35,'YTD Purchases'!$G:$G,Brokerage!V$4)</f>
        <v>0</v>
      </c>
      <c r="W35" s="857">
        <f>SUMIFS('YTD Sales'!$N:$N,'YTD Sales'!$B:$B,Brokerage!$B35,'YTD Sales'!$M:$M,Brokerage!W$4)+SUMIFS('YTD Purchases'!$H:$H,'YTD Purchases'!$C:$C,Brokerage!$B35,'YTD Purchases'!$G:$G,Brokerage!W$4)</f>
        <v>0</v>
      </c>
      <c r="X35" s="857">
        <f>SUMIFS('YTD Sales'!$N:$N,'YTD Sales'!$B:$B,Brokerage!$B35,'YTD Sales'!$M:$M,Brokerage!X$4)+SUMIFS('YTD Purchases'!$H:$H,'YTD Purchases'!$C:$C,Brokerage!$B35,'YTD Purchases'!$G:$G,Brokerage!X$4)</f>
        <v>0</v>
      </c>
      <c r="Y35" s="857">
        <f>SUMIFS('YTD Sales'!$N:$N,'YTD Sales'!$B:$B,Brokerage!$B35,'YTD Sales'!$M:$M,Brokerage!Y$4)+SUMIFS('YTD Purchases'!$H:$H,'YTD Purchases'!$C:$C,Brokerage!$B35,'YTD Purchases'!$G:$G,Brokerage!Y$4)</f>
        <v>0</v>
      </c>
      <c r="Z35" s="857">
        <f>SUMIFS('YTD Sales'!$N:$N,'YTD Sales'!$B:$B,Brokerage!$B35,'YTD Sales'!$M:$M,Brokerage!Z$4)+SUMIFS('YTD Purchases'!$H:$H,'YTD Purchases'!$C:$C,Brokerage!$B35,'YTD Purchases'!$G:$G,Brokerage!Z$4)</f>
        <v>0</v>
      </c>
      <c r="AA35" s="857">
        <f>SUMIFS('YTD Sales'!$N:$N,'YTD Sales'!$B:$B,Brokerage!$B35,'YTD Sales'!$M:$M,Brokerage!AA$4)+SUMIFS('YTD Purchases'!$H:$H,'YTD Purchases'!$C:$C,Brokerage!$B35,'YTD Purchases'!$G:$G,Brokerage!AA$4)</f>
        <v>0</v>
      </c>
      <c r="AB35" s="857">
        <f>SUMIFS('YTD Sales'!$N:$N,'YTD Sales'!$B:$B,Brokerage!$B35,'YTD Sales'!$M:$M,Brokerage!AB$4)+SUMIFS('YTD Purchases'!$H:$H,'YTD Purchases'!$C:$C,Brokerage!$B35,'YTD Purchases'!$G:$G,Brokerage!AB$4)</f>
        <v>0</v>
      </c>
      <c r="AC35" s="857">
        <f>SUMIFS('YTD Sales'!$N:$N,'YTD Sales'!$B:$B,Brokerage!$B35,'YTD Sales'!$M:$M,Brokerage!AC$4)+SUMIFS('YTD Purchases'!$H:$H,'YTD Purchases'!$C:$C,Brokerage!$B35,'YTD Purchases'!$G:$G,Brokerage!AC$4)</f>
        <v>0</v>
      </c>
      <c r="AD35" s="857">
        <f>+SUMIFS(PIB!AG:AG,PIB!AF:AF,Brokerage!AD$4,PIB!AA:AA,Brokerage!$B35)+SUMIFS('T-Bills'!AB:AB,'T-Bills'!AA:AA,Brokerage!AD$4,'T-Bills'!V:V,Brokerage!$B35)</f>
        <v>0</v>
      </c>
      <c r="AE35" s="857">
        <f>+SUMIFS(PIB!AH:AH,PIB!AG:AG,Brokerage!AE$4,PIB!AB:AB,Brokerage!$B35)+SUMIFS('T-Bills'!AC:AC,'T-Bills'!AB:AB,Brokerage!AE$4,'T-Bills'!W:W,Brokerage!$B35)</f>
        <v>0</v>
      </c>
      <c r="AF35" s="857">
        <f>+SUMIFS(PIB!AI:AI,PIB!AH:AH,Brokerage!AF$4,PIB!AC:AC,Brokerage!$B35)+SUMIFS('T-Bills'!AD:AD,'T-Bills'!AC:AC,Brokerage!AF$4,'T-Bills'!X:X,Brokerage!$B35)</f>
        <v>0</v>
      </c>
      <c r="AG35" s="857">
        <f t="shared" si="3"/>
        <v>0</v>
      </c>
      <c r="AH35" s="858">
        <f t="shared" si="8"/>
        <v>0</v>
      </c>
    </row>
    <row r="36" spans="2:36" x14ac:dyDescent="0.15">
      <c r="B36" s="661">
        <f t="shared" si="2"/>
        <v>44592</v>
      </c>
      <c r="C36" s="857">
        <f>SUMIFS('YTD Sales'!$N:$N,'YTD Sales'!$B:$B,Brokerage!$B36,'YTD Sales'!$M:$M,Brokerage!C$4)+SUMIFS('YTD Purchases'!$H:$H,'YTD Purchases'!$C:$C,Brokerage!$B36,'YTD Purchases'!$G:$G,Brokerage!C$4)</f>
        <v>0</v>
      </c>
      <c r="D36" s="857">
        <f>SUMIFS('YTD Sales'!$N:$N,'YTD Sales'!$B:$B,Brokerage!$B36,'YTD Sales'!$M:$M,Brokerage!D$4)+SUMIFS('YTD Purchases'!$H:$H,'YTD Purchases'!$C:$C,Brokerage!$B36,'YTD Purchases'!$G:$G,Brokerage!D$4)</f>
        <v>0</v>
      </c>
      <c r="E36" s="857">
        <f>SUMIFS('YTD Sales'!$N:$N,'YTD Sales'!$B:$B,Brokerage!$B36,'YTD Sales'!$M:$M,Brokerage!E$4)+SUMIFS('YTD Purchases'!$H:$H,'YTD Purchases'!$C:$C,Brokerage!$B36,'YTD Purchases'!$G:$G,Brokerage!E$4)</f>
        <v>0</v>
      </c>
      <c r="F36" s="857">
        <f>SUMIFS('YTD Sales'!$N:$N,'YTD Sales'!$B:$B,Brokerage!$B36,'YTD Sales'!$M:$M,Brokerage!F$4)+SUMIFS('YTD Purchases'!$H:$H,'YTD Purchases'!$C:$C,Brokerage!$B36,'YTD Purchases'!$G:$G,Brokerage!F$4)</f>
        <v>0</v>
      </c>
      <c r="G36" s="857">
        <f>SUMIFS('YTD Sales'!$N:$N,'YTD Sales'!$B:$B,Brokerage!$B36,'YTD Sales'!$M:$M,Brokerage!G$4)+SUMIFS('YTD Purchases'!$H:$H,'YTD Purchases'!$C:$C,Brokerage!$B36,'YTD Purchases'!$G:$G,Brokerage!G$4)</f>
        <v>0</v>
      </c>
      <c r="H36" s="857">
        <f>SUMIFS('YTD Sales'!$N:$N,'YTD Sales'!$B:$B,Brokerage!$B36,'YTD Sales'!$M:$M,Brokerage!H$4)+SUMIFS('YTD Purchases'!$H:$H,'YTD Purchases'!$C:$C,Brokerage!$B36,'YTD Purchases'!$G:$G,Brokerage!H$4)</f>
        <v>0</v>
      </c>
      <c r="I36" s="857">
        <f>SUMIFS('YTD Sales'!$N:$N,'YTD Sales'!$B:$B,Brokerage!$B36,'YTD Sales'!$M:$M,Brokerage!I$4)+SUMIFS('YTD Purchases'!$H:$H,'YTD Purchases'!$C:$C,Brokerage!$B36,'YTD Purchases'!$G:$G,Brokerage!I$4)</f>
        <v>0</v>
      </c>
      <c r="J36" s="857">
        <f>SUMIFS('YTD Sales'!$N:$N,'YTD Sales'!$B:$B,Brokerage!$B36,'YTD Sales'!$M:$M,Brokerage!J$4)+SUMIFS('YTD Purchases'!$H:$H,'YTD Purchases'!$C:$C,Brokerage!$B36,'YTD Purchases'!$G:$G,Brokerage!J$4)</f>
        <v>0</v>
      </c>
      <c r="K36" s="857">
        <f>SUMIFS('YTD Sales'!$N:$N,'YTD Sales'!$B:$B,Brokerage!$B36,'YTD Sales'!$M:$M,Brokerage!K$4)+SUMIFS('YTD Purchases'!$H:$H,'YTD Purchases'!$C:$C,Brokerage!$B36,'YTD Purchases'!$G:$G,Brokerage!K$4)</f>
        <v>0</v>
      </c>
      <c r="L36" s="857">
        <f>SUMIFS('YTD Sales'!$N:$N,'YTD Sales'!$B:$B,Brokerage!$B36,'YTD Sales'!$M:$M,Brokerage!L$4)+SUMIFS('YTD Purchases'!$H:$H,'YTD Purchases'!$C:$C,Brokerage!$B36,'YTD Purchases'!$G:$G,Brokerage!L$4)</f>
        <v>0</v>
      </c>
      <c r="M36" s="857">
        <f>SUMIFS('YTD Sales'!$N:$N,'YTD Sales'!$B:$B,Brokerage!$B36,'YTD Sales'!$M:$M,Brokerage!M$4)+SUMIFS('YTD Purchases'!$H:$H,'YTD Purchases'!$C:$C,Brokerage!$B36,'YTD Purchases'!$G:$G,Brokerage!M$4)</f>
        <v>0</v>
      </c>
      <c r="N36" s="857">
        <f>SUMIFS('YTD Sales'!$N:$N,'YTD Sales'!$B:$B,Brokerage!$B36,'YTD Sales'!$M:$M,Brokerage!N$4)+SUMIFS('YTD Purchases'!$H:$H,'YTD Purchases'!$C:$C,Brokerage!$B36,'YTD Purchases'!$G:$G,Brokerage!N$4)</f>
        <v>0</v>
      </c>
      <c r="O36" s="857">
        <f>SUMIFS('YTD Sales'!$N:$N,'YTD Sales'!$B:$B,Brokerage!$B36,'YTD Sales'!$M:$M,Brokerage!O$4)+SUMIFS('YTD Purchases'!$H:$H,'YTD Purchases'!$C:$C,Brokerage!$B36,'YTD Purchases'!$G:$G,Brokerage!O$4)</f>
        <v>0</v>
      </c>
      <c r="P36" s="857">
        <f>SUMIFS('YTD Sales'!$N:$N,'YTD Sales'!$B:$B,Brokerage!$B36,'YTD Sales'!$M:$M,Brokerage!P$4)+SUMIFS('YTD Purchases'!$H:$H,'YTD Purchases'!$C:$C,Brokerage!$B36,'YTD Purchases'!$G:$G,Brokerage!P$4)</f>
        <v>0</v>
      </c>
      <c r="Q36" s="857">
        <f>SUMIFS('YTD Sales'!$N:$N,'YTD Sales'!$B:$B,Brokerage!$B36,'YTD Sales'!$M:$M,Brokerage!Q$4)+SUMIFS('YTD Purchases'!$H:$H,'YTD Purchases'!$C:$C,Brokerage!$B36,'YTD Purchases'!$G:$G,Brokerage!Q$4)</f>
        <v>0</v>
      </c>
      <c r="R36" s="857">
        <f>SUMIFS('YTD Sales'!$N:$N,'YTD Sales'!$B:$B,Brokerage!$B36,'YTD Sales'!$M:$M,Brokerage!R$4)+SUMIFS('YTD Purchases'!$H:$H,'YTD Purchases'!$C:$C,Brokerage!$B36,'YTD Purchases'!$G:$G,Brokerage!R$4)</f>
        <v>0</v>
      </c>
      <c r="S36" s="857">
        <f>SUMIFS('YTD Sales'!$N:$N,'YTD Sales'!$B:$B,Brokerage!$B36,'YTD Sales'!$M:$M,Brokerage!S$4)+SUMIFS('YTD Purchases'!$H:$H,'YTD Purchases'!$C:$C,Brokerage!$B36,'YTD Purchases'!$G:$G,Brokerage!S$4)</f>
        <v>0</v>
      </c>
      <c r="T36" s="857">
        <f>SUMIFS('YTD Sales'!$N:$N,'YTD Sales'!$B:$B,Brokerage!$B36,'YTD Sales'!$M:$M,Brokerage!T$4)+SUMIFS('YTD Purchases'!$H:$H,'YTD Purchases'!$C:$C,Brokerage!$B36,'YTD Purchases'!$G:$G,Brokerage!T$4)</f>
        <v>0</v>
      </c>
      <c r="U36" s="857">
        <f>SUMIFS('YTD Sales'!$N:$N,'YTD Sales'!$B:$B,Brokerage!$B36,'YTD Sales'!$M:$M,Brokerage!U$4)+SUMIFS('YTD Purchases'!$H:$H,'YTD Purchases'!$C:$C,Brokerage!$B36,'YTD Purchases'!$G:$G,Brokerage!U$4)</f>
        <v>0</v>
      </c>
      <c r="V36" s="857">
        <f>SUMIFS('YTD Sales'!$N:$N,'YTD Sales'!$B:$B,Brokerage!$B36,'YTD Sales'!$M:$M,Brokerage!V$4)+SUMIFS('YTD Purchases'!$H:$H,'YTD Purchases'!$C:$C,Brokerage!$B36,'YTD Purchases'!$G:$G,Brokerage!V$4)</f>
        <v>0</v>
      </c>
      <c r="W36" s="857">
        <f>SUMIFS('YTD Sales'!$N:$N,'YTD Sales'!$B:$B,Brokerage!$B36,'YTD Sales'!$M:$M,Brokerage!W$4)+SUMIFS('YTD Purchases'!$H:$H,'YTD Purchases'!$C:$C,Brokerage!$B36,'YTD Purchases'!$G:$G,Brokerage!W$4)</f>
        <v>0</v>
      </c>
      <c r="X36" s="857">
        <f>SUMIFS('YTD Sales'!$N:$N,'YTD Sales'!$B:$B,Brokerage!$B36,'YTD Sales'!$M:$M,Brokerage!X$4)+SUMIFS('YTD Purchases'!$H:$H,'YTD Purchases'!$C:$C,Brokerage!$B36,'YTD Purchases'!$G:$G,Brokerage!X$4)</f>
        <v>0</v>
      </c>
      <c r="Y36" s="857">
        <f>SUMIFS('YTD Sales'!$N:$N,'YTD Sales'!$B:$B,Brokerage!$B36,'YTD Sales'!$M:$M,Brokerage!Y$4)+SUMIFS('YTD Purchases'!$H:$H,'YTD Purchases'!$C:$C,Brokerage!$B36,'YTD Purchases'!$G:$G,Brokerage!Y$4)</f>
        <v>0</v>
      </c>
      <c r="Z36" s="857">
        <f>SUMIFS('YTD Sales'!$N:$N,'YTD Sales'!$B:$B,Brokerage!$B36,'YTD Sales'!$M:$M,Brokerage!Z$4)+SUMIFS('YTD Purchases'!$H:$H,'YTD Purchases'!$C:$C,Brokerage!$B36,'YTD Purchases'!$G:$G,Brokerage!Z$4)</f>
        <v>0</v>
      </c>
      <c r="AA36" s="857">
        <f>SUMIFS('YTD Sales'!$N:$N,'YTD Sales'!$B:$B,Brokerage!$B36,'YTD Sales'!$M:$M,Brokerage!AA$4)+SUMIFS('YTD Purchases'!$H:$H,'YTD Purchases'!$C:$C,Brokerage!$B36,'YTD Purchases'!$G:$G,Brokerage!AA$4)</f>
        <v>0</v>
      </c>
      <c r="AB36" s="857">
        <f>SUMIFS('YTD Sales'!$N:$N,'YTD Sales'!$B:$B,Brokerage!$B36,'YTD Sales'!$M:$M,Brokerage!AB$4)+SUMIFS('YTD Purchases'!$H:$H,'YTD Purchases'!$C:$C,Brokerage!$B36,'YTD Purchases'!$G:$G,Brokerage!AB$4)</f>
        <v>0</v>
      </c>
      <c r="AC36" s="857">
        <f>SUMIFS('YTD Sales'!$N:$N,'YTD Sales'!$B:$B,Brokerage!$B36,'YTD Sales'!$M:$M,Brokerage!AC$4)+SUMIFS('YTD Purchases'!$H:$H,'YTD Purchases'!$C:$C,Brokerage!$B36,'YTD Purchases'!$G:$G,Brokerage!AC$4)</f>
        <v>0</v>
      </c>
      <c r="AD36" s="857">
        <f>+SUMIFS(PIB!AG:AG,PIB!AF:AF,Brokerage!AD$4,PIB!AA:AA,Brokerage!$B36)+SUMIFS('T-Bills'!AB:AB,'T-Bills'!AA:AA,Brokerage!AD$4,'T-Bills'!V:V,Brokerage!$B36)</f>
        <v>0</v>
      </c>
      <c r="AE36" s="857">
        <f>+SUMIFS(PIB!AH:AH,PIB!AG:AG,Brokerage!AE$4,PIB!AB:AB,Brokerage!$B36)+SUMIFS('T-Bills'!AC:AC,'T-Bills'!AB:AB,Brokerage!AE$4,'T-Bills'!W:W,Brokerage!$B36)</f>
        <v>0</v>
      </c>
      <c r="AF36" s="857">
        <f>+SUMIFS(PIB!AI:AI,PIB!AH:AH,Brokerage!AF$4,PIB!AC:AC,Brokerage!$B36)+SUMIFS('T-Bills'!AD:AD,'T-Bills'!AC:AC,Brokerage!AF$4,'T-Bills'!X:X,Brokerage!$B36)</f>
        <v>0</v>
      </c>
      <c r="AG36" s="857">
        <f t="shared" si="3"/>
        <v>0</v>
      </c>
      <c r="AH36" s="858">
        <f t="shared" si="8"/>
        <v>0</v>
      </c>
    </row>
    <row r="37" spans="2:36" x14ac:dyDescent="0.15">
      <c r="B37" s="661">
        <f t="shared" si="2"/>
        <v>44593</v>
      </c>
      <c r="C37" s="857">
        <f>SUMIFS('YTD Sales'!$N:$N,'YTD Sales'!$B:$B,Brokerage!$B37,'YTD Sales'!$M:$M,Brokerage!C$4)+SUMIFS('YTD Purchases'!$H:$H,'YTD Purchases'!$C:$C,Brokerage!$B37,'YTD Purchases'!$G:$G,Brokerage!C$4)</f>
        <v>0</v>
      </c>
      <c r="D37" s="857">
        <f>SUMIFS('YTD Sales'!$N:$N,'YTD Sales'!$B:$B,Brokerage!$B37,'YTD Sales'!$M:$M,Brokerage!D$4)+SUMIFS('YTD Purchases'!$H:$H,'YTD Purchases'!$C:$C,Brokerage!$B37,'YTD Purchases'!$G:$G,Brokerage!D$4)</f>
        <v>0</v>
      </c>
      <c r="E37" s="857">
        <f>SUMIFS('YTD Sales'!$N:$N,'YTD Sales'!$B:$B,Brokerage!$B37,'YTD Sales'!$M:$M,Brokerage!E$4)+SUMIFS('YTD Purchases'!$H:$H,'YTD Purchases'!$C:$C,Brokerage!$B37,'YTD Purchases'!$G:$G,Brokerage!E$4)</f>
        <v>0</v>
      </c>
      <c r="F37" s="857">
        <f>SUMIFS('YTD Sales'!$N:$N,'YTD Sales'!$B:$B,Brokerage!$B37,'YTD Sales'!$M:$M,Brokerage!F$4)+SUMIFS('YTD Purchases'!$H:$H,'YTD Purchases'!$C:$C,Brokerage!$B37,'YTD Purchases'!$G:$G,Brokerage!F$4)</f>
        <v>0</v>
      </c>
      <c r="G37" s="857">
        <f>SUMIFS('YTD Sales'!$N:$N,'YTD Sales'!$B:$B,Brokerage!$B37,'YTD Sales'!$M:$M,Brokerage!G$4)+SUMIFS('YTD Purchases'!$H:$H,'YTD Purchases'!$C:$C,Brokerage!$B37,'YTD Purchases'!$G:$G,Brokerage!G$4)</f>
        <v>0</v>
      </c>
      <c r="H37" s="857">
        <f>SUMIFS('YTD Sales'!$N:$N,'YTD Sales'!$B:$B,Brokerage!$B37,'YTD Sales'!$M:$M,Brokerage!H$4)+SUMIFS('YTD Purchases'!$H:$H,'YTD Purchases'!$C:$C,Brokerage!$B37,'YTD Purchases'!$G:$G,Brokerage!H$4)</f>
        <v>0</v>
      </c>
      <c r="I37" s="857">
        <f>SUMIFS('YTD Sales'!$N:$N,'YTD Sales'!$B:$B,Brokerage!$B37,'YTD Sales'!$M:$M,Brokerage!I$4)+SUMIFS('YTD Purchases'!$H:$H,'YTD Purchases'!$C:$C,Brokerage!$B37,'YTD Purchases'!$G:$G,Brokerage!I$4)</f>
        <v>0</v>
      </c>
      <c r="J37" s="857">
        <f>SUMIFS('YTD Sales'!$N:$N,'YTD Sales'!$B:$B,Brokerage!$B37,'YTD Sales'!$M:$M,Brokerage!J$4)+SUMIFS('YTD Purchases'!$H:$H,'YTD Purchases'!$C:$C,Brokerage!$B37,'YTD Purchases'!$G:$G,Brokerage!J$4)</f>
        <v>0</v>
      </c>
      <c r="K37" s="857">
        <f>SUMIFS('YTD Sales'!$N:$N,'YTD Sales'!$B:$B,Brokerage!$B37,'YTD Sales'!$M:$M,Brokerage!K$4)+SUMIFS('YTD Purchases'!$H:$H,'YTD Purchases'!$C:$C,Brokerage!$B37,'YTD Purchases'!$G:$G,Brokerage!K$4)</f>
        <v>0</v>
      </c>
      <c r="L37" s="857">
        <f>SUMIFS('YTD Sales'!$N:$N,'YTD Sales'!$B:$B,Brokerage!$B37,'YTD Sales'!$M:$M,Brokerage!L$4)+SUMIFS('YTD Purchases'!$H:$H,'YTD Purchases'!$C:$C,Brokerage!$B37,'YTD Purchases'!$G:$G,Brokerage!L$4)</f>
        <v>0</v>
      </c>
      <c r="M37" s="857">
        <f>SUMIFS('YTD Sales'!$N:$N,'YTD Sales'!$B:$B,Brokerage!$B37,'YTD Sales'!$M:$M,Brokerage!M$4)+SUMIFS('YTD Purchases'!$H:$H,'YTD Purchases'!$C:$C,Brokerage!$B37,'YTD Purchases'!$G:$G,Brokerage!M$4)</f>
        <v>0</v>
      </c>
      <c r="N37" s="857">
        <f>SUMIFS('YTD Sales'!$N:$N,'YTD Sales'!$B:$B,Brokerage!$B37,'YTD Sales'!$M:$M,Brokerage!N$4)+SUMIFS('YTD Purchases'!$H:$H,'YTD Purchases'!$C:$C,Brokerage!$B37,'YTD Purchases'!$G:$G,Brokerage!N$4)</f>
        <v>0</v>
      </c>
      <c r="O37" s="857">
        <f>SUMIFS('YTD Sales'!$N:$N,'YTD Sales'!$B:$B,Brokerage!$B37,'YTD Sales'!$M:$M,Brokerage!O$4)+SUMIFS('YTD Purchases'!$H:$H,'YTD Purchases'!$C:$C,Brokerage!$B37,'YTD Purchases'!$G:$G,Brokerage!O$4)</f>
        <v>0</v>
      </c>
      <c r="P37" s="857">
        <f>SUMIFS('YTD Sales'!$N:$N,'YTD Sales'!$B:$B,Brokerage!$B37,'YTD Sales'!$M:$M,Brokerage!P$4)+SUMIFS('YTD Purchases'!$H:$H,'YTD Purchases'!$C:$C,Brokerage!$B37,'YTD Purchases'!$G:$G,Brokerage!P$4)</f>
        <v>0</v>
      </c>
      <c r="Q37" s="857">
        <f>SUMIFS('YTD Sales'!$N:$N,'YTD Sales'!$B:$B,Brokerage!$B37,'YTD Sales'!$M:$M,Brokerage!Q$4)+SUMIFS('YTD Purchases'!$H:$H,'YTD Purchases'!$C:$C,Brokerage!$B37,'YTD Purchases'!$G:$G,Brokerage!Q$4)</f>
        <v>0</v>
      </c>
      <c r="R37" s="857">
        <f>SUMIFS('YTD Sales'!$N:$N,'YTD Sales'!$B:$B,Brokerage!$B37,'YTD Sales'!$M:$M,Brokerage!R$4)+SUMIFS('YTD Purchases'!$H:$H,'YTD Purchases'!$C:$C,Brokerage!$B37,'YTD Purchases'!$G:$G,Brokerage!R$4)</f>
        <v>0</v>
      </c>
      <c r="S37" s="857">
        <f>SUMIFS('YTD Sales'!$N:$N,'YTD Sales'!$B:$B,Brokerage!$B37,'YTD Sales'!$M:$M,Brokerage!S$4)+SUMIFS('YTD Purchases'!$H:$H,'YTD Purchases'!$C:$C,Brokerage!$B37,'YTD Purchases'!$G:$G,Brokerage!S$4)</f>
        <v>0</v>
      </c>
      <c r="T37" s="857">
        <f>SUMIFS('YTD Sales'!$N:$N,'YTD Sales'!$B:$B,Brokerage!$B37,'YTD Sales'!$M:$M,Brokerage!T$4)+SUMIFS('YTD Purchases'!$H:$H,'YTD Purchases'!$C:$C,Brokerage!$B37,'YTD Purchases'!$G:$G,Brokerage!T$4)</f>
        <v>0</v>
      </c>
      <c r="U37" s="857">
        <f>SUMIFS('YTD Sales'!$N:$N,'YTD Sales'!$B:$B,Brokerage!$B37,'YTD Sales'!$M:$M,Brokerage!U$4)+SUMIFS('YTD Purchases'!$H:$H,'YTD Purchases'!$C:$C,Brokerage!$B37,'YTD Purchases'!$G:$G,Brokerage!U$4)</f>
        <v>0</v>
      </c>
      <c r="V37" s="857">
        <f>SUMIFS('YTD Sales'!$N:$N,'YTD Sales'!$B:$B,Brokerage!$B37,'YTD Sales'!$M:$M,Brokerage!V$4)+SUMIFS('YTD Purchases'!$H:$H,'YTD Purchases'!$C:$C,Brokerage!$B37,'YTD Purchases'!$G:$G,Brokerage!V$4)</f>
        <v>0</v>
      </c>
      <c r="W37" s="857">
        <f>SUMIFS('YTD Sales'!$N:$N,'YTD Sales'!$B:$B,Brokerage!$B37,'YTD Sales'!$M:$M,Brokerage!W$4)+SUMIFS('YTD Purchases'!$H:$H,'YTD Purchases'!$C:$C,Brokerage!$B37,'YTD Purchases'!$G:$G,Brokerage!W$4)</f>
        <v>0</v>
      </c>
      <c r="X37" s="857">
        <f>SUMIFS('YTD Sales'!$N:$N,'YTD Sales'!$B:$B,Brokerage!$B37,'YTD Sales'!$M:$M,Brokerage!X$4)+SUMIFS('YTD Purchases'!$H:$H,'YTD Purchases'!$C:$C,Brokerage!$B37,'YTD Purchases'!$G:$G,Brokerage!X$4)</f>
        <v>0</v>
      </c>
      <c r="Y37" s="857">
        <f>SUMIFS('YTD Sales'!$N:$N,'YTD Sales'!$B:$B,Brokerage!$B37,'YTD Sales'!$M:$M,Brokerage!Y$4)+SUMIFS('YTD Purchases'!$H:$H,'YTD Purchases'!$C:$C,Brokerage!$B37,'YTD Purchases'!$G:$G,Brokerage!Y$4)</f>
        <v>0</v>
      </c>
      <c r="Z37" s="857">
        <f>SUMIFS('YTD Sales'!$N:$N,'YTD Sales'!$B:$B,Brokerage!$B37,'YTD Sales'!$M:$M,Brokerage!Z$4)+SUMIFS('YTD Purchases'!$H:$H,'YTD Purchases'!$C:$C,Brokerage!$B37,'YTD Purchases'!$G:$G,Brokerage!Z$4)</f>
        <v>0</v>
      </c>
      <c r="AA37" s="857">
        <f>SUMIFS('YTD Sales'!$N:$N,'YTD Sales'!$B:$B,Brokerage!$B37,'YTD Sales'!$M:$M,Brokerage!AA$4)+SUMIFS('YTD Purchases'!$H:$H,'YTD Purchases'!$C:$C,Brokerage!$B37,'YTD Purchases'!$G:$G,Brokerage!AA$4)</f>
        <v>0</v>
      </c>
      <c r="AB37" s="857">
        <f>SUMIFS('YTD Sales'!$N:$N,'YTD Sales'!$B:$B,Brokerage!$B37,'YTD Sales'!$M:$M,Brokerage!AB$4)+SUMIFS('YTD Purchases'!$H:$H,'YTD Purchases'!$C:$C,Brokerage!$B37,'YTD Purchases'!$G:$G,Brokerage!AB$4)</f>
        <v>0</v>
      </c>
      <c r="AC37" s="857">
        <f>SUMIFS('YTD Sales'!$N:$N,'YTD Sales'!$B:$B,Brokerage!$B37,'YTD Sales'!$M:$M,Brokerage!AC$4)+SUMIFS('YTD Purchases'!$H:$H,'YTD Purchases'!$C:$C,Brokerage!$B37,'YTD Purchases'!$G:$G,Brokerage!AC$4)</f>
        <v>0</v>
      </c>
      <c r="AD37" s="857">
        <f>+SUMIFS(PIB!AG:AG,PIB!AF:AF,Brokerage!AD$4,PIB!AA:AA,Brokerage!$B37)+SUMIFS('T-Bills'!AB:AB,'T-Bills'!AA:AA,Brokerage!AD$4,'T-Bills'!V:V,Brokerage!$B37)</f>
        <v>0</v>
      </c>
      <c r="AE37" s="857">
        <f>+SUMIFS(PIB!AH:AH,PIB!AG:AG,Brokerage!AE$4,PIB!AB:AB,Brokerage!$B37)+SUMIFS('T-Bills'!AC:AC,'T-Bills'!AB:AB,Brokerage!AE$4,'T-Bills'!W:W,Brokerage!$B37)</f>
        <v>0</v>
      </c>
      <c r="AF37" s="857">
        <f>+SUMIFS(PIB!AI:AI,PIB!AH:AH,Brokerage!AF$4,PIB!AC:AC,Brokerage!$B37)+SUMIFS('T-Bills'!AD:AD,'T-Bills'!AC:AC,Brokerage!AF$4,'T-Bills'!X:X,Brokerage!$B37)</f>
        <v>0</v>
      </c>
      <c r="AG37" s="857">
        <f t="shared" si="3"/>
        <v>0</v>
      </c>
      <c r="AH37" s="858">
        <f t="shared" si="8"/>
        <v>0</v>
      </c>
    </row>
    <row r="38" spans="2:36" x14ac:dyDescent="0.15">
      <c r="B38" s="661">
        <f t="shared" si="2"/>
        <v>44594</v>
      </c>
      <c r="C38" s="857">
        <f>SUMIFS('YTD Sales'!$N:$N,'YTD Sales'!$B:$B,Brokerage!$B38,'YTD Sales'!$M:$M,Brokerage!C$4)+SUMIFS('YTD Purchases'!$H:$H,'YTD Purchases'!$C:$C,Brokerage!$B38,'YTD Purchases'!$G:$G,Brokerage!C$4)</f>
        <v>0</v>
      </c>
      <c r="D38" s="857">
        <f>SUMIFS('YTD Sales'!$N:$N,'YTD Sales'!$B:$B,Brokerage!$B38,'YTD Sales'!$M:$M,Brokerage!D$4)+SUMIFS('YTD Purchases'!$H:$H,'YTD Purchases'!$C:$C,Brokerage!$B38,'YTD Purchases'!$G:$G,Brokerage!D$4)</f>
        <v>0</v>
      </c>
      <c r="E38" s="857">
        <f>SUMIFS('YTD Sales'!$N:$N,'YTD Sales'!$B:$B,Brokerage!$B38,'YTD Sales'!$M:$M,Brokerage!E$4)+SUMIFS('YTD Purchases'!$H:$H,'YTD Purchases'!$C:$C,Brokerage!$B38,'YTD Purchases'!$G:$G,Brokerage!E$4)</f>
        <v>0</v>
      </c>
      <c r="F38" s="857">
        <f>SUMIFS('YTD Sales'!$N:$N,'YTD Sales'!$B:$B,Brokerage!$B38,'YTD Sales'!$M:$M,Brokerage!F$4)+SUMIFS('YTD Purchases'!$H:$H,'YTD Purchases'!$C:$C,Brokerage!$B38,'YTD Purchases'!$G:$G,Brokerage!F$4)</f>
        <v>0</v>
      </c>
      <c r="G38" s="857">
        <f>SUMIFS('YTD Sales'!$N:$N,'YTD Sales'!$B:$B,Brokerage!$B38,'YTD Sales'!$M:$M,Brokerage!G$4)+SUMIFS('YTD Purchases'!$H:$H,'YTD Purchases'!$C:$C,Brokerage!$B38,'YTD Purchases'!$G:$G,Brokerage!G$4)</f>
        <v>0</v>
      </c>
      <c r="H38" s="857">
        <f>SUMIFS('YTD Sales'!$N:$N,'YTD Sales'!$B:$B,Brokerage!$B38,'YTD Sales'!$M:$M,Brokerage!H$4)+SUMIFS('YTD Purchases'!$H:$H,'YTD Purchases'!$C:$C,Brokerage!$B38,'YTD Purchases'!$G:$G,Brokerage!H$4)</f>
        <v>0</v>
      </c>
      <c r="I38" s="857">
        <f>SUMIFS('YTD Sales'!$N:$N,'YTD Sales'!$B:$B,Brokerage!$B38,'YTD Sales'!$M:$M,Brokerage!I$4)+SUMIFS('YTD Purchases'!$H:$H,'YTD Purchases'!$C:$C,Brokerage!$B38,'YTD Purchases'!$G:$G,Brokerage!I$4)</f>
        <v>0</v>
      </c>
      <c r="J38" s="857">
        <f>SUMIFS('YTD Sales'!$N:$N,'YTD Sales'!$B:$B,Brokerage!$B38,'YTD Sales'!$M:$M,Brokerage!J$4)+SUMIFS('YTD Purchases'!$H:$H,'YTD Purchases'!$C:$C,Brokerage!$B38,'YTD Purchases'!$G:$G,Brokerage!J$4)</f>
        <v>0</v>
      </c>
      <c r="K38" s="857">
        <f>SUMIFS('YTD Sales'!$N:$N,'YTD Sales'!$B:$B,Brokerage!$B38,'YTD Sales'!$M:$M,Brokerage!K$4)+SUMIFS('YTD Purchases'!$H:$H,'YTD Purchases'!$C:$C,Brokerage!$B38,'YTD Purchases'!$G:$G,Brokerage!K$4)</f>
        <v>0</v>
      </c>
      <c r="L38" s="857">
        <f>SUMIFS('YTD Sales'!$N:$N,'YTD Sales'!$B:$B,Brokerage!$B38,'YTD Sales'!$M:$M,Brokerage!L$4)+SUMIFS('YTD Purchases'!$H:$H,'YTD Purchases'!$C:$C,Brokerage!$B38,'YTD Purchases'!$G:$G,Brokerage!L$4)</f>
        <v>0</v>
      </c>
      <c r="M38" s="857">
        <f>SUMIFS('YTD Sales'!$N:$N,'YTD Sales'!$B:$B,Brokerage!$B38,'YTD Sales'!$M:$M,Brokerage!M$4)+SUMIFS('YTD Purchases'!$H:$H,'YTD Purchases'!$C:$C,Brokerage!$B38,'YTD Purchases'!$G:$G,Brokerage!M$4)</f>
        <v>0</v>
      </c>
      <c r="N38" s="857">
        <f>SUMIFS('YTD Sales'!$N:$N,'YTD Sales'!$B:$B,Brokerage!$B38,'YTD Sales'!$M:$M,Brokerage!N$4)+SUMIFS('YTD Purchases'!$H:$H,'YTD Purchases'!$C:$C,Brokerage!$B38,'YTD Purchases'!$G:$G,Brokerage!N$4)</f>
        <v>0</v>
      </c>
      <c r="O38" s="857">
        <f>SUMIFS('YTD Sales'!$N:$N,'YTD Sales'!$B:$B,Brokerage!$B38,'YTD Sales'!$M:$M,Brokerage!O$4)+SUMIFS('YTD Purchases'!$H:$H,'YTD Purchases'!$C:$C,Brokerage!$B38,'YTD Purchases'!$G:$G,Brokerage!O$4)</f>
        <v>0</v>
      </c>
      <c r="P38" s="857">
        <f>SUMIFS('YTD Sales'!$N:$N,'YTD Sales'!$B:$B,Brokerage!$B38,'YTD Sales'!$M:$M,Brokerage!P$4)+SUMIFS('YTD Purchases'!$H:$H,'YTD Purchases'!$C:$C,Brokerage!$B38,'YTD Purchases'!$G:$G,Brokerage!P$4)</f>
        <v>0</v>
      </c>
      <c r="Q38" s="857">
        <f>SUMIFS('YTD Sales'!$N:$N,'YTD Sales'!$B:$B,Brokerage!$B38,'YTD Sales'!$M:$M,Brokerage!Q$4)+SUMIFS('YTD Purchases'!$H:$H,'YTD Purchases'!$C:$C,Brokerage!$B38,'YTD Purchases'!$G:$G,Brokerage!Q$4)</f>
        <v>0</v>
      </c>
      <c r="R38" s="857">
        <f>SUMIFS('YTD Sales'!$N:$N,'YTD Sales'!$B:$B,Brokerage!$B38,'YTD Sales'!$M:$M,Brokerage!R$4)+SUMIFS('YTD Purchases'!$H:$H,'YTD Purchases'!$C:$C,Brokerage!$B38,'YTD Purchases'!$G:$G,Brokerage!R$4)</f>
        <v>0</v>
      </c>
      <c r="S38" s="857">
        <f>SUMIFS('YTD Sales'!$N:$N,'YTD Sales'!$B:$B,Brokerage!$B38,'YTD Sales'!$M:$M,Brokerage!S$4)+SUMIFS('YTD Purchases'!$H:$H,'YTD Purchases'!$C:$C,Brokerage!$B38,'YTD Purchases'!$G:$G,Brokerage!S$4)</f>
        <v>0</v>
      </c>
      <c r="T38" s="857">
        <f>SUMIFS('YTD Sales'!$N:$N,'YTD Sales'!$B:$B,Brokerage!$B38,'YTD Sales'!$M:$M,Brokerage!T$4)+SUMIFS('YTD Purchases'!$H:$H,'YTD Purchases'!$C:$C,Brokerage!$B38,'YTD Purchases'!$G:$G,Brokerage!T$4)</f>
        <v>0</v>
      </c>
      <c r="U38" s="857">
        <f>SUMIFS('YTD Sales'!$N:$N,'YTD Sales'!$B:$B,Brokerage!$B38,'YTD Sales'!$M:$M,Brokerage!U$4)+SUMIFS('YTD Purchases'!$H:$H,'YTD Purchases'!$C:$C,Brokerage!$B38,'YTD Purchases'!$G:$G,Brokerage!U$4)</f>
        <v>0</v>
      </c>
      <c r="V38" s="857">
        <f>SUMIFS('YTD Sales'!$N:$N,'YTD Sales'!$B:$B,Brokerage!$B38,'YTD Sales'!$M:$M,Brokerage!V$4)+SUMIFS('YTD Purchases'!$H:$H,'YTD Purchases'!$C:$C,Brokerage!$B38,'YTD Purchases'!$G:$G,Brokerage!V$4)</f>
        <v>0</v>
      </c>
      <c r="W38" s="857">
        <f>SUMIFS('YTD Sales'!$N:$N,'YTD Sales'!$B:$B,Brokerage!$B38,'YTD Sales'!$M:$M,Brokerage!W$4)+SUMIFS('YTD Purchases'!$H:$H,'YTD Purchases'!$C:$C,Brokerage!$B38,'YTD Purchases'!$G:$G,Brokerage!W$4)</f>
        <v>0</v>
      </c>
      <c r="X38" s="857">
        <f>SUMIFS('YTD Sales'!$N:$N,'YTD Sales'!$B:$B,Brokerage!$B38,'YTD Sales'!$M:$M,Brokerage!X$4)+SUMIFS('YTD Purchases'!$H:$H,'YTD Purchases'!$C:$C,Brokerage!$B38,'YTD Purchases'!$G:$G,Brokerage!X$4)</f>
        <v>0</v>
      </c>
      <c r="Y38" s="857">
        <f>SUMIFS('YTD Sales'!$N:$N,'YTD Sales'!$B:$B,Brokerage!$B38,'YTD Sales'!$M:$M,Brokerage!Y$4)+SUMIFS('YTD Purchases'!$H:$H,'YTD Purchases'!$C:$C,Brokerage!$B38,'YTD Purchases'!$G:$G,Brokerage!Y$4)</f>
        <v>0</v>
      </c>
      <c r="Z38" s="857">
        <f>SUMIFS('YTD Sales'!$N:$N,'YTD Sales'!$B:$B,Brokerage!$B38,'YTD Sales'!$M:$M,Brokerage!Z$4)+SUMIFS('YTD Purchases'!$H:$H,'YTD Purchases'!$C:$C,Brokerage!$B38,'YTD Purchases'!$G:$G,Brokerage!Z$4)</f>
        <v>0</v>
      </c>
      <c r="AA38" s="857">
        <f>SUMIFS('YTD Sales'!$N:$N,'YTD Sales'!$B:$B,Brokerage!$B38,'YTD Sales'!$M:$M,Brokerage!AA$4)+SUMIFS('YTD Purchases'!$H:$H,'YTD Purchases'!$C:$C,Brokerage!$B38,'YTD Purchases'!$G:$G,Brokerage!AA$4)</f>
        <v>0</v>
      </c>
      <c r="AB38" s="857">
        <f>SUMIFS('YTD Sales'!$N:$N,'YTD Sales'!$B:$B,Brokerage!$B38,'YTD Sales'!$M:$M,Brokerage!AB$4)+SUMIFS('YTD Purchases'!$H:$H,'YTD Purchases'!$C:$C,Brokerage!$B38,'YTD Purchases'!$G:$G,Brokerage!AB$4)</f>
        <v>0</v>
      </c>
      <c r="AC38" s="857">
        <f>SUMIFS('YTD Sales'!$N:$N,'YTD Sales'!$B:$B,Brokerage!$B38,'YTD Sales'!$M:$M,Brokerage!AC$4)+SUMIFS('YTD Purchases'!$H:$H,'YTD Purchases'!$C:$C,Brokerage!$B38,'YTD Purchases'!$G:$G,Brokerage!AC$4)</f>
        <v>0</v>
      </c>
      <c r="AD38" s="857">
        <f>+SUMIFS(PIB!AG:AG,PIB!AF:AF,Brokerage!AD$4,PIB!AA:AA,Brokerage!$B38)+SUMIFS('T-Bills'!AB:AB,'T-Bills'!AA:AA,Brokerage!AD$4,'T-Bills'!V:V,Brokerage!$B38)</f>
        <v>0</v>
      </c>
      <c r="AE38" s="857">
        <f>+SUMIFS(PIB!AH:AH,PIB!AG:AG,Brokerage!AE$4,PIB!AB:AB,Brokerage!$B38)+SUMIFS('T-Bills'!AC:AC,'T-Bills'!AB:AB,Brokerage!AE$4,'T-Bills'!W:W,Brokerage!$B38)</f>
        <v>0</v>
      </c>
      <c r="AF38" s="857">
        <f>+SUMIFS(PIB!AI:AI,PIB!AH:AH,Brokerage!AF$4,PIB!AC:AC,Brokerage!$B38)+SUMIFS('T-Bills'!AD:AD,'T-Bills'!AC:AC,Brokerage!AF$4,'T-Bills'!X:X,Brokerage!$B38)</f>
        <v>0</v>
      </c>
      <c r="AG38" s="857">
        <f t="shared" si="3"/>
        <v>0</v>
      </c>
      <c r="AH38" s="858">
        <f t="shared" si="8"/>
        <v>0</v>
      </c>
    </row>
    <row r="39" spans="2:36" x14ac:dyDescent="0.15">
      <c r="B39" s="661">
        <f t="shared" si="2"/>
        <v>44595</v>
      </c>
      <c r="C39" s="857">
        <f>SUMIFS('YTD Sales'!$N:$N,'YTD Sales'!$B:$B,Brokerage!$B39,'YTD Sales'!$M:$M,Brokerage!C$4)+SUMIFS('YTD Purchases'!$H:$H,'YTD Purchases'!$C:$C,Brokerage!$B39,'YTD Purchases'!$G:$G,Brokerage!C$4)</f>
        <v>0</v>
      </c>
      <c r="D39" s="857">
        <f>SUMIFS('YTD Sales'!$N:$N,'YTD Sales'!$B:$B,Brokerage!$B39,'YTD Sales'!$M:$M,Brokerage!D$4)+SUMIFS('YTD Purchases'!$H:$H,'YTD Purchases'!$C:$C,Brokerage!$B39,'YTD Purchases'!$G:$G,Brokerage!D$4)</f>
        <v>0</v>
      </c>
      <c r="E39" s="857">
        <f>SUMIFS('YTD Sales'!$N:$N,'YTD Sales'!$B:$B,Brokerage!$B39,'YTD Sales'!$M:$M,Brokerage!E$4)+SUMIFS('YTD Purchases'!$H:$H,'YTD Purchases'!$C:$C,Brokerage!$B39,'YTD Purchases'!$G:$G,Brokerage!E$4)</f>
        <v>0</v>
      </c>
      <c r="F39" s="857">
        <f>SUMIFS('YTD Sales'!$N:$N,'YTD Sales'!$B:$B,Brokerage!$B39,'YTD Sales'!$M:$M,Brokerage!F$4)+SUMIFS('YTD Purchases'!$H:$H,'YTD Purchases'!$C:$C,Brokerage!$B39,'YTD Purchases'!$G:$G,Brokerage!F$4)</f>
        <v>0</v>
      </c>
      <c r="G39" s="857">
        <f>SUMIFS('YTD Sales'!$N:$N,'YTD Sales'!$B:$B,Brokerage!$B39,'YTD Sales'!$M:$M,Brokerage!G$4)+SUMIFS('YTD Purchases'!$H:$H,'YTD Purchases'!$C:$C,Brokerage!$B39,'YTD Purchases'!$G:$G,Brokerage!G$4)</f>
        <v>0</v>
      </c>
      <c r="H39" s="857">
        <f>SUMIFS('YTD Sales'!$N:$N,'YTD Sales'!$B:$B,Brokerage!$B39,'YTD Sales'!$M:$M,Brokerage!H$4)+SUMIFS('YTD Purchases'!$H:$H,'YTD Purchases'!$C:$C,Brokerage!$B39,'YTD Purchases'!$G:$G,Brokerage!H$4)</f>
        <v>0</v>
      </c>
      <c r="I39" s="857">
        <f>SUMIFS('YTD Sales'!$N:$N,'YTD Sales'!$B:$B,Brokerage!$B39,'YTD Sales'!$M:$M,Brokerage!I$4)+SUMIFS('YTD Purchases'!$H:$H,'YTD Purchases'!$C:$C,Brokerage!$B39,'YTD Purchases'!$G:$G,Brokerage!I$4)</f>
        <v>0</v>
      </c>
      <c r="J39" s="857">
        <f>SUMIFS('YTD Sales'!$N:$N,'YTD Sales'!$B:$B,Brokerage!$B39,'YTD Sales'!$M:$M,Brokerage!J$4)+SUMIFS('YTD Purchases'!$H:$H,'YTD Purchases'!$C:$C,Brokerage!$B39,'YTD Purchases'!$G:$G,Brokerage!J$4)</f>
        <v>0</v>
      </c>
      <c r="K39" s="857">
        <f>SUMIFS('YTD Sales'!$N:$N,'YTD Sales'!$B:$B,Brokerage!$B39,'YTD Sales'!$M:$M,Brokerage!K$4)+SUMIFS('YTD Purchases'!$H:$H,'YTD Purchases'!$C:$C,Brokerage!$B39,'YTD Purchases'!$G:$G,Brokerage!K$4)</f>
        <v>0</v>
      </c>
      <c r="L39" s="857">
        <f>SUMIFS('YTD Sales'!$N:$N,'YTD Sales'!$B:$B,Brokerage!$B39,'YTD Sales'!$M:$M,Brokerage!L$4)+SUMIFS('YTD Purchases'!$H:$H,'YTD Purchases'!$C:$C,Brokerage!$B39,'YTD Purchases'!$G:$G,Brokerage!L$4)</f>
        <v>0</v>
      </c>
      <c r="M39" s="857">
        <f>SUMIFS('YTD Sales'!$N:$N,'YTD Sales'!$B:$B,Brokerage!$B39,'YTD Sales'!$M:$M,Brokerage!M$4)+SUMIFS('YTD Purchases'!$H:$H,'YTD Purchases'!$C:$C,Brokerage!$B39,'YTD Purchases'!$G:$G,Brokerage!M$4)</f>
        <v>0</v>
      </c>
      <c r="N39" s="857">
        <f>SUMIFS('YTD Sales'!$N:$N,'YTD Sales'!$B:$B,Brokerage!$B39,'YTD Sales'!$M:$M,Brokerage!N$4)+SUMIFS('YTD Purchases'!$H:$H,'YTD Purchases'!$C:$C,Brokerage!$B39,'YTD Purchases'!$G:$G,Brokerage!N$4)</f>
        <v>0</v>
      </c>
      <c r="O39" s="857">
        <f>SUMIFS('YTD Sales'!$N:$N,'YTD Sales'!$B:$B,Brokerage!$B39,'YTD Sales'!$M:$M,Brokerage!O$4)+SUMIFS('YTD Purchases'!$H:$H,'YTD Purchases'!$C:$C,Brokerage!$B39,'YTD Purchases'!$G:$G,Brokerage!O$4)</f>
        <v>0</v>
      </c>
      <c r="P39" s="857">
        <f>SUMIFS('YTD Sales'!$N:$N,'YTD Sales'!$B:$B,Brokerage!$B39,'YTD Sales'!$M:$M,Brokerage!P$4)+SUMIFS('YTD Purchases'!$H:$H,'YTD Purchases'!$C:$C,Brokerage!$B39,'YTD Purchases'!$G:$G,Brokerage!P$4)</f>
        <v>0</v>
      </c>
      <c r="Q39" s="857">
        <f>SUMIFS('YTD Sales'!$N:$N,'YTD Sales'!$B:$B,Brokerage!$B39,'YTD Sales'!$M:$M,Brokerage!Q$4)+SUMIFS('YTD Purchases'!$H:$H,'YTD Purchases'!$C:$C,Brokerage!$B39,'YTD Purchases'!$G:$G,Brokerage!Q$4)</f>
        <v>0</v>
      </c>
      <c r="R39" s="857">
        <f>SUMIFS('YTD Sales'!$N:$N,'YTD Sales'!$B:$B,Brokerage!$B39,'YTD Sales'!$M:$M,Brokerage!R$4)+SUMIFS('YTD Purchases'!$H:$H,'YTD Purchases'!$C:$C,Brokerage!$B39,'YTD Purchases'!$G:$G,Brokerage!R$4)</f>
        <v>0</v>
      </c>
      <c r="S39" s="857">
        <f>SUMIFS('YTD Sales'!$N:$N,'YTD Sales'!$B:$B,Brokerage!$B39,'YTD Sales'!$M:$M,Brokerage!S$4)+SUMIFS('YTD Purchases'!$H:$H,'YTD Purchases'!$C:$C,Brokerage!$B39,'YTD Purchases'!$G:$G,Brokerage!S$4)</f>
        <v>0</v>
      </c>
      <c r="T39" s="857">
        <f>SUMIFS('YTD Sales'!$N:$N,'YTD Sales'!$B:$B,Brokerage!$B39,'YTD Sales'!$M:$M,Brokerage!T$4)+SUMIFS('YTD Purchases'!$H:$H,'YTD Purchases'!$C:$C,Brokerage!$B39,'YTD Purchases'!$G:$G,Brokerage!T$4)</f>
        <v>0</v>
      </c>
      <c r="U39" s="857">
        <f>SUMIFS('YTD Sales'!$N:$N,'YTD Sales'!$B:$B,Brokerage!$B39,'YTD Sales'!$M:$M,Brokerage!U$4)+SUMIFS('YTD Purchases'!$H:$H,'YTD Purchases'!$C:$C,Brokerage!$B39,'YTD Purchases'!$G:$G,Brokerage!U$4)</f>
        <v>0</v>
      </c>
      <c r="V39" s="857">
        <f>SUMIFS('YTD Sales'!$N:$N,'YTD Sales'!$B:$B,Brokerage!$B39,'YTD Sales'!$M:$M,Brokerage!V$4)+SUMIFS('YTD Purchases'!$H:$H,'YTD Purchases'!$C:$C,Brokerage!$B39,'YTD Purchases'!$G:$G,Brokerage!V$4)</f>
        <v>0</v>
      </c>
      <c r="W39" s="857">
        <f>SUMIFS('YTD Sales'!$N:$N,'YTD Sales'!$B:$B,Brokerage!$B39,'YTD Sales'!$M:$M,Brokerage!W$4)+SUMIFS('YTD Purchases'!$H:$H,'YTD Purchases'!$C:$C,Brokerage!$B39,'YTD Purchases'!$G:$G,Brokerage!W$4)</f>
        <v>0</v>
      </c>
      <c r="X39" s="857">
        <f>SUMIFS('YTD Sales'!$N:$N,'YTD Sales'!$B:$B,Brokerage!$B39,'YTD Sales'!$M:$M,Brokerage!X$4)+SUMIFS('YTD Purchases'!$H:$H,'YTD Purchases'!$C:$C,Brokerage!$B39,'YTD Purchases'!$G:$G,Brokerage!X$4)</f>
        <v>0</v>
      </c>
      <c r="Y39" s="857">
        <f>SUMIFS('YTD Sales'!$N:$N,'YTD Sales'!$B:$B,Brokerage!$B39,'YTD Sales'!$M:$M,Brokerage!Y$4)+SUMIFS('YTD Purchases'!$H:$H,'YTD Purchases'!$C:$C,Brokerage!$B39,'YTD Purchases'!$G:$G,Brokerage!Y$4)</f>
        <v>0</v>
      </c>
      <c r="Z39" s="857">
        <f>SUMIFS('YTD Sales'!$N:$N,'YTD Sales'!$B:$B,Brokerage!$B39,'YTD Sales'!$M:$M,Brokerage!Z$4)+SUMIFS('YTD Purchases'!$H:$H,'YTD Purchases'!$C:$C,Brokerage!$B39,'YTD Purchases'!$G:$G,Brokerage!Z$4)</f>
        <v>0</v>
      </c>
      <c r="AA39" s="857">
        <f>SUMIFS('YTD Sales'!$N:$N,'YTD Sales'!$B:$B,Brokerage!$B39,'YTD Sales'!$M:$M,Brokerage!AA$4)+SUMIFS('YTD Purchases'!$H:$H,'YTD Purchases'!$C:$C,Brokerage!$B39,'YTD Purchases'!$G:$G,Brokerage!AA$4)</f>
        <v>0</v>
      </c>
      <c r="AB39" s="857">
        <f>SUMIFS('YTD Sales'!$N:$N,'YTD Sales'!$B:$B,Brokerage!$B39,'YTD Sales'!$M:$M,Brokerage!AB$4)+SUMIFS('YTD Purchases'!$H:$H,'YTD Purchases'!$C:$C,Brokerage!$B39,'YTD Purchases'!$G:$G,Brokerage!AB$4)</f>
        <v>0</v>
      </c>
      <c r="AC39" s="857">
        <f>SUMIFS('YTD Sales'!$N:$N,'YTD Sales'!$B:$B,Brokerage!$B39,'YTD Sales'!$M:$M,Brokerage!AC$4)+SUMIFS('YTD Purchases'!$H:$H,'YTD Purchases'!$C:$C,Brokerage!$B39,'YTD Purchases'!$G:$G,Brokerage!AC$4)</f>
        <v>0</v>
      </c>
      <c r="AD39" s="857">
        <f>+SUMIFS(PIB!AG:AG,PIB!AF:AF,Brokerage!AD$4,PIB!AA:AA,Brokerage!$B39)+SUMIFS('T-Bills'!AB:AB,'T-Bills'!AA:AA,Brokerage!AD$4,'T-Bills'!V:V,Brokerage!$B39)</f>
        <v>0</v>
      </c>
      <c r="AE39" s="857">
        <f>+SUMIFS(PIB!AH:AH,PIB!AG:AG,Brokerage!AE$4,PIB!AB:AB,Brokerage!$B39)+SUMIFS('T-Bills'!AC:AC,'T-Bills'!AB:AB,Brokerage!AE$4,'T-Bills'!W:W,Brokerage!$B39)</f>
        <v>0</v>
      </c>
      <c r="AF39" s="857">
        <f>+SUMIFS(PIB!AI:AI,PIB!AH:AH,Brokerage!AF$4,PIB!AC:AC,Brokerage!$B39)+SUMIFS('T-Bills'!AD:AD,'T-Bills'!AC:AC,Brokerage!AF$4,'T-Bills'!X:X,Brokerage!$B39)</f>
        <v>0</v>
      </c>
      <c r="AG39" s="857">
        <f t="shared" si="3"/>
        <v>0</v>
      </c>
      <c r="AH39" s="858">
        <f t="shared" si="8"/>
        <v>0</v>
      </c>
    </row>
    <row r="40" spans="2:36" x14ac:dyDescent="0.15">
      <c r="B40" s="661">
        <f t="shared" si="2"/>
        <v>44596</v>
      </c>
      <c r="C40" s="857">
        <f>SUMIFS('YTD Sales'!$N:$N,'YTD Sales'!$B:$B,Brokerage!$B40,'YTD Sales'!$M:$M,Brokerage!C$4)+SUMIFS('YTD Purchases'!$H:$H,'YTD Purchases'!$C:$C,Brokerage!$B40,'YTD Purchases'!$G:$G,Brokerage!C$4)</f>
        <v>0</v>
      </c>
      <c r="D40" s="857">
        <f>SUMIFS('YTD Sales'!$N:$N,'YTD Sales'!$B:$B,Brokerage!$B40,'YTD Sales'!$M:$M,Brokerage!D$4)+SUMIFS('YTD Purchases'!$H:$H,'YTD Purchases'!$C:$C,Brokerage!$B40,'YTD Purchases'!$G:$G,Brokerage!D$4)</f>
        <v>0</v>
      </c>
      <c r="E40" s="857">
        <f>SUMIFS('YTD Sales'!$N:$N,'YTD Sales'!$B:$B,Brokerage!$B40,'YTD Sales'!$M:$M,Brokerage!E$4)+SUMIFS('YTD Purchases'!$H:$H,'YTD Purchases'!$C:$C,Brokerage!$B40,'YTD Purchases'!$G:$G,Brokerage!E$4)</f>
        <v>0</v>
      </c>
      <c r="F40" s="857">
        <f>SUMIFS('YTD Sales'!$N:$N,'YTD Sales'!$B:$B,Brokerage!$B40,'YTD Sales'!$M:$M,Brokerage!F$4)+SUMIFS('YTD Purchases'!$H:$H,'YTD Purchases'!$C:$C,Brokerage!$B40,'YTD Purchases'!$G:$G,Brokerage!F$4)</f>
        <v>0</v>
      </c>
      <c r="G40" s="857">
        <f>SUMIFS('YTD Sales'!$N:$N,'YTD Sales'!$B:$B,Brokerage!$B40,'YTD Sales'!$M:$M,Brokerage!G$4)+SUMIFS('YTD Purchases'!$H:$H,'YTD Purchases'!$C:$C,Brokerage!$B40,'YTD Purchases'!$G:$G,Brokerage!G$4)</f>
        <v>0</v>
      </c>
      <c r="H40" s="857">
        <f>SUMIFS('YTD Sales'!$N:$N,'YTD Sales'!$B:$B,Brokerage!$B40,'YTD Sales'!$M:$M,Brokerage!H$4)+SUMIFS('YTD Purchases'!$H:$H,'YTD Purchases'!$C:$C,Brokerage!$B40,'YTD Purchases'!$G:$G,Brokerage!H$4)</f>
        <v>57572.900268000005</v>
      </c>
      <c r="I40" s="857">
        <f>SUMIFS('YTD Sales'!$N:$N,'YTD Sales'!$B:$B,Brokerage!$B40,'YTD Sales'!$M:$M,Brokerage!I$4)+SUMIFS('YTD Purchases'!$H:$H,'YTD Purchases'!$C:$C,Brokerage!$B40,'YTD Purchases'!$G:$G,Brokerage!I$4)</f>
        <v>0</v>
      </c>
      <c r="J40" s="857">
        <f>SUMIFS('YTD Sales'!$N:$N,'YTD Sales'!$B:$B,Brokerage!$B40,'YTD Sales'!$M:$M,Brokerage!J$4)+SUMIFS('YTD Purchases'!$H:$H,'YTD Purchases'!$C:$C,Brokerage!$B40,'YTD Purchases'!$G:$G,Brokerage!J$4)</f>
        <v>0</v>
      </c>
      <c r="K40" s="857">
        <f>SUMIFS('YTD Sales'!$N:$N,'YTD Sales'!$B:$B,Brokerage!$B40,'YTD Sales'!$M:$M,Brokerage!K$4)+SUMIFS('YTD Purchases'!$H:$H,'YTD Purchases'!$C:$C,Brokerage!$B40,'YTD Purchases'!$G:$G,Brokerage!K$4)</f>
        <v>0</v>
      </c>
      <c r="L40" s="857">
        <f>SUMIFS('YTD Sales'!$N:$N,'YTD Sales'!$B:$B,Brokerage!$B40,'YTD Sales'!$M:$M,Brokerage!L$4)+SUMIFS('YTD Purchases'!$H:$H,'YTD Purchases'!$C:$C,Brokerage!$B40,'YTD Purchases'!$G:$G,Brokerage!L$4)</f>
        <v>0</v>
      </c>
      <c r="M40" s="857">
        <f>SUMIFS('YTD Sales'!$N:$N,'YTD Sales'!$B:$B,Brokerage!$B40,'YTD Sales'!$M:$M,Brokerage!M$4)+SUMIFS('YTD Purchases'!$H:$H,'YTD Purchases'!$C:$C,Brokerage!$B40,'YTD Purchases'!$G:$G,Brokerage!M$4)</f>
        <v>0</v>
      </c>
      <c r="N40" s="857">
        <f>SUMIFS('YTD Sales'!$N:$N,'YTD Sales'!$B:$B,Brokerage!$B40,'YTD Sales'!$M:$M,Brokerage!N$4)+SUMIFS('YTD Purchases'!$H:$H,'YTD Purchases'!$C:$C,Brokerage!$B40,'YTD Purchases'!$G:$G,Brokerage!N$4)</f>
        <v>0</v>
      </c>
      <c r="O40" s="857">
        <f>SUMIFS('YTD Sales'!$N:$N,'YTD Sales'!$B:$B,Brokerage!$B40,'YTD Sales'!$M:$M,Brokerage!O$4)+SUMIFS('YTD Purchases'!$H:$H,'YTD Purchases'!$C:$C,Brokerage!$B40,'YTD Purchases'!$G:$G,Brokerage!O$4)</f>
        <v>0</v>
      </c>
      <c r="P40" s="857">
        <f>SUMIFS('YTD Sales'!$N:$N,'YTD Sales'!$B:$B,Brokerage!$B40,'YTD Sales'!$M:$M,Brokerage!P$4)+SUMIFS('YTD Purchases'!$H:$H,'YTD Purchases'!$C:$C,Brokerage!$B40,'YTD Purchases'!$G:$G,Brokerage!P$4)</f>
        <v>0</v>
      </c>
      <c r="Q40" s="857">
        <f>SUMIFS('YTD Sales'!$N:$N,'YTD Sales'!$B:$B,Brokerage!$B40,'YTD Sales'!$M:$M,Brokerage!Q$4)+SUMIFS('YTD Purchases'!$H:$H,'YTD Purchases'!$C:$C,Brokerage!$B40,'YTD Purchases'!$G:$G,Brokerage!Q$4)</f>
        <v>0</v>
      </c>
      <c r="R40" s="857">
        <f>SUMIFS('YTD Sales'!$N:$N,'YTD Sales'!$B:$B,Brokerage!$B40,'YTD Sales'!$M:$M,Brokerage!R$4)+SUMIFS('YTD Purchases'!$H:$H,'YTD Purchases'!$C:$C,Brokerage!$B40,'YTD Purchases'!$G:$G,Brokerage!R$4)</f>
        <v>0</v>
      </c>
      <c r="S40" s="857">
        <f>SUMIFS('YTD Sales'!$N:$N,'YTD Sales'!$B:$B,Brokerage!$B40,'YTD Sales'!$M:$M,Brokerage!S$4)+SUMIFS('YTD Purchases'!$H:$H,'YTD Purchases'!$C:$C,Brokerage!$B40,'YTD Purchases'!$G:$G,Brokerage!S$4)</f>
        <v>0</v>
      </c>
      <c r="T40" s="857">
        <f>SUMIFS('YTD Sales'!$N:$N,'YTD Sales'!$B:$B,Brokerage!$B40,'YTD Sales'!$M:$M,Brokerage!T$4)+SUMIFS('YTD Purchases'!$H:$H,'YTD Purchases'!$C:$C,Brokerage!$B40,'YTD Purchases'!$G:$G,Brokerage!T$4)</f>
        <v>0</v>
      </c>
      <c r="U40" s="857">
        <f>SUMIFS('YTD Sales'!$N:$N,'YTD Sales'!$B:$B,Brokerage!$B40,'YTD Sales'!$M:$M,Brokerage!U$4)+SUMIFS('YTD Purchases'!$H:$H,'YTD Purchases'!$C:$C,Brokerage!$B40,'YTD Purchases'!$G:$G,Brokerage!U$4)</f>
        <v>0</v>
      </c>
      <c r="V40" s="857">
        <f>SUMIFS('YTD Sales'!$N:$N,'YTD Sales'!$B:$B,Brokerage!$B40,'YTD Sales'!$M:$M,Brokerage!V$4)+SUMIFS('YTD Purchases'!$H:$H,'YTD Purchases'!$C:$C,Brokerage!$B40,'YTD Purchases'!$G:$G,Brokerage!V$4)</f>
        <v>0</v>
      </c>
      <c r="W40" s="857">
        <f>SUMIFS('YTD Sales'!$N:$N,'YTD Sales'!$B:$B,Brokerage!$B40,'YTD Sales'!$M:$M,Brokerage!W$4)+SUMIFS('YTD Purchases'!$H:$H,'YTD Purchases'!$C:$C,Brokerage!$B40,'YTD Purchases'!$G:$G,Brokerage!W$4)</f>
        <v>0</v>
      </c>
      <c r="X40" s="857">
        <f>SUMIFS('YTD Sales'!$N:$N,'YTD Sales'!$B:$B,Brokerage!$B40,'YTD Sales'!$M:$M,Brokerage!X$4)+SUMIFS('YTD Purchases'!$H:$H,'YTD Purchases'!$C:$C,Brokerage!$B40,'YTD Purchases'!$G:$G,Brokerage!X$4)</f>
        <v>0</v>
      </c>
      <c r="Y40" s="857">
        <f>SUMIFS('YTD Sales'!$N:$N,'YTD Sales'!$B:$B,Brokerage!$B40,'YTD Sales'!$M:$M,Brokerage!Y$4)+SUMIFS('YTD Purchases'!$H:$H,'YTD Purchases'!$C:$C,Brokerage!$B40,'YTD Purchases'!$G:$G,Brokerage!Y$4)</f>
        <v>0</v>
      </c>
      <c r="Z40" s="857">
        <f>SUMIFS('YTD Sales'!$N:$N,'YTD Sales'!$B:$B,Brokerage!$B40,'YTD Sales'!$M:$M,Brokerage!Z$4)+SUMIFS('YTD Purchases'!$H:$H,'YTD Purchases'!$C:$C,Brokerage!$B40,'YTD Purchases'!$G:$G,Brokerage!Z$4)</f>
        <v>0</v>
      </c>
      <c r="AA40" s="857">
        <f>SUMIFS('YTD Sales'!$N:$N,'YTD Sales'!$B:$B,Brokerage!$B40,'YTD Sales'!$M:$M,Brokerage!AA$4)+SUMIFS('YTD Purchases'!$H:$H,'YTD Purchases'!$C:$C,Brokerage!$B40,'YTD Purchases'!$G:$G,Brokerage!AA$4)</f>
        <v>16080.935350000002</v>
      </c>
      <c r="AB40" s="857">
        <f>SUMIFS('YTD Sales'!$N:$N,'YTD Sales'!$B:$B,Brokerage!$B40,'YTD Sales'!$M:$M,Brokerage!AB$4)+SUMIFS('YTD Purchases'!$H:$H,'YTD Purchases'!$C:$C,Brokerage!$B40,'YTD Purchases'!$G:$G,Brokerage!AB$4)</f>
        <v>0</v>
      </c>
      <c r="AC40" s="857">
        <f>SUMIFS('YTD Sales'!$N:$N,'YTD Sales'!$B:$B,Brokerage!$B40,'YTD Sales'!$M:$M,Brokerage!AC$4)+SUMIFS('YTD Purchases'!$H:$H,'YTD Purchases'!$C:$C,Brokerage!$B40,'YTD Purchases'!$G:$G,Brokerage!AC$4)</f>
        <v>0</v>
      </c>
      <c r="AD40" s="857">
        <f>+SUMIFS(PIB!AG:AG,PIB!AF:AF,Brokerage!AD$4,PIB!AA:AA,Brokerage!$B40)+SUMIFS('T-Bills'!AB:AB,'T-Bills'!AA:AA,Brokerage!AD$4,'T-Bills'!V:V,Brokerage!$B40)</f>
        <v>0</v>
      </c>
      <c r="AE40" s="857">
        <f>+SUMIFS(PIB!AH:AH,PIB!AG:AG,Brokerage!AE$4,PIB!AB:AB,Brokerage!$B40)+SUMIFS('T-Bills'!AC:AC,'T-Bills'!AB:AB,Brokerage!AE$4,'T-Bills'!W:W,Brokerage!$B40)</f>
        <v>0</v>
      </c>
      <c r="AF40" s="857">
        <f>+SUMIFS(PIB!AI:AI,PIB!AH:AH,Brokerage!AF$4,PIB!AC:AC,Brokerage!$B40)+SUMIFS('T-Bills'!AD:AD,'T-Bills'!AC:AC,Brokerage!AF$4,'T-Bills'!X:X,Brokerage!$B40)</f>
        <v>0</v>
      </c>
      <c r="AG40" s="857">
        <f t="shared" si="3"/>
        <v>73653.835618000012</v>
      </c>
      <c r="AH40" s="858">
        <f t="shared" si="8"/>
        <v>3</v>
      </c>
    </row>
    <row r="41" spans="2:36" x14ac:dyDescent="0.15">
      <c r="B41" s="661">
        <f t="shared" si="2"/>
        <v>44597</v>
      </c>
      <c r="C41" s="857">
        <f>SUMIFS('YTD Sales'!$N:$N,'YTD Sales'!$B:$B,Brokerage!$B41,'YTD Sales'!$M:$M,Brokerage!C$4)+SUMIFS('YTD Purchases'!$H:$H,'YTD Purchases'!$C:$C,Brokerage!$B41,'YTD Purchases'!$G:$G,Brokerage!C$4)</f>
        <v>0</v>
      </c>
      <c r="D41" s="857">
        <f>SUMIFS('YTD Sales'!$N:$N,'YTD Sales'!$B:$B,Brokerage!$B41,'YTD Sales'!$M:$M,Brokerage!D$4)+SUMIFS('YTD Purchases'!$H:$H,'YTD Purchases'!$C:$C,Brokerage!$B41,'YTD Purchases'!$G:$G,Brokerage!D$4)</f>
        <v>0</v>
      </c>
      <c r="E41" s="857">
        <f>SUMIFS('YTD Sales'!$N:$N,'YTD Sales'!$B:$B,Brokerage!$B41,'YTD Sales'!$M:$M,Brokerage!E$4)+SUMIFS('YTD Purchases'!$H:$H,'YTD Purchases'!$C:$C,Brokerage!$B41,'YTD Purchases'!$G:$G,Brokerage!E$4)</f>
        <v>0</v>
      </c>
      <c r="F41" s="857">
        <f>SUMIFS('YTD Sales'!$N:$N,'YTD Sales'!$B:$B,Brokerage!$B41,'YTD Sales'!$M:$M,Brokerage!F$4)+SUMIFS('YTD Purchases'!$H:$H,'YTD Purchases'!$C:$C,Brokerage!$B41,'YTD Purchases'!$G:$G,Brokerage!F$4)</f>
        <v>0</v>
      </c>
      <c r="G41" s="857">
        <f>SUMIFS('YTD Sales'!$N:$N,'YTD Sales'!$B:$B,Brokerage!$B41,'YTD Sales'!$M:$M,Brokerage!G$4)+SUMIFS('YTD Purchases'!$H:$H,'YTD Purchases'!$C:$C,Brokerage!$B41,'YTD Purchases'!$G:$G,Brokerage!G$4)</f>
        <v>0</v>
      </c>
      <c r="H41" s="857">
        <f>SUMIFS('YTD Sales'!$N:$N,'YTD Sales'!$B:$B,Brokerage!$B41,'YTD Sales'!$M:$M,Brokerage!H$4)+SUMIFS('YTD Purchases'!$H:$H,'YTD Purchases'!$C:$C,Brokerage!$B41,'YTD Purchases'!$G:$G,Brokerage!H$4)</f>
        <v>0</v>
      </c>
      <c r="I41" s="857">
        <f>SUMIFS('YTD Sales'!$N:$N,'YTD Sales'!$B:$B,Brokerage!$B41,'YTD Sales'!$M:$M,Brokerage!I$4)+SUMIFS('YTD Purchases'!$H:$H,'YTD Purchases'!$C:$C,Brokerage!$B41,'YTD Purchases'!$G:$G,Brokerage!I$4)</f>
        <v>0</v>
      </c>
      <c r="J41" s="857">
        <f>SUMIFS('YTD Sales'!$N:$N,'YTD Sales'!$B:$B,Brokerage!$B41,'YTD Sales'!$M:$M,Brokerage!J$4)+SUMIFS('YTD Purchases'!$H:$H,'YTD Purchases'!$C:$C,Brokerage!$B41,'YTD Purchases'!$G:$G,Brokerage!J$4)</f>
        <v>0</v>
      </c>
      <c r="K41" s="857">
        <f>SUMIFS('YTD Sales'!$N:$N,'YTD Sales'!$B:$B,Brokerage!$B41,'YTD Sales'!$M:$M,Brokerage!K$4)+SUMIFS('YTD Purchases'!$H:$H,'YTD Purchases'!$C:$C,Brokerage!$B41,'YTD Purchases'!$G:$G,Brokerage!K$4)</f>
        <v>0</v>
      </c>
      <c r="L41" s="857">
        <f>SUMIFS('YTD Sales'!$N:$N,'YTD Sales'!$B:$B,Brokerage!$B41,'YTD Sales'!$M:$M,Brokerage!L$4)+SUMIFS('YTD Purchases'!$H:$H,'YTD Purchases'!$C:$C,Brokerage!$B41,'YTD Purchases'!$G:$G,Brokerage!L$4)</f>
        <v>0</v>
      </c>
      <c r="M41" s="857">
        <f>SUMIFS('YTD Sales'!$N:$N,'YTD Sales'!$B:$B,Brokerage!$B41,'YTD Sales'!$M:$M,Brokerage!M$4)+SUMIFS('YTD Purchases'!$H:$H,'YTD Purchases'!$C:$C,Brokerage!$B41,'YTD Purchases'!$G:$G,Brokerage!M$4)</f>
        <v>0</v>
      </c>
      <c r="N41" s="857">
        <f>SUMIFS('YTD Sales'!$N:$N,'YTD Sales'!$B:$B,Brokerage!$B41,'YTD Sales'!$M:$M,Brokerage!N$4)+SUMIFS('YTD Purchases'!$H:$H,'YTD Purchases'!$C:$C,Brokerage!$B41,'YTD Purchases'!$G:$G,Brokerage!N$4)</f>
        <v>0</v>
      </c>
      <c r="O41" s="857">
        <f>SUMIFS('YTD Sales'!$N:$N,'YTD Sales'!$B:$B,Brokerage!$B41,'YTD Sales'!$M:$M,Brokerage!O$4)+SUMIFS('YTD Purchases'!$H:$H,'YTD Purchases'!$C:$C,Brokerage!$B41,'YTD Purchases'!$G:$G,Brokerage!O$4)</f>
        <v>0</v>
      </c>
      <c r="P41" s="857">
        <f>SUMIFS('YTD Sales'!$N:$N,'YTD Sales'!$B:$B,Brokerage!$B41,'YTD Sales'!$M:$M,Brokerage!P$4)+SUMIFS('YTD Purchases'!$H:$H,'YTD Purchases'!$C:$C,Brokerage!$B41,'YTD Purchases'!$G:$G,Brokerage!P$4)</f>
        <v>0</v>
      </c>
      <c r="Q41" s="857">
        <f>SUMIFS('YTD Sales'!$N:$N,'YTD Sales'!$B:$B,Brokerage!$B41,'YTD Sales'!$M:$M,Brokerage!Q$4)+SUMIFS('YTD Purchases'!$H:$H,'YTD Purchases'!$C:$C,Brokerage!$B41,'YTD Purchases'!$G:$G,Brokerage!Q$4)</f>
        <v>0</v>
      </c>
      <c r="R41" s="857">
        <f>SUMIFS('YTD Sales'!$N:$N,'YTD Sales'!$B:$B,Brokerage!$B41,'YTD Sales'!$M:$M,Brokerage!R$4)+SUMIFS('YTD Purchases'!$H:$H,'YTD Purchases'!$C:$C,Brokerage!$B41,'YTD Purchases'!$G:$G,Brokerage!R$4)</f>
        <v>0</v>
      </c>
      <c r="S41" s="857">
        <f>SUMIFS('YTD Sales'!$N:$N,'YTD Sales'!$B:$B,Brokerage!$B41,'YTD Sales'!$M:$M,Brokerage!S$4)+SUMIFS('YTD Purchases'!$H:$H,'YTD Purchases'!$C:$C,Brokerage!$B41,'YTD Purchases'!$G:$G,Brokerage!S$4)</f>
        <v>0</v>
      </c>
      <c r="T41" s="857">
        <f>SUMIFS('YTD Sales'!$N:$N,'YTD Sales'!$B:$B,Brokerage!$B41,'YTD Sales'!$M:$M,Brokerage!T$4)+SUMIFS('YTD Purchases'!$H:$H,'YTD Purchases'!$C:$C,Brokerage!$B41,'YTD Purchases'!$G:$G,Brokerage!T$4)</f>
        <v>0</v>
      </c>
      <c r="U41" s="857">
        <f>SUMIFS('YTD Sales'!$N:$N,'YTD Sales'!$B:$B,Brokerage!$B41,'YTD Sales'!$M:$M,Brokerage!U$4)+SUMIFS('YTD Purchases'!$H:$H,'YTD Purchases'!$C:$C,Brokerage!$B41,'YTD Purchases'!$G:$G,Brokerage!U$4)</f>
        <v>0</v>
      </c>
      <c r="V41" s="857">
        <f>SUMIFS('YTD Sales'!$N:$N,'YTD Sales'!$B:$B,Brokerage!$B41,'YTD Sales'!$M:$M,Brokerage!V$4)+SUMIFS('YTD Purchases'!$H:$H,'YTD Purchases'!$C:$C,Brokerage!$B41,'YTD Purchases'!$G:$G,Brokerage!V$4)</f>
        <v>0</v>
      </c>
      <c r="W41" s="857">
        <f>SUMIFS('YTD Sales'!$N:$N,'YTD Sales'!$B:$B,Brokerage!$B41,'YTD Sales'!$M:$M,Brokerage!W$4)+SUMIFS('YTD Purchases'!$H:$H,'YTD Purchases'!$C:$C,Brokerage!$B41,'YTD Purchases'!$G:$G,Brokerage!W$4)</f>
        <v>0</v>
      </c>
      <c r="X41" s="857">
        <f>SUMIFS('YTD Sales'!$N:$N,'YTD Sales'!$B:$B,Brokerage!$B41,'YTD Sales'!$M:$M,Brokerage!X$4)+SUMIFS('YTD Purchases'!$H:$H,'YTD Purchases'!$C:$C,Brokerage!$B41,'YTD Purchases'!$G:$G,Brokerage!X$4)</f>
        <v>0</v>
      </c>
      <c r="Y41" s="857">
        <f>SUMIFS('YTD Sales'!$N:$N,'YTD Sales'!$B:$B,Brokerage!$B41,'YTD Sales'!$M:$M,Brokerage!Y$4)+SUMIFS('YTD Purchases'!$H:$H,'YTD Purchases'!$C:$C,Brokerage!$B41,'YTD Purchases'!$G:$G,Brokerage!Y$4)</f>
        <v>0</v>
      </c>
      <c r="Z41" s="857">
        <f>SUMIFS('YTD Sales'!$N:$N,'YTD Sales'!$B:$B,Brokerage!$B41,'YTD Sales'!$M:$M,Brokerage!Z$4)+SUMIFS('YTD Purchases'!$H:$H,'YTD Purchases'!$C:$C,Brokerage!$B41,'YTD Purchases'!$G:$G,Brokerage!Z$4)</f>
        <v>0</v>
      </c>
      <c r="AA41" s="857">
        <f>SUMIFS('YTD Sales'!$N:$N,'YTD Sales'!$B:$B,Brokerage!$B41,'YTD Sales'!$M:$M,Brokerage!AA$4)+SUMIFS('YTD Purchases'!$H:$H,'YTD Purchases'!$C:$C,Brokerage!$B41,'YTD Purchases'!$G:$G,Brokerage!AA$4)</f>
        <v>0</v>
      </c>
      <c r="AB41" s="857">
        <f>SUMIFS('YTD Sales'!$N:$N,'YTD Sales'!$B:$B,Brokerage!$B41,'YTD Sales'!$M:$M,Brokerage!AB$4)+SUMIFS('YTD Purchases'!$H:$H,'YTD Purchases'!$C:$C,Brokerage!$B41,'YTD Purchases'!$G:$G,Brokerage!AB$4)</f>
        <v>0</v>
      </c>
      <c r="AC41" s="857">
        <f>SUMIFS('YTD Sales'!$N:$N,'YTD Sales'!$B:$B,Brokerage!$B41,'YTD Sales'!$M:$M,Brokerage!AC$4)+SUMIFS('YTD Purchases'!$H:$H,'YTD Purchases'!$C:$C,Brokerage!$B41,'YTD Purchases'!$G:$G,Brokerage!AC$4)</f>
        <v>0</v>
      </c>
      <c r="AD41" s="857">
        <f>+SUMIFS(PIB!AG:AG,PIB!AF:AF,Brokerage!AD$4,PIB!AA:AA,Brokerage!$B41)+SUMIFS('T-Bills'!AB:AB,'T-Bills'!AA:AA,Brokerage!AD$4,'T-Bills'!V:V,Brokerage!$B41)</f>
        <v>0</v>
      </c>
      <c r="AE41" s="857">
        <f>+SUMIFS(PIB!AH:AH,PIB!AG:AG,Brokerage!AE$4,PIB!AB:AB,Brokerage!$B41)+SUMIFS('T-Bills'!AC:AC,'T-Bills'!AB:AB,Brokerage!AE$4,'T-Bills'!W:W,Brokerage!$B41)</f>
        <v>0</v>
      </c>
      <c r="AF41" s="857">
        <f>+SUMIFS(PIB!AI:AI,PIB!AH:AH,Brokerage!AF$4,PIB!AC:AC,Brokerage!$B41)+SUMIFS('T-Bills'!AD:AD,'T-Bills'!AC:AC,Brokerage!AF$4,'T-Bills'!X:X,Brokerage!$B41)</f>
        <v>0</v>
      </c>
      <c r="AG41" s="857">
        <f t="shared" si="3"/>
        <v>0</v>
      </c>
      <c r="AH41" s="858">
        <f t="shared" si="8"/>
        <v>0</v>
      </c>
    </row>
    <row r="42" spans="2:36" x14ac:dyDescent="0.15">
      <c r="B42" s="661">
        <f t="shared" si="2"/>
        <v>44598</v>
      </c>
      <c r="C42" s="857">
        <f>SUMIFS('YTD Sales'!$N:$N,'YTD Sales'!$B:$B,Brokerage!$B42,'YTD Sales'!$M:$M,Brokerage!C$4)+SUMIFS('YTD Purchases'!$H:$H,'YTD Purchases'!$C:$C,Brokerage!$B42,'YTD Purchases'!$G:$G,Brokerage!C$4)</f>
        <v>0</v>
      </c>
      <c r="D42" s="857">
        <f>SUMIFS('YTD Sales'!$N:$N,'YTD Sales'!$B:$B,Brokerage!$B42,'YTD Sales'!$M:$M,Brokerage!D$4)+SUMIFS('YTD Purchases'!$H:$H,'YTD Purchases'!$C:$C,Brokerage!$B42,'YTD Purchases'!$G:$G,Brokerage!D$4)</f>
        <v>0</v>
      </c>
      <c r="E42" s="857">
        <f>SUMIFS('YTD Sales'!$N:$N,'YTD Sales'!$B:$B,Brokerage!$B42,'YTD Sales'!$M:$M,Brokerage!E$4)+SUMIFS('YTD Purchases'!$H:$H,'YTD Purchases'!$C:$C,Brokerage!$B42,'YTD Purchases'!$G:$G,Brokerage!E$4)</f>
        <v>0</v>
      </c>
      <c r="F42" s="857">
        <f>SUMIFS('YTD Sales'!$N:$N,'YTD Sales'!$B:$B,Brokerage!$B42,'YTD Sales'!$M:$M,Brokerage!F$4)+SUMIFS('YTD Purchases'!$H:$H,'YTD Purchases'!$C:$C,Brokerage!$B42,'YTD Purchases'!$G:$G,Brokerage!F$4)</f>
        <v>0</v>
      </c>
      <c r="G42" s="857">
        <f>SUMIFS('YTD Sales'!$N:$N,'YTD Sales'!$B:$B,Brokerage!$B42,'YTD Sales'!$M:$M,Brokerage!G$4)+SUMIFS('YTD Purchases'!$H:$H,'YTD Purchases'!$C:$C,Brokerage!$B42,'YTD Purchases'!$G:$G,Brokerage!G$4)</f>
        <v>0</v>
      </c>
      <c r="H42" s="857">
        <f>SUMIFS('YTD Sales'!$N:$N,'YTD Sales'!$B:$B,Brokerage!$B42,'YTD Sales'!$M:$M,Brokerage!H$4)+SUMIFS('YTD Purchases'!$H:$H,'YTD Purchases'!$C:$C,Brokerage!$B42,'YTD Purchases'!$G:$G,Brokerage!H$4)</f>
        <v>0</v>
      </c>
      <c r="I42" s="857">
        <f>SUMIFS('YTD Sales'!$N:$N,'YTD Sales'!$B:$B,Brokerage!$B42,'YTD Sales'!$M:$M,Brokerage!I$4)+SUMIFS('YTD Purchases'!$H:$H,'YTD Purchases'!$C:$C,Brokerage!$B42,'YTD Purchases'!$G:$G,Brokerage!I$4)</f>
        <v>0</v>
      </c>
      <c r="J42" s="857">
        <f>SUMIFS('YTD Sales'!$N:$N,'YTD Sales'!$B:$B,Brokerage!$B42,'YTD Sales'!$M:$M,Brokerage!J$4)+SUMIFS('YTD Purchases'!$H:$H,'YTD Purchases'!$C:$C,Brokerage!$B42,'YTD Purchases'!$G:$G,Brokerage!J$4)</f>
        <v>0</v>
      </c>
      <c r="K42" s="857">
        <f>SUMIFS('YTD Sales'!$N:$N,'YTD Sales'!$B:$B,Brokerage!$B42,'YTD Sales'!$M:$M,Brokerage!K$4)+SUMIFS('YTD Purchases'!$H:$H,'YTD Purchases'!$C:$C,Brokerage!$B42,'YTD Purchases'!$G:$G,Brokerage!K$4)</f>
        <v>0</v>
      </c>
      <c r="L42" s="857">
        <f>SUMIFS('YTD Sales'!$N:$N,'YTD Sales'!$B:$B,Brokerage!$B42,'YTD Sales'!$M:$M,Brokerage!L$4)+SUMIFS('YTD Purchases'!$H:$H,'YTD Purchases'!$C:$C,Brokerage!$B42,'YTD Purchases'!$G:$G,Brokerage!L$4)</f>
        <v>0</v>
      </c>
      <c r="M42" s="857">
        <f>SUMIFS('YTD Sales'!$N:$N,'YTD Sales'!$B:$B,Brokerage!$B42,'YTD Sales'!$M:$M,Brokerage!M$4)+SUMIFS('YTD Purchases'!$H:$H,'YTD Purchases'!$C:$C,Brokerage!$B42,'YTD Purchases'!$G:$G,Brokerage!M$4)</f>
        <v>0</v>
      </c>
      <c r="N42" s="857">
        <f>SUMIFS('YTD Sales'!$N:$N,'YTD Sales'!$B:$B,Brokerage!$B42,'YTD Sales'!$M:$M,Brokerage!N$4)+SUMIFS('YTD Purchases'!$H:$H,'YTD Purchases'!$C:$C,Brokerage!$B42,'YTD Purchases'!$G:$G,Brokerage!N$4)</f>
        <v>0</v>
      </c>
      <c r="O42" s="857">
        <f>SUMIFS('YTD Sales'!$N:$N,'YTD Sales'!$B:$B,Brokerage!$B42,'YTD Sales'!$M:$M,Brokerage!O$4)+SUMIFS('YTD Purchases'!$H:$H,'YTD Purchases'!$C:$C,Brokerage!$B42,'YTD Purchases'!$G:$G,Brokerage!O$4)</f>
        <v>0</v>
      </c>
      <c r="P42" s="857">
        <f>SUMIFS('YTD Sales'!$N:$N,'YTD Sales'!$B:$B,Brokerage!$B42,'YTD Sales'!$M:$M,Brokerage!P$4)+SUMIFS('YTD Purchases'!$H:$H,'YTD Purchases'!$C:$C,Brokerage!$B42,'YTD Purchases'!$G:$G,Brokerage!P$4)</f>
        <v>0</v>
      </c>
      <c r="Q42" s="857">
        <f>SUMIFS('YTD Sales'!$N:$N,'YTD Sales'!$B:$B,Brokerage!$B42,'YTD Sales'!$M:$M,Brokerage!Q$4)+SUMIFS('YTD Purchases'!$H:$H,'YTD Purchases'!$C:$C,Brokerage!$B42,'YTD Purchases'!$G:$G,Brokerage!Q$4)</f>
        <v>0</v>
      </c>
      <c r="R42" s="857">
        <f>SUMIFS('YTD Sales'!$N:$N,'YTD Sales'!$B:$B,Brokerage!$B42,'YTD Sales'!$M:$M,Brokerage!R$4)+SUMIFS('YTD Purchases'!$H:$H,'YTD Purchases'!$C:$C,Brokerage!$B42,'YTD Purchases'!$G:$G,Brokerage!R$4)</f>
        <v>0</v>
      </c>
      <c r="S42" s="857">
        <f>SUMIFS('YTD Sales'!$N:$N,'YTD Sales'!$B:$B,Brokerage!$B42,'YTD Sales'!$M:$M,Brokerage!S$4)+SUMIFS('YTD Purchases'!$H:$H,'YTD Purchases'!$C:$C,Brokerage!$B42,'YTD Purchases'!$G:$G,Brokerage!S$4)</f>
        <v>0</v>
      </c>
      <c r="T42" s="857">
        <f>SUMIFS('YTD Sales'!$N:$N,'YTD Sales'!$B:$B,Brokerage!$B42,'YTD Sales'!$M:$M,Brokerage!T$4)+SUMIFS('YTD Purchases'!$H:$H,'YTD Purchases'!$C:$C,Brokerage!$B42,'YTD Purchases'!$G:$G,Brokerage!T$4)</f>
        <v>0</v>
      </c>
      <c r="U42" s="857">
        <f>SUMIFS('YTD Sales'!$N:$N,'YTD Sales'!$B:$B,Brokerage!$B42,'YTD Sales'!$M:$M,Brokerage!U$4)+SUMIFS('YTD Purchases'!$H:$H,'YTD Purchases'!$C:$C,Brokerage!$B42,'YTD Purchases'!$G:$G,Brokerage!U$4)</f>
        <v>0</v>
      </c>
      <c r="V42" s="857">
        <f>SUMIFS('YTD Sales'!$N:$N,'YTD Sales'!$B:$B,Brokerage!$B42,'YTD Sales'!$M:$M,Brokerage!V$4)+SUMIFS('YTD Purchases'!$H:$H,'YTD Purchases'!$C:$C,Brokerage!$B42,'YTD Purchases'!$G:$G,Brokerage!V$4)</f>
        <v>0</v>
      </c>
      <c r="W42" s="857">
        <f>SUMIFS('YTD Sales'!$N:$N,'YTD Sales'!$B:$B,Brokerage!$B42,'YTD Sales'!$M:$M,Brokerage!W$4)+SUMIFS('YTD Purchases'!$H:$H,'YTD Purchases'!$C:$C,Brokerage!$B42,'YTD Purchases'!$G:$G,Brokerage!W$4)</f>
        <v>0</v>
      </c>
      <c r="X42" s="857">
        <f>SUMIFS('YTD Sales'!$N:$N,'YTD Sales'!$B:$B,Brokerage!$B42,'YTD Sales'!$M:$M,Brokerage!X$4)+SUMIFS('YTD Purchases'!$H:$H,'YTD Purchases'!$C:$C,Brokerage!$B42,'YTD Purchases'!$G:$G,Brokerage!X$4)</f>
        <v>0</v>
      </c>
      <c r="Y42" s="857">
        <f>SUMIFS('YTD Sales'!$N:$N,'YTD Sales'!$B:$B,Brokerage!$B42,'YTD Sales'!$M:$M,Brokerage!Y$4)+SUMIFS('YTD Purchases'!$H:$H,'YTD Purchases'!$C:$C,Brokerage!$B42,'YTD Purchases'!$G:$G,Brokerage!Y$4)</f>
        <v>0</v>
      </c>
      <c r="Z42" s="857">
        <f>SUMIFS('YTD Sales'!$N:$N,'YTD Sales'!$B:$B,Brokerage!$B42,'YTD Sales'!$M:$M,Brokerage!Z$4)+SUMIFS('YTD Purchases'!$H:$H,'YTD Purchases'!$C:$C,Brokerage!$B42,'YTD Purchases'!$G:$G,Brokerage!Z$4)</f>
        <v>0</v>
      </c>
      <c r="AA42" s="857">
        <f>SUMIFS('YTD Sales'!$N:$N,'YTD Sales'!$B:$B,Brokerage!$B42,'YTD Sales'!$M:$M,Brokerage!AA$4)+SUMIFS('YTD Purchases'!$H:$H,'YTD Purchases'!$C:$C,Brokerage!$B42,'YTD Purchases'!$G:$G,Brokerage!AA$4)</f>
        <v>0</v>
      </c>
      <c r="AB42" s="857">
        <f>SUMIFS('YTD Sales'!$N:$N,'YTD Sales'!$B:$B,Brokerage!$B42,'YTD Sales'!$M:$M,Brokerage!AB$4)+SUMIFS('YTD Purchases'!$H:$H,'YTD Purchases'!$C:$C,Brokerage!$B42,'YTD Purchases'!$G:$G,Brokerage!AB$4)</f>
        <v>0</v>
      </c>
      <c r="AC42" s="857">
        <f>SUMIFS('YTD Sales'!$N:$N,'YTD Sales'!$B:$B,Brokerage!$B42,'YTD Sales'!$M:$M,Brokerage!AC$4)+SUMIFS('YTD Purchases'!$H:$H,'YTD Purchases'!$C:$C,Brokerage!$B42,'YTD Purchases'!$G:$G,Brokerage!AC$4)</f>
        <v>0</v>
      </c>
      <c r="AD42" s="857">
        <f>+SUMIFS(PIB!AG:AG,PIB!AF:AF,Brokerage!AD$4,PIB!AA:AA,Brokerage!$B42)+SUMIFS('T-Bills'!AB:AB,'T-Bills'!AA:AA,Brokerage!AD$4,'T-Bills'!V:V,Brokerage!$B42)</f>
        <v>0</v>
      </c>
      <c r="AE42" s="857">
        <f>+SUMIFS(PIB!AH:AH,PIB!AG:AG,Brokerage!AE$4,PIB!AB:AB,Brokerage!$B42)+SUMIFS('T-Bills'!AC:AC,'T-Bills'!AB:AB,Brokerage!AE$4,'T-Bills'!W:W,Brokerage!$B42)</f>
        <v>0</v>
      </c>
      <c r="AF42" s="857">
        <f>+SUMIFS(PIB!AI:AI,PIB!AH:AH,Brokerage!AF$4,PIB!AC:AC,Brokerage!$B42)+SUMIFS('T-Bills'!AD:AD,'T-Bills'!AC:AC,Brokerage!AF$4,'T-Bills'!X:X,Brokerage!$B42)</f>
        <v>0</v>
      </c>
      <c r="AG42" s="857">
        <f t="shared" si="3"/>
        <v>0</v>
      </c>
      <c r="AH42" s="858">
        <f t="shared" si="8"/>
        <v>0</v>
      </c>
    </row>
    <row r="43" spans="2:36" x14ac:dyDescent="0.15">
      <c r="B43" s="661">
        <f t="shared" si="2"/>
        <v>44599</v>
      </c>
      <c r="C43" s="857">
        <f>SUMIFS('YTD Sales'!$N:$N,'YTD Sales'!$B:$B,Brokerage!$B43,'YTD Sales'!$M:$M,Brokerage!C$4)+SUMIFS('YTD Purchases'!$H:$H,'YTD Purchases'!$C:$C,Brokerage!$B43,'YTD Purchases'!$G:$G,Brokerage!C$4)</f>
        <v>0</v>
      </c>
      <c r="D43" s="857">
        <f>SUMIFS('YTD Sales'!$N:$N,'YTD Sales'!$B:$B,Brokerage!$B43,'YTD Sales'!$M:$M,Brokerage!D$4)+SUMIFS('YTD Purchases'!$H:$H,'YTD Purchases'!$C:$C,Brokerage!$B43,'YTD Purchases'!$G:$G,Brokerage!D$4)</f>
        <v>0</v>
      </c>
      <c r="E43" s="857">
        <f>SUMIFS('YTD Sales'!$N:$N,'YTD Sales'!$B:$B,Brokerage!$B43,'YTD Sales'!$M:$M,Brokerage!E$4)+SUMIFS('YTD Purchases'!$H:$H,'YTD Purchases'!$C:$C,Brokerage!$B43,'YTD Purchases'!$G:$G,Brokerage!E$4)</f>
        <v>0</v>
      </c>
      <c r="F43" s="857">
        <f>SUMIFS('YTD Sales'!$N:$N,'YTD Sales'!$B:$B,Brokerage!$B43,'YTD Sales'!$M:$M,Brokerage!F$4)+SUMIFS('YTD Purchases'!$H:$H,'YTD Purchases'!$C:$C,Brokerage!$B43,'YTD Purchases'!$G:$G,Brokerage!F$4)</f>
        <v>0</v>
      </c>
      <c r="G43" s="857">
        <f>SUMIFS('YTD Sales'!$N:$N,'YTD Sales'!$B:$B,Brokerage!$B43,'YTD Sales'!$M:$M,Brokerage!G$4)+SUMIFS('YTD Purchases'!$H:$H,'YTD Purchases'!$C:$C,Brokerage!$B43,'YTD Purchases'!$G:$G,Brokerage!G$4)</f>
        <v>0</v>
      </c>
      <c r="H43" s="857">
        <f>SUMIFS('YTD Sales'!$N:$N,'YTD Sales'!$B:$B,Brokerage!$B43,'YTD Sales'!$M:$M,Brokerage!H$4)+SUMIFS('YTD Purchases'!$H:$H,'YTD Purchases'!$C:$C,Brokerage!$B43,'YTD Purchases'!$G:$G,Brokerage!H$4)</f>
        <v>0</v>
      </c>
      <c r="I43" s="857">
        <f>SUMIFS('YTD Sales'!$N:$N,'YTD Sales'!$B:$B,Brokerage!$B43,'YTD Sales'!$M:$M,Brokerage!I$4)+SUMIFS('YTD Purchases'!$H:$H,'YTD Purchases'!$C:$C,Brokerage!$B43,'YTD Purchases'!$G:$G,Brokerage!I$4)</f>
        <v>0</v>
      </c>
      <c r="J43" s="857">
        <f>SUMIFS('YTD Sales'!$N:$N,'YTD Sales'!$B:$B,Brokerage!$B43,'YTD Sales'!$M:$M,Brokerage!J$4)+SUMIFS('YTD Purchases'!$H:$H,'YTD Purchases'!$C:$C,Brokerage!$B43,'YTD Purchases'!$G:$G,Brokerage!J$4)</f>
        <v>0</v>
      </c>
      <c r="K43" s="857">
        <f>SUMIFS('YTD Sales'!$N:$N,'YTD Sales'!$B:$B,Brokerage!$B43,'YTD Sales'!$M:$M,Brokerage!K$4)+SUMIFS('YTD Purchases'!$H:$H,'YTD Purchases'!$C:$C,Brokerage!$B43,'YTD Purchases'!$G:$G,Brokerage!K$4)</f>
        <v>0</v>
      </c>
      <c r="L43" s="857">
        <f>SUMIFS('YTD Sales'!$N:$N,'YTD Sales'!$B:$B,Brokerage!$B43,'YTD Sales'!$M:$M,Brokerage!L$4)+SUMIFS('YTD Purchases'!$H:$H,'YTD Purchases'!$C:$C,Brokerage!$B43,'YTD Purchases'!$G:$G,Brokerage!L$4)</f>
        <v>0</v>
      </c>
      <c r="M43" s="857">
        <f>SUMIFS('YTD Sales'!$N:$N,'YTD Sales'!$B:$B,Brokerage!$B43,'YTD Sales'!$M:$M,Brokerage!M$4)+SUMIFS('YTD Purchases'!$H:$H,'YTD Purchases'!$C:$C,Brokerage!$B43,'YTD Purchases'!$G:$G,Brokerage!M$4)</f>
        <v>0</v>
      </c>
      <c r="N43" s="857">
        <f>SUMIFS('YTD Sales'!$N:$N,'YTD Sales'!$B:$B,Brokerage!$B43,'YTD Sales'!$M:$M,Brokerage!N$4)+SUMIFS('YTD Purchases'!$H:$H,'YTD Purchases'!$C:$C,Brokerage!$B43,'YTD Purchases'!$G:$G,Brokerage!N$4)</f>
        <v>0</v>
      </c>
      <c r="O43" s="857">
        <f>SUMIFS('YTD Sales'!$N:$N,'YTD Sales'!$B:$B,Brokerage!$B43,'YTD Sales'!$M:$M,Brokerage!O$4)+SUMIFS('YTD Purchases'!$H:$H,'YTD Purchases'!$C:$C,Brokerage!$B43,'YTD Purchases'!$G:$G,Brokerage!O$4)</f>
        <v>0</v>
      </c>
      <c r="P43" s="857">
        <f>SUMIFS('YTD Sales'!$N:$N,'YTD Sales'!$B:$B,Brokerage!$B43,'YTD Sales'!$M:$M,Brokerage!P$4)+SUMIFS('YTD Purchases'!$H:$H,'YTD Purchases'!$C:$C,Brokerage!$B43,'YTD Purchases'!$G:$G,Brokerage!P$4)</f>
        <v>0</v>
      </c>
      <c r="Q43" s="857">
        <f>SUMIFS('YTD Sales'!$N:$N,'YTD Sales'!$B:$B,Brokerage!$B43,'YTD Sales'!$M:$M,Brokerage!Q$4)+SUMIFS('YTD Purchases'!$H:$H,'YTD Purchases'!$C:$C,Brokerage!$B43,'YTD Purchases'!$G:$G,Brokerage!Q$4)</f>
        <v>0</v>
      </c>
      <c r="R43" s="857">
        <f>SUMIFS('YTD Sales'!$N:$N,'YTD Sales'!$B:$B,Brokerage!$B43,'YTD Sales'!$M:$M,Brokerage!R$4)+SUMIFS('YTD Purchases'!$H:$H,'YTD Purchases'!$C:$C,Brokerage!$B43,'YTD Purchases'!$G:$G,Brokerage!R$4)</f>
        <v>0</v>
      </c>
      <c r="S43" s="857">
        <f>SUMIFS('YTD Sales'!$N:$N,'YTD Sales'!$B:$B,Brokerage!$B43,'YTD Sales'!$M:$M,Brokerage!S$4)+SUMIFS('YTD Purchases'!$H:$H,'YTD Purchases'!$C:$C,Brokerage!$B43,'YTD Purchases'!$G:$G,Brokerage!S$4)</f>
        <v>0</v>
      </c>
      <c r="T43" s="857">
        <f>SUMIFS('YTD Sales'!$N:$N,'YTD Sales'!$B:$B,Brokerage!$B43,'YTD Sales'!$M:$M,Brokerage!T$4)+SUMIFS('YTD Purchases'!$H:$H,'YTD Purchases'!$C:$C,Brokerage!$B43,'YTD Purchases'!$G:$G,Brokerage!T$4)</f>
        <v>0</v>
      </c>
      <c r="U43" s="857">
        <f>SUMIFS('YTD Sales'!$N:$N,'YTD Sales'!$B:$B,Brokerage!$B43,'YTD Sales'!$M:$M,Brokerage!U$4)+SUMIFS('YTD Purchases'!$H:$H,'YTD Purchases'!$C:$C,Brokerage!$B43,'YTD Purchases'!$G:$G,Brokerage!U$4)</f>
        <v>0</v>
      </c>
      <c r="V43" s="857">
        <f>SUMIFS('YTD Sales'!$N:$N,'YTD Sales'!$B:$B,Brokerage!$B43,'YTD Sales'!$M:$M,Brokerage!V$4)+SUMIFS('YTD Purchases'!$H:$H,'YTD Purchases'!$C:$C,Brokerage!$B43,'YTD Purchases'!$G:$G,Brokerage!V$4)</f>
        <v>0</v>
      </c>
      <c r="W43" s="857">
        <f>SUMIFS('YTD Sales'!$N:$N,'YTD Sales'!$B:$B,Brokerage!$B43,'YTD Sales'!$M:$M,Brokerage!W$4)+SUMIFS('YTD Purchases'!$H:$H,'YTD Purchases'!$C:$C,Brokerage!$B43,'YTD Purchases'!$G:$G,Brokerage!W$4)</f>
        <v>0</v>
      </c>
      <c r="X43" s="857">
        <f>SUMIFS('YTD Sales'!$N:$N,'YTD Sales'!$B:$B,Brokerage!$B43,'YTD Sales'!$M:$M,Brokerage!X$4)+SUMIFS('YTD Purchases'!$H:$H,'YTD Purchases'!$C:$C,Brokerage!$B43,'YTD Purchases'!$G:$G,Brokerage!X$4)</f>
        <v>0</v>
      </c>
      <c r="Y43" s="857">
        <f>SUMIFS('YTD Sales'!$N:$N,'YTD Sales'!$B:$B,Brokerage!$B43,'YTD Sales'!$M:$M,Brokerage!Y$4)+SUMIFS('YTD Purchases'!$H:$H,'YTD Purchases'!$C:$C,Brokerage!$B43,'YTD Purchases'!$G:$G,Brokerage!Y$4)</f>
        <v>13279.76</v>
      </c>
      <c r="Z43" s="857">
        <f>SUMIFS('YTD Sales'!$N:$N,'YTD Sales'!$B:$B,Brokerage!$B43,'YTD Sales'!$M:$M,Brokerage!Z$4)+SUMIFS('YTD Purchases'!$H:$H,'YTD Purchases'!$C:$C,Brokerage!$B43,'YTD Purchases'!$G:$G,Brokerage!Z$4)</f>
        <v>0</v>
      </c>
      <c r="AA43" s="857">
        <f>SUMIFS('YTD Sales'!$N:$N,'YTD Sales'!$B:$B,Brokerage!$B43,'YTD Sales'!$M:$M,Brokerage!AA$4)+SUMIFS('YTD Purchases'!$H:$H,'YTD Purchases'!$C:$C,Brokerage!$B43,'YTD Purchases'!$G:$G,Brokerage!AA$4)</f>
        <v>0</v>
      </c>
      <c r="AB43" s="857">
        <f>SUMIFS('YTD Sales'!$N:$N,'YTD Sales'!$B:$B,Brokerage!$B43,'YTD Sales'!$M:$M,Brokerage!AB$4)+SUMIFS('YTD Purchases'!$H:$H,'YTD Purchases'!$C:$C,Brokerage!$B43,'YTD Purchases'!$G:$G,Brokerage!AB$4)</f>
        <v>0</v>
      </c>
      <c r="AC43" s="857">
        <f>SUMIFS('YTD Sales'!$N:$N,'YTD Sales'!$B:$B,Brokerage!$B43,'YTD Sales'!$M:$M,Brokerage!AC$4)+SUMIFS('YTD Purchases'!$H:$H,'YTD Purchases'!$C:$C,Brokerage!$B43,'YTD Purchases'!$G:$G,Brokerage!AC$4)</f>
        <v>0</v>
      </c>
      <c r="AD43" s="857">
        <f>+SUMIFS(PIB!AG:AG,PIB!AF:AF,Brokerage!AD$4,PIB!AA:AA,Brokerage!$B43)+SUMIFS('T-Bills'!AB:AB,'T-Bills'!AA:AA,Brokerage!AD$4,'T-Bills'!V:V,Brokerage!$B43)</f>
        <v>0</v>
      </c>
      <c r="AE43" s="857">
        <f>+SUMIFS(PIB!AH:AH,PIB!AG:AG,Brokerage!AE$4,PIB!AB:AB,Brokerage!$B43)+SUMIFS('T-Bills'!AC:AC,'T-Bills'!AB:AB,Brokerage!AE$4,'T-Bills'!W:W,Brokerage!$B43)</f>
        <v>0</v>
      </c>
      <c r="AF43" s="857">
        <f>+SUMIFS(PIB!AI:AI,PIB!AH:AH,Brokerage!AF$4,PIB!AC:AC,Brokerage!$B43)+SUMIFS('T-Bills'!AD:AD,'T-Bills'!AC:AC,Brokerage!AF$4,'T-Bills'!X:X,Brokerage!$B43)</f>
        <v>0</v>
      </c>
      <c r="AG43" s="857">
        <f t="shared" si="3"/>
        <v>13279.76</v>
      </c>
      <c r="AH43" s="858">
        <f t="shared" si="8"/>
        <v>1</v>
      </c>
    </row>
    <row r="44" spans="2:36" x14ac:dyDescent="0.15">
      <c r="B44" s="661">
        <f t="shared" si="2"/>
        <v>44600</v>
      </c>
      <c r="C44" s="857">
        <f>SUMIFS('YTD Sales'!$N:$N,'YTD Sales'!$B:$B,Brokerage!$B44,'YTD Sales'!$M:$M,Brokerage!C$4)+SUMIFS('YTD Purchases'!$H:$H,'YTD Purchases'!$C:$C,Brokerage!$B44,'YTD Purchases'!$G:$G,Brokerage!C$4)</f>
        <v>0</v>
      </c>
      <c r="D44" s="857">
        <f>SUMIFS('YTD Sales'!$N:$N,'YTD Sales'!$B:$B,Brokerage!$B44,'YTD Sales'!$M:$M,Brokerage!D$4)+SUMIFS('YTD Purchases'!$H:$H,'YTD Purchases'!$C:$C,Brokerage!$B44,'YTD Purchases'!$G:$G,Brokerage!D$4)</f>
        <v>0</v>
      </c>
      <c r="E44" s="857">
        <f>SUMIFS('YTD Sales'!$N:$N,'YTD Sales'!$B:$B,Brokerage!$B44,'YTD Sales'!$M:$M,Brokerage!E$4)+SUMIFS('YTD Purchases'!$H:$H,'YTD Purchases'!$C:$C,Brokerage!$B44,'YTD Purchases'!$G:$G,Brokerage!E$4)</f>
        <v>0</v>
      </c>
      <c r="F44" s="857">
        <f>SUMIFS('YTD Sales'!$N:$N,'YTD Sales'!$B:$B,Brokerage!$B44,'YTD Sales'!$M:$M,Brokerage!F$4)+SUMIFS('YTD Purchases'!$H:$H,'YTD Purchases'!$C:$C,Brokerage!$B44,'YTD Purchases'!$G:$G,Brokerage!F$4)</f>
        <v>0</v>
      </c>
      <c r="G44" s="857">
        <f>SUMIFS('YTD Sales'!$N:$N,'YTD Sales'!$B:$B,Brokerage!$B44,'YTD Sales'!$M:$M,Brokerage!G$4)+SUMIFS('YTD Purchases'!$H:$H,'YTD Purchases'!$C:$C,Brokerage!$B44,'YTD Purchases'!$G:$G,Brokerage!G$4)</f>
        <v>0</v>
      </c>
      <c r="H44" s="857">
        <f>SUMIFS('YTD Sales'!$N:$N,'YTD Sales'!$B:$B,Brokerage!$B44,'YTD Sales'!$M:$M,Brokerage!H$4)+SUMIFS('YTD Purchases'!$H:$H,'YTD Purchases'!$C:$C,Brokerage!$B44,'YTD Purchases'!$G:$G,Brokerage!H$4)</f>
        <v>0</v>
      </c>
      <c r="I44" s="857">
        <f>SUMIFS('YTD Sales'!$N:$N,'YTD Sales'!$B:$B,Brokerage!$B44,'YTD Sales'!$M:$M,Brokerage!I$4)+SUMIFS('YTD Purchases'!$H:$H,'YTD Purchases'!$C:$C,Brokerage!$B44,'YTD Purchases'!$G:$G,Brokerage!I$4)</f>
        <v>0</v>
      </c>
      <c r="J44" s="857">
        <f>SUMIFS('YTD Sales'!$N:$N,'YTD Sales'!$B:$B,Brokerage!$B44,'YTD Sales'!$M:$M,Brokerage!J$4)+SUMIFS('YTD Purchases'!$H:$H,'YTD Purchases'!$C:$C,Brokerage!$B44,'YTD Purchases'!$G:$G,Brokerage!J$4)</f>
        <v>0</v>
      </c>
      <c r="K44" s="857">
        <f>SUMIFS('YTD Sales'!$N:$N,'YTD Sales'!$B:$B,Brokerage!$B44,'YTD Sales'!$M:$M,Brokerage!K$4)+SUMIFS('YTD Purchases'!$H:$H,'YTD Purchases'!$C:$C,Brokerage!$B44,'YTD Purchases'!$G:$G,Brokerage!K$4)</f>
        <v>0</v>
      </c>
      <c r="L44" s="857">
        <f>SUMIFS('YTD Sales'!$N:$N,'YTD Sales'!$B:$B,Brokerage!$B44,'YTD Sales'!$M:$M,Brokerage!L$4)+SUMIFS('YTD Purchases'!$H:$H,'YTD Purchases'!$C:$C,Brokerage!$B44,'YTD Purchases'!$G:$G,Brokerage!L$4)</f>
        <v>0</v>
      </c>
      <c r="M44" s="857">
        <f>SUMIFS('YTD Sales'!$N:$N,'YTD Sales'!$B:$B,Brokerage!$B44,'YTD Sales'!$M:$M,Brokerage!M$4)+SUMIFS('YTD Purchases'!$H:$H,'YTD Purchases'!$C:$C,Brokerage!$B44,'YTD Purchases'!$G:$G,Brokerage!M$4)</f>
        <v>0</v>
      </c>
      <c r="N44" s="857">
        <f>SUMIFS('YTD Sales'!$N:$N,'YTD Sales'!$B:$B,Brokerage!$B44,'YTD Sales'!$M:$M,Brokerage!N$4)+SUMIFS('YTD Purchases'!$H:$H,'YTD Purchases'!$C:$C,Brokerage!$B44,'YTD Purchases'!$G:$G,Brokerage!N$4)</f>
        <v>0</v>
      </c>
      <c r="O44" s="857">
        <f>SUMIFS('YTD Sales'!$N:$N,'YTD Sales'!$B:$B,Brokerage!$B44,'YTD Sales'!$M:$M,Brokerage!O$4)+SUMIFS('YTD Purchases'!$H:$H,'YTD Purchases'!$C:$C,Brokerage!$B44,'YTD Purchases'!$G:$G,Brokerage!O$4)</f>
        <v>0</v>
      </c>
      <c r="P44" s="857">
        <f>SUMIFS('YTD Sales'!$N:$N,'YTD Sales'!$B:$B,Brokerage!$B44,'YTD Sales'!$M:$M,Brokerage!P$4)+SUMIFS('YTD Purchases'!$H:$H,'YTD Purchases'!$C:$C,Brokerage!$B44,'YTD Purchases'!$G:$G,Brokerage!P$4)</f>
        <v>0</v>
      </c>
      <c r="Q44" s="857">
        <f>SUMIFS('YTD Sales'!$N:$N,'YTD Sales'!$B:$B,Brokerage!$B44,'YTD Sales'!$M:$M,Brokerage!Q$4)+SUMIFS('YTD Purchases'!$H:$H,'YTD Purchases'!$C:$C,Brokerage!$B44,'YTD Purchases'!$G:$G,Brokerage!Q$4)</f>
        <v>0</v>
      </c>
      <c r="R44" s="857">
        <f>SUMIFS('YTD Sales'!$N:$N,'YTD Sales'!$B:$B,Brokerage!$B44,'YTD Sales'!$M:$M,Brokerage!R$4)+SUMIFS('YTD Purchases'!$H:$H,'YTD Purchases'!$C:$C,Brokerage!$B44,'YTD Purchases'!$G:$G,Brokerage!R$4)</f>
        <v>26132.420000000002</v>
      </c>
      <c r="S44" s="857">
        <f>SUMIFS('YTD Sales'!$N:$N,'YTD Sales'!$B:$B,Brokerage!$B44,'YTD Sales'!$M:$M,Brokerage!S$4)+SUMIFS('YTD Purchases'!$H:$H,'YTD Purchases'!$C:$C,Brokerage!$B44,'YTD Purchases'!$G:$G,Brokerage!S$4)</f>
        <v>0</v>
      </c>
      <c r="T44" s="857">
        <f>SUMIFS('YTD Sales'!$N:$N,'YTD Sales'!$B:$B,Brokerage!$B44,'YTD Sales'!$M:$M,Brokerage!T$4)+SUMIFS('YTD Purchases'!$H:$H,'YTD Purchases'!$C:$C,Brokerage!$B44,'YTD Purchases'!$G:$G,Brokerage!T$4)</f>
        <v>0</v>
      </c>
      <c r="U44" s="857">
        <f>SUMIFS('YTD Sales'!$N:$N,'YTD Sales'!$B:$B,Brokerage!$B44,'YTD Sales'!$M:$M,Brokerage!U$4)+SUMIFS('YTD Purchases'!$H:$H,'YTD Purchases'!$C:$C,Brokerage!$B44,'YTD Purchases'!$G:$G,Brokerage!U$4)</f>
        <v>0</v>
      </c>
      <c r="V44" s="857">
        <f>SUMIFS('YTD Sales'!$N:$N,'YTD Sales'!$B:$B,Brokerage!$B44,'YTD Sales'!$M:$M,Brokerage!V$4)+SUMIFS('YTD Purchases'!$H:$H,'YTD Purchases'!$C:$C,Brokerage!$B44,'YTD Purchases'!$G:$G,Brokerage!V$4)</f>
        <v>0</v>
      </c>
      <c r="W44" s="857">
        <f>SUMIFS('YTD Sales'!$N:$N,'YTD Sales'!$B:$B,Brokerage!$B44,'YTD Sales'!$M:$M,Brokerage!W$4)+SUMIFS('YTD Purchases'!$H:$H,'YTD Purchases'!$C:$C,Brokerage!$B44,'YTD Purchases'!$G:$G,Brokerage!W$4)</f>
        <v>0</v>
      </c>
      <c r="X44" s="857">
        <f>SUMIFS('YTD Sales'!$N:$N,'YTD Sales'!$B:$B,Brokerage!$B44,'YTD Sales'!$M:$M,Brokerage!X$4)+SUMIFS('YTD Purchases'!$H:$H,'YTD Purchases'!$C:$C,Brokerage!$B44,'YTD Purchases'!$G:$G,Brokerage!X$4)</f>
        <v>0</v>
      </c>
      <c r="Y44" s="857">
        <f>SUMIFS('YTD Sales'!$N:$N,'YTD Sales'!$B:$B,Brokerage!$B44,'YTD Sales'!$M:$M,Brokerage!Y$4)+SUMIFS('YTD Purchases'!$H:$H,'YTD Purchases'!$C:$C,Brokerage!$B44,'YTD Purchases'!$G:$G,Brokerage!Y$4)</f>
        <v>0</v>
      </c>
      <c r="Z44" s="857">
        <f>SUMIFS('YTD Sales'!$N:$N,'YTD Sales'!$B:$B,Brokerage!$B44,'YTD Sales'!$M:$M,Brokerage!Z$4)+SUMIFS('YTD Purchases'!$H:$H,'YTD Purchases'!$C:$C,Brokerage!$B44,'YTD Purchases'!$G:$G,Brokerage!Z$4)</f>
        <v>0</v>
      </c>
      <c r="AA44" s="857">
        <f>SUMIFS('YTD Sales'!$N:$N,'YTD Sales'!$B:$B,Brokerage!$B44,'YTD Sales'!$M:$M,Brokerage!AA$4)+SUMIFS('YTD Purchases'!$H:$H,'YTD Purchases'!$C:$C,Brokerage!$B44,'YTD Purchases'!$G:$G,Brokerage!AA$4)</f>
        <v>0</v>
      </c>
      <c r="AB44" s="857">
        <f>SUMIFS('YTD Sales'!$N:$N,'YTD Sales'!$B:$B,Brokerage!$B44,'YTD Sales'!$M:$M,Brokerage!AB$4)+SUMIFS('YTD Purchases'!$H:$H,'YTD Purchases'!$C:$C,Brokerage!$B44,'YTD Purchases'!$G:$G,Brokerage!AB$4)</f>
        <v>0</v>
      </c>
      <c r="AC44" s="857">
        <f>SUMIFS('YTD Sales'!$N:$N,'YTD Sales'!$B:$B,Brokerage!$B44,'YTD Sales'!$M:$M,Brokerage!AC$4)+SUMIFS('YTD Purchases'!$H:$H,'YTD Purchases'!$C:$C,Brokerage!$B44,'YTD Purchases'!$G:$G,Brokerage!AC$4)</f>
        <v>0</v>
      </c>
      <c r="AD44" s="857">
        <f>+SUMIFS(PIB!AG:AG,PIB!AF:AF,Brokerage!AD$4,PIB!AA:AA,Brokerage!$B44)+SUMIFS('T-Bills'!AB:AB,'T-Bills'!AA:AA,Brokerage!AD$4,'T-Bills'!V:V,Brokerage!$B44)</f>
        <v>0</v>
      </c>
      <c r="AE44" s="857">
        <f>+SUMIFS(PIB!AH:AH,PIB!AG:AG,Brokerage!AE$4,PIB!AB:AB,Brokerage!$B44)+SUMIFS('T-Bills'!AC:AC,'T-Bills'!AB:AB,Brokerage!AE$4,'T-Bills'!W:W,Brokerage!$B44)</f>
        <v>0</v>
      </c>
      <c r="AF44" s="857">
        <f>+SUMIFS(PIB!AI:AI,PIB!AH:AH,Brokerage!AF$4,PIB!AC:AC,Brokerage!$B44)+SUMIFS('T-Bills'!AD:AD,'T-Bills'!AC:AC,Brokerage!AF$4,'T-Bills'!X:X,Brokerage!$B44)</f>
        <v>0</v>
      </c>
      <c r="AG44" s="857">
        <f t="shared" si="3"/>
        <v>26132.420000000002</v>
      </c>
      <c r="AH44" s="858">
        <f t="shared" si="8"/>
        <v>1</v>
      </c>
    </row>
    <row r="45" spans="2:36" x14ac:dyDescent="0.15">
      <c r="B45" s="661">
        <f t="shared" si="2"/>
        <v>44601</v>
      </c>
      <c r="C45" s="857">
        <f>SUMIFS('YTD Sales'!$N:$N,'YTD Sales'!$B:$B,Brokerage!$B45,'YTD Sales'!$M:$M,Brokerage!C$4)+SUMIFS('YTD Purchases'!$H:$H,'YTD Purchases'!$C:$C,Brokerage!$B45,'YTD Purchases'!$G:$G,Brokerage!C$4)</f>
        <v>0</v>
      </c>
      <c r="D45" s="857">
        <f>SUMIFS('YTD Sales'!$N:$N,'YTD Sales'!$B:$B,Brokerage!$B45,'YTD Sales'!$M:$M,Brokerage!D$4)+SUMIFS('YTD Purchases'!$H:$H,'YTD Purchases'!$C:$C,Brokerage!$B45,'YTD Purchases'!$G:$G,Brokerage!D$4)</f>
        <v>0</v>
      </c>
      <c r="E45" s="857">
        <f>SUMIFS('YTD Sales'!$N:$N,'YTD Sales'!$B:$B,Brokerage!$B45,'YTD Sales'!$M:$M,Brokerage!E$4)+SUMIFS('YTD Purchases'!$H:$H,'YTD Purchases'!$C:$C,Brokerage!$B45,'YTD Purchases'!$G:$G,Brokerage!E$4)</f>
        <v>0</v>
      </c>
      <c r="F45" s="857">
        <f>SUMIFS('YTD Sales'!$N:$N,'YTD Sales'!$B:$B,Brokerage!$B45,'YTD Sales'!$M:$M,Brokerage!F$4)+SUMIFS('YTD Purchases'!$H:$H,'YTD Purchases'!$C:$C,Brokerage!$B45,'YTD Purchases'!$G:$G,Brokerage!F$4)</f>
        <v>0</v>
      </c>
      <c r="G45" s="857">
        <f>SUMIFS('YTD Sales'!$N:$N,'YTD Sales'!$B:$B,Brokerage!$B45,'YTD Sales'!$M:$M,Brokerage!G$4)+SUMIFS('YTD Purchases'!$H:$H,'YTD Purchases'!$C:$C,Brokerage!$B45,'YTD Purchases'!$G:$G,Brokerage!G$4)</f>
        <v>0</v>
      </c>
      <c r="H45" s="857">
        <f>SUMIFS('YTD Sales'!$N:$N,'YTD Sales'!$B:$B,Brokerage!$B45,'YTD Sales'!$M:$M,Brokerage!H$4)+SUMIFS('YTD Purchases'!$H:$H,'YTD Purchases'!$C:$C,Brokerage!$B45,'YTD Purchases'!$G:$G,Brokerage!H$4)</f>
        <v>0</v>
      </c>
      <c r="I45" s="857">
        <f>SUMIFS('YTD Sales'!$N:$N,'YTD Sales'!$B:$B,Brokerage!$B45,'YTD Sales'!$M:$M,Brokerage!I$4)+SUMIFS('YTD Purchases'!$H:$H,'YTD Purchases'!$C:$C,Brokerage!$B45,'YTD Purchases'!$G:$G,Brokerage!I$4)</f>
        <v>9994.0500000000011</v>
      </c>
      <c r="J45" s="857">
        <f>SUMIFS('YTD Sales'!$N:$N,'YTD Sales'!$B:$B,Brokerage!$B45,'YTD Sales'!$M:$M,Brokerage!J$4)+SUMIFS('YTD Purchases'!$H:$H,'YTD Purchases'!$C:$C,Brokerage!$B45,'YTD Purchases'!$G:$G,Brokerage!J$4)</f>
        <v>0</v>
      </c>
      <c r="K45" s="857">
        <f>SUMIFS('YTD Sales'!$N:$N,'YTD Sales'!$B:$B,Brokerage!$B45,'YTD Sales'!$M:$M,Brokerage!K$4)+SUMIFS('YTD Purchases'!$H:$H,'YTD Purchases'!$C:$C,Brokerage!$B45,'YTD Purchases'!$G:$G,Brokerage!K$4)</f>
        <v>0</v>
      </c>
      <c r="L45" s="857">
        <f>SUMIFS('YTD Sales'!$N:$N,'YTD Sales'!$B:$B,Brokerage!$B45,'YTD Sales'!$M:$M,Brokerage!L$4)+SUMIFS('YTD Purchases'!$H:$H,'YTD Purchases'!$C:$C,Brokerage!$B45,'YTD Purchases'!$G:$G,Brokerage!L$4)</f>
        <v>0</v>
      </c>
      <c r="M45" s="857">
        <f>SUMIFS('YTD Sales'!$N:$N,'YTD Sales'!$B:$B,Brokerage!$B45,'YTD Sales'!$M:$M,Brokerage!M$4)+SUMIFS('YTD Purchases'!$H:$H,'YTD Purchases'!$C:$C,Brokerage!$B45,'YTD Purchases'!$G:$G,Brokerage!M$4)</f>
        <v>13235.77</v>
      </c>
      <c r="N45" s="857">
        <f>SUMIFS('YTD Sales'!$N:$N,'YTD Sales'!$B:$B,Brokerage!$B45,'YTD Sales'!$M:$M,Brokerage!N$4)+SUMIFS('YTD Purchases'!$H:$H,'YTD Purchases'!$C:$C,Brokerage!$B45,'YTD Purchases'!$G:$G,Brokerage!N$4)</f>
        <v>0</v>
      </c>
      <c r="O45" s="857">
        <f>SUMIFS('YTD Sales'!$N:$N,'YTD Sales'!$B:$B,Brokerage!$B45,'YTD Sales'!$M:$M,Brokerage!O$4)+SUMIFS('YTD Purchases'!$H:$H,'YTD Purchases'!$C:$C,Brokerage!$B45,'YTD Purchases'!$G:$G,Brokerage!O$4)</f>
        <v>0</v>
      </c>
      <c r="P45" s="857">
        <f>SUMIFS('YTD Sales'!$N:$N,'YTD Sales'!$B:$B,Brokerage!$B45,'YTD Sales'!$M:$M,Brokerage!P$4)+SUMIFS('YTD Purchases'!$H:$H,'YTD Purchases'!$C:$C,Brokerage!$B45,'YTD Purchases'!$G:$G,Brokerage!P$4)</f>
        <v>0</v>
      </c>
      <c r="Q45" s="857">
        <f>SUMIFS('YTD Sales'!$N:$N,'YTD Sales'!$B:$B,Brokerage!$B45,'YTD Sales'!$M:$M,Brokerage!Q$4)+SUMIFS('YTD Purchases'!$H:$H,'YTD Purchases'!$C:$C,Brokerage!$B45,'YTD Purchases'!$G:$G,Brokerage!Q$4)</f>
        <v>0</v>
      </c>
      <c r="R45" s="857">
        <f>SUMIFS('YTD Sales'!$N:$N,'YTD Sales'!$B:$B,Brokerage!$B45,'YTD Sales'!$M:$M,Brokerage!R$4)+SUMIFS('YTD Purchases'!$H:$H,'YTD Purchases'!$C:$C,Brokerage!$B45,'YTD Purchases'!$G:$G,Brokerage!R$4)</f>
        <v>0</v>
      </c>
      <c r="S45" s="857">
        <f>SUMIFS('YTD Sales'!$N:$N,'YTD Sales'!$B:$B,Brokerage!$B45,'YTD Sales'!$M:$M,Brokerage!S$4)+SUMIFS('YTD Purchases'!$H:$H,'YTD Purchases'!$C:$C,Brokerage!$B45,'YTD Purchases'!$G:$G,Brokerage!S$4)</f>
        <v>0</v>
      </c>
      <c r="T45" s="857">
        <f>SUMIFS('YTD Sales'!$N:$N,'YTD Sales'!$B:$B,Brokerage!$B45,'YTD Sales'!$M:$M,Brokerage!T$4)+SUMIFS('YTD Purchases'!$H:$H,'YTD Purchases'!$C:$C,Brokerage!$B45,'YTD Purchases'!$G:$G,Brokerage!T$4)</f>
        <v>0</v>
      </c>
      <c r="U45" s="857">
        <f>SUMIFS('YTD Sales'!$N:$N,'YTD Sales'!$B:$B,Brokerage!$B45,'YTD Sales'!$M:$M,Brokerage!U$4)+SUMIFS('YTD Purchases'!$H:$H,'YTD Purchases'!$C:$C,Brokerage!$B45,'YTD Purchases'!$G:$G,Brokerage!U$4)</f>
        <v>0</v>
      </c>
      <c r="V45" s="857">
        <f>SUMIFS('YTD Sales'!$N:$N,'YTD Sales'!$B:$B,Brokerage!$B45,'YTD Sales'!$M:$M,Brokerage!V$4)+SUMIFS('YTD Purchases'!$H:$H,'YTD Purchases'!$C:$C,Brokerage!$B45,'YTD Purchases'!$G:$G,Brokerage!V$4)</f>
        <v>0</v>
      </c>
      <c r="W45" s="857">
        <f>SUMIFS('YTD Sales'!$N:$N,'YTD Sales'!$B:$B,Brokerage!$B45,'YTD Sales'!$M:$M,Brokerage!W$4)+SUMIFS('YTD Purchases'!$H:$H,'YTD Purchases'!$C:$C,Brokerage!$B45,'YTD Purchases'!$G:$G,Brokerage!W$4)</f>
        <v>0</v>
      </c>
      <c r="X45" s="857">
        <f>SUMIFS('YTD Sales'!$N:$N,'YTD Sales'!$B:$B,Brokerage!$B45,'YTD Sales'!$M:$M,Brokerage!X$4)+SUMIFS('YTD Purchases'!$H:$H,'YTD Purchases'!$C:$C,Brokerage!$B45,'YTD Purchases'!$G:$G,Brokerage!X$4)</f>
        <v>0</v>
      </c>
      <c r="Y45" s="857">
        <f>SUMIFS('YTD Sales'!$N:$N,'YTD Sales'!$B:$B,Brokerage!$B45,'YTD Sales'!$M:$M,Brokerage!Y$4)+SUMIFS('YTD Purchases'!$H:$H,'YTD Purchases'!$C:$C,Brokerage!$B45,'YTD Purchases'!$G:$G,Brokerage!Y$4)</f>
        <v>0</v>
      </c>
      <c r="Z45" s="857">
        <f>SUMIFS('YTD Sales'!$N:$N,'YTD Sales'!$B:$B,Brokerage!$B45,'YTD Sales'!$M:$M,Brokerage!Z$4)+SUMIFS('YTD Purchases'!$H:$H,'YTD Purchases'!$C:$C,Brokerage!$B45,'YTD Purchases'!$G:$G,Brokerage!Z$4)</f>
        <v>0</v>
      </c>
      <c r="AA45" s="857">
        <f>SUMIFS('YTD Sales'!$N:$N,'YTD Sales'!$B:$B,Brokerage!$B45,'YTD Sales'!$M:$M,Brokerage!AA$4)+SUMIFS('YTD Purchases'!$H:$H,'YTD Purchases'!$C:$C,Brokerage!$B45,'YTD Purchases'!$G:$G,Brokerage!AA$4)</f>
        <v>0</v>
      </c>
      <c r="AB45" s="857">
        <f>SUMIFS('YTD Sales'!$N:$N,'YTD Sales'!$B:$B,Brokerage!$B45,'YTD Sales'!$M:$M,Brokerage!AB$4)+SUMIFS('YTD Purchases'!$H:$H,'YTD Purchases'!$C:$C,Brokerage!$B45,'YTD Purchases'!$G:$G,Brokerage!AB$4)</f>
        <v>16994.16</v>
      </c>
      <c r="AC45" s="857">
        <f>SUMIFS('YTD Sales'!$N:$N,'YTD Sales'!$B:$B,Brokerage!$B45,'YTD Sales'!$M:$M,Brokerage!AC$4)+SUMIFS('YTD Purchases'!$H:$H,'YTD Purchases'!$C:$C,Brokerage!$B45,'YTD Purchases'!$G:$G,Brokerage!AC$4)</f>
        <v>0</v>
      </c>
      <c r="AD45" s="857">
        <f>+SUMIFS(PIB!AG:AG,PIB!AF:AF,Brokerage!AD$4,PIB!AA:AA,Brokerage!$B45)+SUMIFS('T-Bills'!AB:AB,'T-Bills'!AA:AA,Brokerage!AD$4,'T-Bills'!V:V,Brokerage!$B45)</f>
        <v>0</v>
      </c>
      <c r="AE45" s="857">
        <f>+SUMIFS(PIB!AH:AH,PIB!AG:AG,Brokerage!AE$4,PIB!AB:AB,Brokerage!$B45)+SUMIFS('T-Bills'!AC:AC,'T-Bills'!AB:AB,Brokerage!AE$4,'T-Bills'!W:W,Brokerage!$B45)</f>
        <v>0</v>
      </c>
      <c r="AF45" s="857">
        <f>+SUMIFS(PIB!AI:AI,PIB!AH:AH,Brokerage!AF$4,PIB!AC:AC,Brokerage!$B45)+SUMIFS('T-Bills'!AD:AD,'T-Bills'!AC:AC,Brokerage!AF$4,'T-Bills'!X:X,Brokerage!$B45)</f>
        <v>0</v>
      </c>
      <c r="AG45" s="857">
        <f t="shared" si="3"/>
        <v>40223.979999999996</v>
      </c>
      <c r="AH45" s="858">
        <f t="shared" si="8"/>
        <v>2</v>
      </c>
    </row>
    <row r="46" spans="2:36" x14ac:dyDescent="0.15">
      <c r="B46" s="661">
        <f t="shared" si="2"/>
        <v>44602</v>
      </c>
      <c r="C46" s="857">
        <f>SUMIFS('YTD Sales'!$N:$N,'YTD Sales'!$B:$B,Brokerage!$B46,'YTD Sales'!$M:$M,Brokerage!C$4)+SUMIFS('YTD Purchases'!$H:$H,'YTD Purchases'!$C:$C,Brokerage!$B46,'YTD Purchases'!$G:$G,Brokerage!C$4)</f>
        <v>0</v>
      </c>
      <c r="D46" s="857">
        <f>SUMIFS('YTD Sales'!$N:$N,'YTD Sales'!$B:$B,Brokerage!$B46,'YTD Sales'!$M:$M,Brokerage!D$4)+SUMIFS('YTD Purchases'!$H:$H,'YTD Purchases'!$C:$C,Brokerage!$B46,'YTD Purchases'!$G:$G,Brokerage!D$4)</f>
        <v>105040.88</v>
      </c>
      <c r="E46" s="857">
        <f>SUMIFS('YTD Sales'!$N:$N,'YTD Sales'!$B:$B,Brokerage!$B46,'YTD Sales'!$M:$M,Brokerage!E$4)+SUMIFS('YTD Purchases'!$H:$H,'YTD Purchases'!$C:$C,Brokerage!$B46,'YTD Purchases'!$G:$G,Brokerage!E$4)</f>
        <v>0</v>
      </c>
      <c r="F46" s="857">
        <f>SUMIFS('YTD Sales'!$N:$N,'YTD Sales'!$B:$B,Brokerage!$B46,'YTD Sales'!$M:$M,Brokerage!F$4)+SUMIFS('YTD Purchases'!$H:$H,'YTD Purchases'!$C:$C,Brokerage!$B46,'YTD Purchases'!$G:$G,Brokerage!F$4)</f>
        <v>0</v>
      </c>
      <c r="G46" s="857">
        <f>SUMIFS('YTD Sales'!$N:$N,'YTD Sales'!$B:$B,Brokerage!$B46,'YTD Sales'!$M:$M,Brokerage!G$4)+SUMIFS('YTD Purchases'!$H:$H,'YTD Purchases'!$C:$C,Brokerage!$B46,'YTD Purchases'!$G:$G,Brokerage!G$4)</f>
        <v>0</v>
      </c>
      <c r="H46" s="857">
        <f>SUMIFS('YTD Sales'!$N:$N,'YTD Sales'!$B:$B,Brokerage!$B46,'YTD Sales'!$M:$M,Brokerage!H$4)+SUMIFS('YTD Purchases'!$H:$H,'YTD Purchases'!$C:$C,Brokerage!$B46,'YTD Purchases'!$G:$G,Brokerage!H$4)</f>
        <v>0</v>
      </c>
      <c r="I46" s="857">
        <f>SUMIFS('YTD Sales'!$N:$N,'YTD Sales'!$B:$B,Brokerage!$B46,'YTD Sales'!$M:$M,Brokerage!I$4)+SUMIFS('YTD Purchases'!$H:$H,'YTD Purchases'!$C:$C,Brokerage!$B46,'YTD Purchases'!$G:$G,Brokerage!I$4)</f>
        <v>0</v>
      </c>
      <c r="J46" s="857">
        <f>SUMIFS('YTD Sales'!$N:$N,'YTD Sales'!$B:$B,Brokerage!$B46,'YTD Sales'!$M:$M,Brokerage!J$4)+SUMIFS('YTD Purchases'!$H:$H,'YTD Purchases'!$C:$C,Brokerage!$B46,'YTD Purchases'!$G:$G,Brokerage!J$4)</f>
        <v>0</v>
      </c>
      <c r="K46" s="857">
        <f>SUMIFS('YTD Sales'!$N:$N,'YTD Sales'!$B:$B,Brokerage!$B46,'YTD Sales'!$M:$M,Brokerage!K$4)+SUMIFS('YTD Purchases'!$H:$H,'YTD Purchases'!$C:$C,Brokerage!$B46,'YTD Purchases'!$G:$G,Brokerage!K$4)</f>
        <v>0</v>
      </c>
      <c r="L46" s="857">
        <f>SUMIFS('YTD Sales'!$N:$N,'YTD Sales'!$B:$B,Brokerage!$B46,'YTD Sales'!$M:$M,Brokerage!L$4)+SUMIFS('YTD Purchases'!$H:$H,'YTD Purchases'!$C:$C,Brokerage!$B46,'YTD Purchases'!$G:$G,Brokerage!L$4)</f>
        <v>0</v>
      </c>
      <c r="M46" s="857">
        <f>SUMIFS('YTD Sales'!$N:$N,'YTD Sales'!$B:$B,Brokerage!$B46,'YTD Sales'!$M:$M,Brokerage!M$4)+SUMIFS('YTD Purchases'!$H:$H,'YTD Purchases'!$C:$C,Brokerage!$B46,'YTD Purchases'!$G:$G,Brokerage!M$4)</f>
        <v>0</v>
      </c>
      <c r="N46" s="857">
        <f>SUMIFS('YTD Sales'!$N:$N,'YTD Sales'!$B:$B,Brokerage!$B46,'YTD Sales'!$M:$M,Brokerage!N$4)+SUMIFS('YTD Purchases'!$H:$H,'YTD Purchases'!$C:$C,Brokerage!$B46,'YTD Purchases'!$G:$G,Brokerage!N$4)</f>
        <v>0</v>
      </c>
      <c r="O46" s="857">
        <f>SUMIFS('YTD Sales'!$N:$N,'YTD Sales'!$B:$B,Brokerage!$B46,'YTD Sales'!$M:$M,Brokerage!O$4)+SUMIFS('YTD Purchases'!$H:$H,'YTD Purchases'!$C:$C,Brokerage!$B46,'YTD Purchases'!$G:$G,Brokerage!O$4)</f>
        <v>0</v>
      </c>
      <c r="P46" s="857">
        <f>SUMIFS('YTD Sales'!$N:$N,'YTD Sales'!$B:$B,Brokerage!$B46,'YTD Sales'!$M:$M,Brokerage!P$4)+SUMIFS('YTD Purchases'!$H:$H,'YTD Purchases'!$C:$C,Brokerage!$B46,'YTD Purchases'!$G:$G,Brokerage!P$4)</f>
        <v>0</v>
      </c>
      <c r="Q46" s="857">
        <f>SUMIFS('YTD Sales'!$N:$N,'YTD Sales'!$B:$B,Brokerage!$B46,'YTD Sales'!$M:$M,Brokerage!Q$4)+SUMIFS('YTD Purchases'!$H:$H,'YTD Purchases'!$C:$C,Brokerage!$B46,'YTD Purchases'!$G:$G,Brokerage!Q$4)</f>
        <v>0</v>
      </c>
      <c r="R46" s="857">
        <f>SUMIFS('YTD Sales'!$N:$N,'YTD Sales'!$B:$B,Brokerage!$B46,'YTD Sales'!$M:$M,Brokerage!R$4)+SUMIFS('YTD Purchases'!$H:$H,'YTD Purchases'!$C:$C,Brokerage!$B46,'YTD Purchases'!$G:$G,Brokerage!R$4)</f>
        <v>0</v>
      </c>
      <c r="S46" s="857">
        <f>SUMIFS('YTD Sales'!$N:$N,'YTD Sales'!$B:$B,Brokerage!$B46,'YTD Sales'!$M:$M,Brokerage!S$4)+SUMIFS('YTD Purchases'!$H:$H,'YTD Purchases'!$C:$C,Brokerage!$B46,'YTD Purchases'!$G:$G,Brokerage!S$4)</f>
        <v>0</v>
      </c>
      <c r="T46" s="857">
        <f>SUMIFS('YTD Sales'!$N:$N,'YTD Sales'!$B:$B,Brokerage!$B46,'YTD Sales'!$M:$M,Brokerage!T$4)+SUMIFS('YTD Purchases'!$H:$H,'YTD Purchases'!$C:$C,Brokerage!$B46,'YTD Purchases'!$G:$G,Brokerage!T$4)</f>
        <v>0</v>
      </c>
      <c r="U46" s="857">
        <f>SUMIFS('YTD Sales'!$N:$N,'YTD Sales'!$B:$B,Brokerage!$B46,'YTD Sales'!$M:$M,Brokerage!U$4)+SUMIFS('YTD Purchases'!$H:$H,'YTD Purchases'!$C:$C,Brokerage!$B46,'YTD Purchases'!$G:$G,Brokerage!U$4)</f>
        <v>0</v>
      </c>
      <c r="V46" s="857">
        <f>SUMIFS('YTD Sales'!$N:$N,'YTD Sales'!$B:$B,Brokerage!$B46,'YTD Sales'!$M:$M,Brokerage!V$4)+SUMIFS('YTD Purchases'!$H:$H,'YTD Purchases'!$C:$C,Brokerage!$B46,'YTD Purchases'!$G:$G,Brokerage!V$4)</f>
        <v>0</v>
      </c>
      <c r="W46" s="857">
        <f>SUMIFS('YTD Sales'!$N:$N,'YTD Sales'!$B:$B,Brokerage!$B46,'YTD Sales'!$M:$M,Brokerage!W$4)+SUMIFS('YTD Purchases'!$H:$H,'YTD Purchases'!$C:$C,Brokerage!$B46,'YTD Purchases'!$G:$G,Brokerage!W$4)</f>
        <v>0</v>
      </c>
      <c r="X46" s="857">
        <f>SUMIFS('YTD Sales'!$N:$N,'YTD Sales'!$B:$B,Brokerage!$B46,'YTD Sales'!$M:$M,Brokerage!X$4)+SUMIFS('YTD Purchases'!$H:$H,'YTD Purchases'!$C:$C,Brokerage!$B46,'YTD Purchases'!$G:$G,Brokerage!X$4)</f>
        <v>0</v>
      </c>
      <c r="Y46" s="857">
        <f>SUMIFS('YTD Sales'!$N:$N,'YTD Sales'!$B:$B,Brokerage!$B46,'YTD Sales'!$M:$M,Brokerage!Y$4)+SUMIFS('YTD Purchases'!$H:$H,'YTD Purchases'!$C:$C,Brokerage!$B46,'YTD Purchases'!$G:$G,Brokerage!Y$4)</f>
        <v>0</v>
      </c>
      <c r="Z46" s="857">
        <f>SUMIFS('YTD Sales'!$N:$N,'YTD Sales'!$B:$B,Brokerage!$B46,'YTD Sales'!$M:$M,Brokerage!Z$4)+SUMIFS('YTD Purchases'!$H:$H,'YTD Purchases'!$C:$C,Brokerage!$B46,'YTD Purchases'!$G:$G,Brokerage!Z$4)</f>
        <v>0</v>
      </c>
      <c r="AA46" s="857">
        <f>SUMIFS('YTD Sales'!$N:$N,'YTD Sales'!$B:$B,Brokerage!$B46,'YTD Sales'!$M:$M,Brokerage!AA$4)+SUMIFS('YTD Purchases'!$H:$H,'YTD Purchases'!$C:$C,Brokerage!$B46,'YTD Purchases'!$G:$G,Brokerage!AA$4)</f>
        <v>0</v>
      </c>
      <c r="AB46" s="857">
        <f>SUMIFS('YTD Sales'!$N:$N,'YTD Sales'!$B:$B,Brokerage!$B46,'YTD Sales'!$M:$M,Brokerage!AB$4)+SUMIFS('YTD Purchases'!$H:$H,'YTD Purchases'!$C:$C,Brokerage!$B46,'YTD Purchases'!$G:$G,Brokerage!AB$4)</f>
        <v>0</v>
      </c>
      <c r="AC46" s="857">
        <f>SUMIFS('YTD Sales'!$N:$N,'YTD Sales'!$B:$B,Brokerage!$B46,'YTD Sales'!$M:$M,Brokerage!AC$4)+SUMIFS('YTD Purchases'!$H:$H,'YTD Purchases'!$C:$C,Brokerage!$B46,'YTD Purchases'!$G:$G,Brokerage!AC$4)</f>
        <v>1253.75</v>
      </c>
      <c r="AD46" s="857">
        <f>+SUMIFS(PIB!AG:AG,PIB!AF:AF,Brokerage!AD$4,PIB!AA:AA,Brokerage!$B46)+SUMIFS('T-Bills'!AB:AB,'T-Bills'!AA:AA,Brokerage!AD$4,'T-Bills'!V:V,Brokerage!$B46)</f>
        <v>0</v>
      </c>
      <c r="AE46" s="857">
        <f>+SUMIFS(PIB!AH:AH,PIB!AG:AG,Brokerage!AE$4,PIB!AB:AB,Brokerage!$B46)+SUMIFS('T-Bills'!AC:AC,'T-Bills'!AB:AB,Brokerage!AE$4,'T-Bills'!W:W,Brokerage!$B46)</f>
        <v>0</v>
      </c>
      <c r="AF46" s="857">
        <f>+SUMIFS(PIB!AI:AI,PIB!AH:AH,Brokerage!AF$4,PIB!AC:AC,Brokerage!$B46)+SUMIFS('T-Bills'!AD:AD,'T-Bills'!AC:AC,Brokerage!AF$4,'T-Bills'!X:X,Brokerage!$B46)</f>
        <v>0</v>
      </c>
      <c r="AG46" s="857">
        <f t="shared" si="3"/>
        <v>106294.63</v>
      </c>
      <c r="AH46" s="858">
        <f t="shared" si="8"/>
        <v>4</v>
      </c>
      <c r="AJ46">
        <v>113000</v>
      </c>
    </row>
    <row r="47" spans="2:36" x14ac:dyDescent="0.15">
      <c r="B47" s="661">
        <f t="shared" si="2"/>
        <v>44603</v>
      </c>
      <c r="C47" s="857">
        <f>SUMIFS('YTD Sales'!$N:$N,'YTD Sales'!$B:$B,Brokerage!$B47,'YTD Sales'!$M:$M,Brokerage!C$4)+SUMIFS('YTD Purchases'!$H:$H,'YTD Purchases'!$C:$C,Brokerage!$B47,'YTD Purchases'!$G:$G,Brokerage!C$4)</f>
        <v>0</v>
      </c>
      <c r="D47" s="857">
        <f>SUMIFS('YTD Sales'!$N:$N,'YTD Sales'!$B:$B,Brokerage!$B47,'YTD Sales'!$M:$M,Brokerage!D$4)+SUMIFS('YTD Purchases'!$H:$H,'YTD Purchases'!$C:$C,Brokerage!$B47,'YTD Purchases'!$G:$G,Brokerage!D$4)</f>
        <v>0</v>
      </c>
      <c r="E47" s="857">
        <f>SUMIFS('YTD Sales'!$N:$N,'YTD Sales'!$B:$B,Brokerage!$B47,'YTD Sales'!$M:$M,Brokerage!E$4)+SUMIFS('YTD Purchases'!$H:$H,'YTD Purchases'!$C:$C,Brokerage!$B47,'YTD Purchases'!$G:$G,Brokerage!E$4)</f>
        <v>0</v>
      </c>
      <c r="F47" s="857">
        <f>SUMIFS('YTD Sales'!$N:$N,'YTD Sales'!$B:$B,Brokerage!$B47,'YTD Sales'!$M:$M,Brokerage!F$4)+SUMIFS('YTD Purchases'!$H:$H,'YTD Purchases'!$C:$C,Brokerage!$B47,'YTD Purchases'!$G:$G,Brokerage!F$4)</f>
        <v>0</v>
      </c>
      <c r="G47" s="857">
        <f>SUMIFS('YTD Sales'!$N:$N,'YTD Sales'!$B:$B,Brokerage!$B47,'YTD Sales'!$M:$M,Brokerage!G$4)+SUMIFS('YTD Purchases'!$H:$H,'YTD Purchases'!$C:$C,Brokerage!$B47,'YTD Purchases'!$G:$G,Brokerage!G$4)</f>
        <v>0</v>
      </c>
      <c r="H47" s="857">
        <f>SUMIFS('YTD Sales'!$N:$N,'YTD Sales'!$B:$B,Brokerage!$B47,'YTD Sales'!$M:$M,Brokerage!H$4)+SUMIFS('YTD Purchases'!$H:$H,'YTD Purchases'!$C:$C,Brokerage!$B47,'YTD Purchases'!$G:$G,Brokerage!H$4)</f>
        <v>0</v>
      </c>
      <c r="I47" s="857">
        <f>SUMIFS('YTD Sales'!$N:$N,'YTD Sales'!$B:$B,Brokerage!$B47,'YTD Sales'!$M:$M,Brokerage!I$4)+SUMIFS('YTD Purchases'!$H:$H,'YTD Purchases'!$C:$C,Brokerage!$B47,'YTD Purchases'!$G:$G,Brokerage!I$4)</f>
        <v>0</v>
      </c>
      <c r="J47" s="857">
        <f>SUMIFS('YTD Sales'!$N:$N,'YTD Sales'!$B:$B,Brokerage!$B47,'YTD Sales'!$M:$M,Brokerage!J$4)+SUMIFS('YTD Purchases'!$H:$H,'YTD Purchases'!$C:$C,Brokerage!$B47,'YTD Purchases'!$G:$G,Brokerage!J$4)</f>
        <v>0</v>
      </c>
      <c r="K47" s="857">
        <f>SUMIFS('YTD Sales'!$N:$N,'YTD Sales'!$B:$B,Brokerage!$B47,'YTD Sales'!$M:$M,Brokerage!K$4)+SUMIFS('YTD Purchases'!$H:$H,'YTD Purchases'!$C:$C,Brokerage!$B47,'YTD Purchases'!$G:$G,Brokerage!K$4)</f>
        <v>0</v>
      </c>
      <c r="L47" s="857">
        <f>SUMIFS('YTD Sales'!$N:$N,'YTD Sales'!$B:$B,Brokerage!$B47,'YTD Sales'!$M:$M,Brokerage!L$4)+SUMIFS('YTD Purchases'!$H:$H,'YTD Purchases'!$C:$C,Brokerage!$B47,'YTD Purchases'!$G:$G,Brokerage!L$4)</f>
        <v>0</v>
      </c>
      <c r="M47" s="857">
        <f>SUMIFS('YTD Sales'!$N:$N,'YTD Sales'!$B:$B,Brokerage!$B47,'YTD Sales'!$M:$M,Brokerage!M$4)+SUMIFS('YTD Purchases'!$H:$H,'YTD Purchases'!$C:$C,Brokerage!$B47,'YTD Purchases'!$G:$G,Brokerage!M$4)</f>
        <v>0</v>
      </c>
      <c r="N47" s="857">
        <f>SUMIFS('YTD Sales'!$N:$N,'YTD Sales'!$B:$B,Brokerage!$B47,'YTD Sales'!$M:$M,Brokerage!N$4)+SUMIFS('YTD Purchases'!$H:$H,'YTD Purchases'!$C:$C,Brokerage!$B47,'YTD Purchases'!$G:$G,Brokerage!N$4)</f>
        <v>0</v>
      </c>
      <c r="O47" s="857">
        <f>SUMIFS('YTD Sales'!$N:$N,'YTD Sales'!$B:$B,Brokerage!$B47,'YTD Sales'!$M:$M,Brokerage!O$4)+SUMIFS('YTD Purchases'!$H:$H,'YTD Purchases'!$C:$C,Brokerage!$B47,'YTD Purchases'!$G:$G,Brokerage!O$4)</f>
        <v>0</v>
      </c>
      <c r="P47" s="857">
        <f>SUMIFS('YTD Sales'!$N:$N,'YTD Sales'!$B:$B,Brokerage!$B47,'YTD Sales'!$M:$M,Brokerage!P$4)+SUMIFS('YTD Purchases'!$H:$H,'YTD Purchases'!$C:$C,Brokerage!$B47,'YTD Purchases'!$G:$G,Brokerage!P$4)</f>
        <v>0</v>
      </c>
      <c r="Q47" s="857">
        <f>SUMIFS('YTD Sales'!$N:$N,'YTD Sales'!$B:$B,Brokerage!$B47,'YTD Sales'!$M:$M,Brokerage!Q$4)+SUMIFS('YTD Purchases'!$H:$H,'YTD Purchases'!$C:$C,Brokerage!$B47,'YTD Purchases'!$G:$G,Brokerage!Q$4)</f>
        <v>0</v>
      </c>
      <c r="R47" s="857">
        <f>SUMIFS('YTD Sales'!$N:$N,'YTD Sales'!$B:$B,Brokerage!$B47,'YTD Sales'!$M:$M,Brokerage!R$4)+SUMIFS('YTD Purchases'!$H:$H,'YTD Purchases'!$C:$C,Brokerage!$B47,'YTD Purchases'!$G:$G,Brokerage!R$4)</f>
        <v>0</v>
      </c>
      <c r="S47" s="857">
        <f>SUMIFS('YTD Sales'!$N:$N,'YTD Sales'!$B:$B,Brokerage!$B47,'YTD Sales'!$M:$M,Brokerage!S$4)+SUMIFS('YTD Purchases'!$H:$H,'YTD Purchases'!$C:$C,Brokerage!$B47,'YTD Purchases'!$G:$G,Brokerage!S$4)</f>
        <v>0</v>
      </c>
      <c r="T47" s="857">
        <f>SUMIFS('YTD Sales'!$N:$N,'YTD Sales'!$B:$B,Brokerage!$B47,'YTD Sales'!$M:$M,Brokerage!T$4)+SUMIFS('YTD Purchases'!$H:$H,'YTD Purchases'!$C:$C,Brokerage!$B47,'YTD Purchases'!$G:$G,Brokerage!T$4)</f>
        <v>0</v>
      </c>
      <c r="U47" s="857">
        <f>SUMIFS('YTD Sales'!$N:$N,'YTD Sales'!$B:$B,Brokerage!$B47,'YTD Sales'!$M:$M,Brokerage!U$4)+SUMIFS('YTD Purchases'!$H:$H,'YTD Purchases'!$C:$C,Brokerage!$B47,'YTD Purchases'!$G:$G,Brokerage!U$4)</f>
        <v>0</v>
      </c>
      <c r="V47" s="857">
        <f>SUMIFS('YTD Sales'!$N:$N,'YTD Sales'!$B:$B,Brokerage!$B47,'YTD Sales'!$M:$M,Brokerage!V$4)+SUMIFS('YTD Purchases'!$H:$H,'YTD Purchases'!$C:$C,Brokerage!$B47,'YTD Purchases'!$G:$G,Brokerage!V$4)</f>
        <v>0</v>
      </c>
      <c r="W47" s="857">
        <f>SUMIFS('YTD Sales'!$N:$N,'YTD Sales'!$B:$B,Brokerage!$B47,'YTD Sales'!$M:$M,Brokerage!W$4)+SUMIFS('YTD Purchases'!$H:$H,'YTD Purchases'!$C:$C,Brokerage!$B47,'YTD Purchases'!$G:$G,Brokerage!W$4)</f>
        <v>0</v>
      </c>
      <c r="X47" s="857">
        <f>SUMIFS('YTD Sales'!$N:$N,'YTD Sales'!$B:$B,Brokerage!$B47,'YTD Sales'!$M:$M,Brokerage!X$4)+SUMIFS('YTD Purchases'!$H:$H,'YTD Purchases'!$C:$C,Brokerage!$B47,'YTD Purchases'!$G:$G,Brokerage!X$4)</f>
        <v>4696.9265000000005</v>
      </c>
      <c r="Y47" s="857">
        <f>SUMIFS('YTD Sales'!$N:$N,'YTD Sales'!$B:$B,Brokerage!$B47,'YTD Sales'!$M:$M,Brokerage!Y$4)+SUMIFS('YTD Purchases'!$H:$H,'YTD Purchases'!$C:$C,Brokerage!$B47,'YTD Purchases'!$G:$G,Brokerage!Y$4)</f>
        <v>0</v>
      </c>
      <c r="Z47" s="857">
        <f>SUMIFS('YTD Sales'!$N:$N,'YTD Sales'!$B:$B,Brokerage!$B47,'YTD Sales'!$M:$M,Brokerage!Z$4)+SUMIFS('YTD Purchases'!$H:$H,'YTD Purchases'!$C:$C,Brokerage!$B47,'YTD Purchases'!$G:$G,Brokerage!Z$4)</f>
        <v>0</v>
      </c>
      <c r="AA47" s="857">
        <f>SUMIFS('YTD Sales'!$N:$N,'YTD Sales'!$B:$B,Brokerage!$B47,'YTD Sales'!$M:$M,Brokerage!AA$4)+SUMIFS('YTD Purchases'!$H:$H,'YTD Purchases'!$C:$C,Brokerage!$B47,'YTD Purchases'!$G:$G,Brokerage!AA$4)</f>
        <v>0</v>
      </c>
      <c r="AB47" s="857">
        <f>SUMIFS('YTD Sales'!$N:$N,'YTD Sales'!$B:$B,Brokerage!$B47,'YTD Sales'!$M:$M,Brokerage!AB$4)+SUMIFS('YTD Purchases'!$H:$H,'YTD Purchases'!$C:$C,Brokerage!$B47,'YTD Purchases'!$G:$G,Brokerage!AB$4)</f>
        <v>0</v>
      </c>
      <c r="AC47" s="857">
        <f>SUMIFS('YTD Sales'!$N:$N,'YTD Sales'!$B:$B,Brokerage!$B47,'YTD Sales'!$M:$M,Brokerage!AC$4)+SUMIFS('YTD Purchases'!$H:$H,'YTD Purchases'!$C:$C,Brokerage!$B47,'YTD Purchases'!$G:$G,Brokerage!AC$4)</f>
        <v>0</v>
      </c>
      <c r="AD47" s="857">
        <f>+SUMIFS(PIB!AG:AG,PIB!AF:AF,Brokerage!AD$4,PIB!AA:AA,Brokerage!$B47)+SUMIFS('T-Bills'!AB:AB,'T-Bills'!AA:AA,Brokerage!AD$4,'T-Bills'!V:V,Brokerage!$B47)</f>
        <v>0</v>
      </c>
      <c r="AE47" s="857">
        <f>+SUMIFS(PIB!AH:AH,PIB!AG:AG,Brokerage!AE$4,PIB!AB:AB,Brokerage!$B47)+SUMIFS('T-Bills'!AC:AC,'T-Bills'!AB:AB,Brokerage!AE$4,'T-Bills'!W:W,Brokerage!$B47)</f>
        <v>0</v>
      </c>
      <c r="AF47" s="857">
        <f>+SUMIFS(PIB!AI:AI,PIB!AH:AH,Brokerage!AF$4,PIB!AC:AC,Brokerage!$B47)+SUMIFS('T-Bills'!AD:AD,'T-Bills'!AC:AC,Brokerage!AF$4,'T-Bills'!X:X,Brokerage!$B47)</f>
        <v>0</v>
      </c>
      <c r="AG47" s="857">
        <f t="shared" si="3"/>
        <v>4696.9265000000005</v>
      </c>
      <c r="AH47" s="858">
        <f t="shared" si="8"/>
        <v>0</v>
      </c>
    </row>
    <row r="48" spans="2:36" x14ac:dyDescent="0.15">
      <c r="B48" s="661">
        <f t="shared" si="2"/>
        <v>44604</v>
      </c>
      <c r="C48" s="857">
        <f>SUMIFS('YTD Sales'!$N:$N,'YTD Sales'!$B:$B,Brokerage!$B48,'YTD Sales'!$M:$M,Brokerage!C$4)+SUMIFS('YTD Purchases'!$H:$H,'YTD Purchases'!$C:$C,Brokerage!$B48,'YTD Purchases'!$G:$G,Brokerage!C$4)</f>
        <v>0</v>
      </c>
      <c r="D48" s="857">
        <f>SUMIFS('YTD Sales'!$N:$N,'YTD Sales'!$B:$B,Brokerage!$B48,'YTD Sales'!$M:$M,Brokerage!D$4)+SUMIFS('YTD Purchases'!$H:$H,'YTD Purchases'!$C:$C,Brokerage!$B48,'YTD Purchases'!$G:$G,Brokerage!D$4)</f>
        <v>0</v>
      </c>
      <c r="E48" s="857">
        <f>SUMIFS('YTD Sales'!$N:$N,'YTD Sales'!$B:$B,Brokerage!$B48,'YTD Sales'!$M:$M,Brokerage!E$4)+SUMIFS('YTD Purchases'!$H:$H,'YTD Purchases'!$C:$C,Brokerage!$B48,'YTD Purchases'!$G:$G,Brokerage!E$4)</f>
        <v>0</v>
      </c>
      <c r="F48" s="857">
        <f>SUMIFS('YTD Sales'!$N:$N,'YTD Sales'!$B:$B,Brokerage!$B48,'YTD Sales'!$M:$M,Brokerage!F$4)+SUMIFS('YTD Purchases'!$H:$H,'YTD Purchases'!$C:$C,Brokerage!$B48,'YTD Purchases'!$G:$G,Brokerage!F$4)</f>
        <v>0</v>
      </c>
      <c r="G48" s="857">
        <f>SUMIFS('YTD Sales'!$N:$N,'YTD Sales'!$B:$B,Brokerage!$B48,'YTD Sales'!$M:$M,Brokerage!G$4)+SUMIFS('YTD Purchases'!$H:$H,'YTD Purchases'!$C:$C,Brokerage!$B48,'YTD Purchases'!$G:$G,Brokerage!G$4)</f>
        <v>0</v>
      </c>
      <c r="H48" s="857">
        <f>SUMIFS('YTD Sales'!$N:$N,'YTD Sales'!$B:$B,Brokerage!$B48,'YTD Sales'!$M:$M,Brokerage!H$4)+SUMIFS('YTD Purchases'!$H:$H,'YTD Purchases'!$C:$C,Brokerage!$B48,'YTD Purchases'!$G:$G,Brokerage!H$4)</f>
        <v>0</v>
      </c>
      <c r="I48" s="857">
        <f>SUMIFS('YTD Sales'!$N:$N,'YTD Sales'!$B:$B,Brokerage!$B48,'YTD Sales'!$M:$M,Brokerage!I$4)+SUMIFS('YTD Purchases'!$H:$H,'YTD Purchases'!$C:$C,Brokerage!$B48,'YTD Purchases'!$G:$G,Brokerage!I$4)</f>
        <v>0</v>
      </c>
      <c r="J48" s="857">
        <f>SUMIFS('YTD Sales'!$N:$N,'YTD Sales'!$B:$B,Brokerage!$B48,'YTD Sales'!$M:$M,Brokerage!J$4)+SUMIFS('YTD Purchases'!$H:$H,'YTD Purchases'!$C:$C,Brokerage!$B48,'YTD Purchases'!$G:$G,Brokerage!J$4)</f>
        <v>0</v>
      </c>
      <c r="K48" s="857">
        <f>SUMIFS('YTD Sales'!$N:$N,'YTD Sales'!$B:$B,Brokerage!$B48,'YTD Sales'!$M:$M,Brokerage!K$4)+SUMIFS('YTD Purchases'!$H:$H,'YTD Purchases'!$C:$C,Brokerage!$B48,'YTD Purchases'!$G:$G,Brokerage!K$4)</f>
        <v>0</v>
      </c>
      <c r="L48" s="857">
        <f>SUMIFS('YTD Sales'!$N:$N,'YTD Sales'!$B:$B,Brokerage!$B48,'YTD Sales'!$M:$M,Brokerage!L$4)+SUMIFS('YTD Purchases'!$H:$H,'YTD Purchases'!$C:$C,Brokerage!$B48,'YTD Purchases'!$G:$G,Brokerage!L$4)</f>
        <v>0</v>
      </c>
      <c r="M48" s="857">
        <f>SUMIFS('YTD Sales'!$N:$N,'YTD Sales'!$B:$B,Brokerage!$B48,'YTD Sales'!$M:$M,Brokerage!M$4)+SUMIFS('YTD Purchases'!$H:$H,'YTD Purchases'!$C:$C,Brokerage!$B48,'YTD Purchases'!$G:$G,Brokerage!M$4)</f>
        <v>0</v>
      </c>
      <c r="N48" s="857">
        <f>SUMIFS('YTD Sales'!$N:$N,'YTD Sales'!$B:$B,Brokerage!$B48,'YTD Sales'!$M:$M,Brokerage!N$4)+SUMIFS('YTD Purchases'!$H:$H,'YTD Purchases'!$C:$C,Brokerage!$B48,'YTD Purchases'!$G:$G,Brokerage!N$4)</f>
        <v>0</v>
      </c>
      <c r="O48" s="857">
        <f>SUMIFS('YTD Sales'!$N:$N,'YTD Sales'!$B:$B,Brokerage!$B48,'YTD Sales'!$M:$M,Brokerage!O$4)+SUMIFS('YTD Purchases'!$H:$H,'YTD Purchases'!$C:$C,Brokerage!$B48,'YTD Purchases'!$G:$G,Brokerage!O$4)</f>
        <v>0</v>
      </c>
      <c r="P48" s="857">
        <f>SUMIFS('YTD Sales'!$N:$N,'YTD Sales'!$B:$B,Brokerage!$B48,'YTD Sales'!$M:$M,Brokerage!P$4)+SUMIFS('YTD Purchases'!$H:$H,'YTD Purchases'!$C:$C,Brokerage!$B48,'YTD Purchases'!$G:$G,Brokerage!P$4)</f>
        <v>0</v>
      </c>
      <c r="Q48" s="857">
        <f>SUMIFS('YTD Sales'!$N:$N,'YTD Sales'!$B:$B,Brokerage!$B48,'YTD Sales'!$M:$M,Brokerage!Q$4)+SUMIFS('YTD Purchases'!$H:$H,'YTD Purchases'!$C:$C,Brokerage!$B48,'YTD Purchases'!$G:$G,Brokerage!Q$4)</f>
        <v>0</v>
      </c>
      <c r="R48" s="857">
        <f>SUMIFS('YTD Sales'!$N:$N,'YTD Sales'!$B:$B,Brokerage!$B48,'YTD Sales'!$M:$M,Brokerage!R$4)+SUMIFS('YTD Purchases'!$H:$H,'YTD Purchases'!$C:$C,Brokerage!$B48,'YTD Purchases'!$G:$G,Brokerage!R$4)</f>
        <v>0</v>
      </c>
      <c r="S48" s="857">
        <f>SUMIFS('YTD Sales'!$N:$N,'YTD Sales'!$B:$B,Brokerage!$B48,'YTD Sales'!$M:$M,Brokerage!S$4)+SUMIFS('YTD Purchases'!$H:$H,'YTD Purchases'!$C:$C,Brokerage!$B48,'YTD Purchases'!$G:$G,Brokerage!S$4)</f>
        <v>0</v>
      </c>
      <c r="T48" s="857">
        <f>SUMIFS('YTD Sales'!$N:$N,'YTD Sales'!$B:$B,Brokerage!$B48,'YTD Sales'!$M:$M,Brokerage!T$4)+SUMIFS('YTD Purchases'!$H:$H,'YTD Purchases'!$C:$C,Brokerage!$B48,'YTD Purchases'!$G:$G,Brokerage!T$4)</f>
        <v>0</v>
      </c>
      <c r="U48" s="857">
        <f>SUMIFS('YTD Sales'!$N:$N,'YTD Sales'!$B:$B,Brokerage!$B48,'YTD Sales'!$M:$M,Brokerage!U$4)+SUMIFS('YTD Purchases'!$H:$H,'YTD Purchases'!$C:$C,Brokerage!$B48,'YTD Purchases'!$G:$G,Brokerage!U$4)</f>
        <v>0</v>
      </c>
      <c r="V48" s="857">
        <f>SUMIFS('YTD Sales'!$N:$N,'YTD Sales'!$B:$B,Brokerage!$B48,'YTD Sales'!$M:$M,Brokerage!V$4)+SUMIFS('YTD Purchases'!$H:$H,'YTD Purchases'!$C:$C,Brokerage!$B48,'YTD Purchases'!$G:$G,Brokerage!V$4)</f>
        <v>0</v>
      </c>
      <c r="W48" s="857">
        <f>SUMIFS('YTD Sales'!$N:$N,'YTD Sales'!$B:$B,Brokerage!$B48,'YTD Sales'!$M:$M,Brokerage!W$4)+SUMIFS('YTD Purchases'!$H:$H,'YTD Purchases'!$C:$C,Brokerage!$B48,'YTD Purchases'!$G:$G,Brokerage!W$4)</f>
        <v>0</v>
      </c>
      <c r="X48" s="857">
        <f>SUMIFS('YTD Sales'!$N:$N,'YTD Sales'!$B:$B,Brokerage!$B48,'YTD Sales'!$M:$M,Brokerage!X$4)+SUMIFS('YTD Purchases'!$H:$H,'YTD Purchases'!$C:$C,Brokerage!$B48,'YTD Purchases'!$G:$G,Brokerage!X$4)</f>
        <v>0</v>
      </c>
      <c r="Y48" s="857">
        <f>SUMIFS('YTD Sales'!$N:$N,'YTD Sales'!$B:$B,Brokerage!$B48,'YTD Sales'!$M:$M,Brokerage!Y$4)+SUMIFS('YTD Purchases'!$H:$H,'YTD Purchases'!$C:$C,Brokerage!$B48,'YTD Purchases'!$G:$G,Brokerage!Y$4)</f>
        <v>0</v>
      </c>
      <c r="Z48" s="857">
        <f>SUMIFS('YTD Sales'!$N:$N,'YTD Sales'!$B:$B,Brokerage!$B48,'YTD Sales'!$M:$M,Brokerage!Z$4)+SUMIFS('YTD Purchases'!$H:$H,'YTD Purchases'!$C:$C,Brokerage!$B48,'YTD Purchases'!$G:$G,Brokerage!Z$4)</f>
        <v>0</v>
      </c>
      <c r="AA48" s="857">
        <f>SUMIFS('YTD Sales'!$N:$N,'YTD Sales'!$B:$B,Brokerage!$B48,'YTD Sales'!$M:$M,Brokerage!AA$4)+SUMIFS('YTD Purchases'!$H:$H,'YTD Purchases'!$C:$C,Brokerage!$B48,'YTD Purchases'!$G:$G,Brokerage!AA$4)</f>
        <v>0</v>
      </c>
      <c r="AB48" s="857">
        <f>SUMIFS('YTD Sales'!$N:$N,'YTD Sales'!$B:$B,Brokerage!$B48,'YTD Sales'!$M:$M,Brokerage!AB$4)+SUMIFS('YTD Purchases'!$H:$H,'YTD Purchases'!$C:$C,Brokerage!$B48,'YTD Purchases'!$G:$G,Brokerage!AB$4)</f>
        <v>0</v>
      </c>
      <c r="AC48" s="857">
        <f>SUMIFS('YTD Sales'!$N:$N,'YTD Sales'!$B:$B,Brokerage!$B48,'YTD Sales'!$M:$M,Brokerage!AC$4)+SUMIFS('YTD Purchases'!$H:$H,'YTD Purchases'!$C:$C,Brokerage!$B48,'YTD Purchases'!$G:$G,Brokerage!AC$4)</f>
        <v>0</v>
      </c>
      <c r="AD48" s="857">
        <f>+SUMIFS(PIB!AG:AG,PIB!AF:AF,Brokerage!AD$4,PIB!AA:AA,Brokerage!$B48)+SUMIFS('T-Bills'!AB:AB,'T-Bills'!AA:AA,Brokerage!AD$4,'T-Bills'!V:V,Brokerage!$B48)</f>
        <v>0</v>
      </c>
      <c r="AE48" s="857">
        <f>+SUMIFS(PIB!AH:AH,PIB!AG:AG,Brokerage!AE$4,PIB!AB:AB,Brokerage!$B48)+SUMIFS('T-Bills'!AC:AC,'T-Bills'!AB:AB,Brokerage!AE$4,'T-Bills'!W:W,Brokerage!$B48)</f>
        <v>0</v>
      </c>
      <c r="AF48" s="857">
        <f>+SUMIFS(PIB!AI:AI,PIB!AH:AH,Brokerage!AF$4,PIB!AC:AC,Brokerage!$B48)+SUMIFS('T-Bills'!AD:AD,'T-Bills'!AC:AC,Brokerage!AF$4,'T-Bills'!X:X,Brokerage!$B48)</f>
        <v>0</v>
      </c>
      <c r="AG48" s="857">
        <f t="shared" si="3"/>
        <v>0</v>
      </c>
      <c r="AH48" s="858">
        <f t="shared" si="8"/>
        <v>0</v>
      </c>
    </row>
    <row r="49" spans="2:34" x14ac:dyDescent="0.15">
      <c r="B49" s="661">
        <f t="shared" si="2"/>
        <v>44605</v>
      </c>
      <c r="C49" s="857">
        <f>SUMIFS('YTD Sales'!$N:$N,'YTD Sales'!$B:$B,Brokerage!$B49,'YTD Sales'!$M:$M,Brokerage!C$4)+SUMIFS('YTD Purchases'!$H:$H,'YTD Purchases'!$C:$C,Brokerage!$B49,'YTD Purchases'!$G:$G,Brokerage!C$4)</f>
        <v>0</v>
      </c>
      <c r="D49" s="857">
        <f>SUMIFS('YTD Sales'!$N:$N,'YTD Sales'!$B:$B,Brokerage!$B49,'YTD Sales'!$M:$M,Brokerage!D$4)+SUMIFS('YTD Purchases'!$H:$H,'YTD Purchases'!$C:$C,Brokerage!$B49,'YTD Purchases'!$G:$G,Brokerage!D$4)</f>
        <v>0</v>
      </c>
      <c r="E49" s="857">
        <f>SUMIFS('YTD Sales'!$N:$N,'YTD Sales'!$B:$B,Brokerage!$B49,'YTD Sales'!$M:$M,Brokerage!E$4)+SUMIFS('YTD Purchases'!$H:$H,'YTD Purchases'!$C:$C,Brokerage!$B49,'YTD Purchases'!$G:$G,Brokerage!E$4)</f>
        <v>0</v>
      </c>
      <c r="F49" s="857">
        <f>SUMIFS('YTD Sales'!$N:$N,'YTD Sales'!$B:$B,Brokerage!$B49,'YTD Sales'!$M:$M,Brokerage!F$4)+SUMIFS('YTD Purchases'!$H:$H,'YTD Purchases'!$C:$C,Brokerage!$B49,'YTD Purchases'!$G:$G,Brokerage!F$4)</f>
        <v>0</v>
      </c>
      <c r="G49" s="857">
        <f>SUMIFS('YTD Sales'!$N:$N,'YTD Sales'!$B:$B,Brokerage!$B49,'YTD Sales'!$M:$M,Brokerage!G$4)+SUMIFS('YTD Purchases'!$H:$H,'YTD Purchases'!$C:$C,Brokerage!$B49,'YTD Purchases'!$G:$G,Brokerage!G$4)</f>
        <v>0</v>
      </c>
      <c r="H49" s="857">
        <f>SUMIFS('YTD Sales'!$N:$N,'YTD Sales'!$B:$B,Brokerage!$B49,'YTD Sales'!$M:$M,Brokerage!H$4)+SUMIFS('YTD Purchases'!$H:$H,'YTD Purchases'!$C:$C,Brokerage!$B49,'YTD Purchases'!$G:$G,Brokerage!H$4)</f>
        <v>0</v>
      </c>
      <c r="I49" s="857">
        <f>SUMIFS('YTD Sales'!$N:$N,'YTD Sales'!$B:$B,Brokerage!$B49,'YTD Sales'!$M:$M,Brokerage!I$4)+SUMIFS('YTD Purchases'!$H:$H,'YTD Purchases'!$C:$C,Brokerage!$B49,'YTD Purchases'!$G:$G,Brokerage!I$4)</f>
        <v>0</v>
      </c>
      <c r="J49" s="857">
        <f>SUMIFS('YTD Sales'!$N:$N,'YTD Sales'!$B:$B,Brokerage!$B49,'YTD Sales'!$M:$M,Brokerage!J$4)+SUMIFS('YTD Purchases'!$H:$H,'YTD Purchases'!$C:$C,Brokerage!$B49,'YTD Purchases'!$G:$G,Brokerage!J$4)</f>
        <v>0</v>
      </c>
      <c r="K49" s="857">
        <f>SUMIFS('YTD Sales'!$N:$N,'YTD Sales'!$B:$B,Brokerage!$B49,'YTD Sales'!$M:$M,Brokerage!K$4)+SUMIFS('YTD Purchases'!$H:$H,'YTD Purchases'!$C:$C,Brokerage!$B49,'YTD Purchases'!$G:$G,Brokerage!K$4)</f>
        <v>0</v>
      </c>
      <c r="L49" s="857">
        <f>SUMIFS('YTD Sales'!$N:$N,'YTD Sales'!$B:$B,Brokerage!$B49,'YTD Sales'!$M:$M,Brokerage!L$4)+SUMIFS('YTD Purchases'!$H:$H,'YTD Purchases'!$C:$C,Brokerage!$B49,'YTD Purchases'!$G:$G,Brokerage!L$4)</f>
        <v>0</v>
      </c>
      <c r="M49" s="857">
        <f>SUMIFS('YTD Sales'!$N:$N,'YTD Sales'!$B:$B,Brokerage!$B49,'YTD Sales'!$M:$M,Brokerage!M$4)+SUMIFS('YTD Purchases'!$H:$H,'YTD Purchases'!$C:$C,Brokerage!$B49,'YTD Purchases'!$G:$G,Brokerage!M$4)</f>
        <v>0</v>
      </c>
      <c r="N49" s="857">
        <f>SUMIFS('YTD Sales'!$N:$N,'YTD Sales'!$B:$B,Brokerage!$B49,'YTD Sales'!$M:$M,Brokerage!N$4)+SUMIFS('YTD Purchases'!$H:$H,'YTD Purchases'!$C:$C,Brokerage!$B49,'YTD Purchases'!$G:$G,Brokerage!N$4)</f>
        <v>0</v>
      </c>
      <c r="O49" s="857">
        <f>SUMIFS('YTD Sales'!$N:$N,'YTD Sales'!$B:$B,Brokerage!$B49,'YTD Sales'!$M:$M,Brokerage!O$4)+SUMIFS('YTD Purchases'!$H:$H,'YTD Purchases'!$C:$C,Brokerage!$B49,'YTD Purchases'!$G:$G,Brokerage!O$4)</f>
        <v>0</v>
      </c>
      <c r="P49" s="857">
        <f>SUMIFS('YTD Sales'!$N:$N,'YTD Sales'!$B:$B,Brokerage!$B49,'YTD Sales'!$M:$M,Brokerage!P$4)+SUMIFS('YTD Purchases'!$H:$H,'YTD Purchases'!$C:$C,Brokerage!$B49,'YTD Purchases'!$G:$G,Brokerage!P$4)</f>
        <v>0</v>
      </c>
      <c r="Q49" s="857">
        <f>SUMIFS('YTD Sales'!$N:$N,'YTD Sales'!$B:$B,Brokerage!$B49,'YTD Sales'!$M:$M,Brokerage!Q$4)+SUMIFS('YTD Purchases'!$H:$H,'YTD Purchases'!$C:$C,Brokerage!$B49,'YTD Purchases'!$G:$G,Brokerage!Q$4)</f>
        <v>0</v>
      </c>
      <c r="R49" s="857">
        <f>SUMIFS('YTD Sales'!$N:$N,'YTD Sales'!$B:$B,Brokerage!$B49,'YTD Sales'!$M:$M,Brokerage!R$4)+SUMIFS('YTD Purchases'!$H:$H,'YTD Purchases'!$C:$C,Brokerage!$B49,'YTD Purchases'!$G:$G,Brokerage!R$4)</f>
        <v>0</v>
      </c>
      <c r="S49" s="857">
        <f>SUMIFS('YTD Sales'!$N:$N,'YTD Sales'!$B:$B,Brokerage!$B49,'YTD Sales'!$M:$M,Brokerage!S$4)+SUMIFS('YTD Purchases'!$H:$H,'YTD Purchases'!$C:$C,Brokerage!$B49,'YTD Purchases'!$G:$G,Brokerage!S$4)</f>
        <v>0</v>
      </c>
      <c r="T49" s="857">
        <f>SUMIFS('YTD Sales'!$N:$N,'YTD Sales'!$B:$B,Brokerage!$B49,'YTD Sales'!$M:$M,Brokerage!T$4)+SUMIFS('YTD Purchases'!$H:$H,'YTD Purchases'!$C:$C,Brokerage!$B49,'YTD Purchases'!$G:$G,Brokerage!T$4)</f>
        <v>0</v>
      </c>
      <c r="U49" s="857">
        <f>SUMIFS('YTD Sales'!$N:$N,'YTD Sales'!$B:$B,Brokerage!$B49,'YTD Sales'!$M:$M,Brokerage!U$4)+SUMIFS('YTD Purchases'!$H:$H,'YTD Purchases'!$C:$C,Brokerage!$B49,'YTD Purchases'!$G:$G,Brokerage!U$4)</f>
        <v>0</v>
      </c>
      <c r="V49" s="857">
        <f>SUMIFS('YTD Sales'!$N:$N,'YTD Sales'!$B:$B,Brokerage!$B49,'YTD Sales'!$M:$M,Brokerage!V$4)+SUMIFS('YTD Purchases'!$H:$H,'YTD Purchases'!$C:$C,Brokerage!$B49,'YTD Purchases'!$G:$G,Brokerage!V$4)</f>
        <v>0</v>
      </c>
      <c r="W49" s="857">
        <f>SUMIFS('YTD Sales'!$N:$N,'YTD Sales'!$B:$B,Brokerage!$B49,'YTD Sales'!$M:$M,Brokerage!W$4)+SUMIFS('YTD Purchases'!$H:$H,'YTD Purchases'!$C:$C,Brokerage!$B49,'YTD Purchases'!$G:$G,Brokerage!W$4)</f>
        <v>0</v>
      </c>
      <c r="X49" s="857">
        <f>SUMIFS('YTD Sales'!$N:$N,'YTD Sales'!$B:$B,Brokerage!$B49,'YTD Sales'!$M:$M,Brokerage!X$4)+SUMIFS('YTD Purchases'!$H:$H,'YTD Purchases'!$C:$C,Brokerage!$B49,'YTD Purchases'!$G:$G,Brokerage!X$4)</f>
        <v>0</v>
      </c>
      <c r="Y49" s="857">
        <f>SUMIFS('YTD Sales'!$N:$N,'YTD Sales'!$B:$B,Brokerage!$B49,'YTD Sales'!$M:$M,Brokerage!Y$4)+SUMIFS('YTD Purchases'!$H:$H,'YTD Purchases'!$C:$C,Brokerage!$B49,'YTD Purchases'!$G:$G,Brokerage!Y$4)</f>
        <v>0</v>
      </c>
      <c r="Z49" s="857">
        <f>SUMIFS('YTD Sales'!$N:$N,'YTD Sales'!$B:$B,Brokerage!$B49,'YTD Sales'!$M:$M,Brokerage!Z$4)+SUMIFS('YTD Purchases'!$H:$H,'YTD Purchases'!$C:$C,Brokerage!$B49,'YTD Purchases'!$G:$G,Brokerage!Z$4)</f>
        <v>0</v>
      </c>
      <c r="AA49" s="857">
        <f>SUMIFS('YTD Sales'!$N:$N,'YTD Sales'!$B:$B,Brokerage!$B49,'YTD Sales'!$M:$M,Brokerage!AA$4)+SUMIFS('YTD Purchases'!$H:$H,'YTD Purchases'!$C:$C,Brokerage!$B49,'YTD Purchases'!$G:$G,Brokerage!AA$4)</f>
        <v>0</v>
      </c>
      <c r="AB49" s="857">
        <f>SUMIFS('YTD Sales'!$N:$N,'YTD Sales'!$B:$B,Brokerage!$B49,'YTD Sales'!$M:$M,Brokerage!AB$4)+SUMIFS('YTD Purchases'!$H:$H,'YTD Purchases'!$C:$C,Brokerage!$B49,'YTD Purchases'!$G:$G,Brokerage!AB$4)</f>
        <v>0</v>
      </c>
      <c r="AC49" s="857">
        <f>SUMIFS('YTD Sales'!$N:$N,'YTD Sales'!$B:$B,Brokerage!$B49,'YTD Sales'!$M:$M,Brokerage!AC$4)+SUMIFS('YTD Purchases'!$H:$H,'YTD Purchases'!$C:$C,Brokerage!$B49,'YTD Purchases'!$G:$G,Brokerage!AC$4)</f>
        <v>0</v>
      </c>
      <c r="AD49" s="857">
        <f>+SUMIFS(PIB!AG:AG,PIB!AF:AF,Brokerage!AD$4,PIB!AA:AA,Brokerage!$B49)+SUMIFS('T-Bills'!AB:AB,'T-Bills'!AA:AA,Brokerage!AD$4,'T-Bills'!V:V,Brokerage!$B49)</f>
        <v>0</v>
      </c>
      <c r="AE49" s="857">
        <f>+SUMIFS(PIB!AH:AH,PIB!AG:AG,Brokerage!AE$4,PIB!AB:AB,Brokerage!$B49)+SUMIFS('T-Bills'!AC:AC,'T-Bills'!AB:AB,Brokerage!AE$4,'T-Bills'!W:W,Brokerage!$B49)</f>
        <v>0</v>
      </c>
      <c r="AF49" s="857">
        <f>+SUMIFS(PIB!AI:AI,PIB!AH:AH,Brokerage!AF$4,PIB!AC:AC,Brokerage!$B49)+SUMIFS('T-Bills'!AD:AD,'T-Bills'!AC:AC,Brokerage!AF$4,'T-Bills'!X:X,Brokerage!$B49)</f>
        <v>0</v>
      </c>
      <c r="AG49" s="857">
        <f t="shared" si="3"/>
        <v>0</v>
      </c>
      <c r="AH49" s="858">
        <f t="shared" si="8"/>
        <v>0</v>
      </c>
    </row>
    <row r="50" spans="2:34" x14ac:dyDescent="0.15">
      <c r="B50" s="661">
        <f t="shared" si="2"/>
        <v>44606</v>
      </c>
      <c r="C50" s="857">
        <f>SUMIFS('YTD Sales'!$N:$N,'YTD Sales'!$B:$B,Brokerage!$B50,'YTD Sales'!$M:$M,Brokerage!C$4)+SUMIFS('YTD Purchases'!$H:$H,'YTD Purchases'!$C:$C,Brokerage!$B50,'YTD Purchases'!$G:$G,Brokerage!C$4)</f>
        <v>0</v>
      </c>
      <c r="D50" s="857">
        <f>SUMIFS('YTD Sales'!$N:$N,'YTD Sales'!$B:$B,Brokerage!$B50,'YTD Sales'!$M:$M,Brokerage!D$4)+SUMIFS('YTD Purchases'!$H:$H,'YTD Purchases'!$C:$C,Brokerage!$B50,'YTD Purchases'!$G:$G,Brokerage!D$4)</f>
        <v>0</v>
      </c>
      <c r="E50" s="857">
        <f>SUMIFS('YTD Sales'!$N:$N,'YTD Sales'!$B:$B,Brokerage!$B50,'YTD Sales'!$M:$M,Brokerage!E$4)+SUMIFS('YTD Purchases'!$H:$H,'YTD Purchases'!$C:$C,Brokerage!$B50,'YTD Purchases'!$G:$G,Brokerage!E$4)</f>
        <v>0</v>
      </c>
      <c r="F50" s="857">
        <f>SUMIFS('YTD Sales'!$N:$N,'YTD Sales'!$B:$B,Brokerage!$B50,'YTD Sales'!$M:$M,Brokerage!F$4)+SUMIFS('YTD Purchases'!$H:$H,'YTD Purchases'!$C:$C,Brokerage!$B50,'YTD Purchases'!$G:$G,Brokerage!F$4)</f>
        <v>0</v>
      </c>
      <c r="G50" s="857">
        <f>SUMIFS('YTD Sales'!$N:$N,'YTD Sales'!$B:$B,Brokerage!$B50,'YTD Sales'!$M:$M,Brokerage!G$4)+SUMIFS('YTD Purchases'!$H:$H,'YTD Purchases'!$C:$C,Brokerage!$B50,'YTD Purchases'!$G:$G,Brokerage!G$4)</f>
        <v>0</v>
      </c>
      <c r="H50" s="857">
        <f>SUMIFS('YTD Sales'!$N:$N,'YTD Sales'!$B:$B,Brokerage!$B50,'YTD Sales'!$M:$M,Brokerage!H$4)+SUMIFS('YTD Purchases'!$H:$H,'YTD Purchases'!$C:$C,Brokerage!$B50,'YTD Purchases'!$G:$G,Brokerage!H$4)</f>
        <v>0</v>
      </c>
      <c r="I50" s="857">
        <f>SUMIFS('YTD Sales'!$N:$N,'YTD Sales'!$B:$B,Brokerage!$B50,'YTD Sales'!$M:$M,Brokerage!I$4)+SUMIFS('YTD Purchases'!$H:$H,'YTD Purchases'!$C:$C,Brokerage!$B50,'YTD Purchases'!$G:$G,Brokerage!I$4)</f>
        <v>0</v>
      </c>
      <c r="J50" s="857">
        <f>SUMIFS('YTD Sales'!$N:$N,'YTD Sales'!$B:$B,Brokerage!$B50,'YTD Sales'!$M:$M,Brokerage!J$4)+SUMIFS('YTD Purchases'!$H:$H,'YTD Purchases'!$C:$C,Brokerage!$B50,'YTD Purchases'!$G:$G,Brokerage!J$4)</f>
        <v>0</v>
      </c>
      <c r="K50" s="857">
        <f>SUMIFS('YTD Sales'!$N:$N,'YTD Sales'!$B:$B,Brokerage!$B50,'YTD Sales'!$M:$M,Brokerage!K$4)+SUMIFS('YTD Purchases'!$H:$H,'YTD Purchases'!$C:$C,Brokerage!$B50,'YTD Purchases'!$G:$G,Brokerage!K$4)</f>
        <v>0</v>
      </c>
      <c r="L50" s="857">
        <f>SUMIFS('YTD Sales'!$N:$N,'YTD Sales'!$B:$B,Brokerage!$B50,'YTD Sales'!$M:$M,Brokerage!L$4)+SUMIFS('YTD Purchases'!$H:$H,'YTD Purchases'!$C:$C,Brokerage!$B50,'YTD Purchases'!$G:$G,Brokerage!L$4)</f>
        <v>0</v>
      </c>
      <c r="M50" s="857">
        <f>SUMIFS('YTD Sales'!$N:$N,'YTD Sales'!$B:$B,Brokerage!$B50,'YTD Sales'!$M:$M,Brokerage!M$4)+SUMIFS('YTD Purchases'!$H:$H,'YTD Purchases'!$C:$C,Brokerage!$B50,'YTD Purchases'!$G:$G,Brokerage!M$4)</f>
        <v>0</v>
      </c>
      <c r="N50" s="857">
        <f>SUMIFS('YTD Sales'!$N:$N,'YTD Sales'!$B:$B,Brokerage!$B50,'YTD Sales'!$M:$M,Brokerage!N$4)+SUMIFS('YTD Purchases'!$H:$H,'YTD Purchases'!$C:$C,Brokerage!$B50,'YTD Purchases'!$G:$G,Brokerage!N$4)</f>
        <v>0</v>
      </c>
      <c r="O50" s="857">
        <f>SUMIFS('YTD Sales'!$N:$N,'YTD Sales'!$B:$B,Brokerage!$B50,'YTD Sales'!$M:$M,Brokerage!O$4)+SUMIFS('YTD Purchases'!$H:$H,'YTD Purchases'!$C:$C,Brokerage!$B50,'YTD Purchases'!$G:$G,Brokerage!O$4)</f>
        <v>0</v>
      </c>
      <c r="P50" s="857">
        <f>SUMIFS('YTD Sales'!$N:$N,'YTD Sales'!$B:$B,Brokerage!$B50,'YTD Sales'!$M:$M,Brokerage!P$4)+SUMIFS('YTD Purchases'!$H:$H,'YTD Purchases'!$C:$C,Brokerage!$B50,'YTD Purchases'!$G:$G,Brokerage!P$4)</f>
        <v>0</v>
      </c>
      <c r="Q50" s="857">
        <f>SUMIFS('YTD Sales'!$N:$N,'YTD Sales'!$B:$B,Brokerage!$B50,'YTD Sales'!$M:$M,Brokerage!Q$4)+SUMIFS('YTD Purchases'!$H:$H,'YTD Purchases'!$C:$C,Brokerage!$B50,'YTD Purchases'!$G:$G,Brokerage!Q$4)</f>
        <v>0</v>
      </c>
      <c r="R50" s="857">
        <f>SUMIFS('YTD Sales'!$N:$N,'YTD Sales'!$B:$B,Brokerage!$B50,'YTD Sales'!$M:$M,Brokerage!R$4)+SUMIFS('YTD Purchases'!$H:$H,'YTD Purchases'!$C:$C,Brokerage!$B50,'YTD Purchases'!$G:$G,Brokerage!R$4)</f>
        <v>0</v>
      </c>
      <c r="S50" s="857">
        <f>SUMIFS('YTD Sales'!$N:$N,'YTD Sales'!$B:$B,Brokerage!$B50,'YTD Sales'!$M:$M,Brokerage!S$4)+SUMIFS('YTD Purchases'!$H:$H,'YTD Purchases'!$C:$C,Brokerage!$B50,'YTD Purchases'!$G:$G,Brokerage!S$4)</f>
        <v>0</v>
      </c>
      <c r="T50" s="857">
        <f>SUMIFS('YTD Sales'!$N:$N,'YTD Sales'!$B:$B,Brokerage!$B50,'YTD Sales'!$M:$M,Brokerage!T$4)+SUMIFS('YTD Purchases'!$H:$H,'YTD Purchases'!$C:$C,Brokerage!$B50,'YTD Purchases'!$G:$G,Brokerage!T$4)</f>
        <v>0</v>
      </c>
      <c r="U50" s="857">
        <f>SUMIFS('YTD Sales'!$N:$N,'YTD Sales'!$B:$B,Brokerage!$B50,'YTD Sales'!$M:$M,Brokerage!U$4)+SUMIFS('YTD Purchases'!$H:$H,'YTD Purchases'!$C:$C,Brokerage!$B50,'YTD Purchases'!$G:$G,Brokerage!U$4)</f>
        <v>3050.9404999999997</v>
      </c>
      <c r="V50" s="857">
        <f>SUMIFS('YTD Sales'!$N:$N,'YTD Sales'!$B:$B,Brokerage!$B50,'YTD Sales'!$M:$M,Brokerage!V$4)+SUMIFS('YTD Purchases'!$H:$H,'YTD Purchases'!$C:$C,Brokerage!$B50,'YTD Purchases'!$G:$G,Brokerage!V$4)</f>
        <v>0</v>
      </c>
      <c r="W50" s="857">
        <f>SUMIFS('YTD Sales'!$N:$N,'YTD Sales'!$B:$B,Brokerage!$B50,'YTD Sales'!$M:$M,Brokerage!W$4)+SUMIFS('YTD Purchases'!$H:$H,'YTD Purchases'!$C:$C,Brokerage!$B50,'YTD Purchases'!$G:$G,Brokerage!W$4)</f>
        <v>0</v>
      </c>
      <c r="X50" s="857">
        <f>SUMIFS('YTD Sales'!$N:$N,'YTD Sales'!$B:$B,Brokerage!$B50,'YTD Sales'!$M:$M,Brokerage!X$4)+SUMIFS('YTD Purchases'!$H:$H,'YTD Purchases'!$C:$C,Brokerage!$B50,'YTD Purchases'!$G:$G,Brokerage!X$4)</f>
        <v>0</v>
      </c>
      <c r="Y50" s="857">
        <f>SUMIFS('YTD Sales'!$N:$N,'YTD Sales'!$B:$B,Brokerage!$B50,'YTD Sales'!$M:$M,Brokerage!Y$4)+SUMIFS('YTD Purchases'!$H:$H,'YTD Purchases'!$C:$C,Brokerage!$B50,'YTD Purchases'!$G:$G,Brokerage!Y$4)</f>
        <v>0</v>
      </c>
      <c r="Z50" s="857">
        <f>SUMIFS('YTD Sales'!$N:$N,'YTD Sales'!$B:$B,Brokerage!$B50,'YTD Sales'!$M:$M,Brokerage!Z$4)+SUMIFS('YTD Purchases'!$H:$H,'YTD Purchases'!$C:$C,Brokerage!$B50,'YTD Purchases'!$G:$G,Brokerage!Z$4)</f>
        <v>0</v>
      </c>
      <c r="AA50" s="857">
        <f>SUMIFS('YTD Sales'!$N:$N,'YTD Sales'!$B:$B,Brokerage!$B50,'YTD Sales'!$M:$M,Brokerage!AA$4)+SUMIFS('YTD Purchases'!$H:$H,'YTD Purchases'!$C:$C,Brokerage!$B50,'YTD Purchases'!$G:$G,Brokerage!AA$4)</f>
        <v>0</v>
      </c>
      <c r="AB50" s="857">
        <f>SUMIFS('YTD Sales'!$N:$N,'YTD Sales'!$B:$B,Brokerage!$B50,'YTD Sales'!$M:$M,Brokerage!AB$4)+SUMIFS('YTD Purchases'!$H:$H,'YTD Purchases'!$C:$C,Brokerage!$B50,'YTD Purchases'!$G:$G,Brokerage!AB$4)</f>
        <v>0</v>
      </c>
      <c r="AC50" s="857">
        <f>SUMIFS('YTD Sales'!$N:$N,'YTD Sales'!$B:$B,Brokerage!$B50,'YTD Sales'!$M:$M,Brokerage!AC$4)+SUMIFS('YTD Purchases'!$H:$H,'YTD Purchases'!$C:$C,Brokerage!$B50,'YTD Purchases'!$G:$G,Brokerage!AC$4)</f>
        <v>0</v>
      </c>
      <c r="AD50" s="857">
        <f>+SUMIFS(PIB!AG:AG,PIB!AF:AF,Brokerage!AD$4,PIB!AA:AA,Brokerage!$B50)+SUMIFS('T-Bills'!AB:AB,'T-Bills'!AA:AA,Brokerage!AD$4,'T-Bills'!V:V,Brokerage!$B50)</f>
        <v>0</v>
      </c>
      <c r="AE50" s="857">
        <f>+SUMIFS(PIB!AH:AH,PIB!AG:AG,Brokerage!AE$4,PIB!AB:AB,Brokerage!$B50)+SUMIFS('T-Bills'!AC:AC,'T-Bills'!AB:AB,Brokerage!AE$4,'T-Bills'!W:W,Brokerage!$B50)</f>
        <v>0</v>
      </c>
      <c r="AF50" s="857">
        <f>+SUMIFS(PIB!AI:AI,PIB!AH:AH,Brokerage!AF$4,PIB!AC:AC,Brokerage!$B50)+SUMIFS('T-Bills'!AD:AD,'T-Bills'!AC:AC,Brokerage!AF$4,'T-Bills'!X:X,Brokerage!$B50)</f>
        <v>0</v>
      </c>
      <c r="AG50" s="857">
        <f t="shared" si="3"/>
        <v>3050.9404999999997</v>
      </c>
      <c r="AH50" s="858">
        <f t="shared" si="8"/>
        <v>0</v>
      </c>
    </row>
    <row r="51" spans="2:34" x14ac:dyDescent="0.15">
      <c r="B51" s="661">
        <f t="shared" si="2"/>
        <v>44607</v>
      </c>
      <c r="C51" s="857">
        <f>SUMIFS('YTD Sales'!$N:$N,'YTD Sales'!$B:$B,Brokerage!$B51,'YTD Sales'!$M:$M,Brokerage!C$4)+SUMIFS('YTD Purchases'!$H:$H,'YTD Purchases'!$C:$C,Brokerage!$B51,'YTD Purchases'!$G:$G,Brokerage!C$4)</f>
        <v>0</v>
      </c>
      <c r="D51" s="857">
        <f>SUMIFS('YTD Sales'!$N:$N,'YTD Sales'!$B:$B,Brokerage!$B51,'YTD Sales'!$M:$M,Brokerage!D$4)+SUMIFS('YTD Purchases'!$H:$H,'YTD Purchases'!$C:$C,Brokerage!$B51,'YTD Purchases'!$G:$G,Brokerage!D$4)</f>
        <v>0</v>
      </c>
      <c r="E51" s="857">
        <f>SUMIFS('YTD Sales'!$N:$N,'YTD Sales'!$B:$B,Brokerage!$B51,'YTD Sales'!$M:$M,Brokerage!E$4)+SUMIFS('YTD Purchases'!$H:$H,'YTD Purchases'!$C:$C,Brokerage!$B51,'YTD Purchases'!$G:$G,Brokerage!E$4)</f>
        <v>0</v>
      </c>
      <c r="F51" s="857">
        <f>SUMIFS('YTD Sales'!$N:$N,'YTD Sales'!$B:$B,Brokerage!$B51,'YTD Sales'!$M:$M,Brokerage!F$4)+SUMIFS('YTD Purchases'!$H:$H,'YTD Purchases'!$C:$C,Brokerage!$B51,'YTD Purchases'!$G:$G,Brokerage!F$4)</f>
        <v>0</v>
      </c>
      <c r="G51" s="857">
        <f>SUMIFS('YTD Sales'!$N:$N,'YTD Sales'!$B:$B,Brokerage!$B51,'YTD Sales'!$M:$M,Brokerage!G$4)+SUMIFS('YTD Purchases'!$H:$H,'YTD Purchases'!$C:$C,Brokerage!$B51,'YTD Purchases'!$G:$G,Brokerage!G$4)</f>
        <v>0</v>
      </c>
      <c r="H51" s="857">
        <f>SUMIFS('YTD Sales'!$N:$N,'YTD Sales'!$B:$B,Brokerage!$B51,'YTD Sales'!$M:$M,Brokerage!H$4)+SUMIFS('YTD Purchases'!$H:$H,'YTD Purchases'!$C:$C,Brokerage!$B51,'YTD Purchases'!$G:$G,Brokerage!H$4)</f>
        <v>0</v>
      </c>
      <c r="I51" s="857">
        <f>SUMIFS('YTD Sales'!$N:$N,'YTD Sales'!$B:$B,Brokerage!$B51,'YTD Sales'!$M:$M,Brokerage!I$4)+SUMIFS('YTD Purchases'!$H:$H,'YTD Purchases'!$C:$C,Brokerage!$B51,'YTD Purchases'!$G:$G,Brokerage!I$4)</f>
        <v>0</v>
      </c>
      <c r="J51" s="857">
        <f>SUMIFS('YTD Sales'!$N:$N,'YTD Sales'!$B:$B,Brokerage!$B51,'YTD Sales'!$M:$M,Brokerage!J$4)+SUMIFS('YTD Purchases'!$H:$H,'YTD Purchases'!$C:$C,Brokerage!$B51,'YTD Purchases'!$G:$G,Brokerage!J$4)</f>
        <v>0</v>
      </c>
      <c r="K51" s="857">
        <f>SUMIFS('YTD Sales'!$N:$N,'YTD Sales'!$B:$B,Brokerage!$B51,'YTD Sales'!$M:$M,Brokerage!K$4)+SUMIFS('YTD Purchases'!$H:$H,'YTD Purchases'!$C:$C,Brokerage!$B51,'YTD Purchases'!$G:$G,Brokerage!K$4)</f>
        <v>0</v>
      </c>
      <c r="L51" s="857">
        <f>SUMIFS('YTD Sales'!$N:$N,'YTD Sales'!$B:$B,Brokerage!$B51,'YTD Sales'!$M:$M,Brokerage!L$4)+SUMIFS('YTD Purchases'!$H:$H,'YTD Purchases'!$C:$C,Brokerage!$B51,'YTD Purchases'!$G:$G,Brokerage!L$4)</f>
        <v>0</v>
      </c>
      <c r="M51" s="857">
        <f>SUMIFS('YTD Sales'!$N:$N,'YTD Sales'!$B:$B,Brokerage!$B51,'YTD Sales'!$M:$M,Brokerage!M$4)+SUMIFS('YTD Purchases'!$H:$H,'YTD Purchases'!$C:$C,Brokerage!$B51,'YTD Purchases'!$G:$G,Brokerage!M$4)</f>
        <v>0</v>
      </c>
      <c r="N51" s="857">
        <f>SUMIFS('YTD Sales'!$N:$N,'YTD Sales'!$B:$B,Brokerage!$B51,'YTD Sales'!$M:$M,Brokerage!N$4)+SUMIFS('YTD Purchases'!$H:$H,'YTD Purchases'!$C:$C,Brokerage!$B51,'YTD Purchases'!$G:$G,Brokerage!N$4)</f>
        <v>0</v>
      </c>
      <c r="O51" s="857">
        <f>SUMIFS('YTD Sales'!$N:$N,'YTD Sales'!$B:$B,Brokerage!$B51,'YTD Sales'!$M:$M,Brokerage!O$4)+SUMIFS('YTD Purchases'!$H:$H,'YTD Purchases'!$C:$C,Brokerage!$B51,'YTD Purchases'!$G:$G,Brokerage!O$4)</f>
        <v>0</v>
      </c>
      <c r="P51" s="857">
        <f>SUMIFS('YTD Sales'!$N:$N,'YTD Sales'!$B:$B,Brokerage!$B51,'YTD Sales'!$M:$M,Brokerage!P$4)+SUMIFS('YTD Purchases'!$H:$H,'YTD Purchases'!$C:$C,Brokerage!$B51,'YTD Purchases'!$G:$G,Brokerage!P$4)</f>
        <v>0</v>
      </c>
      <c r="Q51" s="857">
        <f>SUMIFS('YTD Sales'!$N:$N,'YTD Sales'!$B:$B,Brokerage!$B51,'YTD Sales'!$M:$M,Brokerage!Q$4)+SUMIFS('YTD Purchases'!$H:$H,'YTD Purchases'!$C:$C,Brokerage!$B51,'YTD Purchases'!$G:$G,Brokerage!Q$4)</f>
        <v>0</v>
      </c>
      <c r="R51" s="857">
        <f>SUMIFS('YTD Sales'!$N:$N,'YTD Sales'!$B:$B,Brokerage!$B51,'YTD Sales'!$M:$M,Brokerage!R$4)+SUMIFS('YTD Purchases'!$H:$H,'YTD Purchases'!$C:$C,Brokerage!$B51,'YTD Purchases'!$G:$G,Brokerage!R$4)</f>
        <v>0</v>
      </c>
      <c r="S51" s="857">
        <f>SUMIFS('YTD Sales'!$N:$N,'YTD Sales'!$B:$B,Brokerage!$B51,'YTD Sales'!$M:$M,Brokerage!S$4)+SUMIFS('YTD Purchases'!$H:$H,'YTD Purchases'!$C:$C,Brokerage!$B51,'YTD Purchases'!$G:$G,Brokerage!S$4)</f>
        <v>0</v>
      </c>
      <c r="T51" s="857">
        <f>SUMIFS('YTD Sales'!$N:$N,'YTD Sales'!$B:$B,Brokerage!$B51,'YTD Sales'!$M:$M,Brokerage!T$4)+SUMIFS('YTD Purchases'!$H:$H,'YTD Purchases'!$C:$C,Brokerage!$B51,'YTD Purchases'!$G:$G,Brokerage!T$4)</f>
        <v>0</v>
      </c>
      <c r="U51" s="857">
        <f>SUMIFS('YTD Sales'!$N:$N,'YTD Sales'!$B:$B,Brokerage!$B51,'YTD Sales'!$M:$M,Brokerage!U$4)+SUMIFS('YTD Purchases'!$H:$H,'YTD Purchases'!$C:$C,Brokerage!$B51,'YTD Purchases'!$G:$G,Brokerage!U$4)</f>
        <v>0</v>
      </c>
      <c r="V51" s="857">
        <f>SUMIFS('YTD Sales'!$N:$N,'YTD Sales'!$B:$B,Brokerage!$B51,'YTD Sales'!$M:$M,Brokerage!V$4)+SUMIFS('YTD Purchases'!$H:$H,'YTD Purchases'!$C:$C,Brokerage!$B51,'YTD Purchases'!$G:$G,Brokerage!V$4)</f>
        <v>0</v>
      </c>
      <c r="W51" s="857">
        <f>SUMIFS('YTD Sales'!$N:$N,'YTD Sales'!$B:$B,Brokerage!$B51,'YTD Sales'!$M:$M,Brokerage!W$4)+SUMIFS('YTD Purchases'!$H:$H,'YTD Purchases'!$C:$C,Brokerage!$B51,'YTD Purchases'!$G:$G,Brokerage!W$4)</f>
        <v>0</v>
      </c>
      <c r="X51" s="857">
        <f>SUMIFS('YTD Sales'!$N:$N,'YTD Sales'!$B:$B,Brokerage!$B51,'YTD Sales'!$M:$M,Brokerage!X$4)+SUMIFS('YTD Purchases'!$H:$H,'YTD Purchases'!$C:$C,Brokerage!$B51,'YTD Purchases'!$G:$G,Brokerage!X$4)</f>
        <v>0</v>
      </c>
      <c r="Y51" s="857">
        <f>SUMIFS('YTD Sales'!$N:$N,'YTD Sales'!$B:$B,Brokerage!$B51,'YTD Sales'!$M:$M,Brokerage!Y$4)+SUMIFS('YTD Purchases'!$H:$H,'YTD Purchases'!$C:$C,Brokerage!$B51,'YTD Purchases'!$G:$G,Brokerage!Y$4)</f>
        <v>0</v>
      </c>
      <c r="Z51" s="857">
        <f>SUMIFS('YTD Sales'!$N:$N,'YTD Sales'!$B:$B,Brokerage!$B51,'YTD Sales'!$M:$M,Brokerage!Z$4)+SUMIFS('YTD Purchases'!$H:$H,'YTD Purchases'!$C:$C,Brokerage!$B51,'YTD Purchases'!$G:$G,Brokerage!Z$4)</f>
        <v>0</v>
      </c>
      <c r="AA51" s="857">
        <f>SUMIFS('YTD Sales'!$N:$N,'YTD Sales'!$B:$B,Brokerage!$B51,'YTD Sales'!$M:$M,Brokerage!AA$4)+SUMIFS('YTD Purchases'!$H:$H,'YTD Purchases'!$C:$C,Brokerage!$B51,'YTD Purchases'!$G:$G,Brokerage!AA$4)</f>
        <v>0</v>
      </c>
      <c r="AB51" s="857">
        <f>SUMIFS('YTD Sales'!$N:$N,'YTD Sales'!$B:$B,Brokerage!$B51,'YTD Sales'!$M:$M,Brokerage!AB$4)+SUMIFS('YTD Purchases'!$H:$H,'YTD Purchases'!$C:$C,Brokerage!$B51,'YTD Purchases'!$G:$G,Brokerage!AB$4)</f>
        <v>0</v>
      </c>
      <c r="AC51" s="857">
        <f>SUMIFS('YTD Sales'!$N:$N,'YTD Sales'!$B:$B,Brokerage!$B51,'YTD Sales'!$M:$M,Brokerage!AC$4)+SUMIFS('YTD Purchases'!$H:$H,'YTD Purchases'!$C:$C,Brokerage!$B51,'YTD Purchases'!$G:$G,Brokerage!AC$4)</f>
        <v>0</v>
      </c>
      <c r="AD51" s="857">
        <f>+SUMIFS(PIB!AG:AG,PIB!AF:AF,Brokerage!AD$4,PIB!AA:AA,Brokerage!$B51)+SUMIFS('T-Bills'!AB:AB,'T-Bills'!AA:AA,Brokerage!AD$4,'T-Bills'!V:V,Brokerage!$B51)</f>
        <v>0</v>
      </c>
      <c r="AE51" s="857">
        <f>+SUMIFS(PIB!AH:AH,PIB!AG:AG,Brokerage!AE$4,PIB!AB:AB,Brokerage!$B51)+SUMIFS('T-Bills'!AC:AC,'T-Bills'!AB:AB,Brokerage!AE$4,'T-Bills'!W:W,Brokerage!$B51)</f>
        <v>0</v>
      </c>
      <c r="AF51" s="857">
        <f>+SUMIFS(PIB!AI:AI,PIB!AH:AH,Brokerage!AF$4,PIB!AC:AC,Brokerage!$B51)+SUMIFS('T-Bills'!AD:AD,'T-Bills'!AC:AC,Brokerage!AF$4,'T-Bills'!X:X,Brokerage!$B51)</f>
        <v>0</v>
      </c>
      <c r="AG51" s="857">
        <f t="shared" si="3"/>
        <v>0</v>
      </c>
      <c r="AH51" s="858">
        <f t="shared" si="8"/>
        <v>0</v>
      </c>
    </row>
    <row r="52" spans="2:34" x14ac:dyDescent="0.15">
      <c r="B52" s="661">
        <f t="shared" si="2"/>
        <v>44608</v>
      </c>
      <c r="C52" s="857">
        <f>SUMIFS('YTD Sales'!$N:$N,'YTD Sales'!$B:$B,Brokerage!$B52,'YTD Sales'!$M:$M,Brokerage!C$4)+SUMIFS('YTD Purchases'!$H:$H,'YTD Purchases'!$C:$C,Brokerage!$B52,'YTD Purchases'!$G:$G,Brokerage!C$4)</f>
        <v>0</v>
      </c>
      <c r="D52" s="857">
        <f>SUMIFS('YTD Sales'!$N:$N,'YTD Sales'!$B:$B,Brokerage!$B52,'YTD Sales'!$M:$M,Brokerage!D$4)+SUMIFS('YTD Purchases'!$H:$H,'YTD Purchases'!$C:$C,Brokerage!$B52,'YTD Purchases'!$G:$G,Brokerage!D$4)</f>
        <v>0</v>
      </c>
      <c r="E52" s="857">
        <f>SUMIFS('YTD Sales'!$N:$N,'YTD Sales'!$B:$B,Brokerage!$B52,'YTD Sales'!$M:$M,Brokerage!E$4)+SUMIFS('YTD Purchases'!$H:$H,'YTD Purchases'!$C:$C,Brokerage!$B52,'YTD Purchases'!$G:$G,Brokerage!E$4)</f>
        <v>0</v>
      </c>
      <c r="F52" s="857">
        <f>SUMIFS('YTD Sales'!$N:$N,'YTD Sales'!$B:$B,Brokerage!$B52,'YTD Sales'!$M:$M,Brokerage!F$4)+SUMIFS('YTD Purchases'!$H:$H,'YTD Purchases'!$C:$C,Brokerage!$B52,'YTD Purchases'!$G:$G,Brokerage!F$4)</f>
        <v>0</v>
      </c>
      <c r="G52" s="857">
        <f>SUMIFS('YTD Sales'!$N:$N,'YTD Sales'!$B:$B,Brokerage!$B52,'YTD Sales'!$M:$M,Brokerage!G$4)+SUMIFS('YTD Purchases'!$H:$H,'YTD Purchases'!$C:$C,Brokerage!$B52,'YTD Purchases'!$G:$G,Brokerage!G$4)</f>
        <v>0</v>
      </c>
      <c r="H52" s="857">
        <f>SUMIFS('YTD Sales'!$N:$N,'YTD Sales'!$B:$B,Brokerage!$B52,'YTD Sales'!$M:$M,Brokerage!H$4)+SUMIFS('YTD Purchases'!$H:$H,'YTD Purchases'!$C:$C,Brokerage!$B52,'YTD Purchases'!$G:$G,Brokerage!H$4)</f>
        <v>0</v>
      </c>
      <c r="I52" s="857">
        <f>SUMIFS('YTD Sales'!$N:$N,'YTD Sales'!$B:$B,Brokerage!$B52,'YTD Sales'!$M:$M,Brokerage!I$4)+SUMIFS('YTD Purchases'!$H:$H,'YTD Purchases'!$C:$C,Brokerage!$B52,'YTD Purchases'!$G:$G,Brokerage!I$4)</f>
        <v>0</v>
      </c>
      <c r="J52" s="857">
        <f>SUMIFS('YTD Sales'!$N:$N,'YTD Sales'!$B:$B,Brokerage!$B52,'YTD Sales'!$M:$M,Brokerage!J$4)+SUMIFS('YTD Purchases'!$H:$H,'YTD Purchases'!$C:$C,Brokerage!$B52,'YTD Purchases'!$G:$G,Brokerage!J$4)</f>
        <v>0</v>
      </c>
      <c r="K52" s="857">
        <f>SUMIFS('YTD Sales'!$N:$N,'YTD Sales'!$B:$B,Brokerage!$B52,'YTD Sales'!$M:$M,Brokerage!K$4)+SUMIFS('YTD Purchases'!$H:$H,'YTD Purchases'!$C:$C,Brokerage!$B52,'YTD Purchases'!$G:$G,Brokerage!K$4)</f>
        <v>0</v>
      </c>
      <c r="L52" s="857">
        <f>SUMIFS('YTD Sales'!$N:$N,'YTD Sales'!$B:$B,Brokerage!$B52,'YTD Sales'!$M:$M,Brokerage!L$4)+SUMIFS('YTD Purchases'!$H:$H,'YTD Purchases'!$C:$C,Brokerage!$B52,'YTD Purchases'!$G:$G,Brokerage!L$4)</f>
        <v>0</v>
      </c>
      <c r="M52" s="857">
        <f>SUMIFS('YTD Sales'!$N:$N,'YTD Sales'!$B:$B,Brokerage!$B52,'YTD Sales'!$M:$M,Brokerage!M$4)+SUMIFS('YTD Purchases'!$H:$H,'YTD Purchases'!$C:$C,Brokerage!$B52,'YTD Purchases'!$G:$G,Brokerage!M$4)</f>
        <v>0</v>
      </c>
      <c r="N52" s="857">
        <f>SUMIFS('YTD Sales'!$N:$N,'YTD Sales'!$B:$B,Brokerage!$B52,'YTD Sales'!$M:$M,Brokerage!N$4)+SUMIFS('YTD Purchases'!$H:$H,'YTD Purchases'!$C:$C,Brokerage!$B52,'YTD Purchases'!$G:$G,Brokerage!N$4)</f>
        <v>0</v>
      </c>
      <c r="O52" s="857">
        <f>SUMIFS('YTD Sales'!$N:$N,'YTD Sales'!$B:$B,Brokerage!$B52,'YTD Sales'!$M:$M,Brokerage!O$4)+SUMIFS('YTD Purchases'!$H:$H,'YTD Purchases'!$C:$C,Brokerage!$B52,'YTD Purchases'!$G:$G,Brokerage!O$4)</f>
        <v>0</v>
      </c>
      <c r="P52" s="857">
        <f>SUMIFS('YTD Sales'!$N:$N,'YTD Sales'!$B:$B,Brokerage!$B52,'YTD Sales'!$M:$M,Brokerage!P$4)+SUMIFS('YTD Purchases'!$H:$H,'YTD Purchases'!$C:$C,Brokerage!$B52,'YTD Purchases'!$G:$G,Brokerage!P$4)</f>
        <v>0</v>
      </c>
      <c r="Q52" s="857">
        <f>SUMIFS('YTD Sales'!$N:$N,'YTD Sales'!$B:$B,Brokerage!$B52,'YTD Sales'!$M:$M,Brokerage!Q$4)+SUMIFS('YTD Purchases'!$H:$H,'YTD Purchases'!$C:$C,Brokerage!$B52,'YTD Purchases'!$G:$G,Brokerage!Q$4)</f>
        <v>0</v>
      </c>
      <c r="R52" s="857">
        <f>SUMIFS('YTD Sales'!$N:$N,'YTD Sales'!$B:$B,Brokerage!$B52,'YTD Sales'!$M:$M,Brokerage!R$4)+SUMIFS('YTD Purchases'!$H:$H,'YTD Purchases'!$C:$C,Brokerage!$B52,'YTD Purchases'!$G:$G,Brokerage!R$4)</f>
        <v>0</v>
      </c>
      <c r="S52" s="857">
        <f>SUMIFS('YTD Sales'!$N:$N,'YTD Sales'!$B:$B,Brokerage!$B52,'YTD Sales'!$M:$M,Brokerage!S$4)+SUMIFS('YTD Purchases'!$H:$H,'YTD Purchases'!$C:$C,Brokerage!$B52,'YTD Purchases'!$G:$G,Brokerage!S$4)</f>
        <v>0</v>
      </c>
      <c r="T52" s="857">
        <f>SUMIFS('YTD Sales'!$N:$N,'YTD Sales'!$B:$B,Brokerage!$B52,'YTD Sales'!$M:$M,Brokerage!T$4)+SUMIFS('YTD Purchases'!$H:$H,'YTD Purchases'!$C:$C,Brokerage!$B52,'YTD Purchases'!$G:$G,Brokerage!T$4)</f>
        <v>0</v>
      </c>
      <c r="U52" s="857">
        <f>SUMIFS('YTD Sales'!$N:$N,'YTD Sales'!$B:$B,Brokerage!$B52,'YTD Sales'!$M:$M,Brokerage!U$4)+SUMIFS('YTD Purchases'!$H:$H,'YTD Purchases'!$C:$C,Brokerage!$B52,'YTD Purchases'!$G:$G,Brokerage!U$4)</f>
        <v>0</v>
      </c>
      <c r="V52" s="857">
        <f>SUMIFS('YTD Sales'!$N:$N,'YTD Sales'!$B:$B,Brokerage!$B52,'YTD Sales'!$M:$M,Brokerage!V$4)+SUMIFS('YTD Purchases'!$H:$H,'YTD Purchases'!$C:$C,Brokerage!$B52,'YTD Purchases'!$G:$G,Brokerage!V$4)</f>
        <v>0</v>
      </c>
      <c r="W52" s="857">
        <f>SUMIFS('YTD Sales'!$N:$N,'YTD Sales'!$B:$B,Brokerage!$B52,'YTD Sales'!$M:$M,Brokerage!W$4)+SUMIFS('YTD Purchases'!$H:$H,'YTD Purchases'!$C:$C,Brokerage!$B52,'YTD Purchases'!$G:$G,Brokerage!W$4)</f>
        <v>0</v>
      </c>
      <c r="X52" s="857">
        <f>SUMIFS('YTD Sales'!$N:$N,'YTD Sales'!$B:$B,Brokerage!$B52,'YTD Sales'!$M:$M,Brokerage!X$4)+SUMIFS('YTD Purchases'!$H:$H,'YTD Purchases'!$C:$C,Brokerage!$B52,'YTD Purchases'!$G:$G,Brokerage!X$4)</f>
        <v>0</v>
      </c>
      <c r="Y52" s="857">
        <f>SUMIFS('YTD Sales'!$N:$N,'YTD Sales'!$B:$B,Brokerage!$B52,'YTD Sales'!$M:$M,Brokerage!Y$4)+SUMIFS('YTD Purchases'!$H:$H,'YTD Purchases'!$C:$C,Brokerage!$B52,'YTD Purchases'!$G:$G,Brokerage!Y$4)</f>
        <v>0</v>
      </c>
      <c r="Z52" s="857">
        <f>SUMIFS('YTD Sales'!$N:$N,'YTD Sales'!$B:$B,Brokerage!$B52,'YTD Sales'!$M:$M,Brokerage!Z$4)+SUMIFS('YTD Purchases'!$H:$H,'YTD Purchases'!$C:$C,Brokerage!$B52,'YTD Purchases'!$G:$G,Brokerage!Z$4)</f>
        <v>0</v>
      </c>
      <c r="AA52" s="857">
        <f>SUMIFS('YTD Sales'!$N:$N,'YTD Sales'!$B:$B,Brokerage!$B52,'YTD Sales'!$M:$M,Brokerage!AA$4)+SUMIFS('YTD Purchases'!$H:$H,'YTD Purchases'!$C:$C,Brokerage!$B52,'YTD Purchases'!$G:$G,Brokerage!AA$4)</f>
        <v>0</v>
      </c>
      <c r="AB52" s="857">
        <f>SUMIFS('YTD Sales'!$N:$N,'YTD Sales'!$B:$B,Brokerage!$B52,'YTD Sales'!$M:$M,Brokerage!AB$4)+SUMIFS('YTD Purchases'!$H:$H,'YTD Purchases'!$C:$C,Brokerage!$B52,'YTD Purchases'!$G:$G,Brokerage!AB$4)</f>
        <v>0</v>
      </c>
      <c r="AC52" s="857">
        <f>SUMIFS('YTD Sales'!$N:$N,'YTD Sales'!$B:$B,Brokerage!$B52,'YTD Sales'!$M:$M,Brokerage!AC$4)+SUMIFS('YTD Purchases'!$H:$H,'YTD Purchases'!$C:$C,Brokerage!$B52,'YTD Purchases'!$G:$G,Brokerage!AC$4)</f>
        <v>0</v>
      </c>
      <c r="AD52" s="857">
        <f>+SUMIFS(PIB!AG:AG,PIB!AF:AF,Brokerage!AD$4,PIB!AA:AA,Brokerage!$B52)+SUMIFS('T-Bills'!AB:AB,'T-Bills'!AA:AA,Brokerage!AD$4,'T-Bills'!V:V,Brokerage!$B52)</f>
        <v>0</v>
      </c>
      <c r="AE52" s="857">
        <f>+SUMIFS(PIB!AH:AH,PIB!AG:AG,Brokerage!AE$4,PIB!AB:AB,Brokerage!$B52)+SUMIFS('T-Bills'!AC:AC,'T-Bills'!AB:AB,Brokerage!AE$4,'T-Bills'!W:W,Brokerage!$B52)</f>
        <v>0</v>
      </c>
      <c r="AF52" s="857">
        <f>+SUMIFS(PIB!AI:AI,PIB!AH:AH,Brokerage!AF$4,PIB!AC:AC,Brokerage!$B52)+SUMIFS('T-Bills'!AD:AD,'T-Bills'!AC:AC,Brokerage!AF$4,'T-Bills'!X:X,Brokerage!$B52)</f>
        <v>0</v>
      </c>
      <c r="AG52" s="857">
        <f t="shared" si="3"/>
        <v>0</v>
      </c>
      <c r="AH52" s="858">
        <f t="shared" si="8"/>
        <v>0</v>
      </c>
    </row>
    <row r="53" spans="2:34" x14ac:dyDescent="0.15">
      <c r="B53" s="661">
        <f t="shared" si="2"/>
        <v>44609</v>
      </c>
      <c r="C53" s="857">
        <f>SUMIFS('YTD Sales'!$N:$N,'YTD Sales'!$B:$B,Brokerage!$B53,'YTD Sales'!$M:$M,Brokerage!C$4)+SUMIFS('YTD Purchases'!$H:$H,'YTD Purchases'!$C:$C,Brokerage!$B53,'YTD Purchases'!$G:$G,Brokerage!C$4)</f>
        <v>0</v>
      </c>
      <c r="D53" s="857">
        <f>SUMIFS('YTD Sales'!$N:$N,'YTD Sales'!$B:$B,Brokerage!$B53,'YTD Sales'!$M:$M,Brokerage!D$4)+SUMIFS('YTD Purchases'!$H:$H,'YTD Purchases'!$C:$C,Brokerage!$B53,'YTD Purchases'!$G:$G,Brokerage!D$4)</f>
        <v>0</v>
      </c>
      <c r="E53" s="857">
        <f>SUMIFS('YTD Sales'!$N:$N,'YTD Sales'!$B:$B,Brokerage!$B53,'YTD Sales'!$M:$M,Brokerage!E$4)+SUMIFS('YTD Purchases'!$H:$H,'YTD Purchases'!$C:$C,Brokerage!$B53,'YTD Purchases'!$G:$G,Brokerage!E$4)</f>
        <v>0</v>
      </c>
      <c r="F53" s="857">
        <f>SUMIFS('YTD Sales'!$N:$N,'YTD Sales'!$B:$B,Brokerage!$B53,'YTD Sales'!$M:$M,Brokerage!F$4)+SUMIFS('YTD Purchases'!$H:$H,'YTD Purchases'!$C:$C,Brokerage!$B53,'YTD Purchases'!$G:$G,Brokerage!F$4)</f>
        <v>0</v>
      </c>
      <c r="G53" s="857">
        <f>SUMIFS('YTD Sales'!$N:$N,'YTD Sales'!$B:$B,Brokerage!$B53,'YTD Sales'!$M:$M,Brokerage!G$4)+SUMIFS('YTD Purchases'!$H:$H,'YTD Purchases'!$C:$C,Brokerage!$B53,'YTD Purchases'!$G:$G,Brokerage!G$4)</f>
        <v>58138.499999999993</v>
      </c>
      <c r="H53" s="857">
        <f>SUMIFS('YTD Sales'!$N:$N,'YTD Sales'!$B:$B,Brokerage!$B53,'YTD Sales'!$M:$M,Brokerage!H$4)+SUMIFS('YTD Purchases'!$H:$H,'YTD Purchases'!$C:$C,Brokerage!$B53,'YTD Purchases'!$G:$G,Brokerage!H$4)</f>
        <v>0</v>
      </c>
      <c r="I53" s="857">
        <f>SUMIFS('YTD Sales'!$N:$N,'YTD Sales'!$B:$B,Brokerage!$B53,'YTD Sales'!$M:$M,Brokerage!I$4)+SUMIFS('YTD Purchases'!$H:$H,'YTD Purchases'!$C:$C,Brokerage!$B53,'YTD Purchases'!$G:$G,Brokerage!I$4)</f>
        <v>0</v>
      </c>
      <c r="J53" s="857">
        <f>SUMIFS('YTD Sales'!$N:$N,'YTD Sales'!$B:$B,Brokerage!$B53,'YTD Sales'!$M:$M,Brokerage!J$4)+SUMIFS('YTD Purchases'!$H:$H,'YTD Purchases'!$C:$C,Brokerage!$B53,'YTD Purchases'!$G:$G,Brokerage!J$4)</f>
        <v>0</v>
      </c>
      <c r="K53" s="857">
        <f>SUMIFS('YTD Sales'!$N:$N,'YTD Sales'!$B:$B,Brokerage!$B53,'YTD Sales'!$M:$M,Brokerage!K$4)+SUMIFS('YTD Purchases'!$H:$H,'YTD Purchases'!$C:$C,Brokerage!$B53,'YTD Purchases'!$G:$G,Brokerage!K$4)</f>
        <v>0</v>
      </c>
      <c r="L53" s="857">
        <f>SUMIFS('YTD Sales'!$N:$N,'YTD Sales'!$B:$B,Brokerage!$B53,'YTD Sales'!$M:$M,Brokerage!L$4)+SUMIFS('YTD Purchases'!$H:$H,'YTD Purchases'!$C:$C,Brokerage!$B53,'YTD Purchases'!$G:$G,Brokerage!L$4)</f>
        <v>0</v>
      </c>
      <c r="M53" s="857">
        <f>SUMIFS('YTD Sales'!$N:$N,'YTD Sales'!$B:$B,Brokerage!$B53,'YTD Sales'!$M:$M,Brokerage!M$4)+SUMIFS('YTD Purchases'!$H:$H,'YTD Purchases'!$C:$C,Brokerage!$B53,'YTD Purchases'!$G:$G,Brokerage!M$4)</f>
        <v>0</v>
      </c>
      <c r="N53" s="857">
        <f>SUMIFS('YTD Sales'!$N:$N,'YTD Sales'!$B:$B,Brokerage!$B53,'YTD Sales'!$M:$M,Brokerage!N$4)+SUMIFS('YTD Purchases'!$H:$H,'YTD Purchases'!$C:$C,Brokerage!$B53,'YTD Purchases'!$G:$G,Brokerage!N$4)</f>
        <v>0</v>
      </c>
      <c r="O53" s="857">
        <f>SUMIFS('YTD Sales'!$N:$N,'YTD Sales'!$B:$B,Brokerage!$B53,'YTD Sales'!$M:$M,Brokerage!O$4)+SUMIFS('YTD Purchases'!$H:$H,'YTD Purchases'!$C:$C,Brokerage!$B53,'YTD Purchases'!$G:$G,Brokerage!O$4)</f>
        <v>0</v>
      </c>
      <c r="P53" s="857">
        <f>SUMIFS('YTD Sales'!$N:$N,'YTD Sales'!$B:$B,Brokerage!$B53,'YTD Sales'!$M:$M,Brokerage!P$4)+SUMIFS('YTD Purchases'!$H:$H,'YTD Purchases'!$C:$C,Brokerage!$B53,'YTD Purchases'!$G:$G,Brokerage!P$4)</f>
        <v>0</v>
      </c>
      <c r="Q53" s="857">
        <f>SUMIFS('YTD Sales'!$N:$N,'YTD Sales'!$B:$B,Brokerage!$B53,'YTD Sales'!$M:$M,Brokerage!Q$4)+SUMIFS('YTD Purchases'!$H:$H,'YTD Purchases'!$C:$C,Brokerage!$B53,'YTD Purchases'!$G:$G,Brokerage!Q$4)</f>
        <v>7907.165</v>
      </c>
      <c r="R53" s="857">
        <f>SUMIFS('YTD Sales'!$N:$N,'YTD Sales'!$B:$B,Brokerage!$B53,'YTD Sales'!$M:$M,Brokerage!R$4)+SUMIFS('YTD Purchases'!$H:$H,'YTD Purchases'!$C:$C,Brokerage!$B53,'YTD Purchases'!$G:$G,Brokerage!R$4)</f>
        <v>0</v>
      </c>
      <c r="S53" s="857">
        <f>SUMIFS('YTD Sales'!$N:$N,'YTD Sales'!$B:$B,Brokerage!$B53,'YTD Sales'!$M:$M,Brokerage!S$4)+SUMIFS('YTD Purchases'!$H:$H,'YTD Purchases'!$C:$C,Brokerage!$B53,'YTD Purchases'!$G:$G,Brokerage!S$4)</f>
        <v>0</v>
      </c>
      <c r="T53" s="857">
        <f>SUMIFS('YTD Sales'!$N:$N,'YTD Sales'!$B:$B,Brokerage!$B53,'YTD Sales'!$M:$M,Brokerage!T$4)+SUMIFS('YTD Purchases'!$H:$H,'YTD Purchases'!$C:$C,Brokerage!$B53,'YTD Purchases'!$G:$G,Brokerage!T$4)</f>
        <v>0</v>
      </c>
      <c r="U53" s="857">
        <f>SUMIFS('YTD Sales'!$N:$N,'YTD Sales'!$B:$B,Brokerage!$B53,'YTD Sales'!$M:$M,Brokerage!U$4)+SUMIFS('YTD Purchases'!$H:$H,'YTD Purchases'!$C:$C,Brokerage!$B53,'YTD Purchases'!$G:$G,Brokerage!U$4)</f>
        <v>0</v>
      </c>
      <c r="V53" s="857">
        <f>SUMIFS('YTD Sales'!$N:$N,'YTD Sales'!$B:$B,Brokerage!$B53,'YTD Sales'!$M:$M,Brokerage!V$4)+SUMIFS('YTD Purchases'!$H:$H,'YTD Purchases'!$C:$C,Brokerage!$B53,'YTD Purchases'!$G:$G,Brokerage!V$4)</f>
        <v>0</v>
      </c>
      <c r="W53" s="857">
        <f>SUMIFS('YTD Sales'!$N:$N,'YTD Sales'!$B:$B,Brokerage!$B53,'YTD Sales'!$M:$M,Brokerage!W$4)+SUMIFS('YTD Purchases'!$H:$H,'YTD Purchases'!$C:$C,Brokerage!$B53,'YTD Purchases'!$G:$G,Brokerage!W$4)</f>
        <v>0</v>
      </c>
      <c r="X53" s="857">
        <f>SUMIFS('YTD Sales'!$N:$N,'YTD Sales'!$B:$B,Brokerage!$B53,'YTD Sales'!$M:$M,Brokerage!X$4)+SUMIFS('YTD Purchases'!$H:$H,'YTD Purchases'!$C:$C,Brokerage!$B53,'YTD Purchases'!$G:$G,Brokerage!X$4)</f>
        <v>0</v>
      </c>
      <c r="Y53" s="857">
        <f>SUMIFS('YTD Sales'!$N:$N,'YTD Sales'!$B:$B,Brokerage!$B53,'YTD Sales'!$M:$M,Brokerage!Y$4)+SUMIFS('YTD Purchases'!$H:$H,'YTD Purchases'!$C:$C,Brokerage!$B53,'YTD Purchases'!$G:$G,Brokerage!Y$4)</f>
        <v>0</v>
      </c>
      <c r="Z53" s="857">
        <f>SUMIFS('YTD Sales'!$N:$N,'YTD Sales'!$B:$B,Brokerage!$B53,'YTD Sales'!$M:$M,Brokerage!Z$4)+SUMIFS('YTD Purchases'!$H:$H,'YTD Purchases'!$C:$C,Brokerage!$B53,'YTD Purchases'!$G:$G,Brokerage!Z$4)</f>
        <v>0</v>
      </c>
      <c r="AA53" s="857">
        <f>SUMIFS('YTD Sales'!$N:$N,'YTD Sales'!$B:$B,Brokerage!$B53,'YTD Sales'!$M:$M,Brokerage!AA$4)+SUMIFS('YTD Purchases'!$H:$H,'YTD Purchases'!$C:$C,Brokerage!$B53,'YTD Purchases'!$G:$G,Brokerage!AA$4)</f>
        <v>0</v>
      </c>
      <c r="AB53" s="857">
        <f>SUMIFS('YTD Sales'!$N:$N,'YTD Sales'!$B:$B,Brokerage!$B53,'YTD Sales'!$M:$M,Brokerage!AB$4)+SUMIFS('YTD Purchases'!$H:$H,'YTD Purchases'!$C:$C,Brokerage!$B53,'YTD Purchases'!$G:$G,Brokerage!AB$4)</f>
        <v>0</v>
      </c>
      <c r="AC53" s="857">
        <f>SUMIFS('YTD Sales'!$N:$N,'YTD Sales'!$B:$B,Brokerage!$B53,'YTD Sales'!$M:$M,Brokerage!AC$4)+SUMIFS('YTD Purchases'!$H:$H,'YTD Purchases'!$C:$C,Brokerage!$B53,'YTD Purchases'!$G:$G,Brokerage!AC$4)</f>
        <v>0</v>
      </c>
      <c r="AD53" s="857">
        <f>+SUMIFS(PIB!AG:AG,PIB!AF:AF,Brokerage!AD$4,PIB!AA:AA,Brokerage!$B53)+SUMIFS('T-Bills'!AB:AB,'T-Bills'!AA:AA,Brokerage!AD$4,'T-Bills'!V:V,Brokerage!$B53)</f>
        <v>0</v>
      </c>
      <c r="AE53" s="857">
        <f>+SUMIFS(PIB!AH:AH,PIB!AG:AG,Brokerage!AE$4,PIB!AB:AB,Brokerage!$B53)+SUMIFS('T-Bills'!AC:AC,'T-Bills'!AB:AB,Brokerage!AE$4,'T-Bills'!W:W,Brokerage!$B53)</f>
        <v>0</v>
      </c>
      <c r="AF53" s="857">
        <f>+SUMIFS(PIB!AI:AI,PIB!AH:AH,Brokerage!AF$4,PIB!AC:AC,Brokerage!$B53)+SUMIFS('T-Bills'!AD:AD,'T-Bills'!AC:AC,Brokerage!AF$4,'T-Bills'!X:X,Brokerage!$B53)</f>
        <v>0</v>
      </c>
      <c r="AG53" s="857">
        <f t="shared" si="3"/>
        <v>66045.664999999994</v>
      </c>
      <c r="AH53" s="858">
        <f t="shared" si="8"/>
        <v>3</v>
      </c>
    </row>
    <row r="54" spans="2:34" x14ac:dyDescent="0.15">
      <c r="B54" s="661">
        <f t="shared" si="2"/>
        <v>44610</v>
      </c>
      <c r="C54" s="857">
        <f>SUMIFS('YTD Sales'!$N:$N,'YTD Sales'!$B:$B,Brokerage!$B54,'YTD Sales'!$M:$M,Brokerage!C$4)+SUMIFS('YTD Purchases'!$H:$H,'YTD Purchases'!$C:$C,Brokerage!$B54,'YTD Purchases'!$G:$G,Brokerage!C$4)</f>
        <v>0</v>
      </c>
      <c r="D54" s="857">
        <f>SUMIFS('YTD Sales'!$N:$N,'YTD Sales'!$B:$B,Brokerage!$B54,'YTD Sales'!$M:$M,Brokerage!D$4)+SUMIFS('YTD Purchases'!$H:$H,'YTD Purchases'!$C:$C,Brokerage!$B54,'YTD Purchases'!$G:$G,Brokerage!D$4)</f>
        <v>0</v>
      </c>
      <c r="E54" s="857">
        <f>SUMIFS('YTD Sales'!$N:$N,'YTD Sales'!$B:$B,Brokerage!$B54,'YTD Sales'!$M:$M,Brokerage!E$4)+SUMIFS('YTD Purchases'!$H:$H,'YTD Purchases'!$C:$C,Brokerage!$B54,'YTD Purchases'!$G:$G,Brokerage!E$4)</f>
        <v>0</v>
      </c>
      <c r="F54" s="857">
        <f>SUMIFS('YTD Sales'!$N:$N,'YTD Sales'!$B:$B,Brokerage!$B54,'YTD Sales'!$M:$M,Brokerage!F$4)+SUMIFS('YTD Purchases'!$H:$H,'YTD Purchases'!$C:$C,Brokerage!$B54,'YTD Purchases'!$G:$G,Brokerage!F$4)</f>
        <v>0</v>
      </c>
      <c r="G54" s="857">
        <f>SUMIFS('YTD Sales'!$N:$N,'YTD Sales'!$B:$B,Brokerage!$B54,'YTD Sales'!$M:$M,Brokerage!G$4)+SUMIFS('YTD Purchases'!$H:$H,'YTD Purchases'!$C:$C,Brokerage!$B54,'YTD Purchases'!$G:$G,Brokerage!G$4)</f>
        <v>0</v>
      </c>
      <c r="H54" s="857">
        <f>SUMIFS('YTD Sales'!$N:$N,'YTD Sales'!$B:$B,Brokerage!$B54,'YTD Sales'!$M:$M,Brokerage!H$4)+SUMIFS('YTD Purchases'!$H:$H,'YTD Purchases'!$C:$C,Brokerage!$B54,'YTD Purchases'!$G:$G,Brokerage!H$4)</f>
        <v>0</v>
      </c>
      <c r="I54" s="857">
        <f>SUMIFS('YTD Sales'!$N:$N,'YTD Sales'!$B:$B,Brokerage!$B54,'YTD Sales'!$M:$M,Brokerage!I$4)+SUMIFS('YTD Purchases'!$H:$H,'YTD Purchases'!$C:$C,Brokerage!$B54,'YTD Purchases'!$G:$G,Brokerage!I$4)</f>
        <v>0</v>
      </c>
      <c r="J54" s="857">
        <f>SUMIFS('YTD Sales'!$N:$N,'YTD Sales'!$B:$B,Brokerage!$B54,'YTD Sales'!$M:$M,Brokerage!J$4)+SUMIFS('YTD Purchases'!$H:$H,'YTD Purchases'!$C:$C,Brokerage!$B54,'YTD Purchases'!$G:$G,Brokerage!J$4)</f>
        <v>0</v>
      </c>
      <c r="K54" s="857">
        <f>SUMIFS('YTD Sales'!$N:$N,'YTD Sales'!$B:$B,Brokerage!$B54,'YTD Sales'!$M:$M,Brokerage!K$4)+SUMIFS('YTD Purchases'!$H:$H,'YTD Purchases'!$C:$C,Brokerage!$B54,'YTD Purchases'!$G:$G,Brokerage!K$4)</f>
        <v>0</v>
      </c>
      <c r="L54" s="857">
        <f>SUMIFS('YTD Sales'!$N:$N,'YTD Sales'!$B:$B,Brokerage!$B54,'YTD Sales'!$M:$M,Brokerage!L$4)+SUMIFS('YTD Purchases'!$H:$H,'YTD Purchases'!$C:$C,Brokerage!$B54,'YTD Purchases'!$G:$G,Brokerage!L$4)</f>
        <v>0</v>
      </c>
      <c r="M54" s="857">
        <f>SUMIFS('YTD Sales'!$N:$N,'YTD Sales'!$B:$B,Brokerage!$B54,'YTD Sales'!$M:$M,Brokerage!M$4)+SUMIFS('YTD Purchases'!$H:$H,'YTD Purchases'!$C:$C,Brokerage!$B54,'YTD Purchases'!$G:$G,Brokerage!M$4)</f>
        <v>0</v>
      </c>
      <c r="N54" s="857">
        <f>SUMIFS('YTD Sales'!$N:$N,'YTD Sales'!$B:$B,Brokerage!$B54,'YTD Sales'!$M:$M,Brokerage!N$4)+SUMIFS('YTD Purchases'!$H:$H,'YTD Purchases'!$C:$C,Brokerage!$B54,'YTD Purchases'!$G:$G,Brokerage!N$4)</f>
        <v>0</v>
      </c>
      <c r="O54" s="857">
        <f>SUMIFS('YTD Sales'!$N:$N,'YTD Sales'!$B:$B,Brokerage!$B54,'YTD Sales'!$M:$M,Brokerage!O$4)+SUMIFS('YTD Purchases'!$H:$H,'YTD Purchases'!$C:$C,Brokerage!$B54,'YTD Purchases'!$G:$G,Brokerage!O$4)</f>
        <v>0</v>
      </c>
      <c r="P54" s="857">
        <f>SUMIFS('YTD Sales'!$N:$N,'YTD Sales'!$B:$B,Brokerage!$B54,'YTD Sales'!$M:$M,Brokerage!P$4)+SUMIFS('YTD Purchases'!$H:$H,'YTD Purchases'!$C:$C,Brokerage!$B54,'YTD Purchases'!$G:$G,Brokerage!P$4)</f>
        <v>0</v>
      </c>
      <c r="Q54" s="857">
        <f>SUMIFS('YTD Sales'!$N:$N,'YTD Sales'!$B:$B,Brokerage!$B54,'YTD Sales'!$M:$M,Brokerage!Q$4)+SUMIFS('YTD Purchases'!$H:$H,'YTD Purchases'!$C:$C,Brokerage!$B54,'YTD Purchases'!$G:$G,Brokerage!Q$4)</f>
        <v>0</v>
      </c>
      <c r="R54" s="857">
        <f>SUMIFS('YTD Sales'!$N:$N,'YTD Sales'!$B:$B,Brokerage!$B54,'YTD Sales'!$M:$M,Brokerage!R$4)+SUMIFS('YTD Purchases'!$H:$H,'YTD Purchases'!$C:$C,Brokerage!$B54,'YTD Purchases'!$G:$G,Brokerage!R$4)</f>
        <v>0</v>
      </c>
      <c r="S54" s="857">
        <f>SUMIFS('YTD Sales'!$N:$N,'YTD Sales'!$B:$B,Brokerage!$B54,'YTD Sales'!$M:$M,Brokerage!S$4)+SUMIFS('YTD Purchases'!$H:$H,'YTD Purchases'!$C:$C,Brokerage!$B54,'YTD Purchases'!$G:$G,Brokerage!S$4)</f>
        <v>0</v>
      </c>
      <c r="T54" s="857">
        <f>SUMIFS('YTD Sales'!$N:$N,'YTD Sales'!$B:$B,Brokerage!$B54,'YTD Sales'!$M:$M,Brokerage!T$4)+SUMIFS('YTD Purchases'!$H:$H,'YTD Purchases'!$C:$C,Brokerage!$B54,'YTD Purchases'!$G:$G,Brokerage!T$4)</f>
        <v>0</v>
      </c>
      <c r="U54" s="857">
        <f>SUMIFS('YTD Sales'!$N:$N,'YTD Sales'!$B:$B,Brokerage!$B54,'YTD Sales'!$M:$M,Brokerage!U$4)+SUMIFS('YTD Purchases'!$H:$H,'YTD Purchases'!$C:$C,Brokerage!$B54,'YTD Purchases'!$G:$G,Brokerage!U$4)</f>
        <v>0</v>
      </c>
      <c r="V54" s="857">
        <f>SUMIFS('YTD Sales'!$N:$N,'YTD Sales'!$B:$B,Brokerage!$B54,'YTD Sales'!$M:$M,Brokerage!V$4)+SUMIFS('YTD Purchases'!$H:$H,'YTD Purchases'!$C:$C,Brokerage!$B54,'YTD Purchases'!$G:$G,Brokerage!V$4)</f>
        <v>0</v>
      </c>
      <c r="W54" s="857">
        <f>SUMIFS('YTD Sales'!$N:$N,'YTD Sales'!$B:$B,Brokerage!$B54,'YTD Sales'!$M:$M,Brokerage!W$4)+SUMIFS('YTD Purchases'!$H:$H,'YTD Purchases'!$C:$C,Brokerage!$B54,'YTD Purchases'!$G:$G,Brokerage!W$4)</f>
        <v>0</v>
      </c>
      <c r="X54" s="857">
        <f>SUMIFS('YTD Sales'!$N:$N,'YTD Sales'!$B:$B,Brokerage!$B54,'YTD Sales'!$M:$M,Brokerage!X$4)+SUMIFS('YTD Purchases'!$H:$H,'YTD Purchases'!$C:$C,Brokerage!$B54,'YTD Purchases'!$G:$G,Brokerage!X$4)</f>
        <v>8628.737000000001</v>
      </c>
      <c r="Y54" s="857">
        <f>SUMIFS('YTD Sales'!$N:$N,'YTD Sales'!$B:$B,Brokerage!$B54,'YTD Sales'!$M:$M,Brokerage!Y$4)+SUMIFS('YTD Purchases'!$H:$H,'YTD Purchases'!$C:$C,Brokerage!$B54,'YTD Purchases'!$G:$G,Brokerage!Y$4)</f>
        <v>0</v>
      </c>
      <c r="Z54" s="857">
        <f>SUMIFS('YTD Sales'!$N:$N,'YTD Sales'!$B:$B,Brokerage!$B54,'YTD Sales'!$M:$M,Brokerage!Z$4)+SUMIFS('YTD Purchases'!$H:$H,'YTD Purchases'!$C:$C,Brokerage!$B54,'YTD Purchases'!$G:$G,Brokerage!Z$4)</f>
        <v>0</v>
      </c>
      <c r="AA54" s="857">
        <f>SUMIFS('YTD Sales'!$N:$N,'YTD Sales'!$B:$B,Brokerage!$B54,'YTD Sales'!$M:$M,Brokerage!AA$4)+SUMIFS('YTD Purchases'!$H:$H,'YTD Purchases'!$C:$C,Brokerage!$B54,'YTD Purchases'!$G:$G,Brokerage!AA$4)</f>
        <v>0</v>
      </c>
      <c r="AB54" s="857">
        <f>SUMIFS('YTD Sales'!$N:$N,'YTD Sales'!$B:$B,Brokerage!$B54,'YTD Sales'!$M:$M,Brokerage!AB$4)+SUMIFS('YTD Purchases'!$H:$H,'YTD Purchases'!$C:$C,Brokerage!$B54,'YTD Purchases'!$G:$G,Brokerage!AB$4)</f>
        <v>0</v>
      </c>
      <c r="AC54" s="857">
        <f>SUMIFS('YTD Sales'!$N:$N,'YTD Sales'!$B:$B,Brokerage!$B54,'YTD Sales'!$M:$M,Brokerage!AC$4)+SUMIFS('YTD Purchases'!$H:$H,'YTD Purchases'!$C:$C,Brokerage!$B54,'YTD Purchases'!$G:$G,Brokerage!AC$4)</f>
        <v>0</v>
      </c>
      <c r="AD54" s="857">
        <f>+SUMIFS(PIB!AG:AG,PIB!AF:AF,Brokerage!AD$4,PIB!AA:AA,Brokerage!$B54)+SUMIFS('T-Bills'!AB:AB,'T-Bills'!AA:AA,Brokerage!AD$4,'T-Bills'!V:V,Brokerage!$B54)</f>
        <v>0</v>
      </c>
      <c r="AE54" s="857">
        <f>+SUMIFS(PIB!AH:AH,PIB!AG:AG,Brokerage!AE$4,PIB!AB:AB,Brokerage!$B54)+SUMIFS('T-Bills'!AC:AC,'T-Bills'!AB:AB,Brokerage!AE$4,'T-Bills'!W:W,Brokerage!$B54)</f>
        <v>0</v>
      </c>
      <c r="AF54" s="857">
        <f>+SUMIFS(PIB!AI:AI,PIB!AH:AH,Brokerage!AF$4,PIB!AC:AC,Brokerage!$B54)+SUMIFS('T-Bills'!AD:AD,'T-Bills'!AC:AC,Brokerage!AF$4,'T-Bills'!X:X,Brokerage!$B54)</f>
        <v>0</v>
      </c>
      <c r="AG54" s="857">
        <f t="shared" si="3"/>
        <v>8628.737000000001</v>
      </c>
      <c r="AH54" s="858">
        <f t="shared" si="8"/>
        <v>0</v>
      </c>
    </row>
    <row r="55" spans="2:34" x14ac:dyDescent="0.15">
      <c r="B55" s="661">
        <f t="shared" si="2"/>
        <v>44611</v>
      </c>
      <c r="C55" s="857">
        <f>SUMIFS('YTD Sales'!$N:$N,'YTD Sales'!$B:$B,Brokerage!$B55,'YTD Sales'!$M:$M,Brokerage!C$4)+SUMIFS('YTD Purchases'!$H:$H,'YTD Purchases'!$C:$C,Brokerage!$B55,'YTD Purchases'!$G:$G,Brokerage!C$4)</f>
        <v>0</v>
      </c>
      <c r="D55" s="857">
        <f>SUMIFS('YTD Sales'!$N:$N,'YTD Sales'!$B:$B,Brokerage!$B55,'YTD Sales'!$M:$M,Brokerage!D$4)+SUMIFS('YTD Purchases'!$H:$H,'YTD Purchases'!$C:$C,Brokerage!$B55,'YTD Purchases'!$G:$G,Brokerage!D$4)</f>
        <v>0</v>
      </c>
      <c r="E55" s="857">
        <f>SUMIFS('YTD Sales'!$N:$N,'YTD Sales'!$B:$B,Brokerage!$B55,'YTD Sales'!$M:$M,Brokerage!E$4)+SUMIFS('YTD Purchases'!$H:$H,'YTD Purchases'!$C:$C,Brokerage!$B55,'YTD Purchases'!$G:$G,Brokerage!E$4)</f>
        <v>0</v>
      </c>
      <c r="F55" s="857">
        <f>SUMIFS('YTD Sales'!$N:$N,'YTD Sales'!$B:$B,Brokerage!$B55,'YTD Sales'!$M:$M,Brokerage!F$4)+SUMIFS('YTD Purchases'!$H:$H,'YTD Purchases'!$C:$C,Brokerage!$B55,'YTD Purchases'!$G:$G,Brokerage!F$4)</f>
        <v>0</v>
      </c>
      <c r="G55" s="857">
        <f>SUMIFS('YTD Sales'!$N:$N,'YTD Sales'!$B:$B,Brokerage!$B55,'YTD Sales'!$M:$M,Brokerage!G$4)+SUMIFS('YTD Purchases'!$H:$H,'YTD Purchases'!$C:$C,Brokerage!$B55,'YTD Purchases'!$G:$G,Brokerage!G$4)</f>
        <v>0</v>
      </c>
      <c r="H55" s="857">
        <f>SUMIFS('YTD Sales'!$N:$N,'YTD Sales'!$B:$B,Brokerage!$B55,'YTD Sales'!$M:$M,Brokerage!H$4)+SUMIFS('YTD Purchases'!$H:$H,'YTD Purchases'!$C:$C,Brokerage!$B55,'YTD Purchases'!$G:$G,Brokerage!H$4)</f>
        <v>0</v>
      </c>
      <c r="I55" s="857">
        <f>SUMIFS('YTD Sales'!$N:$N,'YTD Sales'!$B:$B,Brokerage!$B55,'YTD Sales'!$M:$M,Brokerage!I$4)+SUMIFS('YTD Purchases'!$H:$H,'YTD Purchases'!$C:$C,Brokerage!$B55,'YTD Purchases'!$G:$G,Brokerage!I$4)</f>
        <v>0</v>
      </c>
      <c r="J55" s="857">
        <f>SUMIFS('YTD Sales'!$N:$N,'YTD Sales'!$B:$B,Brokerage!$B55,'YTD Sales'!$M:$M,Brokerage!J$4)+SUMIFS('YTD Purchases'!$H:$H,'YTD Purchases'!$C:$C,Brokerage!$B55,'YTD Purchases'!$G:$G,Brokerage!J$4)</f>
        <v>0</v>
      </c>
      <c r="K55" s="857">
        <f>SUMIFS('YTD Sales'!$N:$N,'YTD Sales'!$B:$B,Brokerage!$B55,'YTD Sales'!$M:$M,Brokerage!K$4)+SUMIFS('YTD Purchases'!$H:$H,'YTD Purchases'!$C:$C,Brokerage!$B55,'YTD Purchases'!$G:$G,Brokerage!K$4)</f>
        <v>0</v>
      </c>
      <c r="L55" s="857">
        <f>SUMIFS('YTD Sales'!$N:$N,'YTD Sales'!$B:$B,Brokerage!$B55,'YTD Sales'!$M:$M,Brokerage!L$4)+SUMIFS('YTD Purchases'!$H:$H,'YTD Purchases'!$C:$C,Brokerage!$B55,'YTD Purchases'!$G:$G,Brokerage!L$4)</f>
        <v>0</v>
      </c>
      <c r="M55" s="857">
        <f>SUMIFS('YTD Sales'!$N:$N,'YTD Sales'!$B:$B,Brokerage!$B55,'YTD Sales'!$M:$M,Brokerage!M$4)+SUMIFS('YTD Purchases'!$H:$H,'YTD Purchases'!$C:$C,Brokerage!$B55,'YTD Purchases'!$G:$G,Brokerage!M$4)</f>
        <v>0</v>
      </c>
      <c r="N55" s="857">
        <f>SUMIFS('YTD Sales'!$N:$N,'YTD Sales'!$B:$B,Brokerage!$B55,'YTD Sales'!$M:$M,Brokerage!N$4)+SUMIFS('YTD Purchases'!$H:$H,'YTD Purchases'!$C:$C,Brokerage!$B55,'YTD Purchases'!$G:$G,Brokerage!N$4)</f>
        <v>0</v>
      </c>
      <c r="O55" s="857">
        <f>SUMIFS('YTD Sales'!$N:$N,'YTD Sales'!$B:$B,Brokerage!$B55,'YTD Sales'!$M:$M,Brokerage!O$4)+SUMIFS('YTD Purchases'!$H:$H,'YTD Purchases'!$C:$C,Brokerage!$B55,'YTD Purchases'!$G:$G,Brokerage!O$4)</f>
        <v>0</v>
      </c>
      <c r="P55" s="857">
        <f>SUMIFS('YTD Sales'!$N:$N,'YTD Sales'!$B:$B,Brokerage!$B55,'YTD Sales'!$M:$M,Brokerage!P$4)+SUMIFS('YTD Purchases'!$H:$H,'YTD Purchases'!$C:$C,Brokerage!$B55,'YTD Purchases'!$G:$G,Brokerage!P$4)</f>
        <v>0</v>
      </c>
      <c r="Q55" s="857">
        <f>SUMIFS('YTD Sales'!$N:$N,'YTD Sales'!$B:$B,Brokerage!$B55,'YTD Sales'!$M:$M,Brokerage!Q$4)+SUMIFS('YTD Purchases'!$H:$H,'YTD Purchases'!$C:$C,Brokerage!$B55,'YTD Purchases'!$G:$G,Brokerage!Q$4)</f>
        <v>0</v>
      </c>
      <c r="R55" s="857">
        <f>SUMIFS('YTD Sales'!$N:$N,'YTD Sales'!$B:$B,Brokerage!$B55,'YTD Sales'!$M:$M,Brokerage!R$4)+SUMIFS('YTD Purchases'!$H:$H,'YTD Purchases'!$C:$C,Brokerage!$B55,'YTD Purchases'!$G:$G,Brokerage!R$4)</f>
        <v>0</v>
      </c>
      <c r="S55" s="857">
        <f>SUMIFS('YTD Sales'!$N:$N,'YTD Sales'!$B:$B,Brokerage!$B55,'YTD Sales'!$M:$M,Brokerage!S$4)+SUMIFS('YTD Purchases'!$H:$H,'YTD Purchases'!$C:$C,Brokerage!$B55,'YTD Purchases'!$G:$G,Brokerage!S$4)</f>
        <v>0</v>
      </c>
      <c r="T55" s="857">
        <f>SUMIFS('YTD Sales'!$N:$N,'YTD Sales'!$B:$B,Brokerage!$B55,'YTD Sales'!$M:$M,Brokerage!T$4)+SUMIFS('YTD Purchases'!$H:$H,'YTD Purchases'!$C:$C,Brokerage!$B55,'YTD Purchases'!$G:$G,Brokerage!T$4)</f>
        <v>0</v>
      </c>
      <c r="U55" s="857">
        <f>SUMIFS('YTD Sales'!$N:$N,'YTD Sales'!$B:$B,Brokerage!$B55,'YTD Sales'!$M:$M,Brokerage!U$4)+SUMIFS('YTD Purchases'!$H:$H,'YTD Purchases'!$C:$C,Brokerage!$B55,'YTD Purchases'!$G:$G,Brokerage!U$4)</f>
        <v>0</v>
      </c>
      <c r="V55" s="857">
        <f>SUMIFS('YTD Sales'!$N:$N,'YTD Sales'!$B:$B,Brokerage!$B55,'YTD Sales'!$M:$M,Brokerage!V$4)+SUMIFS('YTD Purchases'!$H:$H,'YTD Purchases'!$C:$C,Brokerage!$B55,'YTD Purchases'!$G:$G,Brokerage!V$4)</f>
        <v>0</v>
      </c>
      <c r="W55" s="857">
        <f>SUMIFS('YTD Sales'!$N:$N,'YTD Sales'!$B:$B,Brokerage!$B55,'YTD Sales'!$M:$M,Brokerage!W$4)+SUMIFS('YTD Purchases'!$H:$H,'YTD Purchases'!$C:$C,Brokerage!$B55,'YTD Purchases'!$G:$G,Brokerage!W$4)</f>
        <v>0</v>
      </c>
      <c r="X55" s="857">
        <f>SUMIFS('YTD Sales'!$N:$N,'YTD Sales'!$B:$B,Brokerage!$B55,'YTD Sales'!$M:$M,Brokerage!X$4)+SUMIFS('YTD Purchases'!$H:$H,'YTD Purchases'!$C:$C,Brokerage!$B55,'YTD Purchases'!$G:$G,Brokerage!X$4)</f>
        <v>0</v>
      </c>
      <c r="Y55" s="857">
        <f>SUMIFS('YTD Sales'!$N:$N,'YTD Sales'!$B:$B,Brokerage!$B55,'YTD Sales'!$M:$M,Brokerage!Y$4)+SUMIFS('YTD Purchases'!$H:$H,'YTD Purchases'!$C:$C,Brokerage!$B55,'YTD Purchases'!$G:$G,Brokerage!Y$4)</f>
        <v>0</v>
      </c>
      <c r="Z55" s="857">
        <f>SUMIFS('YTD Sales'!$N:$N,'YTD Sales'!$B:$B,Brokerage!$B55,'YTD Sales'!$M:$M,Brokerage!Z$4)+SUMIFS('YTD Purchases'!$H:$H,'YTD Purchases'!$C:$C,Brokerage!$B55,'YTD Purchases'!$G:$G,Brokerage!Z$4)</f>
        <v>0</v>
      </c>
      <c r="AA55" s="857">
        <f>SUMIFS('YTD Sales'!$N:$N,'YTD Sales'!$B:$B,Brokerage!$B55,'YTD Sales'!$M:$M,Brokerage!AA$4)+SUMIFS('YTD Purchases'!$H:$H,'YTD Purchases'!$C:$C,Brokerage!$B55,'YTD Purchases'!$G:$G,Brokerage!AA$4)</f>
        <v>0</v>
      </c>
      <c r="AB55" s="857">
        <f>SUMIFS('YTD Sales'!$N:$N,'YTD Sales'!$B:$B,Brokerage!$B55,'YTD Sales'!$M:$M,Brokerage!AB$4)+SUMIFS('YTD Purchases'!$H:$H,'YTD Purchases'!$C:$C,Brokerage!$B55,'YTD Purchases'!$G:$G,Brokerage!AB$4)</f>
        <v>0</v>
      </c>
      <c r="AC55" s="857">
        <f>SUMIFS('YTD Sales'!$N:$N,'YTD Sales'!$B:$B,Brokerage!$B55,'YTD Sales'!$M:$M,Brokerage!AC$4)+SUMIFS('YTD Purchases'!$H:$H,'YTD Purchases'!$C:$C,Brokerage!$B55,'YTD Purchases'!$G:$G,Brokerage!AC$4)</f>
        <v>0</v>
      </c>
      <c r="AD55" s="857">
        <f>+SUMIFS(PIB!AG:AG,PIB!AF:AF,Brokerage!AD$4,PIB!AA:AA,Brokerage!$B55)+SUMIFS('T-Bills'!AB:AB,'T-Bills'!AA:AA,Brokerage!AD$4,'T-Bills'!V:V,Brokerage!$B55)</f>
        <v>0</v>
      </c>
      <c r="AE55" s="857">
        <f>+SUMIFS(PIB!AH:AH,PIB!AG:AG,Brokerage!AE$4,PIB!AB:AB,Brokerage!$B55)+SUMIFS('T-Bills'!AC:AC,'T-Bills'!AB:AB,Brokerage!AE$4,'T-Bills'!W:W,Brokerage!$B55)</f>
        <v>0</v>
      </c>
      <c r="AF55" s="857">
        <f>+SUMIFS(PIB!AI:AI,PIB!AH:AH,Brokerage!AF$4,PIB!AC:AC,Brokerage!$B55)+SUMIFS('T-Bills'!AD:AD,'T-Bills'!AC:AC,Brokerage!AF$4,'T-Bills'!X:X,Brokerage!$B55)</f>
        <v>0</v>
      </c>
      <c r="AG55" s="857">
        <f t="shared" si="3"/>
        <v>0</v>
      </c>
      <c r="AH55" s="858">
        <f t="shared" si="8"/>
        <v>0</v>
      </c>
    </row>
    <row r="56" spans="2:34" x14ac:dyDescent="0.15">
      <c r="B56" s="661">
        <f t="shared" si="2"/>
        <v>44612</v>
      </c>
      <c r="C56" s="857">
        <f>SUMIFS('YTD Sales'!$N:$N,'YTD Sales'!$B:$B,Brokerage!$B56,'YTD Sales'!$M:$M,Brokerage!C$4)+SUMIFS('YTD Purchases'!$H:$H,'YTD Purchases'!$C:$C,Brokerage!$B56,'YTD Purchases'!$G:$G,Brokerage!C$4)</f>
        <v>0</v>
      </c>
      <c r="D56" s="857">
        <f>SUMIFS('YTD Sales'!$N:$N,'YTD Sales'!$B:$B,Brokerage!$B56,'YTD Sales'!$M:$M,Brokerage!D$4)+SUMIFS('YTD Purchases'!$H:$H,'YTD Purchases'!$C:$C,Brokerage!$B56,'YTD Purchases'!$G:$G,Brokerage!D$4)</f>
        <v>0</v>
      </c>
      <c r="E56" s="857">
        <f>SUMIFS('YTD Sales'!$N:$N,'YTD Sales'!$B:$B,Brokerage!$B56,'YTD Sales'!$M:$M,Brokerage!E$4)+SUMIFS('YTD Purchases'!$H:$H,'YTD Purchases'!$C:$C,Brokerage!$B56,'YTD Purchases'!$G:$G,Brokerage!E$4)</f>
        <v>0</v>
      </c>
      <c r="F56" s="857">
        <f>SUMIFS('YTD Sales'!$N:$N,'YTD Sales'!$B:$B,Brokerage!$B56,'YTD Sales'!$M:$M,Brokerage!F$4)+SUMIFS('YTD Purchases'!$H:$H,'YTD Purchases'!$C:$C,Brokerage!$B56,'YTD Purchases'!$G:$G,Brokerage!F$4)</f>
        <v>0</v>
      </c>
      <c r="G56" s="857">
        <f>SUMIFS('YTD Sales'!$N:$N,'YTD Sales'!$B:$B,Brokerage!$B56,'YTD Sales'!$M:$M,Brokerage!G$4)+SUMIFS('YTD Purchases'!$H:$H,'YTD Purchases'!$C:$C,Brokerage!$B56,'YTD Purchases'!$G:$G,Brokerage!G$4)</f>
        <v>0</v>
      </c>
      <c r="H56" s="857">
        <f>SUMIFS('YTD Sales'!$N:$N,'YTD Sales'!$B:$B,Brokerage!$B56,'YTD Sales'!$M:$M,Brokerage!H$4)+SUMIFS('YTD Purchases'!$H:$H,'YTD Purchases'!$C:$C,Brokerage!$B56,'YTD Purchases'!$G:$G,Brokerage!H$4)</f>
        <v>0</v>
      </c>
      <c r="I56" s="857">
        <f>SUMIFS('YTD Sales'!$N:$N,'YTD Sales'!$B:$B,Brokerage!$B56,'YTD Sales'!$M:$M,Brokerage!I$4)+SUMIFS('YTD Purchases'!$H:$H,'YTD Purchases'!$C:$C,Brokerage!$B56,'YTD Purchases'!$G:$G,Brokerage!I$4)</f>
        <v>0</v>
      </c>
      <c r="J56" s="857">
        <f>SUMIFS('YTD Sales'!$N:$N,'YTD Sales'!$B:$B,Brokerage!$B56,'YTD Sales'!$M:$M,Brokerage!J$4)+SUMIFS('YTD Purchases'!$H:$H,'YTD Purchases'!$C:$C,Brokerage!$B56,'YTD Purchases'!$G:$G,Brokerage!J$4)</f>
        <v>0</v>
      </c>
      <c r="K56" s="857">
        <f>SUMIFS('YTD Sales'!$N:$N,'YTD Sales'!$B:$B,Brokerage!$B56,'YTD Sales'!$M:$M,Brokerage!K$4)+SUMIFS('YTD Purchases'!$H:$H,'YTD Purchases'!$C:$C,Brokerage!$B56,'YTD Purchases'!$G:$G,Brokerage!K$4)</f>
        <v>0</v>
      </c>
      <c r="L56" s="857">
        <f>SUMIFS('YTD Sales'!$N:$N,'YTD Sales'!$B:$B,Brokerage!$B56,'YTD Sales'!$M:$M,Brokerage!L$4)+SUMIFS('YTD Purchases'!$H:$H,'YTD Purchases'!$C:$C,Brokerage!$B56,'YTD Purchases'!$G:$G,Brokerage!L$4)</f>
        <v>0</v>
      </c>
      <c r="M56" s="857">
        <f>SUMIFS('YTD Sales'!$N:$N,'YTD Sales'!$B:$B,Brokerage!$B56,'YTD Sales'!$M:$M,Brokerage!M$4)+SUMIFS('YTD Purchases'!$H:$H,'YTD Purchases'!$C:$C,Brokerage!$B56,'YTD Purchases'!$G:$G,Brokerage!M$4)</f>
        <v>0</v>
      </c>
      <c r="N56" s="857">
        <f>SUMIFS('YTD Sales'!$N:$N,'YTD Sales'!$B:$B,Brokerage!$B56,'YTD Sales'!$M:$M,Brokerage!N$4)+SUMIFS('YTD Purchases'!$H:$H,'YTD Purchases'!$C:$C,Brokerage!$B56,'YTD Purchases'!$G:$G,Brokerage!N$4)</f>
        <v>0</v>
      </c>
      <c r="O56" s="857">
        <f>SUMIFS('YTD Sales'!$N:$N,'YTD Sales'!$B:$B,Brokerage!$B56,'YTD Sales'!$M:$M,Brokerage!O$4)+SUMIFS('YTD Purchases'!$H:$H,'YTD Purchases'!$C:$C,Brokerage!$B56,'YTD Purchases'!$G:$G,Brokerage!O$4)</f>
        <v>0</v>
      </c>
      <c r="P56" s="857">
        <f>SUMIFS('YTD Sales'!$N:$N,'YTD Sales'!$B:$B,Brokerage!$B56,'YTD Sales'!$M:$M,Brokerage!P$4)+SUMIFS('YTD Purchases'!$H:$H,'YTD Purchases'!$C:$C,Brokerage!$B56,'YTD Purchases'!$G:$G,Brokerage!P$4)</f>
        <v>0</v>
      </c>
      <c r="Q56" s="857">
        <f>SUMIFS('YTD Sales'!$N:$N,'YTD Sales'!$B:$B,Brokerage!$B56,'YTD Sales'!$M:$M,Brokerage!Q$4)+SUMIFS('YTD Purchases'!$H:$H,'YTD Purchases'!$C:$C,Brokerage!$B56,'YTD Purchases'!$G:$G,Brokerage!Q$4)</f>
        <v>0</v>
      </c>
      <c r="R56" s="857">
        <f>SUMIFS('YTD Sales'!$N:$N,'YTD Sales'!$B:$B,Brokerage!$B56,'YTD Sales'!$M:$M,Brokerage!R$4)+SUMIFS('YTD Purchases'!$H:$H,'YTD Purchases'!$C:$C,Brokerage!$B56,'YTD Purchases'!$G:$G,Brokerage!R$4)</f>
        <v>0</v>
      </c>
      <c r="S56" s="857">
        <f>SUMIFS('YTD Sales'!$N:$N,'YTD Sales'!$B:$B,Brokerage!$B56,'YTD Sales'!$M:$M,Brokerage!S$4)+SUMIFS('YTD Purchases'!$H:$H,'YTD Purchases'!$C:$C,Brokerage!$B56,'YTD Purchases'!$G:$G,Brokerage!S$4)</f>
        <v>0</v>
      </c>
      <c r="T56" s="857">
        <f>SUMIFS('YTD Sales'!$N:$N,'YTD Sales'!$B:$B,Brokerage!$B56,'YTD Sales'!$M:$M,Brokerage!T$4)+SUMIFS('YTD Purchases'!$H:$H,'YTD Purchases'!$C:$C,Brokerage!$B56,'YTD Purchases'!$G:$G,Brokerage!T$4)</f>
        <v>0</v>
      </c>
      <c r="U56" s="857">
        <f>SUMIFS('YTD Sales'!$N:$N,'YTD Sales'!$B:$B,Brokerage!$B56,'YTD Sales'!$M:$M,Brokerage!U$4)+SUMIFS('YTD Purchases'!$H:$H,'YTD Purchases'!$C:$C,Brokerage!$B56,'YTD Purchases'!$G:$G,Brokerage!U$4)</f>
        <v>0</v>
      </c>
      <c r="V56" s="857">
        <f>SUMIFS('YTD Sales'!$N:$N,'YTD Sales'!$B:$B,Brokerage!$B56,'YTD Sales'!$M:$M,Brokerage!V$4)+SUMIFS('YTD Purchases'!$H:$H,'YTD Purchases'!$C:$C,Brokerage!$B56,'YTD Purchases'!$G:$G,Brokerage!V$4)</f>
        <v>0</v>
      </c>
      <c r="W56" s="857">
        <f>SUMIFS('YTD Sales'!$N:$N,'YTD Sales'!$B:$B,Brokerage!$B56,'YTD Sales'!$M:$M,Brokerage!W$4)+SUMIFS('YTD Purchases'!$H:$H,'YTD Purchases'!$C:$C,Brokerage!$B56,'YTD Purchases'!$G:$G,Brokerage!W$4)</f>
        <v>0</v>
      </c>
      <c r="X56" s="857">
        <f>SUMIFS('YTD Sales'!$N:$N,'YTD Sales'!$B:$B,Brokerage!$B56,'YTD Sales'!$M:$M,Brokerage!X$4)+SUMIFS('YTD Purchases'!$H:$H,'YTD Purchases'!$C:$C,Brokerage!$B56,'YTD Purchases'!$G:$G,Brokerage!X$4)</f>
        <v>0</v>
      </c>
      <c r="Y56" s="857">
        <f>SUMIFS('YTD Sales'!$N:$N,'YTD Sales'!$B:$B,Brokerage!$B56,'YTD Sales'!$M:$M,Brokerage!Y$4)+SUMIFS('YTD Purchases'!$H:$H,'YTD Purchases'!$C:$C,Brokerage!$B56,'YTD Purchases'!$G:$G,Brokerage!Y$4)</f>
        <v>0</v>
      </c>
      <c r="Z56" s="857">
        <f>SUMIFS('YTD Sales'!$N:$N,'YTD Sales'!$B:$B,Brokerage!$B56,'YTD Sales'!$M:$M,Brokerage!Z$4)+SUMIFS('YTD Purchases'!$H:$H,'YTD Purchases'!$C:$C,Brokerage!$B56,'YTD Purchases'!$G:$G,Brokerage!Z$4)</f>
        <v>0</v>
      </c>
      <c r="AA56" s="857">
        <f>SUMIFS('YTD Sales'!$N:$N,'YTD Sales'!$B:$B,Brokerage!$B56,'YTD Sales'!$M:$M,Brokerage!AA$4)+SUMIFS('YTD Purchases'!$H:$H,'YTD Purchases'!$C:$C,Brokerage!$B56,'YTD Purchases'!$G:$G,Brokerage!AA$4)</f>
        <v>0</v>
      </c>
      <c r="AB56" s="857">
        <f>SUMIFS('YTD Sales'!$N:$N,'YTD Sales'!$B:$B,Brokerage!$B56,'YTD Sales'!$M:$M,Brokerage!AB$4)+SUMIFS('YTD Purchases'!$H:$H,'YTD Purchases'!$C:$C,Brokerage!$B56,'YTD Purchases'!$G:$G,Brokerage!AB$4)</f>
        <v>0</v>
      </c>
      <c r="AC56" s="857">
        <f>SUMIFS('YTD Sales'!$N:$N,'YTD Sales'!$B:$B,Brokerage!$B56,'YTD Sales'!$M:$M,Brokerage!AC$4)+SUMIFS('YTD Purchases'!$H:$H,'YTD Purchases'!$C:$C,Brokerage!$B56,'YTD Purchases'!$G:$G,Brokerage!AC$4)</f>
        <v>0</v>
      </c>
      <c r="AD56" s="857">
        <f>+SUMIFS(PIB!AG:AG,PIB!AF:AF,Brokerage!AD$4,PIB!AA:AA,Brokerage!$B56)+SUMIFS('T-Bills'!AB:AB,'T-Bills'!AA:AA,Brokerage!AD$4,'T-Bills'!V:V,Brokerage!$B56)</f>
        <v>0</v>
      </c>
      <c r="AE56" s="857">
        <f>+SUMIFS(PIB!AH:AH,PIB!AG:AG,Brokerage!AE$4,PIB!AB:AB,Brokerage!$B56)+SUMIFS('T-Bills'!AC:AC,'T-Bills'!AB:AB,Brokerage!AE$4,'T-Bills'!W:W,Brokerage!$B56)</f>
        <v>0</v>
      </c>
      <c r="AF56" s="857">
        <f>+SUMIFS(PIB!AI:AI,PIB!AH:AH,Brokerage!AF$4,PIB!AC:AC,Brokerage!$B56)+SUMIFS('T-Bills'!AD:AD,'T-Bills'!AC:AC,Brokerage!AF$4,'T-Bills'!X:X,Brokerage!$B56)</f>
        <v>0</v>
      </c>
      <c r="AG56" s="857">
        <f t="shared" si="3"/>
        <v>0</v>
      </c>
      <c r="AH56" s="858">
        <f t="shared" si="8"/>
        <v>0</v>
      </c>
    </row>
    <row r="57" spans="2:34" x14ac:dyDescent="0.15">
      <c r="B57" s="661">
        <f t="shared" si="2"/>
        <v>44613</v>
      </c>
      <c r="C57" s="857">
        <f>SUMIFS('YTD Sales'!$N:$N,'YTD Sales'!$B:$B,Brokerage!$B57,'YTD Sales'!$M:$M,Brokerage!C$4)+SUMIFS('YTD Purchases'!$H:$H,'YTD Purchases'!$C:$C,Brokerage!$B57,'YTD Purchases'!$G:$G,Brokerage!C$4)</f>
        <v>0</v>
      </c>
      <c r="D57" s="857">
        <f>SUMIFS('YTD Sales'!$N:$N,'YTD Sales'!$B:$B,Brokerage!$B57,'YTD Sales'!$M:$M,Brokerage!D$4)+SUMIFS('YTD Purchases'!$H:$H,'YTD Purchases'!$C:$C,Brokerage!$B57,'YTD Purchases'!$G:$G,Brokerage!D$4)</f>
        <v>0</v>
      </c>
      <c r="E57" s="857">
        <f>SUMIFS('YTD Sales'!$N:$N,'YTD Sales'!$B:$B,Brokerage!$B57,'YTD Sales'!$M:$M,Brokerage!E$4)+SUMIFS('YTD Purchases'!$H:$H,'YTD Purchases'!$C:$C,Brokerage!$B57,'YTD Purchases'!$G:$G,Brokerage!E$4)</f>
        <v>0</v>
      </c>
      <c r="F57" s="857">
        <f>SUMIFS('YTD Sales'!$N:$N,'YTD Sales'!$B:$B,Brokerage!$B57,'YTD Sales'!$M:$M,Brokerage!F$4)+SUMIFS('YTD Purchases'!$H:$H,'YTD Purchases'!$C:$C,Brokerage!$B57,'YTD Purchases'!$G:$G,Brokerage!F$4)</f>
        <v>0</v>
      </c>
      <c r="G57" s="857">
        <f>SUMIFS('YTD Sales'!$N:$N,'YTD Sales'!$B:$B,Brokerage!$B57,'YTD Sales'!$M:$M,Brokerage!G$4)+SUMIFS('YTD Purchases'!$H:$H,'YTD Purchases'!$C:$C,Brokerage!$B57,'YTD Purchases'!$G:$G,Brokerage!G$4)</f>
        <v>0</v>
      </c>
      <c r="H57" s="857">
        <f>SUMIFS('YTD Sales'!$N:$N,'YTD Sales'!$B:$B,Brokerage!$B57,'YTD Sales'!$M:$M,Brokerage!H$4)+SUMIFS('YTD Purchases'!$H:$H,'YTD Purchases'!$C:$C,Brokerage!$B57,'YTD Purchases'!$G:$G,Brokerage!H$4)</f>
        <v>0</v>
      </c>
      <c r="I57" s="857">
        <f>SUMIFS('YTD Sales'!$N:$N,'YTD Sales'!$B:$B,Brokerage!$B57,'YTD Sales'!$M:$M,Brokerage!I$4)+SUMIFS('YTD Purchases'!$H:$H,'YTD Purchases'!$C:$C,Brokerage!$B57,'YTD Purchases'!$G:$G,Brokerage!I$4)</f>
        <v>0</v>
      </c>
      <c r="J57" s="857">
        <f>SUMIFS('YTD Sales'!$N:$N,'YTD Sales'!$B:$B,Brokerage!$B57,'YTD Sales'!$M:$M,Brokerage!J$4)+SUMIFS('YTD Purchases'!$H:$H,'YTD Purchases'!$C:$C,Brokerage!$B57,'YTD Purchases'!$G:$G,Brokerage!J$4)</f>
        <v>0</v>
      </c>
      <c r="K57" s="857">
        <f>SUMIFS('YTD Sales'!$N:$N,'YTD Sales'!$B:$B,Brokerage!$B57,'YTD Sales'!$M:$M,Brokerage!K$4)+SUMIFS('YTD Purchases'!$H:$H,'YTD Purchases'!$C:$C,Brokerage!$B57,'YTD Purchases'!$G:$G,Brokerage!K$4)</f>
        <v>0</v>
      </c>
      <c r="L57" s="857">
        <f>SUMIFS('YTD Sales'!$N:$N,'YTD Sales'!$B:$B,Brokerage!$B57,'YTD Sales'!$M:$M,Brokerage!L$4)+SUMIFS('YTD Purchases'!$H:$H,'YTD Purchases'!$C:$C,Brokerage!$B57,'YTD Purchases'!$G:$G,Brokerage!L$4)</f>
        <v>0</v>
      </c>
      <c r="M57" s="857">
        <f>SUMIFS('YTD Sales'!$N:$N,'YTD Sales'!$B:$B,Brokerage!$B57,'YTD Sales'!$M:$M,Brokerage!M$4)+SUMIFS('YTD Purchases'!$H:$H,'YTD Purchases'!$C:$C,Brokerage!$B57,'YTD Purchases'!$G:$G,Brokerage!M$4)</f>
        <v>0</v>
      </c>
      <c r="N57" s="857">
        <f>SUMIFS('YTD Sales'!$N:$N,'YTD Sales'!$B:$B,Brokerage!$B57,'YTD Sales'!$M:$M,Brokerage!N$4)+SUMIFS('YTD Purchases'!$H:$H,'YTD Purchases'!$C:$C,Brokerage!$B57,'YTD Purchases'!$G:$G,Brokerage!N$4)</f>
        <v>0</v>
      </c>
      <c r="O57" s="857">
        <f>SUMIFS('YTD Sales'!$N:$N,'YTD Sales'!$B:$B,Brokerage!$B57,'YTD Sales'!$M:$M,Brokerage!O$4)+SUMIFS('YTD Purchases'!$H:$H,'YTD Purchases'!$C:$C,Brokerage!$B57,'YTD Purchases'!$G:$G,Brokerage!O$4)</f>
        <v>0</v>
      </c>
      <c r="P57" s="857">
        <f>SUMIFS('YTD Sales'!$N:$N,'YTD Sales'!$B:$B,Brokerage!$B57,'YTD Sales'!$M:$M,Brokerage!P$4)+SUMIFS('YTD Purchases'!$H:$H,'YTD Purchases'!$C:$C,Brokerage!$B57,'YTD Purchases'!$G:$G,Brokerage!P$4)</f>
        <v>0</v>
      </c>
      <c r="Q57" s="857">
        <f>SUMIFS('YTD Sales'!$N:$N,'YTD Sales'!$B:$B,Brokerage!$B57,'YTD Sales'!$M:$M,Brokerage!Q$4)+SUMIFS('YTD Purchases'!$H:$H,'YTD Purchases'!$C:$C,Brokerage!$B57,'YTD Purchases'!$G:$G,Brokerage!Q$4)</f>
        <v>0</v>
      </c>
      <c r="R57" s="857">
        <f>SUMIFS('YTD Sales'!$N:$N,'YTD Sales'!$B:$B,Brokerage!$B57,'YTD Sales'!$M:$M,Brokerage!R$4)+SUMIFS('YTD Purchases'!$H:$H,'YTD Purchases'!$C:$C,Brokerage!$B57,'YTD Purchases'!$G:$G,Brokerage!R$4)</f>
        <v>0</v>
      </c>
      <c r="S57" s="857">
        <f>SUMIFS('YTD Sales'!$N:$N,'YTD Sales'!$B:$B,Brokerage!$B57,'YTD Sales'!$M:$M,Brokerage!S$4)+SUMIFS('YTD Purchases'!$H:$H,'YTD Purchases'!$C:$C,Brokerage!$B57,'YTD Purchases'!$G:$G,Brokerage!S$4)</f>
        <v>0</v>
      </c>
      <c r="T57" s="857">
        <f>SUMIFS('YTD Sales'!$N:$N,'YTD Sales'!$B:$B,Brokerage!$B57,'YTD Sales'!$M:$M,Brokerage!T$4)+SUMIFS('YTD Purchases'!$H:$H,'YTD Purchases'!$C:$C,Brokerage!$B57,'YTD Purchases'!$G:$G,Brokerage!T$4)</f>
        <v>0</v>
      </c>
      <c r="U57" s="857">
        <f>SUMIFS('YTD Sales'!$N:$N,'YTD Sales'!$B:$B,Brokerage!$B57,'YTD Sales'!$M:$M,Brokerage!U$4)+SUMIFS('YTD Purchases'!$H:$H,'YTD Purchases'!$C:$C,Brokerage!$B57,'YTD Purchases'!$G:$G,Brokerage!U$4)</f>
        <v>0</v>
      </c>
      <c r="V57" s="857">
        <f>SUMIFS('YTD Sales'!$N:$N,'YTD Sales'!$B:$B,Brokerage!$B57,'YTD Sales'!$M:$M,Brokerage!V$4)+SUMIFS('YTD Purchases'!$H:$H,'YTD Purchases'!$C:$C,Brokerage!$B57,'YTD Purchases'!$G:$G,Brokerage!V$4)</f>
        <v>0</v>
      </c>
      <c r="W57" s="857">
        <f>SUMIFS('YTD Sales'!$N:$N,'YTD Sales'!$B:$B,Brokerage!$B57,'YTD Sales'!$M:$M,Brokerage!W$4)+SUMIFS('YTD Purchases'!$H:$H,'YTD Purchases'!$C:$C,Brokerage!$B57,'YTD Purchases'!$G:$G,Brokerage!W$4)</f>
        <v>0</v>
      </c>
      <c r="X57" s="857">
        <f>SUMIFS('YTD Sales'!$N:$N,'YTD Sales'!$B:$B,Brokerage!$B57,'YTD Sales'!$M:$M,Brokerage!X$4)+SUMIFS('YTD Purchases'!$H:$H,'YTD Purchases'!$C:$C,Brokerage!$B57,'YTD Purchases'!$G:$G,Brokerage!X$4)</f>
        <v>2390.8150000000001</v>
      </c>
      <c r="Y57" s="857">
        <f>SUMIFS('YTD Sales'!$N:$N,'YTD Sales'!$B:$B,Brokerage!$B57,'YTD Sales'!$M:$M,Brokerage!Y$4)+SUMIFS('YTD Purchases'!$H:$H,'YTD Purchases'!$C:$C,Brokerage!$B57,'YTD Purchases'!$G:$G,Brokerage!Y$4)</f>
        <v>0</v>
      </c>
      <c r="Z57" s="857">
        <f>SUMIFS('YTD Sales'!$N:$N,'YTD Sales'!$B:$B,Brokerage!$B57,'YTD Sales'!$M:$M,Brokerage!Z$4)+SUMIFS('YTD Purchases'!$H:$H,'YTD Purchases'!$C:$C,Brokerage!$B57,'YTD Purchases'!$G:$G,Brokerage!Z$4)</f>
        <v>0</v>
      </c>
      <c r="AA57" s="857">
        <f>SUMIFS('YTD Sales'!$N:$N,'YTD Sales'!$B:$B,Brokerage!$B57,'YTD Sales'!$M:$M,Brokerage!AA$4)+SUMIFS('YTD Purchases'!$H:$H,'YTD Purchases'!$C:$C,Brokerage!$B57,'YTD Purchases'!$G:$G,Brokerage!AA$4)</f>
        <v>0</v>
      </c>
      <c r="AB57" s="857">
        <f>SUMIFS('YTD Sales'!$N:$N,'YTD Sales'!$B:$B,Brokerage!$B57,'YTD Sales'!$M:$M,Brokerage!AB$4)+SUMIFS('YTD Purchases'!$H:$H,'YTD Purchases'!$C:$C,Brokerage!$B57,'YTD Purchases'!$G:$G,Brokerage!AB$4)</f>
        <v>0</v>
      </c>
      <c r="AC57" s="857">
        <f>SUMIFS('YTD Sales'!$N:$N,'YTD Sales'!$B:$B,Brokerage!$B57,'YTD Sales'!$M:$M,Brokerage!AC$4)+SUMIFS('YTD Purchases'!$H:$H,'YTD Purchases'!$C:$C,Brokerage!$B57,'YTD Purchases'!$G:$G,Brokerage!AC$4)</f>
        <v>0</v>
      </c>
      <c r="AD57" s="857">
        <f>+SUMIFS(PIB!AG:AG,PIB!AF:AF,Brokerage!AD$4,PIB!AA:AA,Brokerage!$B57)+SUMIFS('T-Bills'!AB:AB,'T-Bills'!AA:AA,Brokerage!AD$4,'T-Bills'!V:V,Brokerage!$B57)</f>
        <v>0</v>
      </c>
      <c r="AE57" s="857">
        <f>+SUMIFS(PIB!AH:AH,PIB!AG:AG,Brokerage!AE$4,PIB!AB:AB,Brokerage!$B57)+SUMIFS('T-Bills'!AC:AC,'T-Bills'!AB:AB,Brokerage!AE$4,'T-Bills'!W:W,Brokerage!$B57)</f>
        <v>0</v>
      </c>
      <c r="AF57" s="857">
        <f>+SUMIFS(PIB!AI:AI,PIB!AH:AH,Brokerage!AF$4,PIB!AC:AC,Brokerage!$B57)+SUMIFS('T-Bills'!AD:AD,'T-Bills'!AC:AC,Brokerage!AF$4,'T-Bills'!X:X,Brokerage!$B57)</f>
        <v>0</v>
      </c>
      <c r="AG57" s="857">
        <f t="shared" si="3"/>
        <v>2390.8150000000001</v>
      </c>
      <c r="AH57" s="858">
        <f t="shared" si="8"/>
        <v>0</v>
      </c>
    </row>
    <row r="58" spans="2:34" x14ac:dyDescent="0.15">
      <c r="B58" s="661">
        <f t="shared" si="2"/>
        <v>44614</v>
      </c>
      <c r="C58" s="857">
        <f>SUMIFS('YTD Sales'!$N:$N,'YTD Sales'!$B:$B,Brokerage!$B58,'YTD Sales'!$M:$M,Brokerage!C$4)+SUMIFS('YTD Purchases'!$H:$H,'YTD Purchases'!$C:$C,Brokerage!$B58,'YTD Purchases'!$G:$G,Brokerage!C$4)</f>
        <v>0</v>
      </c>
      <c r="D58" s="857">
        <f>SUMIFS('YTD Sales'!$N:$N,'YTD Sales'!$B:$B,Brokerage!$B58,'YTD Sales'!$M:$M,Brokerage!D$4)+SUMIFS('YTD Purchases'!$H:$H,'YTD Purchases'!$C:$C,Brokerage!$B58,'YTD Purchases'!$G:$G,Brokerage!D$4)</f>
        <v>0</v>
      </c>
      <c r="E58" s="857">
        <f>SUMIFS('YTD Sales'!$N:$N,'YTD Sales'!$B:$B,Brokerage!$B58,'YTD Sales'!$M:$M,Brokerage!E$4)+SUMIFS('YTD Purchases'!$H:$H,'YTD Purchases'!$C:$C,Brokerage!$B58,'YTD Purchases'!$G:$G,Brokerage!E$4)</f>
        <v>0</v>
      </c>
      <c r="F58" s="857">
        <f>SUMIFS('YTD Sales'!$N:$N,'YTD Sales'!$B:$B,Brokerage!$B58,'YTD Sales'!$M:$M,Brokerage!F$4)+SUMIFS('YTD Purchases'!$H:$H,'YTD Purchases'!$C:$C,Brokerage!$B58,'YTD Purchases'!$G:$G,Brokerage!F$4)</f>
        <v>0</v>
      </c>
      <c r="G58" s="857">
        <f>SUMIFS('YTD Sales'!$N:$N,'YTD Sales'!$B:$B,Brokerage!$B58,'YTD Sales'!$M:$M,Brokerage!G$4)+SUMIFS('YTD Purchases'!$H:$H,'YTD Purchases'!$C:$C,Brokerage!$B58,'YTD Purchases'!$G:$G,Brokerage!G$4)</f>
        <v>0</v>
      </c>
      <c r="H58" s="857">
        <f>SUMIFS('YTD Sales'!$N:$N,'YTD Sales'!$B:$B,Brokerage!$B58,'YTD Sales'!$M:$M,Brokerage!H$4)+SUMIFS('YTD Purchases'!$H:$H,'YTD Purchases'!$C:$C,Brokerage!$B58,'YTD Purchases'!$G:$G,Brokerage!H$4)</f>
        <v>0</v>
      </c>
      <c r="I58" s="857">
        <f>SUMIFS('YTD Sales'!$N:$N,'YTD Sales'!$B:$B,Brokerage!$B58,'YTD Sales'!$M:$M,Brokerage!I$4)+SUMIFS('YTD Purchases'!$H:$H,'YTD Purchases'!$C:$C,Brokerage!$B58,'YTD Purchases'!$G:$G,Brokerage!I$4)</f>
        <v>0</v>
      </c>
      <c r="J58" s="857">
        <f>SUMIFS('YTD Sales'!$N:$N,'YTD Sales'!$B:$B,Brokerage!$B58,'YTD Sales'!$M:$M,Brokerage!J$4)+SUMIFS('YTD Purchases'!$H:$H,'YTD Purchases'!$C:$C,Brokerage!$B58,'YTD Purchases'!$G:$G,Brokerage!J$4)</f>
        <v>0</v>
      </c>
      <c r="K58" s="857">
        <f>SUMIFS('YTD Sales'!$N:$N,'YTD Sales'!$B:$B,Brokerage!$B58,'YTD Sales'!$M:$M,Brokerage!K$4)+SUMIFS('YTD Purchases'!$H:$H,'YTD Purchases'!$C:$C,Brokerage!$B58,'YTD Purchases'!$G:$G,Brokerage!K$4)</f>
        <v>0</v>
      </c>
      <c r="L58" s="857">
        <f>SUMIFS('YTD Sales'!$N:$N,'YTD Sales'!$B:$B,Brokerage!$B58,'YTD Sales'!$M:$M,Brokerage!L$4)+SUMIFS('YTD Purchases'!$H:$H,'YTD Purchases'!$C:$C,Brokerage!$B58,'YTD Purchases'!$G:$G,Brokerage!L$4)</f>
        <v>0</v>
      </c>
      <c r="M58" s="857">
        <f>SUMIFS('YTD Sales'!$N:$N,'YTD Sales'!$B:$B,Brokerage!$B58,'YTD Sales'!$M:$M,Brokerage!M$4)+SUMIFS('YTD Purchases'!$H:$H,'YTD Purchases'!$C:$C,Brokerage!$B58,'YTD Purchases'!$G:$G,Brokerage!M$4)</f>
        <v>0</v>
      </c>
      <c r="N58" s="857">
        <f>SUMIFS('YTD Sales'!$N:$N,'YTD Sales'!$B:$B,Brokerage!$B58,'YTD Sales'!$M:$M,Brokerage!N$4)+SUMIFS('YTD Purchases'!$H:$H,'YTD Purchases'!$C:$C,Brokerage!$B58,'YTD Purchases'!$G:$G,Brokerage!N$4)</f>
        <v>28476</v>
      </c>
      <c r="O58" s="857">
        <f>SUMIFS('YTD Sales'!$N:$N,'YTD Sales'!$B:$B,Brokerage!$B58,'YTD Sales'!$M:$M,Brokerage!O$4)+SUMIFS('YTD Purchases'!$H:$H,'YTD Purchases'!$C:$C,Brokerage!$B58,'YTD Purchases'!$G:$G,Brokerage!O$4)</f>
        <v>0</v>
      </c>
      <c r="P58" s="857">
        <f>SUMIFS('YTD Sales'!$N:$N,'YTD Sales'!$B:$B,Brokerage!$B58,'YTD Sales'!$M:$M,Brokerage!P$4)+SUMIFS('YTD Purchases'!$H:$H,'YTD Purchases'!$C:$C,Brokerage!$B58,'YTD Purchases'!$G:$G,Brokerage!P$4)</f>
        <v>0</v>
      </c>
      <c r="Q58" s="857">
        <f>SUMIFS('YTD Sales'!$N:$N,'YTD Sales'!$B:$B,Brokerage!$B58,'YTD Sales'!$M:$M,Brokerage!Q$4)+SUMIFS('YTD Purchases'!$H:$H,'YTD Purchases'!$C:$C,Brokerage!$B58,'YTD Purchases'!$G:$G,Brokerage!Q$4)</f>
        <v>0</v>
      </c>
      <c r="R58" s="857">
        <f>SUMIFS('YTD Sales'!$N:$N,'YTD Sales'!$B:$B,Brokerage!$B58,'YTD Sales'!$M:$M,Brokerage!R$4)+SUMIFS('YTD Purchases'!$H:$H,'YTD Purchases'!$C:$C,Brokerage!$B58,'YTD Purchases'!$G:$G,Brokerage!R$4)</f>
        <v>0</v>
      </c>
      <c r="S58" s="857">
        <f>SUMIFS('YTD Sales'!$N:$N,'YTD Sales'!$B:$B,Brokerage!$B58,'YTD Sales'!$M:$M,Brokerage!S$4)+SUMIFS('YTD Purchases'!$H:$H,'YTD Purchases'!$C:$C,Brokerage!$B58,'YTD Purchases'!$G:$G,Brokerage!S$4)</f>
        <v>0</v>
      </c>
      <c r="T58" s="857">
        <f>SUMIFS('YTD Sales'!$N:$N,'YTD Sales'!$B:$B,Brokerage!$B58,'YTD Sales'!$M:$M,Brokerage!T$4)+SUMIFS('YTD Purchases'!$H:$H,'YTD Purchases'!$C:$C,Brokerage!$B58,'YTD Purchases'!$G:$G,Brokerage!T$4)</f>
        <v>0</v>
      </c>
      <c r="U58" s="857">
        <f>SUMIFS('YTD Sales'!$N:$N,'YTD Sales'!$B:$B,Brokerage!$B58,'YTD Sales'!$M:$M,Brokerage!U$4)+SUMIFS('YTD Purchases'!$H:$H,'YTD Purchases'!$C:$C,Brokerage!$B58,'YTD Purchases'!$G:$G,Brokerage!U$4)</f>
        <v>0</v>
      </c>
      <c r="V58" s="857">
        <f>SUMIFS('YTD Sales'!$N:$N,'YTD Sales'!$B:$B,Brokerage!$B58,'YTD Sales'!$M:$M,Brokerage!V$4)+SUMIFS('YTD Purchases'!$H:$H,'YTD Purchases'!$C:$C,Brokerage!$B58,'YTD Purchases'!$G:$G,Brokerage!V$4)</f>
        <v>0</v>
      </c>
      <c r="W58" s="857">
        <f>SUMIFS('YTD Sales'!$N:$N,'YTD Sales'!$B:$B,Brokerage!$B58,'YTD Sales'!$M:$M,Brokerage!W$4)+SUMIFS('YTD Purchases'!$H:$H,'YTD Purchases'!$C:$C,Brokerage!$B58,'YTD Purchases'!$G:$G,Brokerage!W$4)</f>
        <v>0</v>
      </c>
      <c r="X58" s="857">
        <f>SUMIFS('YTD Sales'!$N:$N,'YTD Sales'!$B:$B,Brokerage!$B58,'YTD Sales'!$M:$M,Brokerage!X$4)+SUMIFS('YTD Purchases'!$H:$H,'YTD Purchases'!$C:$C,Brokerage!$B58,'YTD Purchases'!$G:$G,Brokerage!X$4)</f>
        <v>0</v>
      </c>
      <c r="Y58" s="857">
        <f>SUMIFS('YTD Sales'!$N:$N,'YTD Sales'!$B:$B,Brokerage!$B58,'YTD Sales'!$M:$M,Brokerage!Y$4)+SUMIFS('YTD Purchases'!$H:$H,'YTD Purchases'!$C:$C,Brokerage!$B58,'YTD Purchases'!$G:$G,Brokerage!Y$4)</f>
        <v>3973.72</v>
      </c>
      <c r="Z58" s="857">
        <f>SUMIFS('YTD Sales'!$N:$N,'YTD Sales'!$B:$B,Brokerage!$B58,'YTD Sales'!$M:$M,Brokerage!Z$4)+SUMIFS('YTD Purchases'!$H:$H,'YTD Purchases'!$C:$C,Brokerage!$B58,'YTD Purchases'!$G:$G,Brokerage!Z$4)</f>
        <v>0</v>
      </c>
      <c r="AA58" s="857">
        <f>SUMIFS('YTD Sales'!$N:$N,'YTD Sales'!$B:$B,Brokerage!$B58,'YTD Sales'!$M:$M,Brokerage!AA$4)+SUMIFS('YTD Purchases'!$H:$H,'YTD Purchases'!$C:$C,Brokerage!$B58,'YTD Purchases'!$G:$G,Brokerage!AA$4)</f>
        <v>0</v>
      </c>
      <c r="AB58" s="857">
        <f>SUMIFS('YTD Sales'!$N:$N,'YTD Sales'!$B:$B,Brokerage!$B58,'YTD Sales'!$M:$M,Brokerage!AB$4)+SUMIFS('YTD Purchases'!$H:$H,'YTD Purchases'!$C:$C,Brokerage!$B58,'YTD Purchases'!$G:$G,Brokerage!AB$4)</f>
        <v>0</v>
      </c>
      <c r="AC58" s="857">
        <f>SUMIFS('YTD Sales'!$N:$N,'YTD Sales'!$B:$B,Brokerage!$B58,'YTD Sales'!$M:$M,Brokerage!AC$4)+SUMIFS('YTD Purchases'!$H:$H,'YTD Purchases'!$C:$C,Brokerage!$B58,'YTD Purchases'!$G:$G,Brokerage!AC$4)</f>
        <v>0</v>
      </c>
      <c r="AD58" s="857">
        <f>+SUMIFS(PIB!AG:AG,PIB!AF:AF,Brokerage!AD$4,PIB!AA:AA,Brokerage!$B58)+SUMIFS('T-Bills'!AB:AB,'T-Bills'!AA:AA,Brokerage!AD$4,'T-Bills'!V:V,Brokerage!$B58)</f>
        <v>0</v>
      </c>
      <c r="AE58" s="857">
        <f>+SUMIFS(PIB!AH:AH,PIB!AG:AG,Brokerage!AE$4,PIB!AB:AB,Brokerage!$B58)+SUMIFS('T-Bills'!AC:AC,'T-Bills'!AB:AB,Brokerage!AE$4,'T-Bills'!W:W,Brokerage!$B58)</f>
        <v>0</v>
      </c>
      <c r="AF58" s="857">
        <f>+SUMIFS(PIB!AI:AI,PIB!AH:AH,Brokerage!AF$4,PIB!AC:AC,Brokerage!$B58)+SUMIFS('T-Bills'!AD:AD,'T-Bills'!AC:AC,Brokerage!AF$4,'T-Bills'!X:X,Brokerage!$B58)</f>
        <v>0</v>
      </c>
      <c r="AG58" s="857">
        <f t="shared" si="3"/>
        <v>32449.72</v>
      </c>
      <c r="AH58" s="858">
        <f t="shared" si="8"/>
        <v>1</v>
      </c>
    </row>
    <row r="59" spans="2:34" x14ac:dyDescent="0.15">
      <c r="B59" s="661">
        <f t="shared" si="2"/>
        <v>44615</v>
      </c>
      <c r="C59" s="857">
        <f>SUMIFS('YTD Sales'!$N:$N,'YTD Sales'!$B:$B,Brokerage!$B59,'YTD Sales'!$M:$M,Brokerage!C$4)+SUMIFS('YTD Purchases'!$H:$H,'YTD Purchases'!$C:$C,Brokerage!$B59,'YTD Purchases'!$G:$G,Brokerage!C$4)</f>
        <v>0</v>
      </c>
      <c r="D59" s="857">
        <f>SUMIFS('YTD Sales'!$N:$N,'YTD Sales'!$B:$B,Brokerage!$B59,'YTD Sales'!$M:$M,Brokerage!D$4)+SUMIFS('YTD Purchases'!$H:$H,'YTD Purchases'!$C:$C,Brokerage!$B59,'YTD Purchases'!$G:$G,Brokerage!D$4)</f>
        <v>0</v>
      </c>
      <c r="E59" s="857">
        <f>SUMIFS('YTD Sales'!$N:$N,'YTD Sales'!$B:$B,Brokerage!$B59,'YTD Sales'!$M:$M,Brokerage!E$4)+SUMIFS('YTD Purchases'!$H:$H,'YTD Purchases'!$C:$C,Brokerage!$B59,'YTD Purchases'!$G:$G,Brokerage!E$4)</f>
        <v>0</v>
      </c>
      <c r="F59" s="857">
        <f>SUMIFS('YTD Sales'!$N:$N,'YTD Sales'!$B:$B,Brokerage!$B59,'YTD Sales'!$M:$M,Brokerage!F$4)+SUMIFS('YTD Purchases'!$H:$H,'YTD Purchases'!$C:$C,Brokerage!$B59,'YTD Purchases'!$G:$G,Brokerage!F$4)</f>
        <v>0</v>
      </c>
      <c r="G59" s="857">
        <f>SUMIFS('YTD Sales'!$N:$N,'YTD Sales'!$B:$B,Brokerage!$B59,'YTD Sales'!$M:$M,Brokerage!G$4)+SUMIFS('YTD Purchases'!$H:$H,'YTD Purchases'!$C:$C,Brokerage!$B59,'YTD Purchases'!$G:$G,Brokerage!G$4)</f>
        <v>0</v>
      </c>
      <c r="H59" s="857">
        <f>SUMIFS('YTD Sales'!$N:$N,'YTD Sales'!$B:$B,Brokerage!$B59,'YTD Sales'!$M:$M,Brokerage!H$4)+SUMIFS('YTD Purchases'!$H:$H,'YTD Purchases'!$C:$C,Brokerage!$B59,'YTD Purchases'!$G:$G,Brokerage!H$4)</f>
        <v>0</v>
      </c>
      <c r="I59" s="857">
        <f>SUMIFS('YTD Sales'!$N:$N,'YTD Sales'!$B:$B,Brokerage!$B59,'YTD Sales'!$M:$M,Brokerage!I$4)+SUMIFS('YTD Purchases'!$H:$H,'YTD Purchases'!$C:$C,Brokerage!$B59,'YTD Purchases'!$G:$G,Brokerage!I$4)</f>
        <v>0</v>
      </c>
      <c r="J59" s="857">
        <f>SUMIFS('YTD Sales'!$N:$N,'YTD Sales'!$B:$B,Brokerage!$B59,'YTD Sales'!$M:$M,Brokerage!J$4)+SUMIFS('YTD Purchases'!$H:$H,'YTD Purchases'!$C:$C,Brokerage!$B59,'YTD Purchases'!$G:$G,Brokerage!J$4)</f>
        <v>0</v>
      </c>
      <c r="K59" s="857">
        <f>SUMIFS('YTD Sales'!$N:$N,'YTD Sales'!$B:$B,Brokerage!$B59,'YTD Sales'!$M:$M,Brokerage!K$4)+SUMIFS('YTD Purchases'!$H:$H,'YTD Purchases'!$C:$C,Brokerage!$B59,'YTD Purchases'!$G:$G,Brokerage!K$4)</f>
        <v>0</v>
      </c>
      <c r="L59" s="857">
        <f>SUMIFS('YTD Sales'!$N:$N,'YTD Sales'!$B:$B,Brokerage!$B59,'YTD Sales'!$M:$M,Brokerage!L$4)+SUMIFS('YTD Purchases'!$H:$H,'YTD Purchases'!$C:$C,Brokerage!$B59,'YTD Purchases'!$G:$G,Brokerage!L$4)</f>
        <v>0</v>
      </c>
      <c r="M59" s="857">
        <f>SUMIFS('YTD Sales'!$N:$N,'YTD Sales'!$B:$B,Brokerage!$B59,'YTD Sales'!$M:$M,Brokerage!M$4)+SUMIFS('YTD Purchases'!$H:$H,'YTD Purchases'!$C:$C,Brokerage!$B59,'YTD Purchases'!$G:$G,Brokerage!M$4)</f>
        <v>0</v>
      </c>
      <c r="N59" s="857">
        <f>SUMIFS('YTD Sales'!$N:$N,'YTD Sales'!$B:$B,Brokerage!$B59,'YTD Sales'!$M:$M,Brokerage!N$4)+SUMIFS('YTD Purchases'!$H:$H,'YTD Purchases'!$C:$C,Brokerage!$B59,'YTD Purchases'!$G:$G,Brokerage!N$4)</f>
        <v>0</v>
      </c>
      <c r="O59" s="857">
        <f>SUMIFS('YTD Sales'!$N:$N,'YTD Sales'!$B:$B,Brokerage!$B59,'YTD Sales'!$M:$M,Brokerage!O$4)+SUMIFS('YTD Purchases'!$H:$H,'YTD Purchases'!$C:$C,Brokerage!$B59,'YTD Purchases'!$G:$G,Brokerage!O$4)</f>
        <v>0</v>
      </c>
      <c r="P59" s="857">
        <f>SUMIFS('YTD Sales'!$N:$N,'YTD Sales'!$B:$B,Brokerage!$B59,'YTD Sales'!$M:$M,Brokerage!P$4)+SUMIFS('YTD Purchases'!$H:$H,'YTD Purchases'!$C:$C,Brokerage!$B59,'YTD Purchases'!$G:$G,Brokerage!P$4)</f>
        <v>0</v>
      </c>
      <c r="Q59" s="857">
        <f>SUMIFS('YTD Sales'!$N:$N,'YTD Sales'!$B:$B,Brokerage!$B59,'YTD Sales'!$M:$M,Brokerage!Q$4)+SUMIFS('YTD Purchases'!$H:$H,'YTD Purchases'!$C:$C,Brokerage!$B59,'YTD Purchases'!$G:$G,Brokerage!Q$4)</f>
        <v>0</v>
      </c>
      <c r="R59" s="857">
        <f>SUMIFS('YTD Sales'!$N:$N,'YTD Sales'!$B:$B,Brokerage!$B59,'YTD Sales'!$M:$M,Brokerage!R$4)+SUMIFS('YTD Purchases'!$H:$H,'YTD Purchases'!$C:$C,Brokerage!$B59,'YTD Purchases'!$G:$G,Brokerage!R$4)</f>
        <v>0</v>
      </c>
      <c r="S59" s="857">
        <f>SUMIFS('YTD Sales'!$N:$N,'YTD Sales'!$B:$B,Brokerage!$B59,'YTD Sales'!$M:$M,Brokerage!S$4)+SUMIFS('YTD Purchases'!$H:$H,'YTD Purchases'!$C:$C,Brokerage!$B59,'YTD Purchases'!$G:$G,Brokerage!S$4)</f>
        <v>0</v>
      </c>
      <c r="T59" s="857">
        <f>SUMIFS('YTD Sales'!$N:$N,'YTD Sales'!$B:$B,Brokerage!$B59,'YTD Sales'!$M:$M,Brokerage!T$4)+SUMIFS('YTD Purchases'!$H:$H,'YTD Purchases'!$C:$C,Brokerage!$B59,'YTD Purchases'!$G:$G,Brokerage!T$4)</f>
        <v>0</v>
      </c>
      <c r="U59" s="857">
        <f>SUMIFS('YTD Sales'!$N:$N,'YTD Sales'!$B:$B,Brokerage!$B59,'YTD Sales'!$M:$M,Brokerage!U$4)+SUMIFS('YTD Purchases'!$H:$H,'YTD Purchases'!$C:$C,Brokerage!$B59,'YTD Purchases'!$G:$G,Brokerage!U$4)</f>
        <v>0</v>
      </c>
      <c r="V59" s="857">
        <f>SUMIFS('YTD Sales'!$N:$N,'YTD Sales'!$B:$B,Brokerage!$B59,'YTD Sales'!$M:$M,Brokerage!V$4)+SUMIFS('YTD Purchases'!$H:$H,'YTD Purchases'!$C:$C,Brokerage!$B59,'YTD Purchases'!$G:$G,Brokerage!V$4)</f>
        <v>0</v>
      </c>
      <c r="W59" s="857">
        <f>SUMIFS('YTD Sales'!$N:$N,'YTD Sales'!$B:$B,Brokerage!$B59,'YTD Sales'!$M:$M,Brokerage!W$4)+SUMIFS('YTD Purchases'!$H:$H,'YTD Purchases'!$C:$C,Brokerage!$B59,'YTD Purchases'!$G:$G,Brokerage!W$4)</f>
        <v>0</v>
      </c>
      <c r="X59" s="857">
        <f>SUMIFS('YTD Sales'!$N:$N,'YTD Sales'!$B:$B,Brokerage!$B59,'YTD Sales'!$M:$M,Brokerage!X$4)+SUMIFS('YTD Purchases'!$H:$H,'YTD Purchases'!$C:$C,Brokerage!$B59,'YTD Purchases'!$G:$G,Brokerage!X$4)</f>
        <v>0</v>
      </c>
      <c r="Y59" s="857">
        <f>SUMIFS('YTD Sales'!$N:$N,'YTD Sales'!$B:$B,Brokerage!$B59,'YTD Sales'!$M:$M,Brokerage!Y$4)+SUMIFS('YTD Purchases'!$H:$H,'YTD Purchases'!$C:$C,Brokerage!$B59,'YTD Purchases'!$G:$G,Brokerage!Y$4)</f>
        <v>0</v>
      </c>
      <c r="Z59" s="857">
        <f>SUMIFS('YTD Sales'!$N:$N,'YTD Sales'!$B:$B,Brokerage!$B59,'YTD Sales'!$M:$M,Brokerage!Z$4)+SUMIFS('YTD Purchases'!$H:$H,'YTD Purchases'!$C:$C,Brokerage!$B59,'YTD Purchases'!$G:$G,Brokerage!Z$4)</f>
        <v>0</v>
      </c>
      <c r="AA59" s="857">
        <f>SUMIFS('YTD Sales'!$N:$N,'YTD Sales'!$B:$B,Brokerage!$B59,'YTD Sales'!$M:$M,Brokerage!AA$4)+SUMIFS('YTD Purchases'!$H:$H,'YTD Purchases'!$C:$C,Brokerage!$B59,'YTD Purchases'!$G:$G,Brokerage!AA$4)</f>
        <v>0</v>
      </c>
      <c r="AB59" s="857">
        <f>SUMIFS('YTD Sales'!$N:$N,'YTD Sales'!$B:$B,Brokerage!$B59,'YTD Sales'!$M:$M,Brokerage!AB$4)+SUMIFS('YTD Purchases'!$H:$H,'YTD Purchases'!$C:$C,Brokerage!$B59,'YTD Purchases'!$G:$G,Brokerage!AB$4)</f>
        <v>0</v>
      </c>
      <c r="AC59" s="857">
        <f>SUMIFS('YTD Sales'!$N:$N,'YTD Sales'!$B:$B,Brokerage!$B59,'YTD Sales'!$M:$M,Brokerage!AC$4)+SUMIFS('YTD Purchases'!$H:$H,'YTD Purchases'!$C:$C,Brokerage!$B59,'YTD Purchases'!$G:$G,Brokerage!AC$4)</f>
        <v>0</v>
      </c>
      <c r="AD59" s="857">
        <f>+SUMIFS(PIB!AG:AG,PIB!AF:AF,Brokerage!AD$4,PIB!AA:AA,Brokerage!$B59)+SUMIFS('T-Bills'!AB:AB,'T-Bills'!AA:AA,Brokerage!AD$4,'T-Bills'!V:V,Brokerage!$B59)</f>
        <v>0</v>
      </c>
      <c r="AE59" s="857">
        <f>+SUMIFS(PIB!AH:AH,PIB!AG:AG,Brokerage!AE$4,PIB!AB:AB,Brokerage!$B59)+SUMIFS('T-Bills'!AC:AC,'T-Bills'!AB:AB,Brokerage!AE$4,'T-Bills'!W:W,Brokerage!$B59)</f>
        <v>0</v>
      </c>
      <c r="AF59" s="857">
        <f>+SUMIFS(PIB!AI:AI,PIB!AH:AH,Brokerage!AF$4,PIB!AC:AC,Brokerage!$B59)+SUMIFS('T-Bills'!AD:AD,'T-Bills'!AC:AC,Brokerage!AF$4,'T-Bills'!X:X,Brokerage!$B59)</f>
        <v>0</v>
      </c>
      <c r="AG59" s="857">
        <f t="shared" si="3"/>
        <v>0</v>
      </c>
      <c r="AH59" s="858">
        <f t="shared" si="8"/>
        <v>0</v>
      </c>
    </row>
    <row r="60" spans="2:34" x14ac:dyDescent="0.15">
      <c r="B60" s="661">
        <f t="shared" si="2"/>
        <v>44616</v>
      </c>
      <c r="C60" s="857">
        <f>SUMIFS('YTD Sales'!$N:$N,'YTD Sales'!$B:$B,Brokerage!$B60,'YTD Sales'!$M:$M,Brokerage!C$4)+SUMIFS('YTD Purchases'!$H:$H,'YTD Purchases'!$C:$C,Brokerage!$B60,'YTD Purchases'!$G:$G,Brokerage!C$4)</f>
        <v>27755.581000000002</v>
      </c>
      <c r="D60" s="857">
        <f>SUMIFS('YTD Sales'!$N:$N,'YTD Sales'!$B:$B,Brokerage!$B60,'YTD Sales'!$M:$M,Brokerage!D$4)+SUMIFS('YTD Purchases'!$H:$H,'YTD Purchases'!$C:$C,Brokerage!$B60,'YTD Purchases'!$G:$G,Brokerage!D$4)</f>
        <v>0</v>
      </c>
      <c r="E60" s="857">
        <f>SUMIFS('YTD Sales'!$N:$N,'YTD Sales'!$B:$B,Brokerage!$B60,'YTD Sales'!$M:$M,Brokerage!E$4)+SUMIFS('YTD Purchases'!$H:$H,'YTD Purchases'!$C:$C,Brokerage!$B60,'YTD Purchases'!$G:$G,Brokerage!E$4)</f>
        <v>0</v>
      </c>
      <c r="F60" s="857">
        <f>SUMIFS('YTD Sales'!$N:$N,'YTD Sales'!$B:$B,Brokerage!$B60,'YTD Sales'!$M:$M,Brokerage!F$4)+SUMIFS('YTD Purchases'!$H:$H,'YTD Purchases'!$C:$C,Brokerage!$B60,'YTD Purchases'!$G:$G,Brokerage!F$4)</f>
        <v>0</v>
      </c>
      <c r="G60" s="857">
        <f>SUMIFS('YTD Sales'!$N:$N,'YTD Sales'!$B:$B,Brokerage!$B60,'YTD Sales'!$M:$M,Brokerage!G$4)+SUMIFS('YTD Purchases'!$H:$H,'YTD Purchases'!$C:$C,Brokerage!$B60,'YTD Purchases'!$G:$G,Brokerage!G$4)</f>
        <v>0</v>
      </c>
      <c r="H60" s="857">
        <f>SUMIFS('YTD Sales'!$N:$N,'YTD Sales'!$B:$B,Brokerage!$B60,'YTD Sales'!$M:$M,Brokerage!H$4)+SUMIFS('YTD Purchases'!$H:$H,'YTD Purchases'!$C:$C,Brokerage!$B60,'YTD Purchases'!$G:$G,Brokerage!H$4)</f>
        <v>0</v>
      </c>
      <c r="I60" s="857">
        <f>SUMIFS('YTD Sales'!$N:$N,'YTD Sales'!$B:$B,Brokerage!$B60,'YTD Sales'!$M:$M,Brokerage!I$4)+SUMIFS('YTD Purchases'!$H:$H,'YTD Purchases'!$C:$C,Brokerage!$B60,'YTD Purchases'!$G:$G,Brokerage!I$4)</f>
        <v>0</v>
      </c>
      <c r="J60" s="857">
        <f>SUMIFS('YTD Sales'!$N:$N,'YTD Sales'!$B:$B,Brokerage!$B60,'YTD Sales'!$M:$M,Brokerage!J$4)+SUMIFS('YTD Purchases'!$H:$H,'YTD Purchases'!$C:$C,Brokerage!$B60,'YTD Purchases'!$G:$G,Brokerage!J$4)</f>
        <v>0</v>
      </c>
      <c r="K60" s="857">
        <f>SUMIFS('YTD Sales'!$N:$N,'YTD Sales'!$B:$B,Brokerage!$B60,'YTD Sales'!$M:$M,Brokerage!K$4)+SUMIFS('YTD Purchases'!$H:$H,'YTD Purchases'!$C:$C,Brokerage!$B60,'YTD Purchases'!$G:$G,Brokerage!K$4)</f>
        <v>0</v>
      </c>
      <c r="L60" s="857">
        <f>SUMIFS('YTD Sales'!$N:$N,'YTD Sales'!$B:$B,Brokerage!$B60,'YTD Sales'!$M:$M,Brokerage!L$4)+SUMIFS('YTD Purchases'!$H:$H,'YTD Purchases'!$C:$C,Brokerage!$B60,'YTD Purchases'!$G:$G,Brokerage!L$4)</f>
        <v>0</v>
      </c>
      <c r="M60" s="857">
        <f>SUMIFS('YTD Sales'!$N:$N,'YTD Sales'!$B:$B,Brokerage!$B60,'YTD Sales'!$M:$M,Brokerage!M$4)+SUMIFS('YTD Purchases'!$H:$H,'YTD Purchases'!$C:$C,Brokerage!$B60,'YTD Purchases'!$G:$G,Brokerage!M$4)</f>
        <v>27543.7390725</v>
      </c>
      <c r="N60" s="857">
        <f>SUMIFS('YTD Sales'!$N:$N,'YTD Sales'!$B:$B,Brokerage!$B60,'YTD Sales'!$M:$M,Brokerage!N$4)+SUMIFS('YTD Purchases'!$H:$H,'YTD Purchases'!$C:$C,Brokerage!$B60,'YTD Purchases'!$G:$G,Brokerage!N$4)</f>
        <v>0</v>
      </c>
      <c r="O60" s="857">
        <f>SUMIFS('YTD Sales'!$N:$N,'YTD Sales'!$B:$B,Brokerage!$B60,'YTD Sales'!$M:$M,Brokerage!O$4)+SUMIFS('YTD Purchases'!$H:$H,'YTD Purchases'!$C:$C,Brokerage!$B60,'YTD Purchases'!$G:$G,Brokerage!O$4)</f>
        <v>0</v>
      </c>
      <c r="P60" s="857">
        <f>SUMIFS('YTD Sales'!$N:$N,'YTD Sales'!$B:$B,Brokerage!$B60,'YTD Sales'!$M:$M,Brokerage!P$4)+SUMIFS('YTD Purchases'!$H:$H,'YTD Purchases'!$C:$C,Brokerage!$B60,'YTD Purchases'!$G:$G,Brokerage!P$4)</f>
        <v>0</v>
      </c>
      <c r="Q60" s="857">
        <f>SUMIFS('YTD Sales'!$N:$N,'YTD Sales'!$B:$B,Brokerage!$B60,'YTD Sales'!$M:$M,Brokerage!Q$4)+SUMIFS('YTD Purchases'!$H:$H,'YTD Purchases'!$C:$C,Brokerage!$B60,'YTD Purchases'!$G:$G,Brokerage!Q$4)</f>
        <v>0</v>
      </c>
      <c r="R60" s="857">
        <f>SUMIFS('YTD Sales'!$N:$N,'YTD Sales'!$B:$B,Brokerage!$B60,'YTD Sales'!$M:$M,Brokerage!R$4)+SUMIFS('YTD Purchases'!$H:$H,'YTD Purchases'!$C:$C,Brokerage!$B60,'YTD Purchases'!$G:$G,Brokerage!R$4)</f>
        <v>0</v>
      </c>
      <c r="S60" s="857">
        <f>SUMIFS('YTD Sales'!$N:$N,'YTD Sales'!$B:$B,Brokerage!$B60,'YTD Sales'!$M:$M,Brokerage!S$4)+SUMIFS('YTD Purchases'!$H:$H,'YTD Purchases'!$C:$C,Brokerage!$B60,'YTD Purchases'!$G:$G,Brokerage!S$4)</f>
        <v>0</v>
      </c>
      <c r="T60" s="857">
        <f>SUMIFS('YTD Sales'!$N:$N,'YTD Sales'!$B:$B,Brokerage!$B60,'YTD Sales'!$M:$M,Brokerage!T$4)+SUMIFS('YTD Purchases'!$H:$H,'YTD Purchases'!$C:$C,Brokerage!$B60,'YTD Purchases'!$G:$G,Brokerage!T$4)</f>
        <v>0</v>
      </c>
      <c r="U60" s="857">
        <f>SUMIFS('YTD Sales'!$N:$N,'YTD Sales'!$B:$B,Brokerage!$B60,'YTD Sales'!$M:$M,Brokerage!U$4)+SUMIFS('YTD Purchases'!$H:$H,'YTD Purchases'!$C:$C,Brokerage!$B60,'YTD Purchases'!$G:$G,Brokerage!U$4)</f>
        <v>0</v>
      </c>
      <c r="V60" s="857">
        <f>SUMIFS('YTD Sales'!$N:$N,'YTD Sales'!$B:$B,Brokerage!$B60,'YTD Sales'!$M:$M,Brokerage!V$4)+SUMIFS('YTD Purchases'!$H:$H,'YTD Purchases'!$C:$C,Brokerage!$B60,'YTD Purchases'!$G:$G,Brokerage!V$4)</f>
        <v>0</v>
      </c>
      <c r="W60" s="857">
        <f>SUMIFS('YTD Sales'!$N:$N,'YTD Sales'!$B:$B,Brokerage!$B60,'YTD Sales'!$M:$M,Brokerage!W$4)+SUMIFS('YTD Purchases'!$H:$H,'YTD Purchases'!$C:$C,Brokerage!$B60,'YTD Purchases'!$G:$G,Brokerage!W$4)</f>
        <v>0</v>
      </c>
      <c r="X60" s="857">
        <f>SUMIFS('YTD Sales'!$N:$N,'YTD Sales'!$B:$B,Brokerage!$B60,'YTD Sales'!$M:$M,Brokerage!X$4)+SUMIFS('YTD Purchases'!$H:$H,'YTD Purchases'!$C:$C,Brokerage!$B60,'YTD Purchases'!$G:$G,Brokerage!X$4)</f>
        <v>0</v>
      </c>
      <c r="Y60" s="857">
        <f>SUMIFS('YTD Sales'!$N:$N,'YTD Sales'!$B:$B,Brokerage!$B60,'YTD Sales'!$M:$M,Brokerage!Y$4)+SUMIFS('YTD Purchases'!$H:$H,'YTD Purchases'!$C:$C,Brokerage!$B60,'YTD Purchases'!$G:$G,Brokerage!Y$4)</f>
        <v>0</v>
      </c>
      <c r="Z60" s="857">
        <f>SUMIFS('YTD Sales'!$N:$N,'YTD Sales'!$B:$B,Brokerage!$B60,'YTD Sales'!$M:$M,Brokerage!Z$4)+SUMIFS('YTD Purchases'!$H:$H,'YTD Purchases'!$C:$C,Brokerage!$B60,'YTD Purchases'!$G:$G,Brokerage!Z$4)</f>
        <v>0</v>
      </c>
      <c r="AA60" s="857">
        <f>SUMIFS('YTD Sales'!$N:$N,'YTD Sales'!$B:$B,Brokerage!$B60,'YTD Sales'!$M:$M,Brokerage!AA$4)+SUMIFS('YTD Purchases'!$H:$H,'YTD Purchases'!$C:$C,Brokerage!$B60,'YTD Purchases'!$G:$G,Brokerage!AA$4)</f>
        <v>0</v>
      </c>
      <c r="AB60" s="857">
        <f>SUMIFS('YTD Sales'!$N:$N,'YTD Sales'!$B:$B,Brokerage!$B60,'YTD Sales'!$M:$M,Brokerage!AB$4)+SUMIFS('YTD Purchases'!$H:$H,'YTD Purchases'!$C:$C,Brokerage!$B60,'YTD Purchases'!$G:$G,Brokerage!AB$4)</f>
        <v>0</v>
      </c>
      <c r="AC60" s="857">
        <f>SUMIFS('YTD Sales'!$N:$N,'YTD Sales'!$B:$B,Brokerage!$B60,'YTD Sales'!$M:$M,Brokerage!AC$4)+SUMIFS('YTD Purchases'!$H:$H,'YTD Purchases'!$C:$C,Brokerage!$B60,'YTD Purchases'!$G:$G,Brokerage!AC$4)</f>
        <v>0</v>
      </c>
      <c r="AD60" s="857">
        <f>+SUMIFS(PIB!AG:AG,PIB!AF:AF,Brokerage!AD$4,PIB!AA:AA,Brokerage!$B60)+SUMIFS('T-Bills'!AB:AB,'T-Bills'!AA:AA,Brokerage!AD$4,'T-Bills'!V:V,Brokerage!$B60)</f>
        <v>0</v>
      </c>
      <c r="AE60" s="857">
        <f>+SUMIFS(PIB!AH:AH,PIB!AG:AG,Brokerage!AE$4,PIB!AB:AB,Brokerage!$B60)+SUMIFS('T-Bills'!AC:AC,'T-Bills'!AB:AB,Brokerage!AE$4,'T-Bills'!W:W,Brokerage!$B60)</f>
        <v>0</v>
      </c>
      <c r="AF60" s="857">
        <f>+SUMIFS(PIB!AI:AI,PIB!AH:AH,Brokerage!AF$4,PIB!AC:AC,Brokerage!$B60)+SUMIFS('T-Bills'!AD:AD,'T-Bills'!AC:AC,Brokerage!AF$4,'T-Bills'!X:X,Brokerage!$B60)</f>
        <v>0</v>
      </c>
      <c r="AG60" s="857">
        <f t="shared" si="3"/>
        <v>55299.320072500006</v>
      </c>
      <c r="AH60" s="858">
        <f t="shared" si="8"/>
        <v>2</v>
      </c>
    </row>
    <row r="61" spans="2:34" x14ac:dyDescent="0.15">
      <c r="B61" s="661">
        <f t="shared" si="2"/>
        <v>44617</v>
      </c>
      <c r="C61" s="857">
        <f>SUMIFS('YTD Sales'!$N:$N,'YTD Sales'!$B:$B,Brokerage!$B61,'YTD Sales'!$M:$M,Brokerage!C$4)+SUMIFS('YTD Purchases'!$H:$H,'YTD Purchases'!$C:$C,Brokerage!$B61,'YTD Purchases'!$G:$G,Brokerage!C$4)</f>
        <v>0</v>
      </c>
      <c r="D61" s="857">
        <f>SUMIFS('YTD Sales'!$N:$N,'YTD Sales'!$B:$B,Brokerage!$B61,'YTD Sales'!$M:$M,Brokerage!D$4)+SUMIFS('YTD Purchases'!$H:$H,'YTD Purchases'!$C:$C,Brokerage!$B61,'YTD Purchases'!$G:$G,Brokerage!D$4)</f>
        <v>0</v>
      </c>
      <c r="E61" s="857">
        <f>SUMIFS('YTD Sales'!$N:$N,'YTD Sales'!$B:$B,Brokerage!$B61,'YTD Sales'!$M:$M,Brokerage!E$4)+SUMIFS('YTD Purchases'!$H:$H,'YTD Purchases'!$C:$C,Brokerage!$B61,'YTD Purchases'!$G:$G,Brokerage!E$4)</f>
        <v>0</v>
      </c>
      <c r="F61" s="857">
        <f>SUMIFS('YTD Sales'!$N:$N,'YTD Sales'!$B:$B,Brokerage!$B61,'YTD Sales'!$M:$M,Brokerage!F$4)+SUMIFS('YTD Purchases'!$H:$H,'YTD Purchases'!$C:$C,Brokerage!$B61,'YTD Purchases'!$G:$G,Brokerage!F$4)</f>
        <v>0</v>
      </c>
      <c r="G61" s="857">
        <f>SUMIFS('YTD Sales'!$N:$N,'YTD Sales'!$B:$B,Brokerage!$B61,'YTD Sales'!$M:$M,Brokerage!G$4)+SUMIFS('YTD Purchases'!$H:$H,'YTD Purchases'!$C:$C,Brokerage!$B61,'YTD Purchases'!$G:$G,Brokerage!G$4)</f>
        <v>0</v>
      </c>
      <c r="H61" s="857">
        <f>SUMIFS('YTD Sales'!$N:$N,'YTD Sales'!$B:$B,Brokerage!$B61,'YTD Sales'!$M:$M,Brokerage!H$4)+SUMIFS('YTD Purchases'!$H:$H,'YTD Purchases'!$C:$C,Brokerage!$B61,'YTD Purchases'!$G:$G,Brokerage!H$4)</f>
        <v>0</v>
      </c>
      <c r="I61" s="857">
        <f>SUMIFS('YTD Sales'!$N:$N,'YTD Sales'!$B:$B,Brokerage!$B61,'YTD Sales'!$M:$M,Brokerage!I$4)+SUMIFS('YTD Purchases'!$H:$H,'YTD Purchases'!$C:$C,Brokerage!$B61,'YTD Purchases'!$G:$G,Brokerage!I$4)</f>
        <v>0</v>
      </c>
      <c r="J61" s="857">
        <f>SUMIFS('YTD Sales'!$N:$N,'YTD Sales'!$B:$B,Brokerage!$B61,'YTD Sales'!$M:$M,Brokerage!J$4)+SUMIFS('YTD Purchases'!$H:$H,'YTD Purchases'!$C:$C,Brokerage!$B61,'YTD Purchases'!$G:$G,Brokerage!J$4)</f>
        <v>0</v>
      </c>
      <c r="K61" s="857">
        <f>SUMIFS('YTD Sales'!$N:$N,'YTD Sales'!$B:$B,Brokerage!$B61,'YTD Sales'!$M:$M,Brokerage!K$4)+SUMIFS('YTD Purchases'!$H:$H,'YTD Purchases'!$C:$C,Brokerage!$B61,'YTD Purchases'!$G:$G,Brokerage!K$4)</f>
        <v>0</v>
      </c>
      <c r="L61" s="857">
        <f>SUMIFS('YTD Sales'!$N:$N,'YTD Sales'!$B:$B,Brokerage!$B61,'YTD Sales'!$M:$M,Brokerage!L$4)+SUMIFS('YTD Purchases'!$H:$H,'YTD Purchases'!$C:$C,Brokerage!$B61,'YTD Purchases'!$G:$G,Brokerage!L$4)</f>
        <v>0</v>
      </c>
      <c r="M61" s="857">
        <f>SUMIFS('YTD Sales'!$N:$N,'YTD Sales'!$B:$B,Brokerage!$B61,'YTD Sales'!$M:$M,Brokerage!M$4)+SUMIFS('YTD Purchases'!$H:$H,'YTD Purchases'!$C:$C,Brokerage!$B61,'YTD Purchases'!$G:$G,Brokerage!M$4)</f>
        <v>0</v>
      </c>
      <c r="N61" s="857">
        <f>SUMIFS('YTD Sales'!$N:$N,'YTD Sales'!$B:$B,Brokerage!$B61,'YTD Sales'!$M:$M,Brokerage!N$4)+SUMIFS('YTD Purchases'!$H:$H,'YTD Purchases'!$C:$C,Brokerage!$B61,'YTD Purchases'!$G:$G,Brokerage!N$4)</f>
        <v>0</v>
      </c>
      <c r="O61" s="857">
        <f>SUMIFS('YTD Sales'!$N:$N,'YTD Sales'!$B:$B,Brokerage!$B61,'YTD Sales'!$M:$M,Brokerage!O$4)+SUMIFS('YTD Purchases'!$H:$H,'YTD Purchases'!$C:$C,Brokerage!$B61,'YTD Purchases'!$G:$G,Brokerage!O$4)</f>
        <v>0</v>
      </c>
      <c r="P61" s="857">
        <f>SUMIFS('YTD Sales'!$N:$N,'YTD Sales'!$B:$B,Brokerage!$B61,'YTD Sales'!$M:$M,Brokerage!P$4)+SUMIFS('YTD Purchases'!$H:$H,'YTD Purchases'!$C:$C,Brokerage!$B61,'YTD Purchases'!$G:$G,Brokerage!P$4)</f>
        <v>0</v>
      </c>
      <c r="Q61" s="857">
        <f>SUMIFS('YTD Sales'!$N:$N,'YTD Sales'!$B:$B,Brokerage!$B61,'YTD Sales'!$M:$M,Brokerage!Q$4)+SUMIFS('YTD Purchases'!$H:$H,'YTD Purchases'!$C:$C,Brokerage!$B61,'YTD Purchases'!$G:$G,Brokerage!Q$4)</f>
        <v>0</v>
      </c>
      <c r="R61" s="857">
        <f>SUMIFS('YTD Sales'!$N:$N,'YTD Sales'!$B:$B,Brokerage!$B61,'YTD Sales'!$M:$M,Brokerage!R$4)+SUMIFS('YTD Purchases'!$H:$H,'YTD Purchases'!$C:$C,Brokerage!$B61,'YTD Purchases'!$G:$G,Brokerage!R$4)</f>
        <v>0</v>
      </c>
      <c r="S61" s="857">
        <f>SUMIFS('YTD Sales'!$N:$N,'YTD Sales'!$B:$B,Brokerage!$B61,'YTD Sales'!$M:$M,Brokerage!S$4)+SUMIFS('YTD Purchases'!$H:$H,'YTD Purchases'!$C:$C,Brokerage!$B61,'YTD Purchases'!$G:$G,Brokerage!S$4)</f>
        <v>0</v>
      </c>
      <c r="T61" s="857">
        <f>SUMIFS('YTD Sales'!$N:$N,'YTD Sales'!$B:$B,Brokerage!$B61,'YTD Sales'!$M:$M,Brokerage!T$4)+SUMIFS('YTD Purchases'!$H:$H,'YTD Purchases'!$C:$C,Brokerage!$B61,'YTD Purchases'!$G:$G,Brokerage!T$4)</f>
        <v>0</v>
      </c>
      <c r="U61" s="857">
        <f>SUMIFS('YTD Sales'!$N:$N,'YTD Sales'!$B:$B,Brokerage!$B61,'YTD Sales'!$M:$M,Brokerage!U$4)+SUMIFS('YTD Purchases'!$H:$H,'YTD Purchases'!$C:$C,Brokerage!$B61,'YTD Purchases'!$G:$G,Brokerage!U$4)</f>
        <v>0</v>
      </c>
      <c r="V61" s="857">
        <f>SUMIFS('YTD Sales'!$N:$N,'YTD Sales'!$B:$B,Brokerage!$B61,'YTD Sales'!$M:$M,Brokerage!V$4)+SUMIFS('YTD Purchases'!$H:$H,'YTD Purchases'!$C:$C,Brokerage!$B61,'YTD Purchases'!$G:$G,Brokerage!V$4)</f>
        <v>0</v>
      </c>
      <c r="W61" s="857">
        <f>SUMIFS('YTD Sales'!$N:$N,'YTD Sales'!$B:$B,Brokerage!$B61,'YTD Sales'!$M:$M,Brokerage!W$4)+SUMIFS('YTD Purchases'!$H:$H,'YTD Purchases'!$C:$C,Brokerage!$B61,'YTD Purchases'!$G:$G,Brokerage!W$4)</f>
        <v>0</v>
      </c>
      <c r="X61" s="857">
        <f>SUMIFS('YTD Sales'!$N:$N,'YTD Sales'!$B:$B,Brokerage!$B61,'YTD Sales'!$M:$M,Brokerage!X$4)+SUMIFS('YTD Purchases'!$H:$H,'YTD Purchases'!$C:$C,Brokerage!$B61,'YTD Purchases'!$G:$G,Brokerage!X$4)</f>
        <v>0</v>
      </c>
      <c r="Y61" s="857">
        <f>SUMIFS('YTD Sales'!$N:$N,'YTD Sales'!$B:$B,Brokerage!$B61,'YTD Sales'!$M:$M,Brokerage!Y$4)+SUMIFS('YTD Purchases'!$H:$H,'YTD Purchases'!$C:$C,Brokerage!$B61,'YTD Purchases'!$G:$G,Brokerage!Y$4)</f>
        <v>0</v>
      </c>
      <c r="Z61" s="857">
        <f>SUMIFS('YTD Sales'!$N:$N,'YTD Sales'!$B:$B,Brokerage!$B61,'YTD Sales'!$M:$M,Brokerage!Z$4)+SUMIFS('YTD Purchases'!$H:$H,'YTD Purchases'!$C:$C,Brokerage!$B61,'YTD Purchases'!$G:$G,Brokerage!Z$4)</f>
        <v>0</v>
      </c>
      <c r="AA61" s="857">
        <f>SUMIFS('YTD Sales'!$N:$N,'YTD Sales'!$B:$B,Brokerage!$B61,'YTD Sales'!$M:$M,Brokerage!AA$4)+SUMIFS('YTD Purchases'!$H:$H,'YTD Purchases'!$C:$C,Brokerage!$B61,'YTD Purchases'!$G:$G,Brokerage!AA$4)</f>
        <v>0</v>
      </c>
      <c r="AB61" s="857">
        <f>SUMIFS('YTD Sales'!$N:$N,'YTD Sales'!$B:$B,Brokerage!$B61,'YTD Sales'!$M:$M,Brokerage!AB$4)+SUMIFS('YTD Purchases'!$H:$H,'YTD Purchases'!$C:$C,Brokerage!$B61,'YTD Purchases'!$G:$G,Brokerage!AB$4)</f>
        <v>0</v>
      </c>
      <c r="AC61" s="857">
        <f>SUMIFS('YTD Sales'!$N:$N,'YTD Sales'!$B:$B,Brokerage!$B61,'YTD Sales'!$M:$M,Brokerage!AC$4)+SUMIFS('YTD Purchases'!$H:$H,'YTD Purchases'!$C:$C,Brokerage!$B61,'YTD Purchases'!$G:$G,Brokerage!AC$4)</f>
        <v>0</v>
      </c>
      <c r="AD61" s="857">
        <f>+SUMIFS(PIB!AG:AG,PIB!AF:AF,Brokerage!AD$4,PIB!AA:AA,Brokerage!$B61)+SUMIFS('T-Bills'!AB:AB,'T-Bills'!AA:AA,Brokerage!AD$4,'T-Bills'!V:V,Brokerage!$B61)</f>
        <v>0</v>
      </c>
      <c r="AE61" s="857">
        <f>+SUMIFS(PIB!AH:AH,PIB!AG:AG,Brokerage!AE$4,PIB!AB:AB,Brokerage!$B61)+SUMIFS('T-Bills'!AC:AC,'T-Bills'!AB:AB,Brokerage!AE$4,'T-Bills'!W:W,Brokerage!$B61)</f>
        <v>0</v>
      </c>
      <c r="AF61" s="857">
        <f>+SUMIFS(PIB!AI:AI,PIB!AH:AH,Brokerage!AF$4,PIB!AC:AC,Brokerage!$B61)+SUMIFS('T-Bills'!AD:AD,'T-Bills'!AC:AC,Brokerage!AF$4,'T-Bills'!X:X,Brokerage!$B61)</f>
        <v>0</v>
      </c>
      <c r="AG61" s="857">
        <f t="shared" si="3"/>
        <v>0</v>
      </c>
      <c r="AH61" s="858">
        <f t="shared" si="8"/>
        <v>0</v>
      </c>
    </row>
    <row r="62" spans="2:34" x14ac:dyDescent="0.15">
      <c r="B62" s="661">
        <f t="shared" si="2"/>
        <v>44618</v>
      </c>
      <c r="C62" s="857">
        <f>SUMIFS('YTD Sales'!$N:$N,'YTD Sales'!$B:$B,Brokerage!$B62,'YTD Sales'!$M:$M,Brokerage!C$4)+SUMIFS('YTD Purchases'!$H:$H,'YTD Purchases'!$C:$C,Brokerage!$B62,'YTD Purchases'!$G:$G,Brokerage!C$4)</f>
        <v>0</v>
      </c>
      <c r="D62" s="857">
        <f>SUMIFS('YTD Sales'!$N:$N,'YTD Sales'!$B:$B,Brokerage!$B62,'YTD Sales'!$M:$M,Brokerage!D$4)+SUMIFS('YTD Purchases'!$H:$H,'YTD Purchases'!$C:$C,Brokerage!$B62,'YTD Purchases'!$G:$G,Brokerage!D$4)</f>
        <v>0</v>
      </c>
      <c r="E62" s="857">
        <f>SUMIFS('YTD Sales'!$N:$N,'YTD Sales'!$B:$B,Brokerage!$B62,'YTD Sales'!$M:$M,Brokerage!E$4)+SUMIFS('YTD Purchases'!$H:$H,'YTD Purchases'!$C:$C,Brokerage!$B62,'YTD Purchases'!$G:$G,Brokerage!E$4)</f>
        <v>0</v>
      </c>
      <c r="F62" s="857">
        <f>SUMIFS('YTD Sales'!$N:$N,'YTD Sales'!$B:$B,Brokerage!$B62,'YTD Sales'!$M:$M,Brokerage!F$4)+SUMIFS('YTD Purchases'!$H:$H,'YTD Purchases'!$C:$C,Brokerage!$B62,'YTD Purchases'!$G:$G,Brokerage!F$4)</f>
        <v>0</v>
      </c>
      <c r="G62" s="857">
        <f>SUMIFS('YTD Sales'!$N:$N,'YTD Sales'!$B:$B,Brokerage!$B62,'YTD Sales'!$M:$M,Brokerage!G$4)+SUMIFS('YTD Purchases'!$H:$H,'YTD Purchases'!$C:$C,Brokerage!$B62,'YTD Purchases'!$G:$G,Brokerage!G$4)</f>
        <v>0</v>
      </c>
      <c r="H62" s="857">
        <f>SUMIFS('YTD Sales'!$N:$N,'YTD Sales'!$B:$B,Brokerage!$B62,'YTD Sales'!$M:$M,Brokerage!H$4)+SUMIFS('YTD Purchases'!$H:$H,'YTD Purchases'!$C:$C,Brokerage!$B62,'YTD Purchases'!$G:$G,Brokerage!H$4)</f>
        <v>0</v>
      </c>
      <c r="I62" s="857">
        <f>SUMIFS('YTD Sales'!$N:$N,'YTD Sales'!$B:$B,Brokerage!$B62,'YTD Sales'!$M:$M,Brokerage!I$4)+SUMIFS('YTD Purchases'!$H:$H,'YTD Purchases'!$C:$C,Brokerage!$B62,'YTD Purchases'!$G:$G,Brokerage!I$4)</f>
        <v>0</v>
      </c>
      <c r="J62" s="857">
        <f>SUMIFS('YTD Sales'!$N:$N,'YTD Sales'!$B:$B,Brokerage!$B62,'YTD Sales'!$M:$M,Brokerage!J$4)+SUMIFS('YTD Purchases'!$H:$H,'YTD Purchases'!$C:$C,Brokerage!$B62,'YTD Purchases'!$G:$G,Brokerage!J$4)</f>
        <v>0</v>
      </c>
      <c r="K62" s="857">
        <f>SUMIFS('YTD Sales'!$N:$N,'YTD Sales'!$B:$B,Brokerage!$B62,'YTD Sales'!$M:$M,Brokerage!K$4)+SUMIFS('YTD Purchases'!$H:$H,'YTD Purchases'!$C:$C,Brokerage!$B62,'YTD Purchases'!$G:$G,Brokerage!K$4)</f>
        <v>0</v>
      </c>
      <c r="L62" s="857">
        <f>SUMIFS('YTD Sales'!$N:$N,'YTD Sales'!$B:$B,Brokerage!$B62,'YTD Sales'!$M:$M,Brokerage!L$4)+SUMIFS('YTD Purchases'!$H:$H,'YTD Purchases'!$C:$C,Brokerage!$B62,'YTD Purchases'!$G:$G,Brokerage!L$4)</f>
        <v>0</v>
      </c>
      <c r="M62" s="857">
        <f>SUMIFS('YTD Sales'!$N:$N,'YTD Sales'!$B:$B,Brokerage!$B62,'YTD Sales'!$M:$M,Brokerage!M$4)+SUMIFS('YTD Purchases'!$H:$H,'YTD Purchases'!$C:$C,Brokerage!$B62,'YTD Purchases'!$G:$G,Brokerage!M$4)</f>
        <v>0</v>
      </c>
      <c r="N62" s="857">
        <f>SUMIFS('YTD Sales'!$N:$N,'YTD Sales'!$B:$B,Brokerage!$B62,'YTD Sales'!$M:$M,Brokerage!N$4)+SUMIFS('YTD Purchases'!$H:$H,'YTD Purchases'!$C:$C,Brokerage!$B62,'YTD Purchases'!$G:$G,Brokerage!N$4)</f>
        <v>0</v>
      </c>
      <c r="O62" s="857">
        <f>SUMIFS('YTD Sales'!$N:$N,'YTD Sales'!$B:$B,Brokerage!$B62,'YTD Sales'!$M:$M,Brokerage!O$4)+SUMIFS('YTD Purchases'!$H:$H,'YTD Purchases'!$C:$C,Brokerage!$B62,'YTD Purchases'!$G:$G,Brokerage!O$4)</f>
        <v>0</v>
      </c>
      <c r="P62" s="857">
        <f>SUMIFS('YTD Sales'!$N:$N,'YTD Sales'!$B:$B,Brokerage!$B62,'YTD Sales'!$M:$M,Brokerage!P$4)+SUMIFS('YTD Purchases'!$H:$H,'YTD Purchases'!$C:$C,Brokerage!$B62,'YTD Purchases'!$G:$G,Brokerage!P$4)</f>
        <v>0</v>
      </c>
      <c r="Q62" s="857">
        <f>SUMIFS('YTD Sales'!$N:$N,'YTD Sales'!$B:$B,Brokerage!$B62,'YTD Sales'!$M:$M,Brokerage!Q$4)+SUMIFS('YTD Purchases'!$H:$H,'YTD Purchases'!$C:$C,Brokerage!$B62,'YTD Purchases'!$G:$G,Brokerage!Q$4)</f>
        <v>0</v>
      </c>
      <c r="R62" s="857">
        <f>SUMIFS('YTD Sales'!$N:$N,'YTD Sales'!$B:$B,Brokerage!$B62,'YTD Sales'!$M:$M,Brokerage!R$4)+SUMIFS('YTD Purchases'!$H:$H,'YTD Purchases'!$C:$C,Brokerage!$B62,'YTD Purchases'!$G:$G,Brokerage!R$4)</f>
        <v>0</v>
      </c>
      <c r="S62" s="857">
        <f>SUMIFS('YTD Sales'!$N:$N,'YTD Sales'!$B:$B,Brokerage!$B62,'YTD Sales'!$M:$M,Brokerage!S$4)+SUMIFS('YTD Purchases'!$H:$H,'YTD Purchases'!$C:$C,Brokerage!$B62,'YTD Purchases'!$G:$G,Brokerage!S$4)</f>
        <v>0</v>
      </c>
      <c r="T62" s="857">
        <f>SUMIFS('YTD Sales'!$N:$N,'YTD Sales'!$B:$B,Brokerage!$B62,'YTD Sales'!$M:$M,Brokerage!T$4)+SUMIFS('YTD Purchases'!$H:$H,'YTD Purchases'!$C:$C,Brokerage!$B62,'YTD Purchases'!$G:$G,Brokerage!T$4)</f>
        <v>0</v>
      </c>
      <c r="U62" s="857">
        <f>SUMIFS('YTD Sales'!$N:$N,'YTD Sales'!$B:$B,Brokerage!$B62,'YTD Sales'!$M:$M,Brokerage!U$4)+SUMIFS('YTD Purchases'!$H:$H,'YTD Purchases'!$C:$C,Brokerage!$B62,'YTD Purchases'!$G:$G,Brokerage!U$4)</f>
        <v>0</v>
      </c>
      <c r="V62" s="857">
        <f>SUMIFS('YTD Sales'!$N:$N,'YTD Sales'!$B:$B,Brokerage!$B62,'YTD Sales'!$M:$M,Brokerage!V$4)+SUMIFS('YTD Purchases'!$H:$H,'YTD Purchases'!$C:$C,Brokerage!$B62,'YTD Purchases'!$G:$G,Brokerage!V$4)</f>
        <v>0</v>
      </c>
      <c r="W62" s="857">
        <f>SUMIFS('YTD Sales'!$N:$N,'YTD Sales'!$B:$B,Brokerage!$B62,'YTD Sales'!$M:$M,Brokerage!W$4)+SUMIFS('YTD Purchases'!$H:$H,'YTD Purchases'!$C:$C,Brokerage!$B62,'YTD Purchases'!$G:$G,Brokerage!W$4)</f>
        <v>0</v>
      </c>
      <c r="X62" s="857">
        <f>SUMIFS('YTD Sales'!$N:$N,'YTD Sales'!$B:$B,Brokerage!$B62,'YTD Sales'!$M:$M,Brokerage!X$4)+SUMIFS('YTD Purchases'!$H:$H,'YTD Purchases'!$C:$C,Brokerage!$B62,'YTD Purchases'!$G:$G,Brokerage!X$4)</f>
        <v>0</v>
      </c>
      <c r="Y62" s="857">
        <f>SUMIFS('YTD Sales'!$N:$N,'YTD Sales'!$B:$B,Brokerage!$B62,'YTD Sales'!$M:$M,Brokerage!Y$4)+SUMIFS('YTD Purchases'!$H:$H,'YTD Purchases'!$C:$C,Brokerage!$B62,'YTD Purchases'!$G:$G,Brokerage!Y$4)</f>
        <v>0</v>
      </c>
      <c r="Z62" s="857">
        <f>SUMIFS('YTD Sales'!$N:$N,'YTD Sales'!$B:$B,Brokerage!$B62,'YTD Sales'!$M:$M,Brokerage!Z$4)+SUMIFS('YTD Purchases'!$H:$H,'YTD Purchases'!$C:$C,Brokerage!$B62,'YTD Purchases'!$G:$G,Brokerage!Z$4)</f>
        <v>0</v>
      </c>
      <c r="AA62" s="857">
        <f>SUMIFS('YTD Sales'!$N:$N,'YTD Sales'!$B:$B,Brokerage!$B62,'YTD Sales'!$M:$M,Brokerage!AA$4)+SUMIFS('YTD Purchases'!$H:$H,'YTD Purchases'!$C:$C,Brokerage!$B62,'YTD Purchases'!$G:$G,Brokerage!AA$4)</f>
        <v>0</v>
      </c>
      <c r="AB62" s="857">
        <f>SUMIFS('YTD Sales'!$N:$N,'YTD Sales'!$B:$B,Brokerage!$B62,'YTD Sales'!$M:$M,Brokerage!AB$4)+SUMIFS('YTD Purchases'!$H:$H,'YTD Purchases'!$C:$C,Brokerage!$B62,'YTD Purchases'!$G:$G,Brokerage!AB$4)</f>
        <v>0</v>
      </c>
      <c r="AC62" s="857">
        <f>SUMIFS('YTD Sales'!$N:$N,'YTD Sales'!$B:$B,Brokerage!$B62,'YTD Sales'!$M:$M,Brokerage!AC$4)+SUMIFS('YTD Purchases'!$H:$H,'YTD Purchases'!$C:$C,Brokerage!$B62,'YTD Purchases'!$G:$G,Brokerage!AC$4)</f>
        <v>0</v>
      </c>
      <c r="AD62" s="857">
        <f>+SUMIFS(PIB!AG:AG,PIB!AF:AF,Brokerage!AD$4,PIB!AA:AA,Brokerage!$B62)+SUMIFS('T-Bills'!AB:AB,'T-Bills'!AA:AA,Brokerage!AD$4,'T-Bills'!V:V,Brokerage!$B62)</f>
        <v>0</v>
      </c>
      <c r="AE62" s="857">
        <f>+SUMIFS(PIB!AH:AH,PIB!AG:AG,Brokerage!AE$4,PIB!AB:AB,Brokerage!$B62)+SUMIFS('T-Bills'!AC:AC,'T-Bills'!AB:AB,Brokerage!AE$4,'T-Bills'!W:W,Brokerage!$B62)</f>
        <v>0</v>
      </c>
      <c r="AF62" s="857">
        <f>+SUMIFS(PIB!AI:AI,PIB!AH:AH,Brokerage!AF$4,PIB!AC:AC,Brokerage!$B62)+SUMIFS('T-Bills'!AD:AD,'T-Bills'!AC:AC,Brokerage!AF$4,'T-Bills'!X:X,Brokerage!$B62)</f>
        <v>0</v>
      </c>
      <c r="AG62" s="857">
        <f t="shared" si="3"/>
        <v>0</v>
      </c>
      <c r="AH62" s="858">
        <f t="shared" si="8"/>
        <v>0</v>
      </c>
    </row>
    <row r="63" spans="2:34" x14ac:dyDescent="0.15">
      <c r="B63" s="661">
        <f t="shared" si="2"/>
        <v>44619</v>
      </c>
      <c r="C63" s="857">
        <f>SUMIFS('YTD Sales'!$N:$N,'YTD Sales'!$B:$B,Brokerage!$B63,'YTD Sales'!$M:$M,Brokerage!C$4)+SUMIFS('YTD Purchases'!$H:$H,'YTD Purchases'!$C:$C,Brokerage!$B63,'YTD Purchases'!$G:$G,Brokerage!C$4)</f>
        <v>0</v>
      </c>
      <c r="D63" s="857">
        <f>SUMIFS('YTD Sales'!$N:$N,'YTD Sales'!$B:$B,Brokerage!$B63,'YTD Sales'!$M:$M,Brokerage!D$4)+SUMIFS('YTD Purchases'!$H:$H,'YTD Purchases'!$C:$C,Brokerage!$B63,'YTD Purchases'!$G:$G,Brokerage!D$4)</f>
        <v>0</v>
      </c>
      <c r="E63" s="857">
        <f>SUMIFS('YTD Sales'!$N:$N,'YTD Sales'!$B:$B,Brokerage!$B63,'YTD Sales'!$M:$M,Brokerage!E$4)+SUMIFS('YTD Purchases'!$H:$H,'YTD Purchases'!$C:$C,Brokerage!$B63,'YTD Purchases'!$G:$G,Brokerage!E$4)</f>
        <v>0</v>
      </c>
      <c r="F63" s="857">
        <f>SUMIFS('YTD Sales'!$N:$N,'YTD Sales'!$B:$B,Brokerage!$B63,'YTD Sales'!$M:$M,Brokerage!F$4)+SUMIFS('YTD Purchases'!$H:$H,'YTD Purchases'!$C:$C,Brokerage!$B63,'YTD Purchases'!$G:$G,Brokerage!F$4)</f>
        <v>0</v>
      </c>
      <c r="G63" s="857">
        <f>SUMIFS('YTD Sales'!$N:$N,'YTD Sales'!$B:$B,Brokerage!$B63,'YTD Sales'!$M:$M,Brokerage!G$4)+SUMIFS('YTD Purchases'!$H:$H,'YTD Purchases'!$C:$C,Brokerage!$B63,'YTD Purchases'!$G:$G,Brokerage!G$4)</f>
        <v>0</v>
      </c>
      <c r="H63" s="857">
        <f>SUMIFS('YTD Sales'!$N:$N,'YTD Sales'!$B:$B,Brokerage!$B63,'YTD Sales'!$M:$M,Brokerage!H$4)+SUMIFS('YTD Purchases'!$H:$H,'YTD Purchases'!$C:$C,Brokerage!$B63,'YTD Purchases'!$G:$G,Brokerage!H$4)</f>
        <v>0</v>
      </c>
      <c r="I63" s="857">
        <f>SUMIFS('YTD Sales'!$N:$N,'YTD Sales'!$B:$B,Brokerage!$B63,'YTD Sales'!$M:$M,Brokerage!I$4)+SUMIFS('YTD Purchases'!$H:$H,'YTD Purchases'!$C:$C,Brokerage!$B63,'YTD Purchases'!$G:$G,Brokerage!I$4)</f>
        <v>0</v>
      </c>
      <c r="J63" s="857">
        <f>SUMIFS('YTD Sales'!$N:$N,'YTD Sales'!$B:$B,Brokerage!$B63,'YTD Sales'!$M:$M,Brokerage!J$4)+SUMIFS('YTD Purchases'!$H:$H,'YTD Purchases'!$C:$C,Brokerage!$B63,'YTD Purchases'!$G:$G,Brokerage!J$4)</f>
        <v>0</v>
      </c>
      <c r="K63" s="857">
        <f>SUMIFS('YTD Sales'!$N:$N,'YTD Sales'!$B:$B,Brokerage!$B63,'YTD Sales'!$M:$M,Brokerage!K$4)+SUMIFS('YTD Purchases'!$H:$H,'YTD Purchases'!$C:$C,Brokerage!$B63,'YTD Purchases'!$G:$G,Brokerage!K$4)</f>
        <v>0</v>
      </c>
      <c r="L63" s="857">
        <f>SUMIFS('YTD Sales'!$N:$N,'YTD Sales'!$B:$B,Brokerage!$B63,'YTD Sales'!$M:$M,Brokerage!L$4)+SUMIFS('YTD Purchases'!$H:$H,'YTD Purchases'!$C:$C,Brokerage!$B63,'YTD Purchases'!$G:$G,Brokerage!L$4)</f>
        <v>0</v>
      </c>
      <c r="M63" s="857">
        <f>SUMIFS('YTD Sales'!$N:$N,'YTD Sales'!$B:$B,Brokerage!$B63,'YTD Sales'!$M:$M,Brokerage!M$4)+SUMIFS('YTD Purchases'!$H:$H,'YTD Purchases'!$C:$C,Brokerage!$B63,'YTD Purchases'!$G:$G,Brokerage!M$4)</f>
        <v>0</v>
      </c>
      <c r="N63" s="857">
        <f>SUMIFS('YTD Sales'!$N:$N,'YTD Sales'!$B:$B,Brokerage!$B63,'YTD Sales'!$M:$M,Brokerage!N$4)+SUMIFS('YTD Purchases'!$H:$H,'YTD Purchases'!$C:$C,Brokerage!$B63,'YTD Purchases'!$G:$G,Brokerage!N$4)</f>
        <v>0</v>
      </c>
      <c r="O63" s="857">
        <f>SUMIFS('YTD Sales'!$N:$N,'YTD Sales'!$B:$B,Brokerage!$B63,'YTD Sales'!$M:$M,Brokerage!O$4)+SUMIFS('YTD Purchases'!$H:$H,'YTD Purchases'!$C:$C,Brokerage!$B63,'YTD Purchases'!$G:$G,Brokerage!O$4)</f>
        <v>0</v>
      </c>
      <c r="P63" s="857">
        <f>SUMIFS('YTD Sales'!$N:$N,'YTD Sales'!$B:$B,Brokerage!$B63,'YTD Sales'!$M:$M,Brokerage!P$4)+SUMIFS('YTD Purchases'!$H:$H,'YTD Purchases'!$C:$C,Brokerage!$B63,'YTD Purchases'!$G:$G,Brokerage!P$4)</f>
        <v>0</v>
      </c>
      <c r="Q63" s="857">
        <f>SUMIFS('YTD Sales'!$N:$N,'YTD Sales'!$B:$B,Brokerage!$B63,'YTD Sales'!$M:$M,Brokerage!Q$4)+SUMIFS('YTD Purchases'!$H:$H,'YTD Purchases'!$C:$C,Brokerage!$B63,'YTD Purchases'!$G:$G,Brokerage!Q$4)</f>
        <v>0</v>
      </c>
      <c r="R63" s="857">
        <f>SUMIFS('YTD Sales'!$N:$N,'YTD Sales'!$B:$B,Brokerage!$B63,'YTD Sales'!$M:$M,Brokerage!R$4)+SUMIFS('YTD Purchases'!$H:$H,'YTD Purchases'!$C:$C,Brokerage!$B63,'YTD Purchases'!$G:$G,Brokerage!R$4)</f>
        <v>0</v>
      </c>
      <c r="S63" s="857">
        <f>SUMIFS('YTD Sales'!$N:$N,'YTD Sales'!$B:$B,Brokerage!$B63,'YTD Sales'!$M:$M,Brokerage!S$4)+SUMIFS('YTD Purchases'!$H:$H,'YTD Purchases'!$C:$C,Brokerage!$B63,'YTD Purchases'!$G:$G,Brokerage!S$4)</f>
        <v>0</v>
      </c>
      <c r="T63" s="857">
        <f>SUMIFS('YTD Sales'!$N:$N,'YTD Sales'!$B:$B,Brokerage!$B63,'YTD Sales'!$M:$M,Brokerage!T$4)+SUMIFS('YTD Purchases'!$H:$H,'YTD Purchases'!$C:$C,Brokerage!$B63,'YTD Purchases'!$G:$G,Brokerage!T$4)</f>
        <v>0</v>
      </c>
      <c r="U63" s="857">
        <f>SUMIFS('YTD Sales'!$N:$N,'YTD Sales'!$B:$B,Brokerage!$B63,'YTD Sales'!$M:$M,Brokerage!U$4)+SUMIFS('YTD Purchases'!$H:$H,'YTD Purchases'!$C:$C,Brokerage!$B63,'YTD Purchases'!$G:$G,Brokerage!U$4)</f>
        <v>0</v>
      </c>
      <c r="V63" s="857">
        <f>SUMIFS('YTD Sales'!$N:$N,'YTD Sales'!$B:$B,Brokerage!$B63,'YTD Sales'!$M:$M,Brokerage!V$4)+SUMIFS('YTD Purchases'!$H:$H,'YTD Purchases'!$C:$C,Brokerage!$B63,'YTD Purchases'!$G:$G,Brokerage!V$4)</f>
        <v>0</v>
      </c>
      <c r="W63" s="857">
        <f>SUMIFS('YTD Sales'!$N:$N,'YTD Sales'!$B:$B,Brokerage!$B63,'YTD Sales'!$M:$M,Brokerage!W$4)+SUMIFS('YTD Purchases'!$H:$H,'YTD Purchases'!$C:$C,Brokerage!$B63,'YTD Purchases'!$G:$G,Brokerage!W$4)</f>
        <v>0</v>
      </c>
      <c r="X63" s="857">
        <f>SUMIFS('YTD Sales'!$N:$N,'YTD Sales'!$B:$B,Brokerage!$B63,'YTD Sales'!$M:$M,Brokerage!X$4)+SUMIFS('YTD Purchases'!$H:$H,'YTD Purchases'!$C:$C,Brokerage!$B63,'YTD Purchases'!$G:$G,Brokerage!X$4)</f>
        <v>0</v>
      </c>
      <c r="Y63" s="857">
        <f>SUMIFS('YTD Sales'!$N:$N,'YTD Sales'!$B:$B,Brokerage!$B63,'YTD Sales'!$M:$M,Brokerage!Y$4)+SUMIFS('YTD Purchases'!$H:$H,'YTD Purchases'!$C:$C,Brokerage!$B63,'YTD Purchases'!$G:$G,Brokerage!Y$4)</f>
        <v>0</v>
      </c>
      <c r="Z63" s="857">
        <f>SUMIFS('YTD Sales'!$N:$N,'YTD Sales'!$B:$B,Brokerage!$B63,'YTD Sales'!$M:$M,Brokerage!Z$4)+SUMIFS('YTD Purchases'!$H:$H,'YTD Purchases'!$C:$C,Brokerage!$B63,'YTD Purchases'!$G:$G,Brokerage!Z$4)</f>
        <v>0</v>
      </c>
      <c r="AA63" s="857">
        <f>SUMIFS('YTD Sales'!$N:$N,'YTD Sales'!$B:$B,Brokerage!$B63,'YTD Sales'!$M:$M,Brokerage!AA$4)+SUMIFS('YTD Purchases'!$H:$H,'YTD Purchases'!$C:$C,Brokerage!$B63,'YTD Purchases'!$G:$G,Brokerage!AA$4)</f>
        <v>0</v>
      </c>
      <c r="AB63" s="857">
        <f>SUMIFS('YTD Sales'!$N:$N,'YTD Sales'!$B:$B,Brokerage!$B63,'YTD Sales'!$M:$M,Brokerage!AB$4)+SUMIFS('YTD Purchases'!$H:$H,'YTD Purchases'!$C:$C,Brokerage!$B63,'YTD Purchases'!$G:$G,Brokerage!AB$4)</f>
        <v>0</v>
      </c>
      <c r="AC63" s="857">
        <f>SUMIFS('YTD Sales'!$N:$N,'YTD Sales'!$B:$B,Brokerage!$B63,'YTD Sales'!$M:$M,Brokerage!AC$4)+SUMIFS('YTD Purchases'!$H:$H,'YTD Purchases'!$C:$C,Brokerage!$B63,'YTD Purchases'!$G:$G,Brokerage!AC$4)</f>
        <v>0</v>
      </c>
      <c r="AD63" s="857">
        <f>+SUMIFS(PIB!AG:AG,PIB!AF:AF,Brokerage!AD$4,PIB!AA:AA,Brokerage!$B63)+SUMIFS('T-Bills'!AB:AB,'T-Bills'!AA:AA,Brokerage!AD$4,'T-Bills'!V:V,Brokerage!$B63)</f>
        <v>0</v>
      </c>
      <c r="AE63" s="857">
        <f>+SUMIFS(PIB!AH:AH,PIB!AG:AG,Brokerage!AE$4,PIB!AB:AB,Brokerage!$B63)+SUMIFS('T-Bills'!AC:AC,'T-Bills'!AB:AB,Brokerage!AE$4,'T-Bills'!W:W,Brokerage!$B63)</f>
        <v>0</v>
      </c>
      <c r="AF63" s="857">
        <f>+SUMIFS(PIB!AI:AI,PIB!AH:AH,Brokerage!AF$4,PIB!AC:AC,Brokerage!$B63)+SUMIFS('T-Bills'!AD:AD,'T-Bills'!AC:AC,Brokerage!AF$4,'T-Bills'!X:X,Brokerage!$B63)</f>
        <v>0</v>
      </c>
      <c r="AG63" s="857">
        <f t="shared" si="3"/>
        <v>0</v>
      </c>
      <c r="AH63" s="858">
        <f t="shared" si="8"/>
        <v>0</v>
      </c>
    </row>
    <row r="64" spans="2:34" x14ac:dyDescent="0.15">
      <c r="B64" s="661">
        <f t="shared" si="2"/>
        <v>44620</v>
      </c>
      <c r="C64" s="857">
        <f>SUMIFS('YTD Sales'!$N:$N,'YTD Sales'!$B:$B,Brokerage!$B64,'YTD Sales'!$M:$M,Brokerage!C$4)+SUMIFS('YTD Purchases'!$H:$H,'YTD Purchases'!$C:$C,Brokerage!$B64,'YTD Purchases'!$G:$G,Brokerage!C$4)</f>
        <v>0</v>
      </c>
      <c r="D64" s="857">
        <f>SUMIFS('YTD Sales'!$N:$N,'YTD Sales'!$B:$B,Brokerage!$B64,'YTD Sales'!$M:$M,Brokerage!D$4)+SUMIFS('YTD Purchases'!$H:$H,'YTD Purchases'!$C:$C,Brokerage!$B64,'YTD Purchases'!$G:$G,Brokerage!D$4)</f>
        <v>0</v>
      </c>
      <c r="E64" s="857">
        <f>SUMIFS('YTD Sales'!$N:$N,'YTD Sales'!$B:$B,Brokerage!$B64,'YTD Sales'!$M:$M,Brokerage!E$4)+SUMIFS('YTD Purchases'!$H:$H,'YTD Purchases'!$C:$C,Brokerage!$B64,'YTD Purchases'!$G:$G,Brokerage!E$4)</f>
        <v>0</v>
      </c>
      <c r="F64" s="857">
        <f>SUMIFS('YTD Sales'!$N:$N,'YTD Sales'!$B:$B,Brokerage!$B64,'YTD Sales'!$M:$M,Brokerage!F$4)+SUMIFS('YTD Purchases'!$H:$H,'YTD Purchases'!$C:$C,Brokerage!$B64,'YTD Purchases'!$G:$G,Brokerage!F$4)</f>
        <v>0</v>
      </c>
      <c r="G64" s="857">
        <f>SUMIFS('YTD Sales'!$N:$N,'YTD Sales'!$B:$B,Brokerage!$B64,'YTD Sales'!$M:$M,Brokerage!G$4)+SUMIFS('YTD Purchases'!$H:$H,'YTD Purchases'!$C:$C,Brokerage!$B64,'YTD Purchases'!$G:$G,Brokerage!G$4)</f>
        <v>0</v>
      </c>
      <c r="H64" s="857">
        <f>SUMIFS('YTD Sales'!$N:$N,'YTD Sales'!$B:$B,Brokerage!$B64,'YTD Sales'!$M:$M,Brokerage!H$4)+SUMIFS('YTD Purchases'!$H:$H,'YTD Purchases'!$C:$C,Brokerage!$B64,'YTD Purchases'!$G:$G,Brokerage!H$4)</f>
        <v>0</v>
      </c>
      <c r="I64" s="857">
        <f>SUMIFS('YTD Sales'!$N:$N,'YTD Sales'!$B:$B,Brokerage!$B64,'YTD Sales'!$M:$M,Brokerage!I$4)+SUMIFS('YTD Purchases'!$H:$H,'YTD Purchases'!$C:$C,Brokerage!$B64,'YTD Purchases'!$G:$G,Brokerage!I$4)</f>
        <v>0</v>
      </c>
      <c r="J64" s="857">
        <f>SUMIFS('YTD Sales'!$N:$N,'YTD Sales'!$B:$B,Brokerage!$B64,'YTD Sales'!$M:$M,Brokerage!J$4)+SUMIFS('YTD Purchases'!$H:$H,'YTD Purchases'!$C:$C,Brokerage!$B64,'YTD Purchases'!$G:$G,Brokerage!J$4)</f>
        <v>0</v>
      </c>
      <c r="K64" s="857">
        <f>SUMIFS('YTD Sales'!$N:$N,'YTD Sales'!$B:$B,Brokerage!$B64,'YTD Sales'!$M:$M,Brokerage!K$4)+SUMIFS('YTD Purchases'!$H:$H,'YTD Purchases'!$C:$C,Brokerage!$B64,'YTD Purchases'!$G:$G,Brokerage!K$4)</f>
        <v>0</v>
      </c>
      <c r="L64" s="857">
        <f>SUMIFS('YTD Sales'!$N:$N,'YTD Sales'!$B:$B,Brokerage!$B64,'YTD Sales'!$M:$M,Brokerage!L$4)+SUMIFS('YTD Purchases'!$H:$H,'YTD Purchases'!$C:$C,Brokerage!$B64,'YTD Purchases'!$G:$G,Brokerage!L$4)</f>
        <v>0</v>
      </c>
      <c r="M64" s="857">
        <f>SUMIFS('YTD Sales'!$N:$N,'YTD Sales'!$B:$B,Brokerage!$B64,'YTD Sales'!$M:$M,Brokerage!M$4)+SUMIFS('YTD Purchases'!$H:$H,'YTD Purchases'!$C:$C,Brokerage!$B64,'YTD Purchases'!$G:$G,Brokerage!M$4)</f>
        <v>0</v>
      </c>
      <c r="N64" s="857">
        <f>SUMIFS('YTD Sales'!$N:$N,'YTD Sales'!$B:$B,Brokerage!$B64,'YTD Sales'!$M:$M,Brokerage!N$4)+SUMIFS('YTD Purchases'!$H:$H,'YTD Purchases'!$C:$C,Brokerage!$B64,'YTD Purchases'!$G:$G,Brokerage!N$4)</f>
        <v>0</v>
      </c>
      <c r="O64" s="857">
        <f>SUMIFS('YTD Sales'!$N:$N,'YTD Sales'!$B:$B,Brokerage!$B64,'YTD Sales'!$M:$M,Brokerage!O$4)+SUMIFS('YTD Purchases'!$H:$H,'YTD Purchases'!$C:$C,Brokerage!$B64,'YTD Purchases'!$G:$G,Brokerage!O$4)</f>
        <v>0</v>
      </c>
      <c r="P64" s="857">
        <f>SUMIFS('YTD Sales'!$N:$N,'YTD Sales'!$B:$B,Brokerage!$B64,'YTD Sales'!$M:$M,Brokerage!P$4)+SUMIFS('YTD Purchases'!$H:$H,'YTD Purchases'!$C:$C,Brokerage!$B64,'YTD Purchases'!$G:$G,Brokerage!P$4)</f>
        <v>0</v>
      </c>
      <c r="Q64" s="857">
        <f>SUMIFS('YTD Sales'!$N:$N,'YTD Sales'!$B:$B,Brokerage!$B64,'YTD Sales'!$M:$M,Brokerage!Q$4)+SUMIFS('YTD Purchases'!$H:$H,'YTD Purchases'!$C:$C,Brokerage!$B64,'YTD Purchases'!$G:$G,Brokerage!Q$4)</f>
        <v>0</v>
      </c>
      <c r="R64" s="857">
        <f>SUMIFS('YTD Sales'!$N:$N,'YTD Sales'!$B:$B,Brokerage!$B64,'YTD Sales'!$M:$M,Brokerage!R$4)+SUMIFS('YTD Purchases'!$H:$H,'YTD Purchases'!$C:$C,Brokerage!$B64,'YTD Purchases'!$G:$G,Brokerage!R$4)</f>
        <v>0</v>
      </c>
      <c r="S64" s="857">
        <f>SUMIFS('YTD Sales'!$N:$N,'YTD Sales'!$B:$B,Brokerage!$B64,'YTD Sales'!$M:$M,Brokerage!S$4)+SUMIFS('YTD Purchases'!$H:$H,'YTD Purchases'!$C:$C,Brokerage!$B64,'YTD Purchases'!$G:$G,Brokerage!S$4)</f>
        <v>0</v>
      </c>
      <c r="T64" s="857">
        <f>SUMIFS('YTD Sales'!$N:$N,'YTD Sales'!$B:$B,Brokerage!$B64,'YTD Sales'!$M:$M,Brokerage!T$4)+SUMIFS('YTD Purchases'!$H:$H,'YTD Purchases'!$C:$C,Brokerage!$B64,'YTD Purchases'!$G:$G,Brokerage!T$4)</f>
        <v>0</v>
      </c>
      <c r="U64" s="857">
        <f>SUMIFS('YTD Sales'!$N:$N,'YTD Sales'!$B:$B,Brokerage!$B64,'YTD Sales'!$M:$M,Brokerage!U$4)+SUMIFS('YTD Purchases'!$H:$H,'YTD Purchases'!$C:$C,Brokerage!$B64,'YTD Purchases'!$G:$G,Brokerage!U$4)</f>
        <v>0</v>
      </c>
      <c r="V64" s="857">
        <f>SUMIFS('YTD Sales'!$N:$N,'YTD Sales'!$B:$B,Brokerage!$B64,'YTD Sales'!$M:$M,Brokerage!V$4)+SUMIFS('YTD Purchases'!$H:$H,'YTD Purchases'!$C:$C,Brokerage!$B64,'YTD Purchases'!$G:$G,Brokerage!V$4)</f>
        <v>0</v>
      </c>
      <c r="W64" s="857">
        <f>SUMIFS('YTD Sales'!$N:$N,'YTD Sales'!$B:$B,Brokerage!$B64,'YTD Sales'!$M:$M,Brokerage!W$4)+SUMIFS('YTD Purchases'!$H:$H,'YTD Purchases'!$C:$C,Brokerage!$B64,'YTD Purchases'!$G:$G,Brokerage!W$4)</f>
        <v>0</v>
      </c>
      <c r="X64" s="857">
        <f>SUMIFS('YTD Sales'!$N:$N,'YTD Sales'!$B:$B,Brokerage!$B64,'YTD Sales'!$M:$M,Brokerage!X$4)+SUMIFS('YTD Purchases'!$H:$H,'YTD Purchases'!$C:$C,Brokerage!$B64,'YTD Purchases'!$G:$G,Brokerage!X$4)</f>
        <v>0</v>
      </c>
      <c r="Y64" s="857">
        <f>SUMIFS('YTD Sales'!$N:$N,'YTD Sales'!$B:$B,Brokerage!$B64,'YTD Sales'!$M:$M,Brokerage!Y$4)+SUMIFS('YTD Purchases'!$H:$H,'YTD Purchases'!$C:$C,Brokerage!$B64,'YTD Purchases'!$G:$G,Brokerage!Y$4)</f>
        <v>2228.44</v>
      </c>
      <c r="Z64" s="857">
        <f>SUMIFS('YTD Sales'!$N:$N,'YTD Sales'!$B:$B,Brokerage!$B64,'YTD Sales'!$M:$M,Brokerage!Z$4)+SUMIFS('YTD Purchases'!$H:$H,'YTD Purchases'!$C:$C,Brokerage!$B64,'YTD Purchases'!$G:$G,Brokerage!Z$4)</f>
        <v>0</v>
      </c>
      <c r="AA64" s="857">
        <f>SUMIFS('YTD Sales'!$N:$N,'YTD Sales'!$B:$B,Brokerage!$B64,'YTD Sales'!$M:$M,Brokerage!AA$4)+SUMIFS('YTD Purchases'!$H:$H,'YTD Purchases'!$C:$C,Brokerage!$B64,'YTD Purchases'!$G:$G,Brokerage!AA$4)</f>
        <v>0</v>
      </c>
      <c r="AB64" s="857">
        <f>SUMIFS('YTD Sales'!$N:$N,'YTD Sales'!$B:$B,Brokerage!$B64,'YTD Sales'!$M:$M,Brokerage!AB$4)+SUMIFS('YTD Purchases'!$H:$H,'YTD Purchases'!$C:$C,Brokerage!$B64,'YTD Purchases'!$G:$G,Brokerage!AB$4)</f>
        <v>0</v>
      </c>
      <c r="AC64" s="857">
        <f>SUMIFS('YTD Sales'!$N:$N,'YTD Sales'!$B:$B,Brokerage!$B64,'YTD Sales'!$M:$M,Brokerage!AC$4)+SUMIFS('YTD Purchases'!$H:$H,'YTD Purchases'!$C:$C,Brokerage!$B64,'YTD Purchases'!$G:$G,Brokerage!AC$4)</f>
        <v>0</v>
      </c>
      <c r="AD64" s="857">
        <f>+SUMIFS(PIB!AG:AG,PIB!AF:AF,Brokerage!AD$4,PIB!AA:AA,Brokerage!$B64)+SUMIFS('T-Bills'!AB:AB,'T-Bills'!AA:AA,Brokerage!AD$4,'T-Bills'!V:V,Brokerage!$B64)</f>
        <v>0</v>
      </c>
      <c r="AE64" s="857">
        <f>+SUMIFS(PIB!AH:AH,PIB!AG:AG,Brokerage!AE$4,PIB!AB:AB,Brokerage!$B64)+SUMIFS('T-Bills'!AC:AC,'T-Bills'!AB:AB,Brokerage!AE$4,'T-Bills'!W:W,Brokerage!$B64)</f>
        <v>0</v>
      </c>
      <c r="AF64" s="857">
        <f>+SUMIFS(PIB!AI:AI,PIB!AH:AH,Brokerage!AF$4,PIB!AC:AC,Brokerage!$B64)+SUMIFS('T-Bills'!AD:AD,'T-Bills'!AC:AC,Brokerage!AF$4,'T-Bills'!X:X,Brokerage!$B64)</f>
        <v>0</v>
      </c>
      <c r="AG64" s="857">
        <f t="shared" si="3"/>
        <v>2228.44</v>
      </c>
      <c r="AH64" s="858">
        <f t="shared" si="8"/>
        <v>0</v>
      </c>
    </row>
    <row r="65" spans="2:35" x14ac:dyDescent="0.15">
      <c r="B65" s="661">
        <f t="shared" si="2"/>
        <v>44621</v>
      </c>
      <c r="C65" s="857">
        <f>SUMIFS('YTD Sales'!$N:$N,'YTD Sales'!$B:$B,Brokerage!$B65,'YTD Sales'!$M:$M,Brokerage!C$4)+SUMIFS('YTD Purchases'!$H:$H,'YTD Purchases'!$C:$C,Brokerage!$B65,'YTD Purchases'!$G:$G,Brokerage!C$4)</f>
        <v>0</v>
      </c>
      <c r="D65" s="857">
        <f>SUMIFS('YTD Sales'!$N:$N,'YTD Sales'!$B:$B,Brokerage!$B65,'YTD Sales'!$M:$M,Brokerage!D$4)+SUMIFS('YTD Purchases'!$H:$H,'YTD Purchases'!$C:$C,Brokerage!$B65,'YTD Purchases'!$G:$G,Brokerage!D$4)</f>
        <v>0</v>
      </c>
      <c r="E65" s="857">
        <f>SUMIFS('YTD Sales'!$N:$N,'YTD Sales'!$B:$B,Brokerage!$B65,'YTD Sales'!$M:$M,Brokerage!E$4)+SUMIFS('YTD Purchases'!$H:$H,'YTD Purchases'!$C:$C,Brokerage!$B65,'YTD Purchases'!$G:$G,Brokerage!E$4)</f>
        <v>0</v>
      </c>
      <c r="F65" s="857">
        <f>SUMIFS('YTD Sales'!$N:$N,'YTD Sales'!$B:$B,Brokerage!$B65,'YTD Sales'!$M:$M,Brokerage!F$4)+SUMIFS('YTD Purchases'!$H:$H,'YTD Purchases'!$C:$C,Brokerage!$B65,'YTD Purchases'!$G:$G,Brokerage!F$4)</f>
        <v>0</v>
      </c>
      <c r="G65" s="857">
        <f>SUMIFS('YTD Sales'!$N:$N,'YTD Sales'!$B:$B,Brokerage!$B65,'YTD Sales'!$M:$M,Brokerage!G$4)+SUMIFS('YTD Purchases'!$H:$H,'YTD Purchases'!$C:$C,Brokerage!$B65,'YTD Purchases'!$G:$G,Brokerage!G$4)</f>
        <v>0</v>
      </c>
      <c r="H65" s="857">
        <f>SUMIFS('YTD Sales'!$N:$N,'YTD Sales'!$B:$B,Brokerage!$B65,'YTD Sales'!$M:$M,Brokerage!H$4)+SUMIFS('YTD Purchases'!$H:$H,'YTD Purchases'!$C:$C,Brokerage!$B65,'YTD Purchases'!$G:$G,Brokerage!H$4)</f>
        <v>0</v>
      </c>
      <c r="I65" s="857">
        <f>SUMIFS('YTD Sales'!$N:$N,'YTD Sales'!$B:$B,Brokerage!$B65,'YTD Sales'!$M:$M,Brokerage!I$4)+SUMIFS('YTD Purchases'!$H:$H,'YTD Purchases'!$C:$C,Brokerage!$B65,'YTD Purchases'!$G:$G,Brokerage!I$4)</f>
        <v>0</v>
      </c>
      <c r="J65" s="857">
        <f>SUMIFS('YTD Sales'!$N:$N,'YTD Sales'!$B:$B,Brokerage!$B65,'YTD Sales'!$M:$M,Brokerage!J$4)+SUMIFS('YTD Purchases'!$H:$H,'YTD Purchases'!$C:$C,Brokerage!$B65,'YTD Purchases'!$G:$G,Brokerage!J$4)</f>
        <v>0</v>
      </c>
      <c r="K65" s="857">
        <f>SUMIFS('YTD Sales'!$N:$N,'YTD Sales'!$B:$B,Brokerage!$B65,'YTD Sales'!$M:$M,Brokerage!K$4)+SUMIFS('YTD Purchases'!$H:$H,'YTD Purchases'!$C:$C,Brokerage!$B65,'YTD Purchases'!$G:$G,Brokerage!K$4)</f>
        <v>0</v>
      </c>
      <c r="L65" s="857">
        <f>SUMIFS('YTD Sales'!$N:$N,'YTD Sales'!$B:$B,Brokerage!$B65,'YTD Sales'!$M:$M,Brokerage!L$4)+SUMIFS('YTD Purchases'!$H:$H,'YTD Purchases'!$C:$C,Brokerage!$B65,'YTD Purchases'!$G:$G,Brokerage!L$4)</f>
        <v>0</v>
      </c>
      <c r="M65" s="857">
        <f>SUMIFS('YTD Sales'!$N:$N,'YTD Sales'!$B:$B,Brokerage!$B65,'YTD Sales'!$M:$M,Brokerage!M$4)+SUMIFS('YTD Purchases'!$H:$H,'YTD Purchases'!$C:$C,Brokerage!$B65,'YTD Purchases'!$G:$G,Brokerage!M$4)</f>
        <v>0</v>
      </c>
      <c r="N65" s="857">
        <f>SUMIFS('YTD Sales'!$N:$N,'YTD Sales'!$B:$B,Brokerage!$B65,'YTD Sales'!$M:$M,Brokerage!N$4)+SUMIFS('YTD Purchases'!$H:$H,'YTD Purchases'!$C:$C,Brokerage!$B65,'YTD Purchases'!$G:$G,Brokerage!N$4)</f>
        <v>0</v>
      </c>
      <c r="O65" s="857">
        <f>SUMIFS('YTD Sales'!$N:$N,'YTD Sales'!$B:$B,Brokerage!$B65,'YTD Sales'!$M:$M,Brokerage!O$4)+SUMIFS('YTD Purchases'!$H:$H,'YTD Purchases'!$C:$C,Brokerage!$B65,'YTD Purchases'!$G:$G,Brokerage!O$4)</f>
        <v>0</v>
      </c>
      <c r="P65" s="857">
        <f>SUMIFS('YTD Sales'!$N:$N,'YTD Sales'!$B:$B,Brokerage!$B65,'YTD Sales'!$M:$M,Brokerage!P$4)+SUMIFS('YTD Purchases'!$H:$H,'YTD Purchases'!$C:$C,Brokerage!$B65,'YTD Purchases'!$G:$G,Brokerage!P$4)</f>
        <v>0</v>
      </c>
      <c r="Q65" s="857">
        <f>SUMIFS('YTD Sales'!$N:$N,'YTD Sales'!$B:$B,Brokerage!$B65,'YTD Sales'!$M:$M,Brokerage!Q$4)+SUMIFS('YTD Purchases'!$H:$H,'YTD Purchases'!$C:$C,Brokerage!$B65,'YTD Purchases'!$G:$G,Brokerage!Q$4)</f>
        <v>0</v>
      </c>
      <c r="R65" s="857">
        <f>SUMIFS('YTD Sales'!$N:$N,'YTD Sales'!$B:$B,Brokerage!$B65,'YTD Sales'!$M:$M,Brokerage!R$4)+SUMIFS('YTD Purchases'!$H:$H,'YTD Purchases'!$C:$C,Brokerage!$B65,'YTD Purchases'!$G:$G,Brokerage!R$4)</f>
        <v>0</v>
      </c>
      <c r="S65" s="857">
        <f>SUMIFS('YTD Sales'!$N:$N,'YTD Sales'!$B:$B,Brokerage!$B65,'YTD Sales'!$M:$M,Brokerage!S$4)+SUMIFS('YTD Purchases'!$H:$H,'YTD Purchases'!$C:$C,Brokerage!$B65,'YTD Purchases'!$G:$G,Brokerage!S$4)</f>
        <v>0</v>
      </c>
      <c r="T65" s="857">
        <f>SUMIFS('YTD Sales'!$N:$N,'YTD Sales'!$B:$B,Brokerage!$B65,'YTD Sales'!$M:$M,Brokerage!T$4)+SUMIFS('YTD Purchases'!$H:$H,'YTD Purchases'!$C:$C,Brokerage!$B65,'YTD Purchases'!$G:$G,Brokerage!T$4)</f>
        <v>0</v>
      </c>
      <c r="U65" s="857">
        <f>SUMIFS('YTD Sales'!$N:$N,'YTD Sales'!$B:$B,Brokerage!$B65,'YTD Sales'!$M:$M,Brokerage!U$4)+SUMIFS('YTD Purchases'!$H:$H,'YTD Purchases'!$C:$C,Brokerage!$B65,'YTD Purchases'!$G:$G,Brokerage!U$4)</f>
        <v>0</v>
      </c>
      <c r="V65" s="857">
        <f>SUMIFS('YTD Sales'!$N:$N,'YTD Sales'!$B:$B,Brokerage!$B65,'YTD Sales'!$M:$M,Brokerage!V$4)+SUMIFS('YTD Purchases'!$H:$H,'YTD Purchases'!$C:$C,Brokerage!$B65,'YTD Purchases'!$G:$G,Brokerage!V$4)</f>
        <v>0</v>
      </c>
      <c r="W65" s="857">
        <f>SUMIFS('YTD Sales'!$N:$N,'YTD Sales'!$B:$B,Brokerage!$B65,'YTD Sales'!$M:$M,Brokerage!W$4)+SUMIFS('YTD Purchases'!$H:$H,'YTD Purchases'!$C:$C,Brokerage!$B65,'YTD Purchases'!$G:$G,Brokerage!W$4)</f>
        <v>0</v>
      </c>
      <c r="X65" s="857">
        <f>SUMIFS('YTD Sales'!$N:$N,'YTD Sales'!$B:$B,Brokerage!$B65,'YTD Sales'!$M:$M,Brokerage!X$4)+SUMIFS('YTD Purchases'!$H:$H,'YTD Purchases'!$C:$C,Brokerage!$B65,'YTD Purchases'!$G:$G,Brokerage!X$4)</f>
        <v>25140.65</v>
      </c>
      <c r="Y65" s="857">
        <f>SUMIFS('YTD Sales'!$N:$N,'YTD Sales'!$B:$B,Brokerage!$B65,'YTD Sales'!$M:$M,Brokerage!Y$4)+SUMIFS('YTD Purchases'!$H:$H,'YTD Purchases'!$C:$C,Brokerage!$B65,'YTD Purchases'!$G:$G,Brokerage!Y$4)</f>
        <v>0</v>
      </c>
      <c r="Z65" s="857">
        <f>SUMIFS('YTD Sales'!$N:$N,'YTD Sales'!$B:$B,Brokerage!$B65,'YTD Sales'!$M:$M,Brokerage!Z$4)+SUMIFS('YTD Purchases'!$H:$H,'YTD Purchases'!$C:$C,Brokerage!$B65,'YTD Purchases'!$G:$G,Brokerage!Z$4)</f>
        <v>0</v>
      </c>
      <c r="AA65" s="857">
        <f>SUMIFS('YTD Sales'!$N:$N,'YTD Sales'!$B:$B,Brokerage!$B65,'YTD Sales'!$M:$M,Brokerage!AA$4)+SUMIFS('YTD Purchases'!$H:$H,'YTD Purchases'!$C:$C,Brokerage!$B65,'YTD Purchases'!$G:$G,Brokerage!AA$4)</f>
        <v>0</v>
      </c>
      <c r="AB65" s="857">
        <f>SUMIFS('YTD Sales'!$N:$N,'YTD Sales'!$B:$B,Brokerage!$B65,'YTD Sales'!$M:$M,Brokerage!AB$4)+SUMIFS('YTD Purchases'!$H:$H,'YTD Purchases'!$C:$C,Brokerage!$B65,'YTD Purchases'!$G:$G,Brokerage!AB$4)</f>
        <v>0</v>
      </c>
      <c r="AC65" s="857">
        <f>SUMIFS('YTD Sales'!$N:$N,'YTD Sales'!$B:$B,Brokerage!$B65,'YTD Sales'!$M:$M,Brokerage!AC$4)+SUMIFS('YTD Purchases'!$H:$H,'YTD Purchases'!$C:$C,Brokerage!$B65,'YTD Purchases'!$G:$G,Brokerage!AC$4)</f>
        <v>0</v>
      </c>
      <c r="AD65" s="857">
        <f>+SUMIFS(PIB!AG:AG,PIB!AF:AF,Brokerage!AD$4,PIB!AA:AA,Brokerage!$B65)+SUMIFS('T-Bills'!AB:AB,'T-Bills'!AA:AA,Brokerage!AD$4,'T-Bills'!V:V,Brokerage!$B65)</f>
        <v>0</v>
      </c>
      <c r="AE65" s="857">
        <f>+SUMIFS(PIB!AH:AH,PIB!AG:AG,Brokerage!AE$4,PIB!AB:AB,Brokerage!$B65)+SUMIFS('T-Bills'!AC:AC,'T-Bills'!AB:AB,Brokerage!AE$4,'T-Bills'!W:W,Brokerage!$B65)</f>
        <v>0</v>
      </c>
      <c r="AF65" s="857">
        <f>+SUMIFS(PIB!AI:AI,PIB!AH:AH,Brokerage!AF$4,PIB!AC:AC,Brokerage!$B65)+SUMIFS('T-Bills'!AD:AD,'T-Bills'!AC:AC,Brokerage!AF$4,'T-Bills'!X:X,Brokerage!$B65)</f>
        <v>0</v>
      </c>
      <c r="AG65" s="857">
        <f t="shared" si="3"/>
        <v>25140.65</v>
      </c>
      <c r="AH65" s="858">
        <f t="shared" si="8"/>
        <v>1</v>
      </c>
    </row>
    <row r="66" spans="2:35" x14ac:dyDescent="0.15">
      <c r="B66" s="661">
        <f t="shared" si="2"/>
        <v>44622</v>
      </c>
      <c r="C66" s="857">
        <f>SUMIFS('YTD Sales'!$N:$N,'YTD Sales'!$B:$B,Brokerage!$B66,'YTD Sales'!$M:$M,Brokerage!C$4)+SUMIFS('YTD Purchases'!$H:$H,'YTD Purchases'!$C:$C,Brokerage!$B66,'YTD Purchases'!$G:$G,Brokerage!C$4)</f>
        <v>0</v>
      </c>
      <c r="D66" s="857">
        <f>SUMIFS('YTD Sales'!$N:$N,'YTD Sales'!$B:$B,Brokerage!$B66,'YTD Sales'!$M:$M,Brokerage!D$4)+SUMIFS('YTD Purchases'!$H:$H,'YTD Purchases'!$C:$C,Brokerage!$B66,'YTD Purchases'!$G:$G,Brokerage!D$4)</f>
        <v>0</v>
      </c>
      <c r="E66" s="857">
        <f>SUMIFS('YTD Sales'!$N:$N,'YTD Sales'!$B:$B,Brokerage!$B66,'YTD Sales'!$M:$M,Brokerage!E$4)+SUMIFS('YTD Purchases'!$H:$H,'YTD Purchases'!$C:$C,Brokerage!$B66,'YTD Purchases'!$G:$G,Brokerage!E$4)</f>
        <v>30344.739999999998</v>
      </c>
      <c r="F66" s="857">
        <f>SUMIFS('YTD Sales'!$N:$N,'YTD Sales'!$B:$B,Brokerage!$B66,'YTD Sales'!$M:$M,Brokerage!F$4)+SUMIFS('YTD Purchases'!$H:$H,'YTD Purchases'!$C:$C,Brokerage!$B66,'YTD Purchases'!$G:$G,Brokerage!F$4)</f>
        <v>0</v>
      </c>
      <c r="G66" s="857">
        <f>SUMIFS('YTD Sales'!$N:$N,'YTD Sales'!$B:$B,Brokerage!$B66,'YTD Sales'!$M:$M,Brokerage!G$4)+SUMIFS('YTD Purchases'!$H:$H,'YTD Purchases'!$C:$C,Brokerage!$B66,'YTD Purchases'!$G:$G,Brokerage!G$4)</f>
        <v>0</v>
      </c>
      <c r="H66" s="857">
        <f>SUMIFS('YTD Sales'!$N:$N,'YTD Sales'!$B:$B,Brokerage!$B66,'YTD Sales'!$M:$M,Brokerage!H$4)+SUMIFS('YTD Purchases'!$H:$H,'YTD Purchases'!$C:$C,Brokerage!$B66,'YTD Purchases'!$G:$G,Brokerage!H$4)</f>
        <v>0</v>
      </c>
      <c r="I66" s="857">
        <f>SUMIFS('YTD Sales'!$N:$N,'YTD Sales'!$B:$B,Brokerage!$B66,'YTD Sales'!$M:$M,Brokerage!I$4)+SUMIFS('YTD Purchases'!$H:$H,'YTD Purchases'!$C:$C,Brokerage!$B66,'YTD Purchases'!$G:$G,Brokerage!I$4)</f>
        <v>0</v>
      </c>
      <c r="J66" s="857">
        <f>SUMIFS('YTD Sales'!$N:$N,'YTD Sales'!$B:$B,Brokerage!$B66,'YTD Sales'!$M:$M,Brokerage!J$4)+SUMIFS('YTD Purchases'!$H:$H,'YTD Purchases'!$C:$C,Brokerage!$B66,'YTD Purchases'!$G:$G,Brokerage!J$4)</f>
        <v>0</v>
      </c>
      <c r="K66" s="857">
        <f>SUMIFS('YTD Sales'!$N:$N,'YTD Sales'!$B:$B,Brokerage!$B66,'YTD Sales'!$M:$M,Brokerage!K$4)+SUMIFS('YTD Purchases'!$H:$H,'YTD Purchases'!$C:$C,Brokerage!$B66,'YTD Purchases'!$G:$G,Brokerage!K$4)</f>
        <v>0</v>
      </c>
      <c r="L66" s="857">
        <f>SUMIFS('YTD Sales'!$N:$N,'YTD Sales'!$B:$B,Brokerage!$B66,'YTD Sales'!$M:$M,Brokerage!L$4)+SUMIFS('YTD Purchases'!$H:$H,'YTD Purchases'!$C:$C,Brokerage!$B66,'YTD Purchases'!$G:$G,Brokerage!L$4)</f>
        <v>0</v>
      </c>
      <c r="M66" s="857">
        <f>SUMIFS('YTD Sales'!$N:$N,'YTD Sales'!$B:$B,Brokerage!$B66,'YTD Sales'!$M:$M,Brokerage!M$4)+SUMIFS('YTD Purchases'!$H:$H,'YTD Purchases'!$C:$C,Brokerage!$B66,'YTD Purchases'!$G:$G,Brokerage!M$4)</f>
        <v>0</v>
      </c>
      <c r="N66" s="857">
        <f>SUMIFS('YTD Sales'!$N:$N,'YTD Sales'!$B:$B,Brokerage!$B66,'YTD Sales'!$M:$M,Brokerage!N$4)+SUMIFS('YTD Purchases'!$H:$H,'YTD Purchases'!$C:$C,Brokerage!$B66,'YTD Purchases'!$G:$G,Brokerage!N$4)</f>
        <v>0</v>
      </c>
      <c r="O66" s="857">
        <f>SUMIFS('YTD Sales'!$N:$N,'YTD Sales'!$B:$B,Brokerage!$B66,'YTD Sales'!$M:$M,Brokerage!O$4)+SUMIFS('YTD Purchases'!$H:$H,'YTD Purchases'!$C:$C,Brokerage!$B66,'YTD Purchases'!$G:$G,Brokerage!O$4)</f>
        <v>0</v>
      </c>
      <c r="P66" s="857">
        <f>SUMIFS('YTD Sales'!$N:$N,'YTD Sales'!$B:$B,Brokerage!$B66,'YTD Sales'!$M:$M,Brokerage!P$4)+SUMIFS('YTD Purchases'!$H:$H,'YTD Purchases'!$C:$C,Brokerage!$B66,'YTD Purchases'!$G:$G,Brokerage!P$4)</f>
        <v>0</v>
      </c>
      <c r="Q66" s="857">
        <f>SUMIFS('YTD Sales'!$N:$N,'YTD Sales'!$B:$B,Brokerage!$B66,'YTD Sales'!$M:$M,Brokerage!Q$4)+SUMIFS('YTD Purchases'!$H:$H,'YTD Purchases'!$C:$C,Brokerage!$B66,'YTD Purchases'!$G:$G,Brokerage!Q$4)</f>
        <v>0</v>
      </c>
      <c r="R66" s="857">
        <f>SUMIFS('YTD Sales'!$N:$N,'YTD Sales'!$B:$B,Brokerage!$B66,'YTD Sales'!$M:$M,Brokerage!R$4)+SUMIFS('YTD Purchases'!$H:$H,'YTD Purchases'!$C:$C,Brokerage!$B66,'YTD Purchases'!$G:$G,Brokerage!R$4)</f>
        <v>35.26</v>
      </c>
      <c r="S66" s="857">
        <f>SUMIFS('YTD Sales'!$N:$N,'YTD Sales'!$B:$B,Brokerage!$B66,'YTD Sales'!$M:$M,Brokerage!S$4)+SUMIFS('YTD Purchases'!$H:$H,'YTD Purchases'!$C:$C,Brokerage!$B66,'YTD Purchases'!$G:$G,Brokerage!S$4)</f>
        <v>0</v>
      </c>
      <c r="T66" s="857">
        <f>SUMIFS('YTD Sales'!$N:$N,'YTD Sales'!$B:$B,Brokerage!$B66,'YTD Sales'!$M:$M,Brokerage!T$4)+SUMIFS('YTD Purchases'!$H:$H,'YTD Purchases'!$C:$C,Brokerage!$B66,'YTD Purchases'!$G:$G,Brokerage!T$4)</f>
        <v>0</v>
      </c>
      <c r="U66" s="857">
        <f>SUMIFS('YTD Sales'!$N:$N,'YTD Sales'!$B:$B,Brokerage!$B66,'YTD Sales'!$M:$M,Brokerage!U$4)+SUMIFS('YTD Purchases'!$H:$H,'YTD Purchases'!$C:$C,Brokerage!$B66,'YTD Purchases'!$G:$G,Brokerage!U$4)</f>
        <v>0</v>
      </c>
      <c r="V66" s="857">
        <f>SUMIFS('YTD Sales'!$N:$N,'YTD Sales'!$B:$B,Brokerage!$B66,'YTD Sales'!$M:$M,Brokerage!V$4)+SUMIFS('YTD Purchases'!$H:$H,'YTD Purchases'!$C:$C,Brokerage!$B66,'YTD Purchases'!$G:$G,Brokerage!V$4)</f>
        <v>0</v>
      </c>
      <c r="W66" s="857">
        <f>SUMIFS('YTD Sales'!$N:$N,'YTD Sales'!$B:$B,Brokerage!$B66,'YTD Sales'!$M:$M,Brokerage!W$4)+SUMIFS('YTD Purchases'!$H:$H,'YTD Purchases'!$C:$C,Brokerage!$B66,'YTD Purchases'!$G:$G,Brokerage!W$4)</f>
        <v>0</v>
      </c>
      <c r="X66" s="857">
        <f>SUMIFS('YTD Sales'!$N:$N,'YTD Sales'!$B:$B,Brokerage!$B66,'YTD Sales'!$M:$M,Brokerage!X$4)+SUMIFS('YTD Purchases'!$H:$H,'YTD Purchases'!$C:$C,Brokerage!$B66,'YTD Purchases'!$G:$G,Brokerage!X$4)</f>
        <v>0</v>
      </c>
      <c r="Y66" s="857">
        <f>SUMIFS('YTD Sales'!$N:$N,'YTD Sales'!$B:$B,Brokerage!$B66,'YTD Sales'!$M:$M,Brokerage!Y$4)+SUMIFS('YTD Purchases'!$H:$H,'YTD Purchases'!$C:$C,Brokerage!$B66,'YTD Purchases'!$G:$G,Brokerage!Y$4)</f>
        <v>0</v>
      </c>
      <c r="Z66" s="857">
        <f>SUMIFS('YTD Sales'!$N:$N,'YTD Sales'!$B:$B,Brokerage!$B66,'YTD Sales'!$M:$M,Brokerage!Z$4)+SUMIFS('YTD Purchases'!$H:$H,'YTD Purchases'!$C:$C,Brokerage!$B66,'YTD Purchases'!$G:$G,Brokerage!Z$4)</f>
        <v>0</v>
      </c>
      <c r="AA66" s="857">
        <f>SUMIFS('YTD Sales'!$N:$N,'YTD Sales'!$B:$B,Brokerage!$B66,'YTD Sales'!$M:$M,Brokerage!AA$4)+SUMIFS('YTD Purchases'!$H:$H,'YTD Purchases'!$C:$C,Brokerage!$B66,'YTD Purchases'!$G:$G,Brokerage!AA$4)</f>
        <v>0</v>
      </c>
      <c r="AB66" s="857">
        <f>SUMIFS('YTD Sales'!$N:$N,'YTD Sales'!$B:$B,Brokerage!$B66,'YTD Sales'!$M:$M,Brokerage!AB$4)+SUMIFS('YTD Purchases'!$H:$H,'YTD Purchases'!$C:$C,Brokerage!$B66,'YTD Purchases'!$G:$G,Brokerage!AB$4)</f>
        <v>0</v>
      </c>
      <c r="AC66" s="857">
        <f>SUMIFS('YTD Sales'!$N:$N,'YTD Sales'!$B:$B,Brokerage!$B66,'YTD Sales'!$M:$M,Brokerage!AC$4)+SUMIFS('YTD Purchases'!$H:$H,'YTD Purchases'!$C:$C,Brokerage!$B66,'YTD Purchases'!$G:$G,Brokerage!AC$4)</f>
        <v>0</v>
      </c>
      <c r="AD66" s="857">
        <f>+SUMIFS(PIB!AG:AG,PIB!AF:AF,Brokerage!AD$4,PIB!AA:AA,Brokerage!$B66)+SUMIFS('T-Bills'!AB:AB,'T-Bills'!AA:AA,Brokerage!AD$4,'T-Bills'!V:V,Brokerage!$B66)</f>
        <v>0</v>
      </c>
      <c r="AE66" s="857">
        <f>+SUMIFS(PIB!AH:AH,PIB!AG:AG,Brokerage!AE$4,PIB!AB:AB,Brokerage!$B66)+SUMIFS('T-Bills'!AC:AC,'T-Bills'!AB:AB,Brokerage!AE$4,'T-Bills'!W:W,Brokerage!$B66)</f>
        <v>0</v>
      </c>
      <c r="AF66" s="857">
        <f>+SUMIFS(PIB!AI:AI,PIB!AH:AH,Brokerage!AF$4,PIB!AC:AC,Brokerage!$B66)+SUMIFS('T-Bills'!AD:AD,'T-Bills'!AC:AC,Brokerage!AF$4,'T-Bills'!X:X,Brokerage!$B66)</f>
        <v>0</v>
      </c>
      <c r="AG66" s="857">
        <f t="shared" si="3"/>
        <v>30379.999999999996</v>
      </c>
      <c r="AH66" s="858">
        <f t="shared" si="8"/>
        <v>1</v>
      </c>
    </row>
    <row r="67" spans="2:35" x14ac:dyDescent="0.15">
      <c r="B67" s="661">
        <f t="shared" si="2"/>
        <v>44623</v>
      </c>
      <c r="C67" s="857">
        <f>SUMIFS('YTD Sales'!$N:$N,'YTD Sales'!$B:$B,Brokerage!$B67,'YTD Sales'!$M:$M,Brokerage!C$4)+SUMIFS('YTD Purchases'!$H:$H,'YTD Purchases'!$C:$C,Brokerage!$B67,'YTD Purchases'!$G:$G,Brokerage!C$4)</f>
        <v>0</v>
      </c>
      <c r="D67" s="857">
        <f>SUMIFS('YTD Sales'!$N:$N,'YTD Sales'!$B:$B,Brokerage!$B67,'YTD Sales'!$M:$M,Brokerage!D$4)+SUMIFS('YTD Purchases'!$H:$H,'YTD Purchases'!$C:$C,Brokerage!$B67,'YTD Purchases'!$G:$G,Brokerage!D$4)</f>
        <v>0</v>
      </c>
      <c r="E67" s="857">
        <f>SUMIFS('YTD Sales'!$N:$N,'YTD Sales'!$B:$B,Brokerage!$B67,'YTD Sales'!$M:$M,Brokerage!E$4)+SUMIFS('YTD Purchases'!$H:$H,'YTD Purchases'!$C:$C,Brokerage!$B67,'YTD Purchases'!$G:$G,Brokerage!E$4)</f>
        <v>0</v>
      </c>
      <c r="F67" s="857">
        <f>SUMIFS('YTD Sales'!$N:$N,'YTD Sales'!$B:$B,Brokerage!$B67,'YTD Sales'!$M:$M,Brokerage!F$4)+SUMIFS('YTD Purchases'!$H:$H,'YTD Purchases'!$C:$C,Brokerage!$B67,'YTD Purchases'!$G:$G,Brokerage!F$4)</f>
        <v>0</v>
      </c>
      <c r="G67" s="857">
        <f>SUMIFS('YTD Sales'!$N:$N,'YTD Sales'!$B:$B,Brokerage!$B67,'YTD Sales'!$M:$M,Brokerage!G$4)+SUMIFS('YTD Purchases'!$H:$H,'YTD Purchases'!$C:$C,Brokerage!$B67,'YTD Purchases'!$G:$G,Brokerage!G$4)</f>
        <v>0</v>
      </c>
      <c r="H67" s="857">
        <f>SUMIFS('YTD Sales'!$N:$N,'YTD Sales'!$B:$B,Brokerage!$B67,'YTD Sales'!$M:$M,Brokerage!H$4)+SUMIFS('YTD Purchases'!$H:$H,'YTD Purchases'!$C:$C,Brokerage!$B67,'YTD Purchases'!$G:$G,Brokerage!H$4)</f>
        <v>0</v>
      </c>
      <c r="I67" s="857">
        <f>SUMIFS('YTD Sales'!$N:$N,'YTD Sales'!$B:$B,Brokerage!$B67,'YTD Sales'!$M:$M,Brokerage!I$4)+SUMIFS('YTD Purchases'!$H:$H,'YTD Purchases'!$C:$C,Brokerage!$B67,'YTD Purchases'!$G:$G,Brokerage!I$4)</f>
        <v>0</v>
      </c>
      <c r="J67" s="857">
        <f>SUMIFS('YTD Sales'!$N:$N,'YTD Sales'!$B:$B,Brokerage!$B67,'YTD Sales'!$M:$M,Brokerage!J$4)+SUMIFS('YTD Purchases'!$H:$H,'YTD Purchases'!$C:$C,Brokerage!$B67,'YTD Purchases'!$G:$G,Brokerage!J$4)</f>
        <v>0</v>
      </c>
      <c r="K67" s="857">
        <f>SUMIFS('YTD Sales'!$N:$N,'YTD Sales'!$B:$B,Brokerage!$B67,'YTD Sales'!$M:$M,Brokerage!K$4)+SUMIFS('YTD Purchases'!$H:$H,'YTD Purchases'!$C:$C,Brokerage!$B67,'YTD Purchases'!$G:$G,Brokerage!K$4)</f>
        <v>0</v>
      </c>
      <c r="L67" s="857">
        <f>SUMIFS('YTD Sales'!$N:$N,'YTD Sales'!$B:$B,Brokerage!$B67,'YTD Sales'!$M:$M,Brokerage!L$4)+SUMIFS('YTD Purchases'!$H:$H,'YTD Purchases'!$C:$C,Brokerage!$B67,'YTD Purchases'!$G:$G,Brokerage!L$4)</f>
        <v>0</v>
      </c>
      <c r="M67" s="857">
        <f>SUMIFS('YTD Sales'!$N:$N,'YTD Sales'!$B:$B,Brokerage!$B67,'YTD Sales'!$M:$M,Brokerage!M$4)+SUMIFS('YTD Purchases'!$H:$H,'YTD Purchases'!$C:$C,Brokerage!$B67,'YTD Purchases'!$G:$G,Brokerage!M$4)</f>
        <v>0</v>
      </c>
      <c r="N67" s="857">
        <f>SUMIFS('YTD Sales'!$N:$N,'YTD Sales'!$B:$B,Brokerage!$B67,'YTD Sales'!$M:$M,Brokerage!N$4)+SUMIFS('YTD Purchases'!$H:$H,'YTD Purchases'!$C:$C,Brokerage!$B67,'YTD Purchases'!$G:$G,Brokerage!N$4)</f>
        <v>0</v>
      </c>
      <c r="O67" s="857">
        <f>SUMIFS('YTD Sales'!$N:$N,'YTD Sales'!$B:$B,Brokerage!$B67,'YTD Sales'!$M:$M,Brokerage!O$4)+SUMIFS('YTD Purchases'!$H:$H,'YTD Purchases'!$C:$C,Brokerage!$B67,'YTD Purchases'!$G:$G,Brokerage!O$4)</f>
        <v>0</v>
      </c>
      <c r="P67" s="857">
        <f>SUMIFS('YTD Sales'!$N:$N,'YTD Sales'!$B:$B,Brokerage!$B67,'YTD Sales'!$M:$M,Brokerage!P$4)+SUMIFS('YTD Purchases'!$H:$H,'YTD Purchases'!$C:$C,Brokerage!$B67,'YTD Purchases'!$G:$G,Brokerage!P$4)</f>
        <v>0</v>
      </c>
      <c r="Q67" s="857">
        <f>SUMIFS('YTD Sales'!$N:$N,'YTD Sales'!$B:$B,Brokerage!$B67,'YTD Sales'!$M:$M,Brokerage!Q$4)+SUMIFS('YTD Purchases'!$H:$H,'YTD Purchases'!$C:$C,Brokerage!$B67,'YTD Purchases'!$G:$G,Brokerage!Q$4)</f>
        <v>0</v>
      </c>
      <c r="R67" s="857">
        <f>SUMIFS('YTD Sales'!$N:$N,'YTD Sales'!$B:$B,Brokerage!$B67,'YTD Sales'!$M:$M,Brokerage!R$4)+SUMIFS('YTD Purchases'!$H:$H,'YTD Purchases'!$C:$C,Brokerage!$B67,'YTD Purchases'!$G:$G,Brokerage!R$4)</f>
        <v>0</v>
      </c>
      <c r="S67" s="857">
        <f>SUMIFS('YTD Sales'!$N:$N,'YTD Sales'!$B:$B,Brokerage!$B67,'YTD Sales'!$M:$M,Brokerage!S$4)+SUMIFS('YTD Purchases'!$H:$H,'YTD Purchases'!$C:$C,Brokerage!$B67,'YTD Purchases'!$G:$G,Brokerage!S$4)</f>
        <v>0</v>
      </c>
      <c r="T67" s="857">
        <f>SUMIFS('YTD Sales'!$N:$N,'YTD Sales'!$B:$B,Brokerage!$B67,'YTD Sales'!$M:$M,Brokerage!T$4)+SUMIFS('YTD Purchases'!$H:$H,'YTD Purchases'!$C:$C,Brokerage!$B67,'YTD Purchases'!$G:$G,Brokerage!T$4)</f>
        <v>0</v>
      </c>
      <c r="U67" s="857">
        <f>SUMIFS('YTD Sales'!$N:$N,'YTD Sales'!$B:$B,Brokerage!$B67,'YTD Sales'!$M:$M,Brokerage!U$4)+SUMIFS('YTD Purchases'!$H:$H,'YTD Purchases'!$C:$C,Brokerage!$B67,'YTD Purchases'!$G:$G,Brokerage!U$4)</f>
        <v>0</v>
      </c>
      <c r="V67" s="857">
        <f>SUMIFS('YTD Sales'!$N:$N,'YTD Sales'!$B:$B,Brokerage!$B67,'YTD Sales'!$M:$M,Brokerage!V$4)+SUMIFS('YTD Purchases'!$H:$H,'YTD Purchases'!$C:$C,Brokerage!$B67,'YTD Purchases'!$G:$G,Brokerage!V$4)</f>
        <v>0</v>
      </c>
      <c r="W67" s="857">
        <f>SUMIFS('YTD Sales'!$N:$N,'YTD Sales'!$B:$B,Brokerage!$B67,'YTD Sales'!$M:$M,Brokerage!W$4)+SUMIFS('YTD Purchases'!$H:$H,'YTD Purchases'!$C:$C,Brokerage!$B67,'YTD Purchases'!$G:$G,Brokerage!W$4)</f>
        <v>0</v>
      </c>
      <c r="X67" s="857">
        <f>SUMIFS('YTD Sales'!$N:$N,'YTD Sales'!$B:$B,Brokerage!$B67,'YTD Sales'!$M:$M,Brokerage!X$4)+SUMIFS('YTD Purchases'!$H:$H,'YTD Purchases'!$C:$C,Brokerage!$B67,'YTD Purchases'!$G:$G,Brokerage!X$4)</f>
        <v>0</v>
      </c>
      <c r="Y67" s="857">
        <f>SUMIFS('YTD Sales'!$N:$N,'YTD Sales'!$B:$B,Brokerage!$B67,'YTD Sales'!$M:$M,Brokerage!Y$4)+SUMIFS('YTD Purchases'!$H:$H,'YTD Purchases'!$C:$C,Brokerage!$B67,'YTD Purchases'!$G:$G,Brokerage!Y$4)</f>
        <v>0</v>
      </c>
      <c r="Z67" s="857">
        <f>SUMIFS('YTD Sales'!$N:$N,'YTD Sales'!$B:$B,Brokerage!$B67,'YTD Sales'!$M:$M,Brokerage!Z$4)+SUMIFS('YTD Purchases'!$H:$H,'YTD Purchases'!$C:$C,Brokerage!$B67,'YTD Purchases'!$G:$G,Brokerage!Z$4)</f>
        <v>0</v>
      </c>
      <c r="AA67" s="857">
        <f>SUMIFS('YTD Sales'!$N:$N,'YTD Sales'!$B:$B,Brokerage!$B67,'YTD Sales'!$M:$M,Brokerage!AA$4)+SUMIFS('YTD Purchases'!$H:$H,'YTD Purchases'!$C:$C,Brokerage!$B67,'YTD Purchases'!$G:$G,Brokerage!AA$4)</f>
        <v>0</v>
      </c>
      <c r="AB67" s="857">
        <f>SUMIFS('YTD Sales'!$N:$N,'YTD Sales'!$B:$B,Brokerage!$B67,'YTD Sales'!$M:$M,Brokerage!AB$4)+SUMIFS('YTD Purchases'!$H:$H,'YTD Purchases'!$C:$C,Brokerage!$B67,'YTD Purchases'!$G:$G,Brokerage!AB$4)</f>
        <v>0</v>
      </c>
      <c r="AC67" s="857">
        <f>SUMIFS('YTD Sales'!$N:$N,'YTD Sales'!$B:$B,Brokerage!$B67,'YTD Sales'!$M:$M,Brokerage!AC$4)+SUMIFS('YTD Purchases'!$H:$H,'YTD Purchases'!$C:$C,Brokerage!$B67,'YTD Purchases'!$G:$G,Brokerage!AC$4)</f>
        <v>0</v>
      </c>
      <c r="AD67" s="857">
        <f>+SUMIFS(PIB!AG:AG,PIB!AF:AF,Brokerage!AD$4,PIB!AA:AA,Brokerage!$B67)+SUMIFS('T-Bills'!AB:AB,'T-Bills'!AA:AA,Brokerage!AD$4,'T-Bills'!V:V,Brokerage!$B67)</f>
        <v>0</v>
      </c>
      <c r="AE67" s="857">
        <f>+SUMIFS(PIB!AH:AH,PIB!AG:AG,Brokerage!AE$4,PIB!AB:AB,Brokerage!$B67)+SUMIFS('T-Bills'!AC:AC,'T-Bills'!AB:AB,Brokerage!AE$4,'T-Bills'!W:W,Brokerage!$B67)</f>
        <v>0</v>
      </c>
      <c r="AF67" s="857">
        <f>+SUMIFS(PIB!AI:AI,PIB!AH:AH,Brokerage!AF$4,PIB!AC:AC,Brokerage!$B67)+SUMIFS('T-Bills'!AD:AD,'T-Bills'!AC:AC,Brokerage!AF$4,'T-Bills'!X:X,Brokerage!$B67)</f>
        <v>0</v>
      </c>
      <c r="AG67" s="857">
        <f t="shared" si="3"/>
        <v>0</v>
      </c>
      <c r="AH67" s="858">
        <f t="shared" si="8"/>
        <v>0</v>
      </c>
    </row>
    <row r="68" spans="2:35" x14ac:dyDescent="0.15">
      <c r="B68" s="661">
        <f t="shared" si="2"/>
        <v>44624</v>
      </c>
      <c r="C68" s="857">
        <f>SUMIFS('YTD Sales'!$N:$N,'YTD Sales'!$B:$B,Brokerage!$B68,'YTD Sales'!$M:$M,Brokerage!C$4)+SUMIFS('YTD Purchases'!$H:$H,'YTD Purchases'!$C:$C,Brokerage!$B68,'YTD Purchases'!$G:$G,Brokerage!C$4)</f>
        <v>0</v>
      </c>
      <c r="D68" s="857">
        <f>SUMIFS('YTD Sales'!$N:$N,'YTD Sales'!$B:$B,Brokerage!$B68,'YTD Sales'!$M:$M,Brokerage!D$4)+SUMIFS('YTD Purchases'!$H:$H,'YTD Purchases'!$C:$C,Brokerage!$B68,'YTD Purchases'!$G:$G,Brokerage!D$4)</f>
        <v>0</v>
      </c>
      <c r="E68" s="857">
        <f>SUMIFS('YTD Sales'!$N:$N,'YTD Sales'!$B:$B,Brokerage!$B68,'YTD Sales'!$M:$M,Brokerage!E$4)+SUMIFS('YTD Purchases'!$H:$H,'YTD Purchases'!$C:$C,Brokerage!$B68,'YTD Purchases'!$G:$G,Brokerage!E$4)</f>
        <v>0</v>
      </c>
      <c r="F68" s="857">
        <f>SUMIFS('YTD Sales'!$N:$N,'YTD Sales'!$B:$B,Brokerage!$B68,'YTD Sales'!$M:$M,Brokerage!F$4)+SUMIFS('YTD Purchases'!$H:$H,'YTD Purchases'!$C:$C,Brokerage!$B68,'YTD Purchases'!$G:$G,Brokerage!F$4)</f>
        <v>0</v>
      </c>
      <c r="G68" s="857">
        <f>SUMIFS('YTD Sales'!$N:$N,'YTD Sales'!$B:$B,Brokerage!$B68,'YTD Sales'!$M:$M,Brokerage!G$4)+SUMIFS('YTD Purchases'!$H:$H,'YTD Purchases'!$C:$C,Brokerage!$B68,'YTD Purchases'!$G:$G,Brokerage!G$4)</f>
        <v>0</v>
      </c>
      <c r="H68" s="857">
        <f>SUMIFS('YTD Sales'!$N:$N,'YTD Sales'!$B:$B,Brokerage!$B68,'YTD Sales'!$M:$M,Brokerage!H$4)+SUMIFS('YTD Purchases'!$H:$H,'YTD Purchases'!$C:$C,Brokerage!$B68,'YTD Purchases'!$G:$G,Brokerage!H$4)</f>
        <v>0</v>
      </c>
      <c r="I68" s="857">
        <f>SUMIFS('YTD Sales'!$N:$N,'YTD Sales'!$B:$B,Brokerage!$B68,'YTD Sales'!$M:$M,Brokerage!I$4)+SUMIFS('YTD Purchases'!$H:$H,'YTD Purchases'!$C:$C,Brokerage!$B68,'YTD Purchases'!$G:$G,Brokerage!I$4)</f>
        <v>0</v>
      </c>
      <c r="J68" s="857">
        <f>SUMIFS('YTD Sales'!$N:$N,'YTD Sales'!$B:$B,Brokerage!$B68,'YTD Sales'!$M:$M,Brokerage!J$4)+SUMIFS('YTD Purchases'!$H:$H,'YTD Purchases'!$C:$C,Brokerage!$B68,'YTD Purchases'!$G:$G,Brokerage!J$4)</f>
        <v>0</v>
      </c>
      <c r="K68" s="857">
        <f>SUMIFS('YTD Sales'!$N:$N,'YTD Sales'!$B:$B,Brokerage!$B68,'YTD Sales'!$M:$M,Brokerage!K$4)+SUMIFS('YTD Purchases'!$H:$H,'YTD Purchases'!$C:$C,Brokerage!$B68,'YTD Purchases'!$G:$G,Brokerage!K$4)</f>
        <v>0</v>
      </c>
      <c r="L68" s="857">
        <f>SUMIFS('YTD Sales'!$N:$N,'YTD Sales'!$B:$B,Brokerage!$B68,'YTD Sales'!$M:$M,Brokerage!L$4)+SUMIFS('YTD Purchases'!$H:$H,'YTD Purchases'!$C:$C,Brokerage!$B68,'YTD Purchases'!$G:$G,Brokerage!L$4)</f>
        <v>0</v>
      </c>
      <c r="M68" s="857">
        <f>SUMIFS('YTD Sales'!$N:$N,'YTD Sales'!$B:$B,Brokerage!$B68,'YTD Sales'!$M:$M,Brokerage!M$4)+SUMIFS('YTD Purchases'!$H:$H,'YTD Purchases'!$C:$C,Brokerage!$B68,'YTD Purchases'!$G:$G,Brokerage!M$4)</f>
        <v>0</v>
      </c>
      <c r="N68" s="857">
        <f>SUMIFS('YTD Sales'!$N:$N,'YTD Sales'!$B:$B,Brokerage!$B68,'YTD Sales'!$M:$M,Brokerage!N$4)+SUMIFS('YTD Purchases'!$H:$H,'YTD Purchases'!$C:$C,Brokerage!$B68,'YTD Purchases'!$G:$G,Brokerage!N$4)</f>
        <v>0</v>
      </c>
      <c r="O68" s="857">
        <f>SUMIFS('YTD Sales'!$N:$N,'YTD Sales'!$B:$B,Brokerage!$B68,'YTD Sales'!$M:$M,Brokerage!O$4)+SUMIFS('YTD Purchases'!$H:$H,'YTD Purchases'!$C:$C,Brokerage!$B68,'YTD Purchases'!$G:$G,Brokerage!O$4)</f>
        <v>0</v>
      </c>
      <c r="P68" s="857">
        <f>SUMIFS('YTD Sales'!$N:$N,'YTD Sales'!$B:$B,Brokerage!$B68,'YTD Sales'!$M:$M,Brokerage!P$4)+SUMIFS('YTD Purchases'!$H:$H,'YTD Purchases'!$C:$C,Brokerage!$B68,'YTD Purchases'!$G:$G,Brokerage!P$4)</f>
        <v>0</v>
      </c>
      <c r="Q68" s="857">
        <f>SUMIFS('YTD Sales'!$N:$N,'YTD Sales'!$B:$B,Brokerage!$B68,'YTD Sales'!$M:$M,Brokerage!Q$4)+SUMIFS('YTD Purchases'!$H:$H,'YTD Purchases'!$C:$C,Brokerage!$B68,'YTD Purchases'!$G:$G,Brokerage!Q$4)</f>
        <v>0</v>
      </c>
      <c r="R68" s="857">
        <f>SUMIFS('YTD Sales'!$N:$N,'YTD Sales'!$B:$B,Brokerage!$B68,'YTD Sales'!$M:$M,Brokerage!R$4)+SUMIFS('YTD Purchases'!$H:$H,'YTD Purchases'!$C:$C,Brokerage!$B68,'YTD Purchases'!$G:$G,Brokerage!R$4)</f>
        <v>0</v>
      </c>
      <c r="S68" s="857">
        <f>SUMIFS('YTD Sales'!$N:$N,'YTD Sales'!$B:$B,Brokerage!$B68,'YTD Sales'!$M:$M,Brokerage!S$4)+SUMIFS('YTD Purchases'!$H:$H,'YTD Purchases'!$C:$C,Brokerage!$B68,'YTD Purchases'!$G:$G,Brokerage!S$4)</f>
        <v>0</v>
      </c>
      <c r="T68" s="857">
        <f>SUMIFS('YTD Sales'!$N:$N,'YTD Sales'!$B:$B,Brokerage!$B68,'YTD Sales'!$M:$M,Brokerage!T$4)+SUMIFS('YTD Purchases'!$H:$H,'YTD Purchases'!$C:$C,Brokerage!$B68,'YTD Purchases'!$G:$G,Brokerage!T$4)</f>
        <v>0</v>
      </c>
      <c r="U68" s="857">
        <f>SUMIFS('YTD Sales'!$N:$N,'YTD Sales'!$B:$B,Brokerage!$B68,'YTD Sales'!$M:$M,Brokerage!U$4)+SUMIFS('YTD Purchases'!$H:$H,'YTD Purchases'!$C:$C,Brokerage!$B68,'YTD Purchases'!$G:$G,Brokerage!U$4)</f>
        <v>118.43799999999999</v>
      </c>
      <c r="V68" s="857">
        <f>SUMIFS('YTD Sales'!$N:$N,'YTD Sales'!$B:$B,Brokerage!$B68,'YTD Sales'!$M:$M,Brokerage!V$4)+SUMIFS('YTD Purchases'!$H:$H,'YTD Purchases'!$C:$C,Brokerage!$B68,'YTD Purchases'!$G:$G,Brokerage!V$4)</f>
        <v>0</v>
      </c>
      <c r="W68" s="857">
        <f>SUMIFS('YTD Sales'!$N:$N,'YTD Sales'!$B:$B,Brokerage!$B68,'YTD Sales'!$M:$M,Brokerage!W$4)+SUMIFS('YTD Purchases'!$H:$H,'YTD Purchases'!$C:$C,Brokerage!$B68,'YTD Purchases'!$G:$G,Brokerage!W$4)</f>
        <v>0</v>
      </c>
      <c r="X68" s="857">
        <f>SUMIFS('YTD Sales'!$N:$N,'YTD Sales'!$B:$B,Brokerage!$B68,'YTD Sales'!$M:$M,Brokerage!X$4)+SUMIFS('YTD Purchases'!$H:$H,'YTD Purchases'!$C:$C,Brokerage!$B68,'YTD Purchases'!$G:$G,Brokerage!X$4)</f>
        <v>0</v>
      </c>
      <c r="Y68" s="857">
        <f>SUMIFS('YTD Sales'!$N:$N,'YTD Sales'!$B:$B,Brokerage!$B68,'YTD Sales'!$M:$M,Brokerage!Y$4)+SUMIFS('YTD Purchases'!$H:$H,'YTD Purchases'!$C:$C,Brokerage!$B68,'YTD Purchases'!$G:$G,Brokerage!Y$4)</f>
        <v>0</v>
      </c>
      <c r="Z68" s="857">
        <f>SUMIFS('YTD Sales'!$N:$N,'YTD Sales'!$B:$B,Brokerage!$B68,'YTD Sales'!$M:$M,Brokerage!Z$4)+SUMIFS('YTD Purchases'!$H:$H,'YTD Purchases'!$C:$C,Brokerage!$B68,'YTD Purchases'!$G:$G,Brokerage!Z$4)</f>
        <v>0</v>
      </c>
      <c r="AA68" s="857">
        <f>SUMIFS('YTD Sales'!$N:$N,'YTD Sales'!$B:$B,Brokerage!$B68,'YTD Sales'!$M:$M,Brokerage!AA$4)+SUMIFS('YTD Purchases'!$H:$H,'YTD Purchases'!$C:$C,Brokerage!$B68,'YTD Purchases'!$G:$G,Brokerage!AA$4)</f>
        <v>0</v>
      </c>
      <c r="AB68" s="857">
        <f>SUMIFS('YTD Sales'!$N:$N,'YTD Sales'!$B:$B,Brokerage!$B68,'YTD Sales'!$M:$M,Brokerage!AB$4)+SUMIFS('YTD Purchases'!$H:$H,'YTD Purchases'!$C:$C,Brokerage!$B68,'YTD Purchases'!$G:$G,Brokerage!AB$4)</f>
        <v>0</v>
      </c>
      <c r="AC68" s="857">
        <f>SUMIFS('YTD Sales'!$N:$N,'YTD Sales'!$B:$B,Brokerage!$B68,'YTD Sales'!$M:$M,Brokerage!AC$4)+SUMIFS('YTD Purchases'!$H:$H,'YTD Purchases'!$C:$C,Brokerage!$B68,'YTD Purchases'!$G:$G,Brokerage!AC$4)</f>
        <v>0</v>
      </c>
      <c r="AD68" s="857">
        <f>+SUMIFS(PIB!AG:AG,PIB!AF:AF,Brokerage!AD$4,PIB!AA:AA,Brokerage!$B68)+SUMIFS('T-Bills'!AB:AB,'T-Bills'!AA:AA,Brokerage!AD$4,'T-Bills'!V:V,Brokerage!$B68)</f>
        <v>0</v>
      </c>
      <c r="AE68" s="857">
        <f>+SUMIFS(PIB!AH:AH,PIB!AG:AG,Brokerage!AE$4,PIB!AB:AB,Brokerage!$B68)+SUMIFS('T-Bills'!AC:AC,'T-Bills'!AB:AB,Brokerage!AE$4,'T-Bills'!W:W,Brokerage!$B68)</f>
        <v>0</v>
      </c>
      <c r="AF68" s="857">
        <f>+SUMIFS(PIB!AI:AI,PIB!AH:AH,Brokerage!AF$4,PIB!AC:AC,Brokerage!$B68)+SUMIFS('T-Bills'!AD:AD,'T-Bills'!AC:AC,Brokerage!AF$4,'T-Bills'!X:X,Brokerage!$B68)</f>
        <v>0</v>
      </c>
      <c r="AG68" s="857">
        <f t="shared" si="3"/>
        <v>118.43799999999999</v>
      </c>
      <c r="AH68" s="858">
        <f t="shared" si="8"/>
        <v>0</v>
      </c>
    </row>
    <row r="69" spans="2:35" x14ac:dyDescent="0.15">
      <c r="B69" s="661">
        <f t="shared" si="2"/>
        <v>44625</v>
      </c>
      <c r="C69" s="857">
        <f>SUMIFS('YTD Sales'!$N:$N,'YTD Sales'!$B:$B,Brokerage!$B69,'YTD Sales'!$M:$M,Brokerage!C$4)+SUMIFS('YTD Purchases'!$H:$H,'YTD Purchases'!$C:$C,Brokerage!$B69,'YTD Purchases'!$G:$G,Brokerage!C$4)</f>
        <v>0</v>
      </c>
      <c r="D69" s="857">
        <f>SUMIFS('YTD Sales'!$N:$N,'YTD Sales'!$B:$B,Brokerage!$B69,'YTD Sales'!$M:$M,Brokerage!D$4)+SUMIFS('YTD Purchases'!$H:$H,'YTD Purchases'!$C:$C,Brokerage!$B69,'YTD Purchases'!$G:$G,Brokerage!D$4)</f>
        <v>0</v>
      </c>
      <c r="E69" s="857">
        <f>SUMIFS('YTD Sales'!$N:$N,'YTD Sales'!$B:$B,Brokerage!$B69,'YTD Sales'!$M:$M,Brokerage!E$4)+SUMIFS('YTD Purchases'!$H:$H,'YTD Purchases'!$C:$C,Brokerage!$B69,'YTD Purchases'!$G:$G,Brokerage!E$4)</f>
        <v>0</v>
      </c>
      <c r="F69" s="857">
        <f>SUMIFS('YTD Sales'!$N:$N,'YTD Sales'!$B:$B,Brokerage!$B69,'YTD Sales'!$M:$M,Brokerage!F$4)+SUMIFS('YTD Purchases'!$H:$H,'YTD Purchases'!$C:$C,Brokerage!$B69,'YTD Purchases'!$G:$G,Brokerage!F$4)</f>
        <v>0</v>
      </c>
      <c r="G69" s="857">
        <f>SUMIFS('YTD Sales'!$N:$N,'YTD Sales'!$B:$B,Brokerage!$B69,'YTD Sales'!$M:$M,Brokerage!G$4)+SUMIFS('YTD Purchases'!$H:$H,'YTD Purchases'!$C:$C,Brokerage!$B69,'YTD Purchases'!$G:$G,Brokerage!G$4)</f>
        <v>0</v>
      </c>
      <c r="H69" s="857">
        <f>SUMIFS('YTD Sales'!$N:$N,'YTD Sales'!$B:$B,Brokerage!$B69,'YTD Sales'!$M:$M,Brokerage!H$4)+SUMIFS('YTD Purchases'!$H:$H,'YTD Purchases'!$C:$C,Brokerage!$B69,'YTD Purchases'!$G:$G,Brokerage!H$4)</f>
        <v>0</v>
      </c>
      <c r="I69" s="857">
        <f>SUMIFS('YTD Sales'!$N:$N,'YTD Sales'!$B:$B,Brokerage!$B69,'YTD Sales'!$M:$M,Brokerage!I$4)+SUMIFS('YTD Purchases'!$H:$H,'YTD Purchases'!$C:$C,Brokerage!$B69,'YTD Purchases'!$G:$G,Brokerage!I$4)</f>
        <v>0</v>
      </c>
      <c r="J69" s="857">
        <f>SUMIFS('YTD Sales'!$N:$N,'YTD Sales'!$B:$B,Brokerage!$B69,'YTD Sales'!$M:$M,Brokerage!J$4)+SUMIFS('YTD Purchases'!$H:$H,'YTD Purchases'!$C:$C,Brokerage!$B69,'YTD Purchases'!$G:$G,Brokerage!J$4)</f>
        <v>0</v>
      </c>
      <c r="K69" s="857">
        <f>SUMIFS('YTD Sales'!$N:$N,'YTD Sales'!$B:$B,Brokerage!$B69,'YTD Sales'!$M:$M,Brokerage!K$4)+SUMIFS('YTD Purchases'!$H:$H,'YTD Purchases'!$C:$C,Brokerage!$B69,'YTD Purchases'!$G:$G,Brokerage!K$4)</f>
        <v>0</v>
      </c>
      <c r="L69" s="857">
        <f>SUMIFS('YTD Sales'!$N:$N,'YTD Sales'!$B:$B,Brokerage!$B69,'YTD Sales'!$M:$M,Brokerage!L$4)+SUMIFS('YTD Purchases'!$H:$H,'YTD Purchases'!$C:$C,Brokerage!$B69,'YTD Purchases'!$G:$G,Brokerage!L$4)</f>
        <v>0</v>
      </c>
      <c r="M69" s="857">
        <f>SUMIFS('YTD Sales'!$N:$N,'YTD Sales'!$B:$B,Brokerage!$B69,'YTD Sales'!$M:$M,Brokerage!M$4)+SUMIFS('YTD Purchases'!$H:$H,'YTD Purchases'!$C:$C,Brokerage!$B69,'YTD Purchases'!$G:$G,Brokerage!M$4)</f>
        <v>0</v>
      </c>
      <c r="N69" s="857">
        <f>SUMIFS('YTD Sales'!$N:$N,'YTD Sales'!$B:$B,Brokerage!$B69,'YTD Sales'!$M:$M,Brokerage!N$4)+SUMIFS('YTD Purchases'!$H:$H,'YTD Purchases'!$C:$C,Brokerage!$B69,'YTD Purchases'!$G:$G,Brokerage!N$4)</f>
        <v>0</v>
      </c>
      <c r="O69" s="857">
        <f>SUMIFS('YTD Sales'!$N:$N,'YTD Sales'!$B:$B,Brokerage!$B69,'YTD Sales'!$M:$M,Brokerage!O$4)+SUMIFS('YTD Purchases'!$H:$H,'YTD Purchases'!$C:$C,Brokerage!$B69,'YTD Purchases'!$G:$G,Brokerage!O$4)</f>
        <v>0</v>
      </c>
      <c r="P69" s="857">
        <f>SUMIFS('YTD Sales'!$N:$N,'YTD Sales'!$B:$B,Brokerage!$B69,'YTD Sales'!$M:$M,Brokerage!P$4)+SUMIFS('YTD Purchases'!$H:$H,'YTD Purchases'!$C:$C,Brokerage!$B69,'YTD Purchases'!$G:$G,Brokerage!P$4)</f>
        <v>0</v>
      </c>
      <c r="Q69" s="857">
        <f>SUMIFS('YTD Sales'!$N:$N,'YTD Sales'!$B:$B,Brokerage!$B69,'YTD Sales'!$M:$M,Brokerage!Q$4)+SUMIFS('YTD Purchases'!$H:$H,'YTD Purchases'!$C:$C,Brokerage!$B69,'YTD Purchases'!$G:$G,Brokerage!Q$4)</f>
        <v>0</v>
      </c>
      <c r="R69" s="857">
        <f>SUMIFS('YTD Sales'!$N:$N,'YTD Sales'!$B:$B,Brokerage!$B69,'YTD Sales'!$M:$M,Brokerage!R$4)+SUMIFS('YTD Purchases'!$H:$H,'YTD Purchases'!$C:$C,Brokerage!$B69,'YTD Purchases'!$G:$G,Brokerage!R$4)</f>
        <v>0</v>
      </c>
      <c r="S69" s="857">
        <f>SUMIFS('YTD Sales'!$N:$N,'YTD Sales'!$B:$B,Brokerage!$B69,'YTD Sales'!$M:$M,Brokerage!S$4)+SUMIFS('YTD Purchases'!$H:$H,'YTD Purchases'!$C:$C,Brokerage!$B69,'YTD Purchases'!$G:$G,Brokerage!S$4)</f>
        <v>0</v>
      </c>
      <c r="T69" s="857">
        <f>SUMIFS('YTD Sales'!$N:$N,'YTD Sales'!$B:$B,Brokerage!$B69,'YTD Sales'!$M:$M,Brokerage!T$4)+SUMIFS('YTD Purchases'!$H:$H,'YTD Purchases'!$C:$C,Brokerage!$B69,'YTD Purchases'!$G:$G,Brokerage!T$4)</f>
        <v>0</v>
      </c>
      <c r="U69" s="857">
        <f>SUMIFS('YTD Sales'!$N:$N,'YTD Sales'!$B:$B,Brokerage!$B69,'YTD Sales'!$M:$M,Brokerage!U$4)+SUMIFS('YTD Purchases'!$H:$H,'YTD Purchases'!$C:$C,Brokerage!$B69,'YTD Purchases'!$G:$G,Brokerage!U$4)</f>
        <v>0</v>
      </c>
      <c r="V69" s="857">
        <f>SUMIFS('YTD Sales'!$N:$N,'YTD Sales'!$B:$B,Brokerage!$B69,'YTD Sales'!$M:$M,Brokerage!V$4)+SUMIFS('YTD Purchases'!$H:$H,'YTD Purchases'!$C:$C,Brokerage!$B69,'YTD Purchases'!$G:$G,Brokerage!V$4)</f>
        <v>0</v>
      </c>
      <c r="W69" s="857">
        <f>SUMIFS('YTD Sales'!$N:$N,'YTD Sales'!$B:$B,Brokerage!$B69,'YTD Sales'!$M:$M,Brokerage!W$4)+SUMIFS('YTD Purchases'!$H:$H,'YTD Purchases'!$C:$C,Brokerage!$B69,'YTD Purchases'!$G:$G,Brokerage!W$4)</f>
        <v>0</v>
      </c>
      <c r="X69" s="857">
        <f>SUMIFS('YTD Sales'!$N:$N,'YTD Sales'!$B:$B,Brokerage!$B69,'YTD Sales'!$M:$M,Brokerage!X$4)+SUMIFS('YTD Purchases'!$H:$H,'YTD Purchases'!$C:$C,Brokerage!$B69,'YTD Purchases'!$G:$G,Brokerage!X$4)</f>
        <v>0</v>
      </c>
      <c r="Y69" s="857">
        <f>SUMIFS('YTD Sales'!$N:$N,'YTD Sales'!$B:$B,Brokerage!$B69,'YTD Sales'!$M:$M,Brokerage!Y$4)+SUMIFS('YTD Purchases'!$H:$H,'YTD Purchases'!$C:$C,Brokerage!$B69,'YTD Purchases'!$G:$G,Brokerage!Y$4)</f>
        <v>0</v>
      </c>
      <c r="Z69" s="857">
        <f>SUMIFS('YTD Sales'!$N:$N,'YTD Sales'!$B:$B,Brokerage!$B69,'YTD Sales'!$M:$M,Brokerage!Z$4)+SUMIFS('YTD Purchases'!$H:$H,'YTD Purchases'!$C:$C,Brokerage!$B69,'YTD Purchases'!$G:$G,Brokerage!Z$4)</f>
        <v>0</v>
      </c>
      <c r="AA69" s="857">
        <f>SUMIFS('YTD Sales'!$N:$N,'YTD Sales'!$B:$B,Brokerage!$B69,'YTD Sales'!$M:$M,Brokerage!AA$4)+SUMIFS('YTD Purchases'!$H:$H,'YTD Purchases'!$C:$C,Brokerage!$B69,'YTD Purchases'!$G:$G,Brokerage!AA$4)</f>
        <v>0</v>
      </c>
      <c r="AB69" s="857">
        <f>SUMIFS('YTD Sales'!$N:$N,'YTD Sales'!$B:$B,Brokerage!$B69,'YTD Sales'!$M:$M,Brokerage!AB$4)+SUMIFS('YTD Purchases'!$H:$H,'YTD Purchases'!$C:$C,Brokerage!$B69,'YTD Purchases'!$G:$G,Brokerage!AB$4)</f>
        <v>0</v>
      </c>
      <c r="AC69" s="857">
        <f>SUMIFS('YTD Sales'!$N:$N,'YTD Sales'!$B:$B,Brokerage!$B69,'YTD Sales'!$M:$M,Brokerage!AC$4)+SUMIFS('YTD Purchases'!$H:$H,'YTD Purchases'!$C:$C,Brokerage!$B69,'YTD Purchases'!$G:$G,Brokerage!AC$4)</f>
        <v>0</v>
      </c>
      <c r="AD69" s="857">
        <f>+SUMIFS(PIB!AG:AG,PIB!AF:AF,Brokerage!AD$4,PIB!AA:AA,Brokerage!$B69)+SUMIFS('T-Bills'!AB:AB,'T-Bills'!AA:AA,Brokerage!AD$4,'T-Bills'!V:V,Brokerage!$B69)</f>
        <v>0</v>
      </c>
      <c r="AE69" s="857">
        <f>+SUMIFS(PIB!AH:AH,PIB!AG:AG,Brokerage!AE$4,PIB!AB:AB,Brokerage!$B69)+SUMIFS('T-Bills'!AC:AC,'T-Bills'!AB:AB,Brokerage!AE$4,'T-Bills'!W:W,Brokerage!$B69)</f>
        <v>0</v>
      </c>
      <c r="AF69" s="857">
        <f>+SUMIFS(PIB!AI:AI,PIB!AH:AH,Brokerage!AF$4,PIB!AC:AC,Brokerage!$B69)+SUMIFS('T-Bills'!AD:AD,'T-Bills'!AC:AC,Brokerage!AF$4,'T-Bills'!X:X,Brokerage!$B69)</f>
        <v>0</v>
      </c>
      <c r="AG69" s="857">
        <f t="shared" si="3"/>
        <v>0</v>
      </c>
      <c r="AH69" s="858">
        <f t="shared" si="8"/>
        <v>0</v>
      </c>
    </row>
    <row r="70" spans="2:35" x14ac:dyDescent="0.15">
      <c r="B70" s="661">
        <f t="shared" si="2"/>
        <v>44626</v>
      </c>
      <c r="C70" s="857">
        <f>SUMIFS('YTD Sales'!$N:$N,'YTD Sales'!$B:$B,Brokerage!$B70,'YTD Sales'!$M:$M,Brokerage!C$4)+SUMIFS('YTD Purchases'!$H:$H,'YTD Purchases'!$C:$C,Brokerage!$B70,'YTD Purchases'!$G:$G,Brokerage!C$4)</f>
        <v>0</v>
      </c>
      <c r="D70" s="857">
        <f>SUMIFS('YTD Sales'!$N:$N,'YTD Sales'!$B:$B,Brokerage!$B70,'YTD Sales'!$M:$M,Brokerage!D$4)+SUMIFS('YTD Purchases'!$H:$H,'YTD Purchases'!$C:$C,Brokerage!$B70,'YTD Purchases'!$G:$G,Brokerage!D$4)</f>
        <v>0</v>
      </c>
      <c r="E70" s="857">
        <f>SUMIFS('YTD Sales'!$N:$N,'YTD Sales'!$B:$B,Brokerage!$B70,'YTD Sales'!$M:$M,Brokerage!E$4)+SUMIFS('YTD Purchases'!$H:$H,'YTD Purchases'!$C:$C,Brokerage!$B70,'YTD Purchases'!$G:$G,Brokerage!E$4)</f>
        <v>0</v>
      </c>
      <c r="F70" s="857">
        <f>SUMIFS('YTD Sales'!$N:$N,'YTD Sales'!$B:$B,Brokerage!$B70,'YTD Sales'!$M:$M,Brokerage!F$4)+SUMIFS('YTD Purchases'!$H:$H,'YTD Purchases'!$C:$C,Brokerage!$B70,'YTD Purchases'!$G:$G,Brokerage!F$4)</f>
        <v>0</v>
      </c>
      <c r="G70" s="857">
        <f>SUMIFS('YTD Sales'!$N:$N,'YTD Sales'!$B:$B,Brokerage!$B70,'YTD Sales'!$M:$M,Brokerage!G$4)+SUMIFS('YTD Purchases'!$H:$H,'YTD Purchases'!$C:$C,Brokerage!$B70,'YTD Purchases'!$G:$G,Brokerage!G$4)</f>
        <v>0</v>
      </c>
      <c r="H70" s="857">
        <f>SUMIFS('YTD Sales'!$N:$N,'YTD Sales'!$B:$B,Brokerage!$B70,'YTD Sales'!$M:$M,Brokerage!H$4)+SUMIFS('YTD Purchases'!$H:$H,'YTD Purchases'!$C:$C,Brokerage!$B70,'YTD Purchases'!$G:$G,Brokerage!H$4)</f>
        <v>0</v>
      </c>
      <c r="I70" s="857">
        <f>SUMIFS('YTD Sales'!$N:$N,'YTD Sales'!$B:$B,Brokerage!$B70,'YTD Sales'!$M:$M,Brokerage!I$4)+SUMIFS('YTD Purchases'!$H:$H,'YTD Purchases'!$C:$C,Brokerage!$B70,'YTD Purchases'!$G:$G,Brokerage!I$4)</f>
        <v>0</v>
      </c>
      <c r="J70" s="857">
        <f>SUMIFS('YTD Sales'!$N:$N,'YTD Sales'!$B:$B,Brokerage!$B70,'YTD Sales'!$M:$M,Brokerage!J$4)+SUMIFS('YTD Purchases'!$H:$H,'YTD Purchases'!$C:$C,Brokerage!$B70,'YTD Purchases'!$G:$G,Brokerage!J$4)</f>
        <v>0</v>
      </c>
      <c r="K70" s="857">
        <f>SUMIFS('YTD Sales'!$N:$N,'YTD Sales'!$B:$B,Brokerage!$B70,'YTD Sales'!$M:$M,Brokerage!K$4)+SUMIFS('YTD Purchases'!$H:$H,'YTD Purchases'!$C:$C,Brokerage!$B70,'YTD Purchases'!$G:$G,Brokerage!K$4)</f>
        <v>0</v>
      </c>
      <c r="L70" s="857">
        <f>SUMIFS('YTD Sales'!$N:$N,'YTD Sales'!$B:$B,Brokerage!$B70,'YTD Sales'!$M:$M,Brokerage!L$4)+SUMIFS('YTD Purchases'!$H:$H,'YTD Purchases'!$C:$C,Brokerage!$B70,'YTD Purchases'!$G:$G,Brokerage!L$4)</f>
        <v>0</v>
      </c>
      <c r="M70" s="857">
        <f>SUMIFS('YTD Sales'!$N:$N,'YTD Sales'!$B:$B,Brokerage!$B70,'YTD Sales'!$M:$M,Brokerage!M$4)+SUMIFS('YTD Purchases'!$H:$H,'YTD Purchases'!$C:$C,Brokerage!$B70,'YTD Purchases'!$G:$G,Brokerage!M$4)</f>
        <v>0</v>
      </c>
      <c r="N70" s="857">
        <f>SUMIFS('YTD Sales'!$N:$N,'YTD Sales'!$B:$B,Brokerage!$B70,'YTD Sales'!$M:$M,Brokerage!N$4)+SUMIFS('YTD Purchases'!$H:$H,'YTD Purchases'!$C:$C,Brokerage!$B70,'YTD Purchases'!$G:$G,Brokerage!N$4)</f>
        <v>0</v>
      </c>
      <c r="O70" s="857">
        <f>SUMIFS('YTD Sales'!$N:$N,'YTD Sales'!$B:$B,Brokerage!$B70,'YTD Sales'!$M:$M,Brokerage!O$4)+SUMIFS('YTD Purchases'!$H:$H,'YTD Purchases'!$C:$C,Brokerage!$B70,'YTD Purchases'!$G:$G,Brokerage!O$4)</f>
        <v>0</v>
      </c>
      <c r="P70" s="857">
        <f>SUMIFS('YTD Sales'!$N:$N,'YTD Sales'!$B:$B,Brokerage!$B70,'YTD Sales'!$M:$M,Brokerage!P$4)+SUMIFS('YTD Purchases'!$H:$H,'YTD Purchases'!$C:$C,Brokerage!$B70,'YTD Purchases'!$G:$G,Brokerage!P$4)</f>
        <v>0</v>
      </c>
      <c r="Q70" s="857">
        <f>SUMIFS('YTD Sales'!$N:$N,'YTD Sales'!$B:$B,Brokerage!$B70,'YTD Sales'!$M:$M,Brokerage!Q$4)+SUMIFS('YTD Purchases'!$H:$H,'YTD Purchases'!$C:$C,Brokerage!$B70,'YTD Purchases'!$G:$G,Brokerage!Q$4)</f>
        <v>0</v>
      </c>
      <c r="R70" s="857">
        <f>SUMIFS('YTD Sales'!$N:$N,'YTD Sales'!$B:$B,Brokerage!$B70,'YTD Sales'!$M:$M,Brokerage!R$4)+SUMIFS('YTD Purchases'!$H:$H,'YTD Purchases'!$C:$C,Brokerage!$B70,'YTD Purchases'!$G:$G,Brokerage!R$4)</f>
        <v>0</v>
      </c>
      <c r="S70" s="857">
        <f>SUMIFS('YTD Sales'!$N:$N,'YTD Sales'!$B:$B,Brokerage!$B70,'YTD Sales'!$M:$M,Brokerage!S$4)+SUMIFS('YTD Purchases'!$H:$H,'YTD Purchases'!$C:$C,Brokerage!$B70,'YTD Purchases'!$G:$G,Brokerage!S$4)</f>
        <v>0</v>
      </c>
      <c r="T70" s="857">
        <f>SUMIFS('YTD Sales'!$N:$N,'YTD Sales'!$B:$B,Brokerage!$B70,'YTD Sales'!$M:$M,Brokerage!T$4)+SUMIFS('YTD Purchases'!$H:$H,'YTD Purchases'!$C:$C,Brokerage!$B70,'YTD Purchases'!$G:$G,Brokerage!T$4)</f>
        <v>0</v>
      </c>
      <c r="U70" s="857">
        <f>SUMIFS('YTD Sales'!$N:$N,'YTD Sales'!$B:$B,Brokerage!$B70,'YTD Sales'!$M:$M,Brokerage!U$4)+SUMIFS('YTD Purchases'!$H:$H,'YTD Purchases'!$C:$C,Brokerage!$B70,'YTD Purchases'!$G:$G,Brokerage!U$4)</f>
        <v>0</v>
      </c>
      <c r="V70" s="857">
        <f>SUMIFS('YTD Sales'!$N:$N,'YTD Sales'!$B:$B,Brokerage!$B70,'YTD Sales'!$M:$M,Brokerage!V$4)+SUMIFS('YTD Purchases'!$H:$H,'YTD Purchases'!$C:$C,Brokerage!$B70,'YTD Purchases'!$G:$G,Brokerage!V$4)</f>
        <v>0</v>
      </c>
      <c r="W70" s="857">
        <f>SUMIFS('YTD Sales'!$N:$N,'YTD Sales'!$B:$B,Brokerage!$B70,'YTD Sales'!$M:$M,Brokerage!W$4)+SUMIFS('YTD Purchases'!$H:$H,'YTD Purchases'!$C:$C,Brokerage!$B70,'YTD Purchases'!$G:$G,Brokerage!W$4)</f>
        <v>0</v>
      </c>
      <c r="X70" s="857">
        <f>SUMIFS('YTD Sales'!$N:$N,'YTD Sales'!$B:$B,Brokerage!$B70,'YTD Sales'!$M:$M,Brokerage!X$4)+SUMIFS('YTD Purchases'!$H:$H,'YTD Purchases'!$C:$C,Brokerage!$B70,'YTD Purchases'!$G:$G,Brokerage!X$4)</f>
        <v>0</v>
      </c>
      <c r="Y70" s="857">
        <f>SUMIFS('YTD Sales'!$N:$N,'YTD Sales'!$B:$B,Brokerage!$B70,'YTD Sales'!$M:$M,Brokerage!Y$4)+SUMIFS('YTD Purchases'!$H:$H,'YTD Purchases'!$C:$C,Brokerage!$B70,'YTD Purchases'!$G:$G,Brokerage!Y$4)</f>
        <v>0</v>
      </c>
      <c r="Z70" s="857">
        <f>SUMIFS('YTD Sales'!$N:$N,'YTD Sales'!$B:$B,Brokerage!$B70,'YTD Sales'!$M:$M,Brokerage!Z$4)+SUMIFS('YTD Purchases'!$H:$H,'YTD Purchases'!$C:$C,Brokerage!$B70,'YTD Purchases'!$G:$G,Brokerage!Z$4)</f>
        <v>0</v>
      </c>
      <c r="AA70" s="857">
        <f>SUMIFS('YTD Sales'!$N:$N,'YTD Sales'!$B:$B,Brokerage!$B70,'YTD Sales'!$M:$M,Brokerage!AA$4)+SUMIFS('YTD Purchases'!$H:$H,'YTD Purchases'!$C:$C,Brokerage!$B70,'YTD Purchases'!$G:$G,Brokerage!AA$4)</f>
        <v>0</v>
      </c>
      <c r="AB70" s="857">
        <f>SUMIFS('YTD Sales'!$N:$N,'YTD Sales'!$B:$B,Brokerage!$B70,'YTD Sales'!$M:$M,Brokerage!AB$4)+SUMIFS('YTD Purchases'!$H:$H,'YTD Purchases'!$C:$C,Brokerage!$B70,'YTD Purchases'!$G:$G,Brokerage!AB$4)</f>
        <v>0</v>
      </c>
      <c r="AC70" s="857">
        <f>SUMIFS('YTD Sales'!$N:$N,'YTD Sales'!$B:$B,Brokerage!$B70,'YTD Sales'!$M:$M,Brokerage!AC$4)+SUMIFS('YTD Purchases'!$H:$H,'YTD Purchases'!$C:$C,Brokerage!$B70,'YTD Purchases'!$G:$G,Brokerage!AC$4)</f>
        <v>0</v>
      </c>
      <c r="AD70" s="857">
        <f>+SUMIFS(PIB!AG:AG,PIB!AF:AF,Brokerage!AD$4,PIB!AA:AA,Brokerage!$B70)+SUMIFS('T-Bills'!AB:AB,'T-Bills'!AA:AA,Brokerage!AD$4,'T-Bills'!V:V,Brokerage!$B70)</f>
        <v>0</v>
      </c>
      <c r="AE70" s="857">
        <f>+SUMIFS(PIB!AH:AH,PIB!AG:AG,Brokerage!AE$4,PIB!AB:AB,Brokerage!$B70)+SUMIFS('T-Bills'!AC:AC,'T-Bills'!AB:AB,Brokerage!AE$4,'T-Bills'!W:W,Brokerage!$B70)</f>
        <v>0</v>
      </c>
      <c r="AF70" s="857">
        <f>+SUMIFS(PIB!AI:AI,PIB!AH:AH,Brokerage!AF$4,PIB!AC:AC,Brokerage!$B70)+SUMIFS('T-Bills'!AD:AD,'T-Bills'!AC:AC,Brokerage!AF$4,'T-Bills'!X:X,Brokerage!$B70)</f>
        <v>0</v>
      </c>
      <c r="AG70" s="857">
        <f t="shared" si="3"/>
        <v>0</v>
      </c>
      <c r="AH70" s="858">
        <f t="shared" si="8"/>
        <v>0</v>
      </c>
      <c r="AI70">
        <v>113000</v>
      </c>
    </row>
    <row r="71" spans="2:35" x14ac:dyDescent="0.15">
      <c r="B71" s="661">
        <f t="shared" si="2"/>
        <v>44627</v>
      </c>
      <c r="C71" s="857">
        <f>SUMIFS('YTD Sales'!$N:$N,'YTD Sales'!$B:$B,Brokerage!$B71,'YTD Sales'!$M:$M,Brokerage!C$4)+SUMIFS('YTD Purchases'!$H:$H,'YTD Purchases'!$C:$C,Brokerage!$B71,'YTD Purchases'!$G:$G,Brokerage!C$4)</f>
        <v>0</v>
      </c>
      <c r="D71" s="857">
        <f>SUMIFS('YTD Sales'!$N:$N,'YTD Sales'!$B:$B,Brokerage!$B71,'YTD Sales'!$M:$M,Brokerage!D$4)+SUMIFS('YTD Purchases'!$H:$H,'YTD Purchases'!$C:$C,Brokerage!$B71,'YTD Purchases'!$G:$G,Brokerage!D$4)</f>
        <v>0</v>
      </c>
      <c r="E71" s="857">
        <f>SUMIFS('YTD Sales'!$N:$N,'YTD Sales'!$B:$B,Brokerage!$B71,'YTD Sales'!$M:$M,Brokerage!E$4)+SUMIFS('YTD Purchases'!$H:$H,'YTD Purchases'!$C:$C,Brokerage!$B71,'YTD Purchases'!$G:$G,Brokerage!E$4)</f>
        <v>0</v>
      </c>
      <c r="F71" s="857">
        <f>SUMIFS('YTD Sales'!$N:$N,'YTD Sales'!$B:$B,Brokerage!$B71,'YTD Sales'!$M:$M,Brokerage!F$4)+SUMIFS('YTD Purchases'!$H:$H,'YTD Purchases'!$C:$C,Brokerage!$B71,'YTD Purchases'!$G:$G,Brokerage!F$4)</f>
        <v>0</v>
      </c>
      <c r="G71" s="857">
        <f>SUMIFS('YTD Sales'!$N:$N,'YTD Sales'!$B:$B,Brokerage!$B71,'YTD Sales'!$M:$M,Brokerage!G$4)+SUMIFS('YTD Purchases'!$H:$H,'YTD Purchases'!$C:$C,Brokerage!$B71,'YTD Purchases'!$G:$G,Brokerage!G$4)</f>
        <v>0</v>
      </c>
      <c r="H71" s="857">
        <f>SUMIFS('YTD Sales'!$N:$N,'YTD Sales'!$B:$B,Brokerage!$B71,'YTD Sales'!$M:$M,Brokerage!H$4)+SUMIFS('YTD Purchases'!$H:$H,'YTD Purchases'!$C:$C,Brokerage!$B71,'YTD Purchases'!$G:$G,Brokerage!H$4)</f>
        <v>0</v>
      </c>
      <c r="I71" s="857">
        <f>SUMIFS('YTD Sales'!$N:$N,'YTD Sales'!$B:$B,Brokerage!$B71,'YTD Sales'!$M:$M,Brokerage!I$4)+SUMIFS('YTD Purchases'!$H:$H,'YTD Purchases'!$C:$C,Brokerage!$B71,'YTD Purchases'!$G:$G,Brokerage!I$4)</f>
        <v>0</v>
      </c>
      <c r="J71" s="857">
        <f>SUMIFS('YTD Sales'!$N:$N,'YTD Sales'!$B:$B,Brokerage!$B71,'YTD Sales'!$M:$M,Brokerage!J$4)+SUMIFS('YTD Purchases'!$H:$H,'YTD Purchases'!$C:$C,Brokerage!$B71,'YTD Purchases'!$G:$G,Brokerage!J$4)</f>
        <v>0</v>
      </c>
      <c r="K71" s="857">
        <f>SUMIFS('YTD Sales'!$N:$N,'YTD Sales'!$B:$B,Brokerage!$B71,'YTD Sales'!$M:$M,Brokerage!K$4)+SUMIFS('YTD Purchases'!$H:$H,'YTD Purchases'!$C:$C,Brokerage!$B71,'YTD Purchases'!$G:$G,Brokerage!K$4)</f>
        <v>0</v>
      </c>
      <c r="L71" s="857">
        <f>SUMIFS('YTD Sales'!$N:$N,'YTD Sales'!$B:$B,Brokerage!$B71,'YTD Sales'!$M:$M,Brokerage!L$4)+SUMIFS('YTD Purchases'!$H:$H,'YTD Purchases'!$C:$C,Brokerage!$B71,'YTD Purchases'!$G:$G,Brokerage!L$4)</f>
        <v>0</v>
      </c>
      <c r="M71" s="857">
        <f>SUMIFS('YTD Sales'!$N:$N,'YTD Sales'!$B:$B,Brokerage!$B71,'YTD Sales'!$M:$M,Brokerage!M$4)+SUMIFS('YTD Purchases'!$H:$H,'YTD Purchases'!$C:$C,Brokerage!$B71,'YTD Purchases'!$G:$G,Brokerage!M$4)</f>
        <v>0</v>
      </c>
      <c r="N71" s="857">
        <f>SUMIFS('YTD Sales'!$N:$N,'YTD Sales'!$B:$B,Brokerage!$B71,'YTD Sales'!$M:$M,Brokerage!N$4)+SUMIFS('YTD Purchases'!$H:$H,'YTD Purchases'!$C:$C,Brokerage!$B71,'YTD Purchases'!$G:$G,Brokerage!N$4)</f>
        <v>0</v>
      </c>
      <c r="O71" s="857">
        <f>SUMIFS('YTD Sales'!$N:$N,'YTD Sales'!$B:$B,Brokerage!$B71,'YTD Sales'!$M:$M,Brokerage!O$4)+SUMIFS('YTD Purchases'!$H:$H,'YTD Purchases'!$C:$C,Brokerage!$B71,'YTD Purchases'!$G:$G,Brokerage!O$4)</f>
        <v>0</v>
      </c>
      <c r="P71" s="857">
        <f>SUMIFS('YTD Sales'!$N:$N,'YTD Sales'!$B:$B,Brokerage!$B71,'YTD Sales'!$M:$M,Brokerage!P$4)+SUMIFS('YTD Purchases'!$H:$H,'YTD Purchases'!$C:$C,Brokerage!$B71,'YTD Purchases'!$G:$G,Brokerage!P$4)</f>
        <v>0</v>
      </c>
      <c r="Q71" s="857">
        <f>SUMIFS('YTD Sales'!$N:$N,'YTD Sales'!$B:$B,Brokerage!$B71,'YTD Sales'!$M:$M,Brokerage!Q$4)+SUMIFS('YTD Purchases'!$H:$H,'YTD Purchases'!$C:$C,Brokerage!$B71,'YTD Purchases'!$G:$G,Brokerage!Q$4)</f>
        <v>0</v>
      </c>
      <c r="R71" s="857">
        <f>SUMIFS('YTD Sales'!$N:$N,'YTD Sales'!$B:$B,Brokerage!$B71,'YTD Sales'!$M:$M,Brokerage!R$4)+SUMIFS('YTD Purchases'!$H:$H,'YTD Purchases'!$C:$C,Brokerage!$B71,'YTD Purchases'!$G:$G,Brokerage!R$4)</f>
        <v>0</v>
      </c>
      <c r="S71" s="857">
        <f>SUMIFS('YTD Sales'!$N:$N,'YTD Sales'!$B:$B,Brokerage!$B71,'YTD Sales'!$M:$M,Brokerage!S$4)+SUMIFS('YTD Purchases'!$H:$H,'YTD Purchases'!$C:$C,Brokerage!$B71,'YTD Purchases'!$G:$G,Brokerage!S$4)</f>
        <v>0</v>
      </c>
      <c r="T71" s="857">
        <f>SUMIFS('YTD Sales'!$N:$N,'YTD Sales'!$B:$B,Brokerage!$B71,'YTD Sales'!$M:$M,Brokerage!T$4)+SUMIFS('YTD Purchases'!$H:$H,'YTD Purchases'!$C:$C,Brokerage!$B71,'YTD Purchases'!$G:$G,Brokerage!T$4)</f>
        <v>0</v>
      </c>
      <c r="U71" s="857">
        <f>SUMIFS('YTD Sales'!$N:$N,'YTD Sales'!$B:$B,Brokerage!$B71,'YTD Sales'!$M:$M,Brokerage!U$4)+SUMIFS('YTD Purchases'!$H:$H,'YTD Purchases'!$C:$C,Brokerage!$B71,'YTD Purchases'!$G:$G,Brokerage!U$4)</f>
        <v>0</v>
      </c>
      <c r="V71" s="857">
        <f>SUMIFS('YTD Sales'!$N:$N,'YTD Sales'!$B:$B,Brokerage!$B71,'YTD Sales'!$M:$M,Brokerage!V$4)+SUMIFS('YTD Purchases'!$H:$H,'YTD Purchases'!$C:$C,Brokerage!$B71,'YTD Purchases'!$G:$G,Brokerage!V$4)</f>
        <v>0</v>
      </c>
      <c r="W71" s="857">
        <f>SUMIFS('YTD Sales'!$N:$N,'YTD Sales'!$B:$B,Brokerage!$B71,'YTD Sales'!$M:$M,Brokerage!W$4)+SUMIFS('YTD Purchases'!$H:$H,'YTD Purchases'!$C:$C,Brokerage!$B71,'YTD Purchases'!$G:$G,Brokerage!W$4)</f>
        <v>0</v>
      </c>
      <c r="X71" s="857">
        <f>SUMIFS('YTD Sales'!$N:$N,'YTD Sales'!$B:$B,Brokerage!$B71,'YTD Sales'!$M:$M,Brokerage!X$4)+SUMIFS('YTD Purchases'!$H:$H,'YTD Purchases'!$C:$C,Brokerage!$B71,'YTD Purchases'!$G:$G,Brokerage!X$4)</f>
        <v>0</v>
      </c>
      <c r="Y71" s="857">
        <f>SUMIFS('YTD Sales'!$N:$N,'YTD Sales'!$B:$B,Brokerage!$B71,'YTD Sales'!$M:$M,Brokerage!Y$4)+SUMIFS('YTD Purchases'!$H:$H,'YTD Purchases'!$C:$C,Brokerage!$B71,'YTD Purchases'!$G:$G,Brokerage!Y$4)</f>
        <v>0</v>
      </c>
      <c r="Z71" s="857">
        <f>SUMIFS('YTD Sales'!$N:$N,'YTD Sales'!$B:$B,Brokerage!$B71,'YTD Sales'!$M:$M,Brokerage!Z$4)+SUMIFS('YTD Purchases'!$H:$H,'YTD Purchases'!$C:$C,Brokerage!$B71,'YTD Purchases'!$G:$G,Brokerage!Z$4)</f>
        <v>0</v>
      </c>
      <c r="AA71" s="857">
        <f>SUMIFS('YTD Sales'!$N:$N,'YTD Sales'!$B:$B,Brokerage!$B71,'YTD Sales'!$M:$M,Brokerage!AA$4)+SUMIFS('YTD Purchases'!$H:$H,'YTD Purchases'!$C:$C,Brokerage!$B71,'YTD Purchases'!$G:$G,Brokerage!AA$4)</f>
        <v>0</v>
      </c>
      <c r="AB71" s="857">
        <f>SUMIFS('YTD Sales'!$N:$N,'YTD Sales'!$B:$B,Brokerage!$B71,'YTD Sales'!$M:$M,Brokerage!AB$4)+SUMIFS('YTD Purchases'!$H:$H,'YTD Purchases'!$C:$C,Brokerage!$B71,'YTD Purchases'!$G:$G,Brokerage!AB$4)</f>
        <v>0</v>
      </c>
      <c r="AC71" s="857">
        <f>SUMIFS('YTD Sales'!$N:$N,'YTD Sales'!$B:$B,Brokerage!$B71,'YTD Sales'!$M:$M,Brokerage!AC$4)+SUMIFS('YTD Purchases'!$H:$H,'YTD Purchases'!$C:$C,Brokerage!$B71,'YTD Purchases'!$G:$G,Brokerage!AC$4)</f>
        <v>0</v>
      </c>
      <c r="AD71" s="857">
        <f>+SUMIFS(PIB!AG:AG,PIB!AF:AF,Brokerage!AD$4,PIB!AA:AA,Brokerage!$B71)+SUMIFS('T-Bills'!AB:AB,'T-Bills'!AA:AA,Brokerage!AD$4,'T-Bills'!V:V,Brokerage!$B71)</f>
        <v>0</v>
      </c>
      <c r="AE71" s="857">
        <f>+SUMIFS(PIB!AH:AH,PIB!AG:AG,Brokerage!AE$4,PIB!AB:AB,Brokerage!$B71)+SUMIFS('T-Bills'!AC:AC,'T-Bills'!AB:AB,Brokerage!AE$4,'T-Bills'!W:W,Brokerage!$B71)</f>
        <v>0</v>
      </c>
      <c r="AF71" s="857">
        <f>+SUMIFS(PIB!AI:AI,PIB!AH:AH,Brokerage!AF$4,PIB!AC:AC,Brokerage!$B71)+SUMIFS('T-Bills'!AD:AD,'T-Bills'!AC:AC,Brokerage!AF$4,'T-Bills'!X:X,Brokerage!$B71)</f>
        <v>0</v>
      </c>
      <c r="AG71" s="857">
        <f t="shared" si="3"/>
        <v>0</v>
      </c>
      <c r="AH71" s="858">
        <f t="shared" si="8"/>
        <v>0</v>
      </c>
    </row>
    <row r="72" spans="2:35" x14ac:dyDescent="0.15">
      <c r="B72" s="661">
        <f t="shared" si="2"/>
        <v>44628</v>
      </c>
      <c r="C72" s="857">
        <f>SUMIFS('YTD Sales'!$N:$N,'YTD Sales'!$B:$B,Brokerage!$B72,'YTD Sales'!$M:$M,Brokerage!C$4)+SUMIFS('YTD Purchases'!$H:$H,'YTD Purchases'!$C:$C,Brokerage!$B72,'YTD Purchases'!$G:$G,Brokerage!C$4)</f>
        <v>0</v>
      </c>
      <c r="D72" s="857">
        <f>SUMIFS('YTD Sales'!$N:$N,'YTD Sales'!$B:$B,Brokerage!$B72,'YTD Sales'!$M:$M,Brokerage!D$4)+SUMIFS('YTD Purchases'!$H:$H,'YTD Purchases'!$C:$C,Brokerage!$B72,'YTD Purchases'!$G:$G,Brokerage!D$4)</f>
        <v>0</v>
      </c>
      <c r="E72" s="857">
        <f>SUMIFS('YTD Sales'!$N:$N,'YTD Sales'!$B:$B,Brokerage!$B72,'YTD Sales'!$M:$M,Brokerage!E$4)+SUMIFS('YTD Purchases'!$H:$H,'YTD Purchases'!$C:$C,Brokerage!$B72,'YTD Purchases'!$G:$G,Brokerage!E$4)</f>
        <v>0</v>
      </c>
      <c r="F72" s="857">
        <f>SUMIFS('YTD Sales'!$N:$N,'YTD Sales'!$B:$B,Brokerage!$B72,'YTD Sales'!$M:$M,Brokerage!F$4)+SUMIFS('YTD Purchases'!$H:$H,'YTD Purchases'!$C:$C,Brokerage!$B72,'YTD Purchases'!$G:$G,Brokerage!F$4)</f>
        <v>0</v>
      </c>
      <c r="G72" s="857">
        <f>SUMIFS('YTD Sales'!$N:$N,'YTD Sales'!$B:$B,Brokerage!$B72,'YTD Sales'!$M:$M,Brokerage!G$4)+SUMIFS('YTD Purchases'!$H:$H,'YTD Purchases'!$C:$C,Brokerage!$B72,'YTD Purchases'!$G:$G,Brokerage!G$4)</f>
        <v>0</v>
      </c>
      <c r="H72" s="857">
        <f>SUMIFS('YTD Sales'!$N:$N,'YTD Sales'!$B:$B,Brokerage!$B72,'YTD Sales'!$M:$M,Brokerage!H$4)+SUMIFS('YTD Purchases'!$H:$H,'YTD Purchases'!$C:$C,Brokerage!$B72,'YTD Purchases'!$G:$G,Brokerage!H$4)</f>
        <v>0</v>
      </c>
      <c r="I72" s="857">
        <f>SUMIFS('YTD Sales'!$N:$N,'YTD Sales'!$B:$B,Brokerage!$B72,'YTD Sales'!$M:$M,Brokerage!I$4)+SUMIFS('YTD Purchases'!$H:$H,'YTD Purchases'!$C:$C,Brokerage!$B72,'YTD Purchases'!$G:$G,Brokerage!I$4)</f>
        <v>0</v>
      </c>
      <c r="J72" s="857">
        <f>SUMIFS('YTD Sales'!$N:$N,'YTD Sales'!$B:$B,Brokerage!$B72,'YTD Sales'!$M:$M,Brokerage!J$4)+SUMIFS('YTD Purchases'!$H:$H,'YTD Purchases'!$C:$C,Brokerage!$B72,'YTD Purchases'!$G:$G,Brokerage!J$4)</f>
        <v>0</v>
      </c>
      <c r="K72" s="857">
        <f>SUMIFS('YTD Sales'!$N:$N,'YTD Sales'!$B:$B,Brokerage!$B72,'YTD Sales'!$M:$M,Brokerage!K$4)+SUMIFS('YTD Purchases'!$H:$H,'YTD Purchases'!$C:$C,Brokerage!$B72,'YTD Purchases'!$G:$G,Brokerage!K$4)</f>
        <v>0</v>
      </c>
      <c r="L72" s="857">
        <f>SUMIFS('YTD Sales'!$N:$N,'YTD Sales'!$B:$B,Brokerage!$B72,'YTD Sales'!$M:$M,Brokerage!L$4)+SUMIFS('YTD Purchases'!$H:$H,'YTD Purchases'!$C:$C,Brokerage!$B72,'YTD Purchases'!$G:$G,Brokerage!L$4)</f>
        <v>0</v>
      </c>
      <c r="M72" s="857">
        <f>SUMIFS('YTD Sales'!$N:$N,'YTD Sales'!$B:$B,Brokerage!$B72,'YTD Sales'!$M:$M,Brokerage!M$4)+SUMIFS('YTD Purchases'!$H:$H,'YTD Purchases'!$C:$C,Brokerage!$B72,'YTD Purchases'!$G:$G,Brokerage!M$4)</f>
        <v>0</v>
      </c>
      <c r="N72" s="857">
        <f>SUMIFS('YTD Sales'!$N:$N,'YTD Sales'!$B:$B,Brokerage!$B72,'YTD Sales'!$M:$M,Brokerage!N$4)+SUMIFS('YTD Purchases'!$H:$H,'YTD Purchases'!$C:$C,Brokerage!$B72,'YTD Purchases'!$G:$G,Brokerage!N$4)</f>
        <v>0</v>
      </c>
      <c r="O72" s="857">
        <f>SUMIFS('YTD Sales'!$N:$N,'YTD Sales'!$B:$B,Brokerage!$B72,'YTD Sales'!$M:$M,Brokerage!O$4)+SUMIFS('YTD Purchases'!$H:$H,'YTD Purchases'!$C:$C,Brokerage!$B72,'YTD Purchases'!$G:$G,Brokerage!O$4)</f>
        <v>0</v>
      </c>
      <c r="P72" s="857">
        <f>SUMIFS('YTD Sales'!$N:$N,'YTD Sales'!$B:$B,Brokerage!$B72,'YTD Sales'!$M:$M,Brokerage!P$4)+SUMIFS('YTD Purchases'!$H:$H,'YTD Purchases'!$C:$C,Brokerage!$B72,'YTD Purchases'!$G:$G,Brokerage!P$4)</f>
        <v>0</v>
      </c>
      <c r="Q72" s="857">
        <f>SUMIFS('YTD Sales'!$N:$N,'YTD Sales'!$B:$B,Brokerage!$B72,'YTD Sales'!$M:$M,Brokerage!Q$4)+SUMIFS('YTD Purchases'!$H:$H,'YTD Purchases'!$C:$C,Brokerage!$B72,'YTD Purchases'!$G:$G,Brokerage!Q$4)</f>
        <v>0</v>
      </c>
      <c r="R72" s="857">
        <f>SUMIFS('YTD Sales'!$N:$N,'YTD Sales'!$B:$B,Brokerage!$B72,'YTD Sales'!$M:$M,Brokerage!R$4)+SUMIFS('YTD Purchases'!$H:$H,'YTD Purchases'!$C:$C,Brokerage!$B72,'YTD Purchases'!$G:$G,Brokerage!R$4)</f>
        <v>0</v>
      </c>
      <c r="S72" s="857">
        <f>SUMIFS('YTD Sales'!$N:$N,'YTD Sales'!$B:$B,Brokerage!$B72,'YTD Sales'!$M:$M,Brokerage!S$4)+SUMIFS('YTD Purchases'!$H:$H,'YTD Purchases'!$C:$C,Brokerage!$B72,'YTD Purchases'!$G:$G,Brokerage!S$4)</f>
        <v>0</v>
      </c>
      <c r="T72" s="857">
        <f>SUMIFS('YTD Sales'!$N:$N,'YTD Sales'!$B:$B,Brokerage!$B72,'YTD Sales'!$M:$M,Brokerage!T$4)+SUMIFS('YTD Purchases'!$H:$H,'YTD Purchases'!$C:$C,Brokerage!$B72,'YTD Purchases'!$G:$G,Brokerage!T$4)</f>
        <v>0</v>
      </c>
      <c r="U72" s="857">
        <f>SUMIFS('YTD Sales'!$N:$N,'YTD Sales'!$B:$B,Brokerage!$B72,'YTD Sales'!$M:$M,Brokerage!U$4)+SUMIFS('YTD Purchases'!$H:$H,'YTD Purchases'!$C:$C,Brokerage!$B72,'YTD Purchases'!$G:$G,Brokerage!U$4)</f>
        <v>0</v>
      </c>
      <c r="V72" s="857">
        <f>SUMIFS('YTD Sales'!$N:$N,'YTD Sales'!$B:$B,Brokerage!$B72,'YTD Sales'!$M:$M,Brokerage!V$4)+SUMIFS('YTD Purchases'!$H:$H,'YTD Purchases'!$C:$C,Brokerage!$B72,'YTD Purchases'!$G:$G,Brokerage!V$4)</f>
        <v>0</v>
      </c>
      <c r="W72" s="857">
        <f>SUMIFS('YTD Sales'!$N:$N,'YTD Sales'!$B:$B,Brokerage!$B72,'YTD Sales'!$M:$M,Brokerage!W$4)+SUMIFS('YTD Purchases'!$H:$H,'YTD Purchases'!$C:$C,Brokerage!$B72,'YTD Purchases'!$G:$G,Brokerage!W$4)</f>
        <v>0</v>
      </c>
      <c r="X72" s="857">
        <f>SUMIFS('YTD Sales'!$N:$N,'YTD Sales'!$B:$B,Brokerage!$B72,'YTD Sales'!$M:$M,Brokerage!X$4)+SUMIFS('YTD Purchases'!$H:$H,'YTD Purchases'!$C:$C,Brokerage!$B72,'YTD Purchases'!$G:$G,Brokerage!X$4)</f>
        <v>0</v>
      </c>
      <c r="Y72" s="857">
        <f>SUMIFS('YTD Sales'!$N:$N,'YTD Sales'!$B:$B,Brokerage!$B72,'YTD Sales'!$M:$M,Brokerage!Y$4)+SUMIFS('YTD Purchases'!$H:$H,'YTD Purchases'!$C:$C,Brokerage!$B72,'YTD Purchases'!$G:$G,Brokerage!Y$4)</f>
        <v>0</v>
      </c>
      <c r="Z72" s="857">
        <f>SUMIFS('YTD Sales'!$N:$N,'YTD Sales'!$B:$B,Brokerage!$B72,'YTD Sales'!$M:$M,Brokerage!Z$4)+SUMIFS('YTD Purchases'!$H:$H,'YTD Purchases'!$C:$C,Brokerage!$B72,'YTD Purchases'!$G:$G,Brokerage!Z$4)</f>
        <v>0</v>
      </c>
      <c r="AA72" s="857">
        <f>SUMIFS('YTD Sales'!$N:$N,'YTD Sales'!$B:$B,Brokerage!$B72,'YTD Sales'!$M:$M,Brokerage!AA$4)+SUMIFS('YTD Purchases'!$H:$H,'YTD Purchases'!$C:$C,Brokerage!$B72,'YTD Purchases'!$G:$G,Brokerage!AA$4)</f>
        <v>0</v>
      </c>
      <c r="AB72" s="857">
        <f>SUMIFS('YTD Sales'!$N:$N,'YTD Sales'!$B:$B,Brokerage!$B72,'YTD Sales'!$M:$M,Brokerage!AB$4)+SUMIFS('YTD Purchases'!$H:$H,'YTD Purchases'!$C:$C,Brokerage!$B72,'YTD Purchases'!$G:$G,Brokerage!AB$4)</f>
        <v>0</v>
      </c>
      <c r="AC72" s="857">
        <f>SUMIFS('YTD Sales'!$N:$N,'YTD Sales'!$B:$B,Brokerage!$B72,'YTD Sales'!$M:$M,Brokerage!AC$4)+SUMIFS('YTD Purchases'!$H:$H,'YTD Purchases'!$C:$C,Brokerage!$B72,'YTD Purchases'!$G:$G,Brokerage!AC$4)</f>
        <v>0</v>
      </c>
      <c r="AD72" s="857">
        <f>+SUMIFS(PIB!AG:AG,PIB!AF:AF,Brokerage!AD$4,PIB!AA:AA,Brokerage!$B72)+SUMIFS('T-Bills'!AB:AB,'T-Bills'!AA:AA,Brokerage!AD$4,'T-Bills'!V:V,Brokerage!$B72)</f>
        <v>0</v>
      </c>
      <c r="AE72" s="857">
        <f>+SUMIFS(PIB!AH:AH,PIB!AG:AG,Brokerage!AE$4,PIB!AB:AB,Brokerage!$B72)+SUMIFS('T-Bills'!AC:AC,'T-Bills'!AB:AB,Brokerage!AE$4,'T-Bills'!W:W,Brokerage!$B72)</f>
        <v>0</v>
      </c>
      <c r="AF72" s="857">
        <f>+SUMIFS(PIB!AI:AI,PIB!AH:AH,Brokerage!AF$4,PIB!AC:AC,Brokerage!$B72)+SUMIFS('T-Bills'!AD:AD,'T-Bills'!AC:AC,Brokerage!AF$4,'T-Bills'!X:X,Brokerage!$B72)</f>
        <v>0</v>
      </c>
      <c r="AG72" s="857">
        <f t="shared" si="3"/>
        <v>0</v>
      </c>
      <c r="AH72" s="858">
        <f t="shared" si="8"/>
        <v>0</v>
      </c>
    </row>
    <row r="73" spans="2:35" x14ac:dyDescent="0.15">
      <c r="B73" s="661">
        <f t="shared" ref="B73:B136" si="9">+B72+1</f>
        <v>44629</v>
      </c>
      <c r="C73" s="857">
        <f>SUMIFS('YTD Sales'!$N:$N,'YTD Sales'!$B:$B,Brokerage!$B73,'YTD Sales'!$M:$M,Brokerage!C$4)+SUMIFS('YTD Purchases'!$H:$H,'YTD Purchases'!$C:$C,Brokerage!$B73,'YTD Purchases'!$G:$G,Brokerage!C$4)</f>
        <v>0</v>
      </c>
      <c r="D73" s="857">
        <f>SUMIFS('YTD Sales'!$N:$N,'YTD Sales'!$B:$B,Brokerage!$B73,'YTD Sales'!$M:$M,Brokerage!D$4)+SUMIFS('YTD Purchases'!$H:$H,'YTD Purchases'!$C:$C,Brokerage!$B73,'YTD Purchases'!$G:$G,Brokerage!D$4)</f>
        <v>0</v>
      </c>
      <c r="E73" s="857">
        <f>SUMIFS('YTD Sales'!$N:$N,'YTD Sales'!$B:$B,Brokerage!$B73,'YTD Sales'!$M:$M,Brokerage!E$4)+SUMIFS('YTD Purchases'!$H:$H,'YTD Purchases'!$C:$C,Brokerage!$B73,'YTD Purchases'!$G:$G,Brokerage!E$4)</f>
        <v>0</v>
      </c>
      <c r="F73" s="857">
        <f>SUMIFS('YTD Sales'!$N:$N,'YTD Sales'!$B:$B,Brokerage!$B73,'YTD Sales'!$M:$M,Brokerage!F$4)+SUMIFS('YTD Purchases'!$H:$H,'YTD Purchases'!$C:$C,Brokerage!$B73,'YTD Purchases'!$G:$G,Brokerage!F$4)</f>
        <v>0</v>
      </c>
      <c r="G73" s="857">
        <f>SUMIFS('YTD Sales'!$N:$N,'YTD Sales'!$B:$B,Brokerage!$B73,'YTD Sales'!$M:$M,Brokerage!G$4)+SUMIFS('YTD Purchases'!$H:$H,'YTD Purchases'!$C:$C,Brokerage!$B73,'YTD Purchases'!$G:$G,Brokerage!G$4)</f>
        <v>0</v>
      </c>
      <c r="H73" s="857">
        <f>SUMIFS('YTD Sales'!$N:$N,'YTD Sales'!$B:$B,Brokerage!$B73,'YTD Sales'!$M:$M,Brokerage!H$4)+SUMIFS('YTD Purchases'!$H:$H,'YTD Purchases'!$C:$C,Brokerage!$B73,'YTD Purchases'!$G:$G,Brokerage!H$4)</f>
        <v>0</v>
      </c>
      <c r="I73" s="857">
        <f>SUMIFS('YTD Sales'!$N:$N,'YTD Sales'!$B:$B,Brokerage!$B73,'YTD Sales'!$M:$M,Brokerage!I$4)+SUMIFS('YTD Purchases'!$H:$H,'YTD Purchases'!$C:$C,Brokerage!$B73,'YTD Purchases'!$G:$G,Brokerage!I$4)</f>
        <v>0</v>
      </c>
      <c r="J73" s="857">
        <f>SUMIFS('YTD Sales'!$N:$N,'YTD Sales'!$B:$B,Brokerage!$B73,'YTD Sales'!$M:$M,Brokerage!J$4)+SUMIFS('YTD Purchases'!$H:$H,'YTD Purchases'!$C:$C,Brokerage!$B73,'YTD Purchases'!$G:$G,Brokerage!J$4)</f>
        <v>0</v>
      </c>
      <c r="K73" s="857">
        <f>SUMIFS('YTD Sales'!$N:$N,'YTD Sales'!$B:$B,Brokerage!$B73,'YTD Sales'!$M:$M,Brokerage!K$4)+SUMIFS('YTD Purchases'!$H:$H,'YTD Purchases'!$C:$C,Brokerage!$B73,'YTD Purchases'!$G:$G,Brokerage!K$4)</f>
        <v>0</v>
      </c>
      <c r="L73" s="857">
        <f>SUMIFS('YTD Sales'!$N:$N,'YTD Sales'!$B:$B,Brokerage!$B73,'YTD Sales'!$M:$M,Brokerage!L$4)+SUMIFS('YTD Purchases'!$H:$H,'YTD Purchases'!$C:$C,Brokerage!$B73,'YTD Purchases'!$G:$G,Brokerage!L$4)</f>
        <v>0</v>
      </c>
      <c r="M73" s="857">
        <f>SUMIFS('YTD Sales'!$N:$N,'YTD Sales'!$B:$B,Brokerage!$B73,'YTD Sales'!$M:$M,Brokerage!M$4)+SUMIFS('YTD Purchases'!$H:$H,'YTD Purchases'!$C:$C,Brokerage!$B73,'YTD Purchases'!$G:$G,Brokerage!M$4)</f>
        <v>0</v>
      </c>
      <c r="N73" s="857">
        <f>SUMIFS('YTD Sales'!$N:$N,'YTD Sales'!$B:$B,Brokerage!$B73,'YTD Sales'!$M:$M,Brokerage!N$4)+SUMIFS('YTD Purchases'!$H:$H,'YTD Purchases'!$C:$C,Brokerage!$B73,'YTD Purchases'!$G:$G,Brokerage!N$4)</f>
        <v>0</v>
      </c>
      <c r="O73" s="857">
        <f>SUMIFS('YTD Sales'!$N:$N,'YTD Sales'!$B:$B,Brokerage!$B73,'YTD Sales'!$M:$M,Brokerage!O$4)+SUMIFS('YTD Purchases'!$H:$H,'YTD Purchases'!$C:$C,Brokerage!$B73,'YTD Purchases'!$G:$G,Brokerage!O$4)</f>
        <v>0</v>
      </c>
      <c r="P73" s="857">
        <f>SUMIFS('YTD Sales'!$N:$N,'YTD Sales'!$B:$B,Brokerage!$B73,'YTD Sales'!$M:$M,Brokerage!P$4)+SUMIFS('YTD Purchases'!$H:$H,'YTD Purchases'!$C:$C,Brokerage!$B73,'YTD Purchases'!$G:$G,Brokerage!P$4)</f>
        <v>0</v>
      </c>
      <c r="Q73" s="857">
        <f>SUMIFS('YTD Sales'!$N:$N,'YTD Sales'!$B:$B,Brokerage!$B73,'YTD Sales'!$M:$M,Brokerage!Q$4)+SUMIFS('YTD Purchases'!$H:$H,'YTD Purchases'!$C:$C,Brokerage!$B73,'YTD Purchases'!$G:$G,Brokerage!Q$4)</f>
        <v>0</v>
      </c>
      <c r="R73" s="857">
        <f>SUMIFS('YTD Sales'!$N:$N,'YTD Sales'!$B:$B,Brokerage!$B73,'YTD Sales'!$M:$M,Brokerage!R$4)+SUMIFS('YTD Purchases'!$H:$H,'YTD Purchases'!$C:$C,Brokerage!$B73,'YTD Purchases'!$G:$G,Brokerage!R$4)</f>
        <v>0</v>
      </c>
      <c r="S73" s="857">
        <f>SUMIFS('YTD Sales'!$N:$N,'YTD Sales'!$B:$B,Brokerage!$B73,'YTD Sales'!$M:$M,Brokerage!S$4)+SUMIFS('YTD Purchases'!$H:$H,'YTD Purchases'!$C:$C,Brokerage!$B73,'YTD Purchases'!$G:$G,Brokerage!S$4)</f>
        <v>0</v>
      </c>
      <c r="T73" s="857">
        <f>SUMIFS('YTD Sales'!$N:$N,'YTD Sales'!$B:$B,Brokerage!$B73,'YTD Sales'!$M:$M,Brokerage!T$4)+SUMIFS('YTD Purchases'!$H:$H,'YTD Purchases'!$C:$C,Brokerage!$B73,'YTD Purchases'!$G:$G,Brokerage!T$4)</f>
        <v>0</v>
      </c>
      <c r="U73" s="857">
        <f>SUMIFS('YTD Sales'!$N:$N,'YTD Sales'!$B:$B,Brokerage!$B73,'YTD Sales'!$M:$M,Brokerage!U$4)+SUMIFS('YTD Purchases'!$H:$H,'YTD Purchases'!$C:$C,Brokerage!$B73,'YTD Purchases'!$G:$G,Brokerage!U$4)</f>
        <v>0</v>
      </c>
      <c r="V73" s="857">
        <f>SUMIFS('YTD Sales'!$N:$N,'YTD Sales'!$B:$B,Brokerage!$B73,'YTD Sales'!$M:$M,Brokerage!V$4)+SUMIFS('YTD Purchases'!$H:$H,'YTD Purchases'!$C:$C,Brokerage!$B73,'YTD Purchases'!$G:$G,Brokerage!V$4)</f>
        <v>0</v>
      </c>
      <c r="W73" s="857">
        <f>SUMIFS('YTD Sales'!$N:$N,'YTD Sales'!$B:$B,Brokerage!$B73,'YTD Sales'!$M:$M,Brokerage!W$4)+SUMIFS('YTD Purchases'!$H:$H,'YTD Purchases'!$C:$C,Brokerage!$B73,'YTD Purchases'!$G:$G,Brokerage!W$4)</f>
        <v>0</v>
      </c>
      <c r="X73" s="857">
        <f>SUMIFS('YTD Sales'!$N:$N,'YTD Sales'!$B:$B,Brokerage!$B73,'YTD Sales'!$M:$M,Brokerage!X$4)+SUMIFS('YTD Purchases'!$H:$H,'YTD Purchases'!$C:$C,Brokerage!$B73,'YTD Purchases'!$G:$G,Brokerage!X$4)</f>
        <v>0</v>
      </c>
      <c r="Y73" s="857">
        <f>SUMIFS('YTD Sales'!$N:$N,'YTD Sales'!$B:$B,Brokerage!$B73,'YTD Sales'!$M:$M,Brokerage!Y$4)+SUMIFS('YTD Purchases'!$H:$H,'YTD Purchases'!$C:$C,Brokerage!$B73,'YTD Purchases'!$G:$G,Brokerage!Y$4)</f>
        <v>0</v>
      </c>
      <c r="Z73" s="857">
        <f>SUMIFS('YTD Sales'!$N:$N,'YTD Sales'!$B:$B,Brokerage!$B73,'YTD Sales'!$M:$M,Brokerage!Z$4)+SUMIFS('YTD Purchases'!$H:$H,'YTD Purchases'!$C:$C,Brokerage!$B73,'YTD Purchases'!$G:$G,Brokerage!Z$4)</f>
        <v>0</v>
      </c>
      <c r="AA73" s="857">
        <f>SUMIFS('YTD Sales'!$N:$N,'YTD Sales'!$B:$B,Brokerage!$B73,'YTD Sales'!$M:$M,Brokerage!AA$4)+SUMIFS('YTD Purchases'!$H:$H,'YTD Purchases'!$C:$C,Brokerage!$B73,'YTD Purchases'!$G:$G,Brokerage!AA$4)</f>
        <v>0</v>
      </c>
      <c r="AB73" s="857">
        <f>SUMIFS('YTD Sales'!$N:$N,'YTD Sales'!$B:$B,Brokerage!$B73,'YTD Sales'!$M:$M,Brokerage!AB$4)+SUMIFS('YTD Purchases'!$H:$H,'YTD Purchases'!$C:$C,Brokerage!$B73,'YTD Purchases'!$G:$G,Brokerage!AB$4)</f>
        <v>0</v>
      </c>
      <c r="AC73" s="857">
        <f>SUMIFS('YTD Sales'!$N:$N,'YTD Sales'!$B:$B,Brokerage!$B73,'YTD Sales'!$M:$M,Brokerage!AC$4)+SUMIFS('YTD Purchases'!$H:$H,'YTD Purchases'!$C:$C,Brokerage!$B73,'YTD Purchases'!$G:$G,Brokerage!AC$4)</f>
        <v>0</v>
      </c>
      <c r="AD73" s="857">
        <f>+SUMIFS(PIB!AG:AG,PIB!AF:AF,Brokerage!AD$4,PIB!AA:AA,Brokerage!$B73)+SUMIFS('T-Bills'!AB:AB,'T-Bills'!AA:AA,Brokerage!AD$4,'T-Bills'!V:V,Brokerage!$B73)</f>
        <v>0</v>
      </c>
      <c r="AE73" s="857">
        <f>+SUMIFS(PIB!AH:AH,PIB!AG:AG,Brokerage!AE$4,PIB!AB:AB,Brokerage!$B73)+SUMIFS('T-Bills'!AC:AC,'T-Bills'!AB:AB,Brokerage!AE$4,'T-Bills'!W:W,Brokerage!$B73)</f>
        <v>0</v>
      </c>
      <c r="AF73" s="857">
        <f>+SUMIFS(PIB!AI:AI,PIB!AH:AH,Brokerage!AF$4,PIB!AC:AC,Brokerage!$B73)+SUMIFS('T-Bills'!AD:AD,'T-Bills'!AC:AC,Brokerage!AF$4,'T-Bills'!X:X,Brokerage!$B73)</f>
        <v>0</v>
      </c>
      <c r="AG73" s="857">
        <f t="shared" ref="AG73:AG136" si="10">SUM(C73:AF73)</f>
        <v>0</v>
      </c>
      <c r="AH73" s="858">
        <f t="shared" si="8"/>
        <v>0</v>
      </c>
    </row>
    <row r="74" spans="2:35" x14ac:dyDescent="0.15">
      <c r="B74" s="661">
        <f t="shared" si="9"/>
        <v>44630</v>
      </c>
      <c r="C74" s="857">
        <f>SUMIFS('YTD Sales'!$N:$N,'YTD Sales'!$B:$B,Brokerage!$B74,'YTD Sales'!$M:$M,Brokerage!C$4)+SUMIFS('YTD Purchases'!$H:$H,'YTD Purchases'!$C:$C,Brokerage!$B74,'YTD Purchases'!$G:$G,Brokerage!C$4)</f>
        <v>0</v>
      </c>
      <c r="D74" s="857">
        <f>SUMIFS('YTD Sales'!$N:$N,'YTD Sales'!$B:$B,Brokerage!$B74,'YTD Sales'!$M:$M,Brokerage!D$4)+SUMIFS('YTD Purchases'!$H:$H,'YTD Purchases'!$C:$C,Brokerage!$B74,'YTD Purchases'!$G:$G,Brokerage!D$4)</f>
        <v>1415.92</v>
      </c>
      <c r="E74" s="857">
        <f>SUMIFS('YTD Sales'!$N:$N,'YTD Sales'!$B:$B,Brokerage!$B74,'YTD Sales'!$M:$M,Brokerage!E$4)+SUMIFS('YTD Purchases'!$H:$H,'YTD Purchases'!$C:$C,Brokerage!$B74,'YTD Purchases'!$G:$G,Brokerage!E$4)</f>
        <v>0</v>
      </c>
      <c r="F74" s="857">
        <f>SUMIFS('YTD Sales'!$N:$N,'YTD Sales'!$B:$B,Brokerage!$B74,'YTD Sales'!$M:$M,Brokerage!F$4)+SUMIFS('YTD Purchases'!$H:$H,'YTD Purchases'!$C:$C,Brokerage!$B74,'YTD Purchases'!$G:$G,Brokerage!F$4)</f>
        <v>0</v>
      </c>
      <c r="G74" s="857">
        <f>SUMIFS('YTD Sales'!$N:$N,'YTD Sales'!$B:$B,Brokerage!$B74,'YTD Sales'!$M:$M,Brokerage!G$4)+SUMIFS('YTD Purchases'!$H:$H,'YTD Purchases'!$C:$C,Brokerage!$B74,'YTD Purchases'!$G:$G,Brokerage!G$4)</f>
        <v>2254.35</v>
      </c>
      <c r="H74" s="857">
        <f>SUMIFS('YTD Sales'!$N:$N,'YTD Sales'!$B:$B,Brokerage!$B74,'YTD Sales'!$M:$M,Brokerage!H$4)+SUMIFS('YTD Purchases'!$H:$H,'YTD Purchases'!$C:$C,Brokerage!$B74,'YTD Purchases'!$G:$G,Brokerage!H$4)</f>
        <v>0</v>
      </c>
      <c r="I74" s="857">
        <f>SUMIFS('YTD Sales'!$N:$N,'YTD Sales'!$B:$B,Brokerage!$B74,'YTD Sales'!$M:$M,Brokerage!I$4)+SUMIFS('YTD Purchases'!$H:$H,'YTD Purchases'!$C:$C,Brokerage!$B74,'YTD Purchases'!$G:$G,Brokerage!I$4)</f>
        <v>0</v>
      </c>
      <c r="J74" s="857">
        <f>SUMIFS('YTD Sales'!$N:$N,'YTD Sales'!$B:$B,Brokerage!$B74,'YTD Sales'!$M:$M,Brokerage!J$4)+SUMIFS('YTD Purchases'!$H:$H,'YTD Purchases'!$C:$C,Brokerage!$B74,'YTD Purchases'!$G:$G,Brokerage!J$4)</f>
        <v>0</v>
      </c>
      <c r="K74" s="857">
        <f>SUMIFS('YTD Sales'!$N:$N,'YTD Sales'!$B:$B,Brokerage!$B74,'YTD Sales'!$M:$M,Brokerage!K$4)+SUMIFS('YTD Purchases'!$H:$H,'YTD Purchases'!$C:$C,Brokerage!$B74,'YTD Purchases'!$G:$G,Brokerage!K$4)</f>
        <v>0</v>
      </c>
      <c r="L74" s="857">
        <f>SUMIFS('YTD Sales'!$N:$N,'YTD Sales'!$B:$B,Brokerage!$B74,'YTD Sales'!$M:$M,Brokerage!L$4)+SUMIFS('YTD Purchases'!$H:$H,'YTD Purchases'!$C:$C,Brokerage!$B74,'YTD Purchases'!$G:$G,Brokerage!L$4)</f>
        <v>0</v>
      </c>
      <c r="M74" s="857">
        <f>SUMIFS('YTD Sales'!$N:$N,'YTD Sales'!$B:$B,Brokerage!$B74,'YTD Sales'!$M:$M,Brokerage!M$4)+SUMIFS('YTD Purchases'!$H:$H,'YTD Purchases'!$C:$C,Brokerage!$B74,'YTD Purchases'!$G:$G,Brokerage!M$4)</f>
        <v>0</v>
      </c>
      <c r="N74" s="857">
        <f>SUMIFS('YTD Sales'!$N:$N,'YTD Sales'!$B:$B,Brokerage!$B74,'YTD Sales'!$M:$M,Brokerage!N$4)+SUMIFS('YTD Purchases'!$H:$H,'YTD Purchases'!$C:$C,Brokerage!$B74,'YTD Purchases'!$G:$G,Brokerage!N$4)</f>
        <v>0</v>
      </c>
      <c r="O74" s="857">
        <f>SUMIFS('YTD Sales'!$N:$N,'YTD Sales'!$B:$B,Brokerage!$B74,'YTD Sales'!$M:$M,Brokerage!O$4)+SUMIFS('YTD Purchases'!$H:$H,'YTD Purchases'!$C:$C,Brokerage!$B74,'YTD Purchases'!$G:$G,Brokerage!O$4)</f>
        <v>0</v>
      </c>
      <c r="P74" s="857">
        <f>SUMIFS('YTD Sales'!$N:$N,'YTD Sales'!$B:$B,Brokerage!$B74,'YTD Sales'!$M:$M,Brokerage!P$4)+SUMIFS('YTD Purchases'!$H:$H,'YTD Purchases'!$C:$C,Brokerage!$B74,'YTD Purchases'!$G:$G,Brokerage!P$4)</f>
        <v>0</v>
      </c>
      <c r="Q74" s="857">
        <f>SUMIFS('YTD Sales'!$N:$N,'YTD Sales'!$B:$B,Brokerage!$B74,'YTD Sales'!$M:$M,Brokerage!Q$4)+SUMIFS('YTD Purchases'!$H:$H,'YTD Purchases'!$C:$C,Brokerage!$B74,'YTD Purchases'!$G:$G,Brokerage!Q$4)</f>
        <v>0</v>
      </c>
      <c r="R74" s="857">
        <f>SUMIFS('YTD Sales'!$N:$N,'YTD Sales'!$B:$B,Brokerage!$B74,'YTD Sales'!$M:$M,Brokerage!R$4)+SUMIFS('YTD Purchases'!$H:$H,'YTD Purchases'!$C:$C,Brokerage!$B74,'YTD Purchases'!$G:$G,Brokerage!R$4)</f>
        <v>0</v>
      </c>
      <c r="S74" s="857">
        <f>SUMIFS('YTD Sales'!$N:$N,'YTD Sales'!$B:$B,Brokerage!$B74,'YTD Sales'!$M:$M,Brokerage!S$4)+SUMIFS('YTD Purchases'!$H:$H,'YTD Purchases'!$C:$C,Brokerage!$B74,'YTD Purchases'!$G:$G,Brokerage!S$4)</f>
        <v>0</v>
      </c>
      <c r="T74" s="857">
        <f>SUMIFS('YTD Sales'!$N:$N,'YTD Sales'!$B:$B,Brokerage!$B74,'YTD Sales'!$M:$M,Brokerage!T$4)+SUMIFS('YTD Purchases'!$H:$H,'YTD Purchases'!$C:$C,Brokerage!$B74,'YTD Purchases'!$G:$G,Brokerage!T$4)</f>
        <v>0</v>
      </c>
      <c r="U74" s="857">
        <f>SUMIFS('YTD Sales'!$N:$N,'YTD Sales'!$B:$B,Brokerage!$B74,'YTD Sales'!$M:$M,Brokerage!U$4)+SUMIFS('YTD Purchases'!$H:$H,'YTD Purchases'!$C:$C,Brokerage!$B74,'YTD Purchases'!$G:$G,Brokerage!U$4)</f>
        <v>0</v>
      </c>
      <c r="V74" s="857">
        <f>SUMIFS('YTD Sales'!$N:$N,'YTD Sales'!$B:$B,Brokerage!$B74,'YTD Sales'!$M:$M,Brokerage!V$4)+SUMIFS('YTD Purchases'!$H:$H,'YTD Purchases'!$C:$C,Brokerage!$B74,'YTD Purchases'!$G:$G,Brokerage!V$4)</f>
        <v>0</v>
      </c>
      <c r="W74" s="857">
        <f>SUMIFS('YTD Sales'!$N:$N,'YTD Sales'!$B:$B,Brokerage!$B74,'YTD Sales'!$M:$M,Brokerage!W$4)+SUMIFS('YTD Purchases'!$H:$H,'YTD Purchases'!$C:$C,Brokerage!$B74,'YTD Purchases'!$G:$G,Brokerage!W$4)</f>
        <v>0</v>
      </c>
      <c r="X74" s="857">
        <f>SUMIFS('YTD Sales'!$N:$N,'YTD Sales'!$B:$B,Brokerage!$B74,'YTD Sales'!$M:$M,Brokerage!X$4)+SUMIFS('YTD Purchases'!$H:$H,'YTD Purchases'!$C:$C,Brokerage!$B74,'YTD Purchases'!$G:$G,Brokerage!X$4)</f>
        <v>28179.38</v>
      </c>
      <c r="Y74" s="857">
        <f>SUMIFS('YTD Sales'!$N:$N,'YTD Sales'!$B:$B,Brokerage!$B74,'YTD Sales'!$M:$M,Brokerage!Y$4)+SUMIFS('YTD Purchases'!$H:$H,'YTD Purchases'!$C:$C,Brokerage!$B74,'YTD Purchases'!$G:$G,Brokerage!Y$4)</f>
        <v>0</v>
      </c>
      <c r="Z74" s="857">
        <f>SUMIFS('YTD Sales'!$N:$N,'YTD Sales'!$B:$B,Brokerage!$B74,'YTD Sales'!$M:$M,Brokerage!Z$4)+SUMIFS('YTD Purchases'!$H:$H,'YTD Purchases'!$C:$C,Brokerage!$B74,'YTD Purchases'!$G:$G,Brokerage!Z$4)</f>
        <v>0</v>
      </c>
      <c r="AA74" s="857">
        <f>SUMIFS('YTD Sales'!$N:$N,'YTD Sales'!$B:$B,Brokerage!$B74,'YTD Sales'!$M:$M,Brokerage!AA$4)+SUMIFS('YTD Purchases'!$H:$H,'YTD Purchases'!$C:$C,Brokerage!$B74,'YTD Purchases'!$G:$G,Brokerage!AA$4)</f>
        <v>0</v>
      </c>
      <c r="AB74" s="857">
        <f>SUMIFS('YTD Sales'!$N:$N,'YTD Sales'!$B:$B,Brokerage!$B74,'YTD Sales'!$M:$M,Brokerage!AB$4)+SUMIFS('YTD Purchases'!$H:$H,'YTD Purchases'!$C:$C,Brokerage!$B74,'YTD Purchases'!$G:$G,Brokerage!AB$4)</f>
        <v>0</v>
      </c>
      <c r="AC74" s="857">
        <f>SUMIFS('YTD Sales'!$N:$N,'YTD Sales'!$B:$B,Brokerage!$B74,'YTD Sales'!$M:$M,Brokerage!AC$4)+SUMIFS('YTD Purchases'!$H:$H,'YTD Purchases'!$C:$C,Brokerage!$B74,'YTD Purchases'!$G:$G,Brokerage!AC$4)</f>
        <v>0</v>
      </c>
      <c r="AD74" s="857">
        <f>+SUMIFS(PIB!AG:AG,PIB!AF:AF,Brokerage!AD$4,PIB!AA:AA,Brokerage!$B74)+SUMIFS('T-Bills'!AB:AB,'T-Bills'!AA:AA,Brokerage!AD$4,'T-Bills'!V:V,Brokerage!$B74)</f>
        <v>0</v>
      </c>
      <c r="AE74" s="857">
        <f>+SUMIFS(PIB!AH:AH,PIB!AG:AG,Brokerage!AE$4,PIB!AB:AB,Brokerage!$B74)+SUMIFS('T-Bills'!AC:AC,'T-Bills'!AB:AB,Brokerage!AE$4,'T-Bills'!W:W,Brokerage!$B74)</f>
        <v>0</v>
      </c>
      <c r="AF74" s="857">
        <f>+SUMIFS(PIB!AI:AI,PIB!AH:AH,Brokerage!AF$4,PIB!AC:AC,Brokerage!$B74)+SUMIFS('T-Bills'!AD:AD,'T-Bills'!AC:AC,Brokerage!AF$4,'T-Bills'!X:X,Brokerage!$B74)</f>
        <v>0</v>
      </c>
      <c r="AG74" s="857">
        <f t="shared" si="10"/>
        <v>31849.65</v>
      </c>
      <c r="AH74" s="858">
        <f t="shared" ref="AH74" si="11">ROUND((AG74*1.5%)/365,0)</f>
        <v>1</v>
      </c>
    </row>
    <row r="75" spans="2:35" x14ac:dyDescent="0.15">
      <c r="B75" s="661">
        <f t="shared" si="9"/>
        <v>44631</v>
      </c>
      <c r="C75" s="857">
        <f>SUMIFS('YTD Sales'!$N:$N,'YTD Sales'!$B:$B,Brokerage!$B75,'YTD Sales'!$M:$M,Brokerage!C$4)+SUMIFS('YTD Purchases'!$H:$H,'YTD Purchases'!$C:$C,Brokerage!$B75,'YTD Purchases'!$G:$G,Brokerage!C$4)</f>
        <v>0</v>
      </c>
      <c r="D75" s="857">
        <f>SUMIFS('YTD Sales'!$N:$N,'YTD Sales'!$B:$B,Brokerage!$B75,'YTD Sales'!$M:$M,Brokerage!D$4)+SUMIFS('YTD Purchases'!$H:$H,'YTD Purchases'!$C:$C,Brokerage!$B75,'YTD Purchases'!$G:$G,Brokerage!D$4)</f>
        <v>331.35076923076923</v>
      </c>
      <c r="E75" s="857">
        <f>SUMIFS('YTD Sales'!$N:$N,'YTD Sales'!$B:$B,Brokerage!$B75,'YTD Sales'!$M:$M,Brokerage!E$4)+SUMIFS('YTD Purchases'!$H:$H,'YTD Purchases'!$C:$C,Brokerage!$B75,'YTD Purchases'!$G:$G,Brokerage!E$4)</f>
        <v>0</v>
      </c>
      <c r="F75" s="857">
        <f>SUMIFS('YTD Sales'!$N:$N,'YTD Sales'!$B:$B,Brokerage!$B75,'YTD Sales'!$M:$M,Brokerage!F$4)+SUMIFS('YTD Purchases'!$H:$H,'YTD Purchases'!$C:$C,Brokerage!$B75,'YTD Purchases'!$G:$G,Brokerage!F$4)</f>
        <v>0</v>
      </c>
      <c r="G75" s="857">
        <f>SUMIFS('YTD Sales'!$N:$N,'YTD Sales'!$B:$B,Brokerage!$B75,'YTD Sales'!$M:$M,Brokerage!G$4)+SUMIFS('YTD Purchases'!$H:$H,'YTD Purchases'!$C:$C,Brokerage!$B75,'YTD Purchases'!$G:$G,Brokerage!G$4)</f>
        <v>0</v>
      </c>
      <c r="H75" s="857">
        <f>SUMIFS('YTD Sales'!$N:$N,'YTD Sales'!$B:$B,Brokerage!$B75,'YTD Sales'!$M:$M,Brokerage!H$4)+SUMIFS('YTD Purchases'!$H:$H,'YTD Purchases'!$C:$C,Brokerage!$B75,'YTD Purchases'!$G:$G,Brokerage!H$4)</f>
        <v>0</v>
      </c>
      <c r="I75" s="857">
        <f>SUMIFS('YTD Sales'!$N:$N,'YTD Sales'!$B:$B,Brokerage!$B75,'YTD Sales'!$M:$M,Brokerage!I$4)+SUMIFS('YTD Purchases'!$H:$H,'YTD Purchases'!$C:$C,Brokerage!$B75,'YTD Purchases'!$G:$G,Brokerage!I$4)</f>
        <v>0</v>
      </c>
      <c r="J75" s="857">
        <f>SUMIFS('YTD Sales'!$N:$N,'YTD Sales'!$B:$B,Brokerage!$B75,'YTD Sales'!$M:$M,Brokerage!J$4)+SUMIFS('YTD Purchases'!$H:$H,'YTD Purchases'!$C:$C,Brokerage!$B75,'YTD Purchases'!$G:$G,Brokerage!J$4)</f>
        <v>0</v>
      </c>
      <c r="K75" s="857">
        <f>SUMIFS('YTD Sales'!$N:$N,'YTD Sales'!$B:$B,Brokerage!$B75,'YTD Sales'!$M:$M,Brokerage!K$4)+SUMIFS('YTD Purchases'!$H:$H,'YTD Purchases'!$C:$C,Brokerage!$B75,'YTD Purchases'!$G:$G,Brokerage!K$4)</f>
        <v>0</v>
      </c>
      <c r="L75" s="857">
        <f>SUMIFS('YTD Sales'!$N:$N,'YTD Sales'!$B:$B,Brokerage!$B75,'YTD Sales'!$M:$M,Brokerage!L$4)+SUMIFS('YTD Purchases'!$H:$H,'YTD Purchases'!$C:$C,Brokerage!$B75,'YTD Purchases'!$G:$G,Brokerage!L$4)</f>
        <v>0</v>
      </c>
      <c r="M75" s="857">
        <f>SUMIFS('YTD Sales'!$N:$N,'YTD Sales'!$B:$B,Brokerage!$B75,'YTD Sales'!$M:$M,Brokerage!M$4)+SUMIFS('YTD Purchases'!$H:$H,'YTD Purchases'!$C:$C,Brokerage!$B75,'YTD Purchases'!$G:$G,Brokerage!M$4)</f>
        <v>489.11615384615385</v>
      </c>
      <c r="N75" s="857">
        <f>SUMIFS('YTD Sales'!$N:$N,'YTD Sales'!$B:$B,Brokerage!$B75,'YTD Sales'!$M:$M,Brokerage!N$4)+SUMIFS('YTD Purchases'!$H:$H,'YTD Purchases'!$C:$C,Brokerage!$B75,'YTD Purchases'!$G:$G,Brokerage!N$4)</f>
        <v>0</v>
      </c>
      <c r="O75" s="857">
        <f>SUMIFS('YTD Sales'!$N:$N,'YTD Sales'!$B:$B,Brokerage!$B75,'YTD Sales'!$M:$M,Brokerage!O$4)+SUMIFS('YTD Purchases'!$H:$H,'YTD Purchases'!$C:$C,Brokerage!$B75,'YTD Purchases'!$G:$G,Brokerage!O$4)</f>
        <v>0</v>
      </c>
      <c r="P75" s="857">
        <f>SUMIFS('YTD Sales'!$N:$N,'YTD Sales'!$B:$B,Brokerage!$B75,'YTD Sales'!$M:$M,Brokerage!P$4)+SUMIFS('YTD Purchases'!$H:$H,'YTD Purchases'!$C:$C,Brokerage!$B75,'YTD Purchases'!$G:$G,Brokerage!P$4)</f>
        <v>0</v>
      </c>
      <c r="Q75" s="857">
        <f>SUMIFS('YTD Sales'!$N:$N,'YTD Sales'!$B:$B,Brokerage!$B75,'YTD Sales'!$M:$M,Brokerage!Q$4)+SUMIFS('YTD Purchases'!$H:$H,'YTD Purchases'!$C:$C,Brokerage!$B75,'YTD Purchases'!$G:$G,Brokerage!Q$4)</f>
        <v>0</v>
      </c>
      <c r="R75" s="857">
        <f>SUMIFS('YTD Sales'!$N:$N,'YTD Sales'!$B:$B,Brokerage!$B75,'YTD Sales'!$M:$M,Brokerage!R$4)+SUMIFS('YTD Purchases'!$H:$H,'YTD Purchases'!$C:$C,Brokerage!$B75,'YTD Purchases'!$G:$G,Brokerage!R$4)</f>
        <v>0</v>
      </c>
      <c r="S75" s="857">
        <f>SUMIFS('YTD Sales'!$N:$N,'YTD Sales'!$B:$B,Brokerage!$B75,'YTD Sales'!$M:$M,Brokerage!S$4)+SUMIFS('YTD Purchases'!$H:$H,'YTD Purchases'!$C:$C,Brokerage!$B75,'YTD Purchases'!$G:$G,Brokerage!S$4)</f>
        <v>0</v>
      </c>
      <c r="T75" s="857">
        <f>SUMIFS('YTD Sales'!$N:$N,'YTD Sales'!$B:$B,Brokerage!$B75,'YTD Sales'!$M:$M,Brokerage!T$4)+SUMIFS('YTD Purchases'!$H:$H,'YTD Purchases'!$C:$C,Brokerage!$B75,'YTD Purchases'!$G:$G,Brokerage!T$4)</f>
        <v>0</v>
      </c>
      <c r="U75" s="857">
        <f>SUMIFS('YTD Sales'!$N:$N,'YTD Sales'!$B:$B,Brokerage!$B75,'YTD Sales'!$M:$M,Brokerage!U$4)+SUMIFS('YTD Purchases'!$H:$H,'YTD Purchases'!$C:$C,Brokerage!$B75,'YTD Purchases'!$G:$G,Brokerage!U$4)</f>
        <v>0</v>
      </c>
      <c r="V75" s="857">
        <f>SUMIFS('YTD Sales'!$N:$N,'YTD Sales'!$B:$B,Brokerage!$B75,'YTD Sales'!$M:$M,Brokerage!V$4)+SUMIFS('YTD Purchases'!$H:$H,'YTD Purchases'!$C:$C,Brokerage!$B75,'YTD Purchases'!$G:$G,Brokerage!V$4)</f>
        <v>0</v>
      </c>
      <c r="W75" s="857">
        <f>SUMIFS('YTD Sales'!$N:$N,'YTD Sales'!$B:$B,Brokerage!$B75,'YTD Sales'!$M:$M,Brokerage!W$4)+SUMIFS('YTD Purchases'!$H:$H,'YTD Purchases'!$C:$C,Brokerage!$B75,'YTD Purchases'!$G:$G,Brokerage!W$4)</f>
        <v>0</v>
      </c>
      <c r="X75" s="857">
        <f>SUMIFS('YTD Sales'!$N:$N,'YTD Sales'!$B:$B,Brokerage!$B75,'YTD Sales'!$M:$M,Brokerage!X$4)+SUMIFS('YTD Purchases'!$H:$H,'YTD Purchases'!$C:$C,Brokerage!$B75,'YTD Purchases'!$G:$G,Brokerage!X$4)</f>
        <v>0</v>
      </c>
      <c r="Y75" s="857">
        <f>SUMIFS('YTD Sales'!$N:$N,'YTD Sales'!$B:$B,Brokerage!$B75,'YTD Sales'!$M:$M,Brokerage!Y$4)+SUMIFS('YTD Purchases'!$H:$H,'YTD Purchases'!$C:$C,Brokerage!$B75,'YTD Purchases'!$G:$G,Brokerage!Y$4)</f>
        <v>0</v>
      </c>
      <c r="Z75" s="857">
        <f>SUMIFS('YTD Sales'!$N:$N,'YTD Sales'!$B:$B,Brokerage!$B75,'YTD Sales'!$M:$M,Brokerage!Z$4)+SUMIFS('YTD Purchases'!$H:$H,'YTD Purchases'!$C:$C,Brokerage!$B75,'YTD Purchases'!$G:$G,Brokerage!Z$4)</f>
        <v>0</v>
      </c>
      <c r="AA75" s="857">
        <f>SUMIFS('YTD Sales'!$N:$N,'YTD Sales'!$B:$B,Brokerage!$B75,'YTD Sales'!$M:$M,Brokerage!AA$4)+SUMIFS('YTD Purchases'!$H:$H,'YTD Purchases'!$C:$C,Brokerage!$B75,'YTD Purchases'!$G:$G,Brokerage!AA$4)</f>
        <v>0</v>
      </c>
      <c r="AB75" s="857">
        <f>SUMIFS('YTD Sales'!$N:$N,'YTD Sales'!$B:$B,Brokerage!$B75,'YTD Sales'!$M:$M,Brokerage!AB$4)+SUMIFS('YTD Purchases'!$H:$H,'YTD Purchases'!$C:$C,Brokerage!$B75,'YTD Purchases'!$G:$G,Brokerage!AB$4)</f>
        <v>0</v>
      </c>
      <c r="AC75" s="857">
        <f>SUMIFS('YTD Sales'!$N:$N,'YTD Sales'!$B:$B,Brokerage!$B75,'YTD Sales'!$M:$M,Brokerage!AC$4)+SUMIFS('YTD Purchases'!$H:$H,'YTD Purchases'!$C:$C,Brokerage!$B75,'YTD Purchases'!$G:$G,Brokerage!AC$4)</f>
        <v>0</v>
      </c>
      <c r="AD75" s="857">
        <f>+SUMIFS(PIB!AG:AG,PIB!AF:AF,Brokerage!AD$4,PIB!AA:AA,Brokerage!$B75)+SUMIFS('T-Bills'!AB:AB,'T-Bills'!AA:AA,Brokerage!AD$4,'T-Bills'!V:V,Brokerage!$B75)</f>
        <v>0</v>
      </c>
      <c r="AE75" s="857">
        <f>+SUMIFS(PIB!AH:AH,PIB!AG:AG,Brokerage!AE$4,PIB!AB:AB,Brokerage!$B75)+SUMIFS('T-Bills'!AC:AC,'T-Bills'!AB:AB,Brokerage!AE$4,'T-Bills'!W:W,Brokerage!$B75)</f>
        <v>0</v>
      </c>
      <c r="AF75" s="857">
        <f>+SUMIFS(PIB!AI:AI,PIB!AH:AH,Brokerage!AF$4,PIB!AC:AC,Brokerage!$B75)+SUMIFS('T-Bills'!AD:AD,'T-Bills'!AC:AC,Brokerage!AF$4,'T-Bills'!X:X,Brokerage!$B75)</f>
        <v>0</v>
      </c>
      <c r="AG75" s="857">
        <f t="shared" si="10"/>
        <v>820.46692307692308</v>
      </c>
      <c r="AH75" s="858">
        <f t="shared" ref="AH75" si="12">ROUND((AG75*1.5%)/365,0)</f>
        <v>0</v>
      </c>
    </row>
    <row r="76" spans="2:35" x14ac:dyDescent="0.15">
      <c r="B76" s="661">
        <f t="shared" si="9"/>
        <v>44632</v>
      </c>
      <c r="C76" s="857">
        <f>SUMIFS('YTD Sales'!$N:$N,'YTD Sales'!$B:$B,Brokerage!$B76,'YTD Sales'!$M:$M,Brokerage!C$4)+SUMIFS('YTD Purchases'!$H:$H,'YTD Purchases'!$C:$C,Brokerage!$B76,'YTD Purchases'!$G:$G,Brokerage!C$4)</f>
        <v>0</v>
      </c>
      <c r="D76" s="857">
        <f>SUMIFS('YTD Sales'!$N:$N,'YTD Sales'!$B:$B,Brokerage!$B76,'YTD Sales'!$M:$M,Brokerage!D$4)+SUMIFS('YTD Purchases'!$H:$H,'YTD Purchases'!$C:$C,Brokerage!$B76,'YTD Purchases'!$G:$G,Brokerage!D$4)</f>
        <v>0</v>
      </c>
      <c r="E76" s="857">
        <f>SUMIFS('YTD Sales'!$N:$N,'YTD Sales'!$B:$B,Brokerage!$B76,'YTD Sales'!$M:$M,Brokerage!E$4)+SUMIFS('YTD Purchases'!$H:$H,'YTD Purchases'!$C:$C,Brokerage!$B76,'YTD Purchases'!$G:$G,Brokerage!E$4)</f>
        <v>0</v>
      </c>
      <c r="F76" s="857">
        <f>SUMIFS('YTD Sales'!$N:$N,'YTD Sales'!$B:$B,Brokerage!$B76,'YTD Sales'!$M:$M,Brokerage!F$4)+SUMIFS('YTD Purchases'!$H:$H,'YTD Purchases'!$C:$C,Brokerage!$B76,'YTD Purchases'!$G:$G,Brokerage!F$4)</f>
        <v>0</v>
      </c>
      <c r="G76" s="857">
        <f>SUMIFS('YTD Sales'!$N:$N,'YTD Sales'!$B:$B,Brokerage!$B76,'YTD Sales'!$M:$M,Brokerage!G$4)+SUMIFS('YTD Purchases'!$H:$H,'YTD Purchases'!$C:$C,Brokerage!$B76,'YTD Purchases'!$G:$G,Brokerage!G$4)</f>
        <v>0</v>
      </c>
      <c r="H76" s="857">
        <f>SUMIFS('YTD Sales'!$N:$N,'YTD Sales'!$B:$B,Brokerage!$B76,'YTD Sales'!$M:$M,Brokerage!H$4)+SUMIFS('YTD Purchases'!$H:$H,'YTD Purchases'!$C:$C,Brokerage!$B76,'YTD Purchases'!$G:$G,Brokerage!H$4)</f>
        <v>0</v>
      </c>
      <c r="I76" s="857">
        <f>SUMIFS('YTD Sales'!$N:$N,'YTD Sales'!$B:$B,Brokerage!$B76,'YTD Sales'!$M:$M,Brokerage!I$4)+SUMIFS('YTD Purchases'!$H:$H,'YTD Purchases'!$C:$C,Brokerage!$B76,'YTD Purchases'!$G:$G,Brokerage!I$4)</f>
        <v>0</v>
      </c>
      <c r="J76" s="857">
        <f>SUMIFS('YTD Sales'!$N:$N,'YTD Sales'!$B:$B,Brokerage!$B76,'YTD Sales'!$M:$M,Brokerage!J$4)+SUMIFS('YTD Purchases'!$H:$H,'YTD Purchases'!$C:$C,Brokerage!$B76,'YTD Purchases'!$G:$G,Brokerage!J$4)</f>
        <v>0</v>
      </c>
      <c r="K76" s="857">
        <f>SUMIFS('YTD Sales'!$N:$N,'YTD Sales'!$B:$B,Brokerage!$B76,'YTD Sales'!$M:$M,Brokerage!K$4)+SUMIFS('YTD Purchases'!$H:$H,'YTD Purchases'!$C:$C,Brokerage!$B76,'YTD Purchases'!$G:$G,Brokerage!K$4)</f>
        <v>0</v>
      </c>
      <c r="L76" s="857">
        <f>SUMIFS('YTD Sales'!$N:$N,'YTD Sales'!$B:$B,Brokerage!$B76,'YTD Sales'!$M:$M,Brokerage!L$4)+SUMIFS('YTD Purchases'!$H:$H,'YTD Purchases'!$C:$C,Brokerage!$B76,'YTD Purchases'!$G:$G,Brokerage!L$4)</f>
        <v>0</v>
      </c>
      <c r="M76" s="857">
        <f>SUMIFS('YTD Sales'!$N:$N,'YTD Sales'!$B:$B,Brokerage!$B76,'YTD Sales'!$M:$M,Brokerage!M$4)+SUMIFS('YTD Purchases'!$H:$H,'YTD Purchases'!$C:$C,Brokerage!$B76,'YTD Purchases'!$G:$G,Brokerage!M$4)</f>
        <v>0</v>
      </c>
      <c r="N76" s="857">
        <f>SUMIFS('YTD Sales'!$N:$N,'YTD Sales'!$B:$B,Brokerage!$B76,'YTD Sales'!$M:$M,Brokerage!N$4)+SUMIFS('YTD Purchases'!$H:$H,'YTD Purchases'!$C:$C,Brokerage!$B76,'YTD Purchases'!$G:$G,Brokerage!N$4)</f>
        <v>0</v>
      </c>
      <c r="O76" s="857">
        <f>SUMIFS('YTD Sales'!$N:$N,'YTD Sales'!$B:$B,Brokerage!$B76,'YTD Sales'!$M:$M,Brokerage!O$4)+SUMIFS('YTD Purchases'!$H:$H,'YTD Purchases'!$C:$C,Brokerage!$B76,'YTD Purchases'!$G:$G,Brokerage!O$4)</f>
        <v>0</v>
      </c>
      <c r="P76" s="857">
        <f>SUMIFS('YTD Sales'!$N:$N,'YTD Sales'!$B:$B,Brokerage!$B76,'YTD Sales'!$M:$M,Brokerage!P$4)+SUMIFS('YTD Purchases'!$H:$H,'YTD Purchases'!$C:$C,Brokerage!$B76,'YTD Purchases'!$G:$G,Brokerage!P$4)</f>
        <v>0</v>
      </c>
      <c r="Q76" s="857">
        <f>SUMIFS('YTD Sales'!$N:$N,'YTD Sales'!$B:$B,Brokerage!$B76,'YTD Sales'!$M:$M,Brokerage!Q$4)+SUMIFS('YTD Purchases'!$H:$H,'YTD Purchases'!$C:$C,Brokerage!$B76,'YTD Purchases'!$G:$G,Brokerage!Q$4)</f>
        <v>0</v>
      </c>
      <c r="R76" s="857">
        <f>SUMIFS('YTD Sales'!$N:$N,'YTD Sales'!$B:$B,Brokerage!$B76,'YTD Sales'!$M:$M,Brokerage!R$4)+SUMIFS('YTD Purchases'!$H:$H,'YTD Purchases'!$C:$C,Brokerage!$B76,'YTD Purchases'!$G:$G,Brokerage!R$4)</f>
        <v>0</v>
      </c>
      <c r="S76" s="857">
        <f>SUMIFS('YTD Sales'!$N:$N,'YTD Sales'!$B:$B,Brokerage!$B76,'YTD Sales'!$M:$M,Brokerage!S$4)+SUMIFS('YTD Purchases'!$H:$H,'YTD Purchases'!$C:$C,Brokerage!$B76,'YTD Purchases'!$G:$G,Brokerage!S$4)</f>
        <v>0</v>
      </c>
      <c r="T76" s="857">
        <f>SUMIFS('YTD Sales'!$N:$N,'YTD Sales'!$B:$B,Brokerage!$B76,'YTD Sales'!$M:$M,Brokerage!T$4)+SUMIFS('YTD Purchases'!$H:$H,'YTD Purchases'!$C:$C,Brokerage!$B76,'YTD Purchases'!$G:$G,Brokerage!T$4)</f>
        <v>0</v>
      </c>
      <c r="U76" s="857">
        <f>SUMIFS('YTD Sales'!$N:$N,'YTD Sales'!$B:$B,Brokerage!$B76,'YTD Sales'!$M:$M,Brokerage!U$4)+SUMIFS('YTD Purchases'!$H:$H,'YTD Purchases'!$C:$C,Brokerage!$B76,'YTD Purchases'!$G:$G,Brokerage!U$4)</f>
        <v>0</v>
      </c>
      <c r="V76" s="857">
        <f>SUMIFS('YTD Sales'!$N:$N,'YTD Sales'!$B:$B,Brokerage!$B76,'YTD Sales'!$M:$M,Brokerage!V$4)+SUMIFS('YTD Purchases'!$H:$H,'YTD Purchases'!$C:$C,Brokerage!$B76,'YTD Purchases'!$G:$G,Brokerage!V$4)</f>
        <v>0</v>
      </c>
      <c r="W76" s="857">
        <f>SUMIFS('YTD Sales'!$N:$N,'YTD Sales'!$B:$B,Brokerage!$B76,'YTD Sales'!$M:$M,Brokerage!W$4)+SUMIFS('YTD Purchases'!$H:$H,'YTD Purchases'!$C:$C,Brokerage!$B76,'YTD Purchases'!$G:$G,Brokerage!W$4)</f>
        <v>0</v>
      </c>
      <c r="X76" s="857">
        <f>SUMIFS('YTD Sales'!$N:$N,'YTD Sales'!$B:$B,Brokerage!$B76,'YTD Sales'!$M:$M,Brokerage!X$4)+SUMIFS('YTD Purchases'!$H:$H,'YTD Purchases'!$C:$C,Brokerage!$B76,'YTD Purchases'!$G:$G,Brokerage!X$4)</f>
        <v>0</v>
      </c>
      <c r="Y76" s="857">
        <f>SUMIFS('YTD Sales'!$N:$N,'YTD Sales'!$B:$B,Brokerage!$B76,'YTD Sales'!$M:$M,Brokerage!Y$4)+SUMIFS('YTD Purchases'!$H:$H,'YTD Purchases'!$C:$C,Brokerage!$B76,'YTD Purchases'!$G:$G,Brokerage!Y$4)</f>
        <v>0</v>
      </c>
      <c r="Z76" s="857">
        <f>SUMIFS('YTD Sales'!$N:$N,'YTD Sales'!$B:$B,Brokerage!$B76,'YTD Sales'!$M:$M,Brokerage!Z$4)+SUMIFS('YTD Purchases'!$H:$H,'YTD Purchases'!$C:$C,Brokerage!$B76,'YTD Purchases'!$G:$G,Brokerage!Z$4)</f>
        <v>0</v>
      </c>
      <c r="AA76" s="857">
        <f>SUMIFS('YTD Sales'!$N:$N,'YTD Sales'!$B:$B,Brokerage!$B76,'YTD Sales'!$M:$M,Brokerage!AA$4)+SUMIFS('YTD Purchases'!$H:$H,'YTD Purchases'!$C:$C,Brokerage!$B76,'YTD Purchases'!$G:$G,Brokerage!AA$4)</f>
        <v>0</v>
      </c>
      <c r="AB76" s="857">
        <f>SUMIFS('YTD Sales'!$N:$N,'YTD Sales'!$B:$B,Brokerage!$B76,'YTD Sales'!$M:$M,Brokerage!AB$4)+SUMIFS('YTD Purchases'!$H:$H,'YTD Purchases'!$C:$C,Brokerage!$B76,'YTD Purchases'!$G:$G,Brokerage!AB$4)</f>
        <v>0</v>
      </c>
      <c r="AC76" s="857">
        <f>SUMIFS('YTD Sales'!$N:$N,'YTD Sales'!$B:$B,Brokerage!$B76,'YTD Sales'!$M:$M,Brokerage!AC$4)+SUMIFS('YTD Purchases'!$H:$H,'YTD Purchases'!$C:$C,Brokerage!$B76,'YTD Purchases'!$G:$G,Brokerage!AC$4)</f>
        <v>0</v>
      </c>
      <c r="AD76" s="857">
        <f>+SUMIFS(PIB!AG:AG,PIB!AF:AF,Brokerage!AD$4,PIB!AA:AA,Brokerage!$B76)+SUMIFS('T-Bills'!AB:AB,'T-Bills'!AA:AA,Brokerage!AD$4,'T-Bills'!V:V,Brokerage!$B76)</f>
        <v>0</v>
      </c>
      <c r="AE76" s="857">
        <f>+SUMIFS(PIB!AH:AH,PIB!AG:AG,Brokerage!AE$4,PIB!AB:AB,Brokerage!$B76)+SUMIFS('T-Bills'!AC:AC,'T-Bills'!AB:AB,Brokerage!AE$4,'T-Bills'!W:W,Brokerage!$B76)</f>
        <v>0</v>
      </c>
      <c r="AF76" s="857">
        <f>+SUMIFS(PIB!AI:AI,PIB!AH:AH,Brokerage!AF$4,PIB!AC:AC,Brokerage!$B76)+SUMIFS('T-Bills'!AD:AD,'T-Bills'!AC:AC,Brokerage!AF$4,'T-Bills'!X:X,Brokerage!$B76)</f>
        <v>0</v>
      </c>
      <c r="AG76" s="857">
        <f t="shared" si="10"/>
        <v>0</v>
      </c>
      <c r="AH76" s="858">
        <f t="shared" ref="AH76" si="13">ROUND((AG76*1.5%)/365,0)</f>
        <v>0</v>
      </c>
    </row>
    <row r="77" spans="2:35" x14ac:dyDescent="0.15">
      <c r="B77" s="661">
        <f t="shared" si="9"/>
        <v>44633</v>
      </c>
      <c r="C77" s="857">
        <f>SUMIFS('YTD Sales'!$N:$N,'YTD Sales'!$B:$B,Brokerage!$B77,'YTD Sales'!$M:$M,Brokerage!C$4)+SUMIFS('YTD Purchases'!$H:$H,'YTD Purchases'!$C:$C,Brokerage!$B77,'YTD Purchases'!$G:$G,Brokerage!C$4)</f>
        <v>0</v>
      </c>
      <c r="D77" s="857">
        <f>SUMIFS('YTD Sales'!$N:$N,'YTD Sales'!$B:$B,Brokerage!$B77,'YTD Sales'!$M:$M,Brokerage!D$4)+SUMIFS('YTD Purchases'!$H:$H,'YTD Purchases'!$C:$C,Brokerage!$B77,'YTD Purchases'!$G:$G,Brokerage!D$4)</f>
        <v>0</v>
      </c>
      <c r="E77" s="857">
        <f>SUMIFS('YTD Sales'!$N:$N,'YTD Sales'!$B:$B,Brokerage!$B77,'YTD Sales'!$M:$M,Brokerage!E$4)+SUMIFS('YTD Purchases'!$H:$H,'YTD Purchases'!$C:$C,Brokerage!$B77,'YTD Purchases'!$G:$G,Brokerage!E$4)</f>
        <v>0</v>
      </c>
      <c r="F77" s="857">
        <f>SUMIFS('YTD Sales'!$N:$N,'YTD Sales'!$B:$B,Brokerage!$B77,'YTD Sales'!$M:$M,Brokerage!F$4)+SUMIFS('YTD Purchases'!$H:$H,'YTD Purchases'!$C:$C,Brokerage!$B77,'YTD Purchases'!$G:$G,Brokerage!F$4)</f>
        <v>0</v>
      </c>
      <c r="G77" s="857">
        <f>SUMIFS('YTD Sales'!$N:$N,'YTD Sales'!$B:$B,Brokerage!$B77,'YTD Sales'!$M:$M,Brokerage!G$4)+SUMIFS('YTD Purchases'!$H:$H,'YTD Purchases'!$C:$C,Brokerage!$B77,'YTD Purchases'!$G:$G,Brokerage!G$4)</f>
        <v>0</v>
      </c>
      <c r="H77" s="857">
        <f>SUMIFS('YTD Sales'!$N:$N,'YTD Sales'!$B:$B,Brokerage!$B77,'YTD Sales'!$M:$M,Brokerage!H$4)+SUMIFS('YTD Purchases'!$H:$H,'YTD Purchases'!$C:$C,Brokerage!$B77,'YTD Purchases'!$G:$G,Brokerage!H$4)</f>
        <v>0</v>
      </c>
      <c r="I77" s="857">
        <f>SUMIFS('YTD Sales'!$N:$N,'YTD Sales'!$B:$B,Brokerage!$B77,'YTD Sales'!$M:$M,Brokerage!I$4)+SUMIFS('YTD Purchases'!$H:$H,'YTD Purchases'!$C:$C,Brokerage!$B77,'YTD Purchases'!$G:$G,Brokerage!I$4)</f>
        <v>0</v>
      </c>
      <c r="J77" s="857">
        <f>SUMIFS('YTD Sales'!$N:$N,'YTD Sales'!$B:$B,Brokerage!$B77,'YTD Sales'!$M:$M,Brokerage!J$4)+SUMIFS('YTD Purchases'!$H:$H,'YTD Purchases'!$C:$C,Brokerage!$B77,'YTD Purchases'!$G:$G,Brokerage!J$4)</f>
        <v>0</v>
      </c>
      <c r="K77" s="857">
        <f>SUMIFS('YTD Sales'!$N:$N,'YTD Sales'!$B:$B,Brokerage!$B77,'YTD Sales'!$M:$M,Brokerage!K$4)+SUMIFS('YTD Purchases'!$H:$H,'YTD Purchases'!$C:$C,Brokerage!$B77,'YTD Purchases'!$G:$G,Brokerage!K$4)</f>
        <v>0</v>
      </c>
      <c r="L77" s="857">
        <f>SUMIFS('YTD Sales'!$N:$N,'YTD Sales'!$B:$B,Brokerage!$B77,'YTD Sales'!$M:$M,Brokerage!L$4)+SUMIFS('YTD Purchases'!$H:$H,'YTD Purchases'!$C:$C,Brokerage!$B77,'YTD Purchases'!$G:$G,Brokerage!L$4)</f>
        <v>0</v>
      </c>
      <c r="M77" s="857">
        <f>SUMIFS('YTD Sales'!$N:$N,'YTD Sales'!$B:$B,Brokerage!$B77,'YTD Sales'!$M:$M,Brokerage!M$4)+SUMIFS('YTD Purchases'!$H:$H,'YTD Purchases'!$C:$C,Brokerage!$B77,'YTD Purchases'!$G:$G,Brokerage!M$4)</f>
        <v>0</v>
      </c>
      <c r="N77" s="857">
        <f>SUMIFS('YTD Sales'!$N:$N,'YTD Sales'!$B:$B,Brokerage!$B77,'YTD Sales'!$M:$M,Brokerage!N$4)+SUMIFS('YTD Purchases'!$H:$H,'YTD Purchases'!$C:$C,Brokerage!$B77,'YTD Purchases'!$G:$G,Brokerage!N$4)</f>
        <v>0</v>
      </c>
      <c r="O77" s="857">
        <f>SUMIFS('YTD Sales'!$N:$N,'YTD Sales'!$B:$B,Brokerage!$B77,'YTD Sales'!$M:$M,Brokerage!O$4)+SUMIFS('YTD Purchases'!$H:$H,'YTD Purchases'!$C:$C,Brokerage!$B77,'YTD Purchases'!$G:$G,Brokerage!O$4)</f>
        <v>0</v>
      </c>
      <c r="P77" s="857">
        <f>SUMIFS('YTD Sales'!$N:$N,'YTD Sales'!$B:$B,Brokerage!$B77,'YTD Sales'!$M:$M,Brokerage!P$4)+SUMIFS('YTD Purchases'!$H:$H,'YTD Purchases'!$C:$C,Brokerage!$B77,'YTD Purchases'!$G:$G,Brokerage!P$4)</f>
        <v>0</v>
      </c>
      <c r="Q77" s="857">
        <f>SUMIFS('YTD Sales'!$N:$N,'YTD Sales'!$B:$B,Brokerage!$B77,'YTD Sales'!$M:$M,Brokerage!Q$4)+SUMIFS('YTD Purchases'!$H:$H,'YTD Purchases'!$C:$C,Brokerage!$B77,'YTD Purchases'!$G:$G,Brokerage!Q$4)</f>
        <v>0</v>
      </c>
      <c r="R77" s="857">
        <f>SUMIFS('YTD Sales'!$N:$N,'YTD Sales'!$B:$B,Brokerage!$B77,'YTD Sales'!$M:$M,Brokerage!R$4)+SUMIFS('YTD Purchases'!$H:$H,'YTD Purchases'!$C:$C,Brokerage!$B77,'YTD Purchases'!$G:$G,Brokerage!R$4)</f>
        <v>0</v>
      </c>
      <c r="S77" s="857">
        <f>SUMIFS('YTD Sales'!$N:$N,'YTD Sales'!$B:$B,Brokerage!$B77,'YTD Sales'!$M:$M,Brokerage!S$4)+SUMIFS('YTD Purchases'!$H:$H,'YTD Purchases'!$C:$C,Brokerage!$B77,'YTD Purchases'!$G:$G,Brokerage!S$4)</f>
        <v>0</v>
      </c>
      <c r="T77" s="857">
        <f>SUMIFS('YTD Sales'!$N:$N,'YTD Sales'!$B:$B,Brokerage!$B77,'YTD Sales'!$M:$M,Brokerage!T$4)+SUMIFS('YTD Purchases'!$H:$H,'YTD Purchases'!$C:$C,Brokerage!$B77,'YTD Purchases'!$G:$G,Brokerage!T$4)</f>
        <v>0</v>
      </c>
      <c r="U77" s="857">
        <f>SUMIFS('YTD Sales'!$N:$N,'YTD Sales'!$B:$B,Brokerage!$B77,'YTD Sales'!$M:$M,Brokerage!U$4)+SUMIFS('YTD Purchases'!$H:$H,'YTD Purchases'!$C:$C,Brokerage!$B77,'YTD Purchases'!$G:$G,Brokerage!U$4)</f>
        <v>0</v>
      </c>
      <c r="V77" s="857">
        <f>SUMIFS('YTD Sales'!$N:$N,'YTD Sales'!$B:$B,Brokerage!$B77,'YTD Sales'!$M:$M,Brokerage!V$4)+SUMIFS('YTD Purchases'!$H:$H,'YTD Purchases'!$C:$C,Brokerage!$B77,'YTD Purchases'!$G:$G,Brokerage!V$4)</f>
        <v>0</v>
      </c>
      <c r="W77" s="857">
        <f>SUMIFS('YTD Sales'!$N:$N,'YTD Sales'!$B:$B,Brokerage!$B77,'YTD Sales'!$M:$M,Brokerage!W$4)+SUMIFS('YTD Purchases'!$H:$H,'YTD Purchases'!$C:$C,Brokerage!$B77,'YTD Purchases'!$G:$G,Brokerage!W$4)</f>
        <v>0</v>
      </c>
      <c r="X77" s="857">
        <f>SUMIFS('YTD Sales'!$N:$N,'YTD Sales'!$B:$B,Brokerage!$B77,'YTD Sales'!$M:$M,Brokerage!X$4)+SUMIFS('YTD Purchases'!$H:$H,'YTD Purchases'!$C:$C,Brokerage!$B77,'YTD Purchases'!$G:$G,Brokerage!X$4)</f>
        <v>0</v>
      </c>
      <c r="Y77" s="857">
        <f>SUMIFS('YTD Sales'!$N:$N,'YTD Sales'!$B:$B,Brokerage!$B77,'YTD Sales'!$M:$M,Brokerage!Y$4)+SUMIFS('YTD Purchases'!$H:$H,'YTD Purchases'!$C:$C,Brokerage!$B77,'YTD Purchases'!$G:$G,Brokerage!Y$4)</f>
        <v>0</v>
      </c>
      <c r="Z77" s="857">
        <f>SUMIFS('YTD Sales'!$N:$N,'YTD Sales'!$B:$B,Brokerage!$B77,'YTD Sales'!$M:$M,Brokerage!Z$4)+SUMIFS('YTD Purchases'!$H:$H,'YTD Purchases'!$C:$C,Brokerage!$B77,'YTD Purchases'!$G:$G,Brokerage!Z$4)</f>
        <v>0</v>
      </c>
      <c r="AA77" s="857">
        <f>SUMIFS('YTD Sales'!$N:$N,'YTD Sales'!$B:$B,Brokerage!$B77,'YTD Sales'!$M:$M,Brokerage!AA$4)+SUMIFS('YTD Purchases'!$H:$H,'YTD Purchases'!$C:$C,Brokerage!$B77,'YTD Purchases'!$G:$G,Brokerage!AA$4)</f>
        <v>0</v>
      </c>
      <c r="AB77" s="857">
        <f>SUMIFS('YTD Sales'!$N:$N,'YTD Sales'!$B:$B,Brokerage!$B77,'YTD Sales'!$M:$M,Brokerage!AB$4)+SUMIFS('YTD Purchases'!$H:$H,'YTD Purchases'!$C:$C,Brokerage!$B77,'YTD Purchases'!$G:$G,Brokerage!AB$4)</f>
        <v>0</v>
      </c>
      <c r="AC77" s="857">
        <f>SUMIFS('YTD Sales'!$N:$N,'YTD Sales'!$B:$B,Brokerage!$B77,'YTD Sales'!$M:$M,Brokerage!AC$4)+SUMIFS('YTD Purchases'!$H:$H,'YTD Purchases'!$C:$C,Brokerage!$B77,'YTD Purchases'!$G:$G,Brokerage!AC$4)</f>
        <v>0</v>
      </c>
      <c r="AD77" s="857">
        <f>+SUMIFS(PIB!AG:AG,PIB!AF:AF,Brokerage!AD$4,PIB!AA:AA,Brokerage!$B77)+SUMIFS('T-Bills'!AB:AB,'T-Bills'!AA:AA,Brokerage!AD$4,'T-Bills'!V:V,Brokerage!$B77)</f>
        <v>0</v>
      </c>
      <c r="AE77" s="857">
        <f>+SUMIFS(PIB!AH:AH,PIB!AG:AG,Brokerage!AE$4,PIB!AB:AB,Brokerage!$B77)+SUMIFS('T-Bills'!AC:AC,'T-Bills'!AB:AB,Brokerage!AE$4,'T-Bills'!W:W,Brokerage!$B77)</f>
        <v>0</v>
      </c>
      <c r="AF77" s="857">
        <f>+SUMIFS(PIB!AI:AI,PIB!AH:AH,Brokerage!AF$4,PIB!AC:AC,Brokerage!$B77)+SUMIFS('T-Bills'!AD:AD,'T-Bills'!AC:AC,Brokerage!AF$4,'T-Bills'!X:X,Brokerage!$B77)</f>
        <v>0</v>
      </c>
      <c r="AG77" s="857">
        <f t="shared" si="10"/>
        <v>0</v>
      </c>
      <c r="AH77" s="858">
        <f t="shared" ref="AH77" si="14">ROUND((AG77*1.5%)/365,0)</f>
        <v>0</v>
      </c>
    </row>
    <row r="78" spans="2:35" x14ac:dyDescent="0.15">
      <c r="B78" s="661">
        <f t="shared" si="9"/>
        <v>44634</v>
      </c>
      <c r="C78" s="857">
        <f>SUMIFS('YTD Sales'!$N:$N,'YTD Sales'!$B:$B,Brokerage!$B78,'YTD Sales'!$M:$M,Brokerage!C$4)+SUMIFS('YTD Purchases'!$H:$H,'YTD Purchases'!$C:$C,Brokerage!$B78,'YTD Purchases'!$G:$G,Brokerage!C$4)</f>
        <v>0</v>
      </c>
      <c r="D78" s="857">
        <f>SUMIFS('YTD Sales'!$N:$N,'YTD Sales'!$B:$B,Brokerage!$B78,'YTD Sales'!$M:$M,Brokerage!D$4)+SUMIFS('YTD Purchases'!$H:$H,'YTD Purchases'!$C:$C,Brokerage!$B78,'YTD Purchases'!$G:$G,Brokerage!D$4)</f>
        <v>0</v>
      </c>
      <c r="E78" s="857">
        <f>SUMIFS('YTD Sales'!$N:$N,'YTD Sales'!$B:$B,Brokerage!$B78,'YTD Sales'!$M:$M,Brokerage!E$4)+SUMIFS('YTD Purchases'!$H:$H,'YTD Purchases'!$C:$C,Brokerage!$B78,'YTD Purchases'!$G:$G,Brokerage!E$4)</f>
        <v>0</v>
      </c>
      <c r="F78" s="857">
        <f>SUMIFS('YTD Sales'!$N:$N,'YTD Sales'!$B:$B,Brokerage!$B78,'YTD Sales'!$M:$M,Brokerage!F$4)+SUMIFS('YTD Purchases'!$H:$H,'YTD Purchases'!$C:$C,Brokerage!$B78,'YTD Purchases'!$G:$G,Brokerage!F$4)</f>
        <v>0</v>
      </c>
      <c r="G78" s="857">
        <f>SUMIFS('YTD Sales'!$N:$N,'YTD Sales'!$B:$B,Brokerage!$B78,'YTD Sales'!$M:$M,Brokerage!G$4)+SUMIFS('YTD Purchases'!$H:$H,'YTD Purchases'!$C:$C,Brokerage!$B78,'YTD Purchases'!$G:$G,Brokerage!G$4)</f>
        <v>0</v>
      </c>
      <c r="H78" s="857">
        <f>SUMIFS('YTD Sales'!$N:$N,'YTD Sales'!$B:$B,Brokerage!$B78,'YTD Sales'!$M:$M,Brokerage!H$4)+SUMIFS('YTD Purchases'!$H:$H,'YTD Purchases'!$C:$C,Brokerage!$B78,'YTD Purchases'!$G:$G,Brokerage!H$4)</f>
        <v>0</v>
      </c>
      <c r="I78" s="857">
        <f>SUMIFS('YTD Sales'!$N:$N,'YTD Sales'!$B:$B,Brokerage!$B78,'YTD Sales'!$M:$M,Brokerage!I$4)+SUMIFS('YTD Purchases'!$H:$H,'YTD Purchases'!$C:$C,Brokerage!$B78,'YTD Purchases'!$G:$G,Brokerage!I$4)</f>
        <v>0</v>
      </c>
      <c r="J78" s="857">
        <f>SUMIFS('YTD Sales'!$N:$N,'YTD Sales'!$B:$B,Brokerage!$B78,'YTD Sales'!$M:$M,Brokerage!J$4)+SUMIFS('YTD Purchases'!$H:$H,'YTD Purchases'!$C:$C,Brokerage!$B78,'YTD Purchases'!$G:$G,Brokerage!J$4)</f>
        <v>0</v>
      </c>
      <c r="K78" s="857">
        <f>SUMIFS('YTD Sales'!$N:$N,'YTD Sales'!$B:$B,Brokerage!$B78,'YTD Sales'!$M:$M,Brokerage!K$4)+SUMIFS('YTD Purchases'!$H:$H,'YTD Purchases'!$C:$C,Brokerage!$B78,'YTD Purchases'!$G:$G,Brokerage!K$4)</f>
        <v>0</v>
      </c>
      <c r="L78" s="857">
        <f>SUMIFS('YTD Sales'!$N:$N,'YTD Sales'!$B:$B,Brokerage!$B78,'YTD Sales'!$M:$M,Brokerage!L$4)+SUMIFS('YTD Purchases'!$H:$H,'YTD Purchases'!$C:$C,Brokerage!$B78,'YTD Purchases'!$G:$G,Brokerage!L$4)</f>
        <v>0</v>
      </c>
      <c r="M78" s="857">
        <f>SUMIFS('YTD Sales'!$N:$N,'YTD Sales'!$B:$B,Brokerage!$B78,'YTD Sales'!$M:$M,Brokerage!M$4)+SUMIFS('YTD Purchases'!$H:$H,'YTD Purchases'!$C:$C,Brokerage!$B78,'YTD Purchases'!$G:$G,Brokerage!M$4)</f>
        <v>0</v>
      </c>
      <c r="N78" s="857">
        <f>SUMIFS('YTD Sales'!$N:$N,'YTD Sales'!$B:$B,Brokerage!$B78,'YTD Sales'!$M:$M,Brokerage!N$4)+SUMIFS('YTD Purchases'!$H:$H,'YTD Purchases'!$C:$C,Brokerage!$B78,'YTD Purchases'!$G:$G,Brokerage!N$4)</f>
        <v>0</v>
      </c>
      <c r="O78" s="857">
        <f>SUMIFS('YTD Sales'!$N:$N,'YTD Sales'!$B:$B,Brokerage!$B78,'YTD Sales'!$M:$M,Brokerage!O$4)+SUMIFS('YTD Purchases'!$H:$H,'YTD Purchases'!$C:$C,Brokerage!$B78,'YTD Purchases'!$G:$G,Brokerage!O$4)</f>
        <v>0</v>
      </c>
      <c r="P78" s="857">
        <f>SUMIFS('YTD Sales'!$N:$N,'YTD Sales'!$B:$B,Brokerage!$B78,'YTD Sales'!$M:$M,Brokerage!P$4)+SUMIFS('YTD Purchases'!$H:$H,'YTD Purchases'!$C:$C,Brokerage!$B78,'YTD Purchases'!$G:$G,Brokerage!P$4)</f>
        <v>0</v>
      </c>
      <c r="Q78" s="857">
        <f>SUMIFS('YTD Sales'!$N:$N,'YTD Sales'!$B:$B,Brokerage!$B78,'YTD Sales'!$M:$M,Brokerage!Q$4)+SUMIFS('YTD Purchases'!$H:$H,'YTD Purchases'!$C:$C,Brokerage!$B78,'YTD Purchases'!$G:$G,Brokerage!Q$4)</f>
        <v>0</v>
      </c>
      <c r="R78" s="857">
        <f>SUMIFS('YTD Sales'!$N:$N,'YTD Sales'!$B:$B,Brokerage!$B78,'YTD Sales'!$M:$M,Brokerage!R$4)+SUMIFS('YTD Purchases'!$H:$H,'YTD Purchases'!$C:$C,Brokerage!$B78,'YTD Purchases'!$G:$G,Brokerage!R$4)</f>
        <v>0</v>
      </c>
      <c r="S78" s="857">
        <f>SUMIFS('YTD Sales'!$N:$N,'YTD Sales'!$B:$B,Brokerage!$B78,'YTD Sales'!$M:$M,Brokerage!S$4)+SUMIFS('YTD Purchases'!$H:$H,'YTD Purchases'!$C:$C,Brokerage!$B78,'YTD Purchases'!$G:$G,Brokerage!S$4)</f>
        <v>0</v>
      </c>
      <c r="T78" s="857">
        <f>SUMIFS('YTD Sales'!$N:$N,'YTD Sales'!$B:$B,Brokerage!$B78,'YTD Sales'!$M:$M,Brokerage!T$4)+SUMIFS('YTD Purchases'!$H:$H,'YTD Purchases'!$C:$C,Brokerage!$B78,'YTD Purchases'!$G:$G,Brokerage!T$4)</f>
        <v>0</v>
      </c>
      <c r="U78" s="857">
        <f>SUMIFS('YTD Sales'!$N:$N,'YTD Sales'!$B:$B,Brokerage!$B78,'YTD Sales'!$M:$M,Brokerage!U$4)+SUMIFS('YTD Purchases'!$H:$H,'YTD Purchases'!$C:$C,Brokerage!$B78,'YTD Purchases'!$G:$G,Brokerage!U$4)</f>
        <v>0</v>
      </c>
      <c r="V78" s="857">
        <f>SUMIFS('YTD Sales'!$N:$N,'YTD Sales'!$B:$B,Brokerage!$B78,'YTD Sales'!$M:$M,Brokerage!V$4)+SUMIFS('YTD Purchases'!$H:$H,'YTD Purchases'!$C:$C,Brokerage!$B78,'YTD Purchases'!$G:$G,Brokerage!V$4)</f>
        <v>0</v>
      </c>
      <c r="W78" s="857">
        <f>SUMIFS('YTD Sales'!$N:$N,'YTD Sales'!$B:$B,Brokerage!$B78,'YTD Sales'!$M:$M,Brokerage!W$4)+SUMIFS('YTD Purchases'!$H:$H,'YTD Purchases'!$C:$C,Brokerage!$B78,'YTD Purchases'!$G:$G,Brokerage!W$4)</f>
        <v>0</v>
      </c>
      <c r="X78" s="857">
        <f>SUMIFS('YTD Sales'!$N:$N,'YTD Sales'!$B:$B,Brokerage!$B78,'YTD Sales'!$M:$M,Brokerage!X$4)+SUMIFS('YTD Purchases'!$H:$H,'YTD Purchases'!$C:$C,Brokerage!$B78,'YTD Purchases'!$G:$G,Brokerage!X$4)</f>
        <v>0</v>
      </c>
      <c r="Y78" s="857">
        <f>SUMIFS('YTD Sales'!$N:$N,'YTD Sales'!$B:$B,Brokerage!$B78,'YTD Sales'!$M:$M,Brokerage!Y$4)+SUMIFS('YTD Purchases'!$H:$H,'YTD Purchases'!$C:$C,Brokerage!$B78,'YTD Purchases'!$G:$G,Brokerage!Y$4)</f>
        <v>0</v>
      </c>
      <c r="Z78" s="857">
        <f>SUMIFS('YTD Sales'!$N:$N,'YTD Sales'!$B:$B,Brokerage!$B78,'YTD Sales'!$M:$M,Brokerage!Z$4)+SUMIFS('YTD Purchases'!$H:$H,'YTD Purchases'!$C:$C,Brokerage!$B78,'YTD Purchases'!$G:$G,Brokerage!Z$4)</f>
        <v>0</v>
      </c>
      <c r="AA78" s="857">
        <f>SUMIFS('YTD Sales'!$N:$N,'YTD Sales'!$B:$B,Brokerage!$B78,'YTD Sales'!$M:$M,Brokerage!AA$4)+SUMIFS('YTD Purchases'!$H:$H,'YTD Purchases'!$C:$C,Brokerage!$B78,'YTD Purchases'!$G:$G,Brokerage!AA$4)</f>
        <v>0</v>
      </c>
      <c r="AB78" s="857">
        <f>SUMIFS('YTD Sales'!$N:$N,'YTD Sales'!$B:$B,Brokerage!$B78,'YTD Sales'!$M:$M,Brokerage!AB$4)+SUMIFS('YTD Purchases'!$H:$H,'YTD Purchases'!$C:$C,Brokerage!$B78,'YTD Purchases'!$G:$G,Brokerage!AB$4)</f>
        <v>0</v>
      </c>
      <c r="AC78" s="857">
        <f>SUMIFS('YTD Sales'!$N:$N,'YTD Sales'!$B:$B,Brokerage!$B78,'YTD Sales'!$M:$M,Brokerage!AC$4)+SUMIFS('YTD Purchases'!$H:$H,'YTD Purchases'!$C:$C,Brokerage!$B78,'YTD Purchases'!$G:$G,Brokerage!AC$4)</f>
        <v>0</v>
      </c>
      <c r="AD78" s="857">
        <f>+SUMIFS(PIB!AG:AG,PIB!AF:AF,Brokerage!AD$4,PIB!AA:AA,Brokerage!$B78)+SUMIFS('T-Bills'!AB:AB,'T-Bills'!AA:AA,Brokerage!AD$4,'T-Bills'!V:V,Brokerage!$B78)</f>
        <v>0</v>
      </c>
      <c r="AE78" s="857">
        <f>+SUMIFS(PIB!AH:AH,PIB!AG:AG,Brokerage!AE$4,PIB!AB:AB,Brokerage!$B78)+SUMIFS('T-Bills'!AC:AC,'T-Bills'!AB:AB,Brokerage!AE$4,'T-Bills'!W:W,Brokerage!$B78)</f>
        <v>0</v>
      </c>
      <c r="AF78" s="857">
        <f>+SUMIFS(PIB!AI:AI,PIB!AH:AH,Brokerage!AF$4,PIB!AC:AC,Brokerage!$B78)+SUMIFS('T-Bills'!AD:AD,'T-Bills'!AC:AC,Brokerage!AF$4,'T-Bills'!X:X,Brokerage!$B78)</f>
        <v>0</v>
      </c>
      <c r="AG78" s="857">
        <f t="shared" si="10"/>
        <v>0</v>
      </c>
      <c r="AH78" s="858">
        <f t="shared" ref="AH78" si="15">ROUND((AG78*1.5%)/365,0)</f>
        <v>0</v>
      </c>
    </row>
    <row r="79" spans="2:35" x14ac:dyDescent="0.15">
      <c r="B79" s="661">
        <f t="shared" si="9"/>
        <v>44635</v>
      </c>
      <c r="C79" s="857">
        <f>SUMIFS('YTD Sales'!$N:$N,'YTD Sales'!$B:$B,Brokerage!$B79,'YTD Sales'!$M:$M,Brokerage!C$4)+SUMIFS('YTD Purchases'!$H:$H,'YTD Purchases'!$C:$C,Brokerage!$B79,'YTD Purchases'!$G:$G,Brokerage!C$4)</f>
        <v>0</v>
      </c>
      <c r="D79" s="857">
        <f>SUMIFS('YTD Sales'!$N:$N,'YTD Sales'!$B:$B,Brokerage!$B79,'YTD Sales'!$M:$M,Brokerage!D$4)+SUMIFS('YTD Purchases'!$H:$H,'YTD Purchases'!$C:$C,Brokerage!$B79,'YTD Purchases'!$G:$G,Brokerage!D$4)</f>
        <v>0</v>
      </c>
      <c r="E79" s="857">
        <f>SUMIFS('YTD Sales'!$N:$N,'YTD Sales'!$B:$B,Brokerage!$B79,'YTD Sales'!$M:$M,Brokerage!E$4)+SUMIFS('YTD Purchases'!$H:$H,'YTD Purchases'!$C:$C,Brokerage!$B79,'YTD Purchases'!$G:$G,Brokerage!E$4)</f>
        <v>0</v>
      </c>
      <c r="F79" s="857">
        <f>SUMIFS('YTD Sales'!$N:$N,'YTD Sales'!$B:$B,Brokerage!$B79,'YTD Sales'!$M:$M,Brokerage!F$4)+SUMIFS('YTD Purchases'!$H:$H,'YTD Purchases'!$C:$C,Brokerage!$B79,'YTD Purchases'!$G:$G,Brokerage!F$4)</f>
        <v>0</v>
      </c>
      <c r="G79" s="857">
        <f>SUMIFS('YTD Sales'!$N:$N,'YTD Sales'!$B:$B,Brokerage!$B79,'YTD Sales'!$M:$M,Brokerage!G$4)+SUMIFS('YTD Purchases'!$H:$H,'YTD Purchases'!$C:$C,Brokerage!$B79,'YTD Purchases'!$G:$G,Brokerage!G$4)</f>
        <v>0</v>
      </c>
      <c r="H79" s="857">
        <f>SUMIFS('YTD Sales'!$N:$N,'YTD Sales'!$B:$B,Brokerage!$B79,'YTD Sales'!$M:$M,Brokerage!H$4)+SUMIFS('YTD Purchases'!$H:$H,'YTD Purchases'!$C:$C,Brokerage!$B79,'YTD Purchases'!$G:$G,Brokerage!H$4)</f>
        <v>0</v>
      </c>
      <c r="I79" s="857">
        <f>SUMIFS('YTD Sales'!$N:$N,'YTD Sales'!$B:$B,Brokerage!$B79,'YTD Sales'!$M:$M,Brokerage!I$4)+SUMIFS('YTD Purchases'!$H:$H,'YTD Purchases'!$C:$C,Brokerage!$B79,'YTD Purchases'!$G:$G,Brokerage!I$4)</f>
        <v>0</v>
      </c>
      <c r="J79" s="857">
        <f>SUMIFS('YTD Sales'!$N:$N,'YTD Sales'!$B:$B,Brokerage!$B79,'YTD Sales'!$M:$M,Brokerage!J$4)+SUMIFS('YTD Purchases'!$H:$H,'YTD Purchases'!$C:$C,Brokerage!$B79,'YTD Purchases'!$G:$G,Brokerage!J$4)</f>
        <v>0</v>
      </c>
      <c r="K79" s="857">
        <f>SUMIFS('YTD Sales'!$N:$N,'YTD Sales'!$B:$B,Brokerage!$B79,'YTD Sales'!$M:$M,Brokerage!K$4)+SUMIFS('YTD Purchases'!$H:$H,'YTD Purchases'!$C:$C,Brokerage!$B79,'YTD Purchases'!$G:$G,Brokerage!K$4)</f>
        <v>0</v>
      </c>
      <c r="L79" s="857">
        <f>SUMIFS('YTD Sales'!$N:$N,'YTD Sales'!$B:$B,Brokerage!$B79,'YTD Sales'!$M:$M,Brokerage!L$4)+SUMIFS('YTD Purchases'!$H:$H,'YTD Purchases'!$C:$C,Brokerage!$B79,'YTD Purchases'!$G:$G,Brokerage!L$4)</f>
        <v>0</v>
      </c>
      <c r="M79" s="857">
        <f>SUMIFS('YTD Sales'!$N:$N,'YTD Sales'!$B:$B,Brokerage!$B79,'YTD Sales'!$M:$M,Brokerage!M$4)+SUMIFS('YTD Purchases'!$H:$H,'YTD Purchases'!$C:$C,Brokerage!$B79,'YTD Purchases'!$G:$G,Brokerage!M$4)</f>
        <v>2764.692</v>
      </c>
      <c r="N79" s="857">
        <f>SUMIFS('YTD Sales'!$N:$N,'YTD Sales'!$B:$B,Brokerage!$B79,'YTD Sales'!$M:$M,Brokerage!N$4)+SUMIFS('YTD Purchases'!$H:$H,'YTD Purchases'!$C:$C,Brokerage!$B79,'YTD Purchases'!$G:$G,Brokerage!N$4)</f>
        <v>0</v>
      </c>
      <c r="O79" s="857">
        <f>SUMIFS('YTD Sales'!$N:$N,'YTD Sales'!$B:$B,Brokerage!$B79,'YTD Sales'!$M:$M,Brokerage!O$4)+SUMIFS('YTD Purchases'!$H:$H,'YTD Purchases'!$C:$C,Brokerage!$B79,'YTD Purchases'!$G:$G,Brokerage!O$4)</f>
        <v>0</v>
      </c>
      <c r="P79" s="857">
        <f>SUMIFS('YTD Sales'!$N:$N,'YTD Sales'!$B:$B,Brokerage!$B79,'YTD Sales'!$M:$M,Brokerage!P$4)+SUMIFS('YTD Purchases'!$H:$H,'YTD Purchases'!$C:$C,Brokerage!$B79,'YTD Purchases'!$G:$G,Brokerage!P$4)</f>
        <v>0</v>
      </c>
      <c r="Q79" s="857">
        <f>SUMIFS('YTD Sales'!$N:$N,'YTD Sales'!$B:$B,Brokerage!$B79,'YTD Sales'!$M:$M,Brokerage!Q$4)+SUMIFS('YTD Purchases'!$H:$H,'YTD Purchases'!$C:$C,Brokerage!$B79,'YTD Purchases'!$G:$G,Brokerage!Q$4)</f>
        <v>0</v>
      </c>
      <c r="R79" s="857">
        <f>SUMIFS('YTD Sales'!$N:$N,'YTD Sales'!$B:$B,Brokerage!$B79,'YTD Sales'!$M:$M,Brokerage!R$4)+SUMIFS('YTD Purchases'!$H:$H,'YTD Purchases'!$C:$C,Brokerage!$B79,'YTD Purchases'!$G:$G,Brokerage!R$4)</f>
        <v>0</v>
      </c>
      <c r="S79" s="857">
        <f>SUMIFS('YTD Sales'!$N:$N,'YTD Sales'!$B:$B,Brokerage!$B79,'YTD Sales'!$M:$M,Brokerage!S$4)+SUMIFS('YTD Purchases'!$H:$H,'YTD Purchases'!$C:$C,Brokerage!$B79,'YTD Purchases'!$G:$G,Brokerage!S$4)</f>
        <v>0</v>
      </c>
      <c r="T79" s="857">
        <f>SUMIFS('YTD Sales'!$N:$N,'YTD Sales'!$B:$B,Brokerage!$B79,'YTD Sales'!$M:$M,Brokerage!T$4)+SUMIFS('YTD Purchases'!$H:$H,'YTD Purchases'!$C:$C,Brokerage!$B79,'YTD Purchases'!$G:$G,Brokerage!T$4)</f>
        <v>0</v>
      </c>
      <c r="U79" s="857">
        <f>SUMIFS('YTD Sales'!$N:$N,'YTD Sales'!$B:$B,Brokerage!$B79,'YTD Sales'!$M:$M,Brokerage!U$4)+SUMIFS('YTD Purchases'!$H:$H,'YTD Purchases'!$C:$C,Brokerage!$B79,'YTD Purchases'!$G:$G,Brokerage!U$4)</f>
        <v>0</v>
      </c>
      <c r="V79" s="857">
        <f>SUMIFS('YTD Sales'!$N:$N,'YTD Sales'!$B:$B,Brokerage!$B79,'YTD Sales'!$M:$M,Brokerage!V$4)+SUMIFS('YTD Purchases'!$H:$H,'YTD Purchases'!$C:$C,Brokerage!$B79,'YTD Purchases'!$G:$G,Brokerage!V$4)</f>
        <v>0</v>
      </c>
      <c r="W79" s="857">
        <f>SUMIFS('YTD Sales'!$N:$N,'YTD Sales'!$B:$B,Brokerage!$B79,'YTD Sales'!$M:$M,Brokerage!W$4)+SUMIFS('YTD Purchases'!$H:$H,'YTD Purchases'!$C:$C,Brokerage!$B79,'YTD Purchases'!$G:$G,Brokerage!W$4)</f>
        <v>0</v>
      </c>
      <c r="X79" s="857">
        <f>SUMIFS('YTD Sales'!$N:$N,'YTD Sales'!$B:$B,Brokerage!$B79,'YTD Sales'!$M:$M,Brokerage!X$4)+SUMIFS('YTD Purchases'!$H:$H,'YTD Purchases'!$C:$C,Brokerage!$B79,'YTD Purchases'!$G:$G,Brokerage!X$4)</f>
        <v>0</v>
      </c>
      <c r="Y79" s="857">
        <f>SUMIFS('YTD Sales'!$N:$N,'YTD Sales'!$B:$B,Brokerage!$B79,'YTD Sales'!$M:$M,Brokerage!Y$4)+SUMIFS('YTD Purchases'!$H:$H,'YTD Purchases'!$C:$C,Brokerage!$B79,'YTD Purchases'!$G:$G,Brokerage!Y$4)</f>
        <v>0</v>
      </c>
      <c r="Z79" s="857">
        <f>SUMIFS('YTD Sales'!$N:$N,'YTD Sales'!$B:$B,Brokerage!$B79,'YTD Sales'!$M:$M,Brokerage!Z$4)+SUMIFS('YTD Purchases'!$H:$H,'YTD Purchases'!$C:$C,Brokerage!$B79,'YTD Purchases'!$G:$G,Brokerage!Z$4)</f>
        <v>0</v>
      </c>
      <c r="AA79" s="857">
        <f>SUMIFS('YTD Sales'!$N:$N,'YTD Sales'!$B:$B,Brokerage!$B79,'YTD Sales'!$M:$M,Brokerage!AA$4)+SUMIFS('YTD Purchases'!$H:$H,'YTD Purchases'!$C:$C,Brokerage!$B79,'YTD Purchases'!$G:$G,Brokerage!AA$4)</f>
        <v>0</v>
      </c>
      <c r="AB79" s="857">
        <f>SUMIFS('YTD Sales'!$N:$N,'YTD Sales'!$B:$B,Brokerage!$B79,'YTD Sales'!$M:$M,Brokerage!AB$4)+SUMIFS('YTD Purchases'!$H:$H,'YTD Purchases'!$C:$C,Brokerage!$B79,'YTD Purchases'!$G:$G,Brokerage!AB$4)</f>
        <v>0</v>
      </c>
      <c r="AC79" s="857">
        <f>SUMIFS('YTD Sales'!$N:$N,'YTD Sales'!$B:$B,Brokerage!$B79,'YTD Sales'!$M:$M,Brokerage!AC$4)+SUMIFS('YTD Purchases'!$H:$H,'YTD Purchases'!$C:$C,Brokerage!$B79,'YTD Purchases'!$G:$G,Brokerage!AC$4)</f>
        <v>0</v>
      </c>
      <c r="AD79" s="857">
        <f>+SUMIFS(PIB!AG:AG,PIB!AF:AF,Brokerage!AD$4,PIB!AA:AA,Brokerage!$B79)+SUMIFS('T-Bills'!AB:AB,'T-Bills'!AA:AA,Brokerage!AD$4,'T-Bills'!V:V,Brokerage!$B79)</f>
        <v>0</v>
      </c>
      <c r="AE79" s="857">
        <f>+SUMIFS(PIB!AH:AH,PIB!AG:AG,Brokerage!AE$4,PIB!AB:AB,Brokerage!$B79)+SUMIFS('T-Bills'!AC:AC,'T-Bills'!AB:AB,Brokerage!AE$4,'T-Bills'!W:W,Brokerage!$B79)</f>
        <v>0</v>
      </c>
      <c r="AF79" s="857">
        <f>+SUMIFS(PIB!AI:AI,PIB!AH:AH,Brokerage!AF$4,PIB!AC:AC,Brokerage!$B79)+SUMIFS('T-Bills'!AD:AD,'T-Bills'!AC:AC,Brokerage!AF$4,'T-Bills'!X:X,Brokerage!$B79)</f>
        <v>0</v>
      </c>
      <c r="AG79" s="857">
        <f t="shared" si="10"/>
        <v>2764.692</v>
      </c>
      <c r="AH79" s="858">
        <f t="shared" ref="AH79" si="16">ROUND((AG79*1.5%)/365,0)</f>
        <v>0</v>
      </c>
    </row>
    <row r="80" spans="2:35" x14ac:dyDescent="0.15">
      <c r="B80" s="661">
        <f t="shared" si="9"/>
        <v>44636</v>
      </c>
      <c r="C80" s="857">
        <f>SUMIFS('YTD Sales'!$N:$N,'YTD Sales'!$B:$B,Brokerage!$B80,'YTD Sales'!$M:$M,Brokerage!C$4)+SUMIFS('YTD Purchases'!$H:$H,'YTD Purchases'!$C:$C,Brokerage!$B80,'YTD Purchases'!$G:$G,Brokerage!C$4)</f>
        <v>0</v>
      </c>
      <c r="D80" s="857">
        <f>SUMIFS('YTD Sales'!$N:$N,'YTD Sales'!$B:$B,Brokerage!$B80,'YTD Sales'!$M:$M,Brokerage!D$4)+SUMIFS('YTD Purchases'!$H:$H,'YTD Purchases'!$C:$C,Brokerage!$B80,'YTD Purchases'!$G:$G,Brokerage!D$4)</f>
        <v>0</v>
      </c>
      <c r="E80" s="857">
        <f>SUMIFS('YTD Sales'!$N:$N,'YTD Sales'!$B:$B,Brokerage!$B80,'YTD Sales'!$M:$M,Brokerage!E$4)+SUMIFS('YTD Purchases'!$H:$H,'YTD Purchases'!$C:$C,Brokerage!$B80,'YTD Purchases'!$G:$G,Brokerage!E$4)</f>
        <v>0</v>
      </c>
      <c r="F80" s="857">
        <f>SUMIFS('YTD Sales'!$N:$N,'YTD Sales'!$B:$B,Brokerage!$B80,'YTD Sales'!$M:$M,Brokerage!F$4)+SUMIFS('YTD Purchases'!$H:$H,'YTD Purchases'!$C:$C,Brokerage!$B80,'YTD Purchases'!$G:$G,Brokerage!F$4)</f>
        <v>0</v>
      </c>
      <c r="G80" s="857">
        <f>SUMIFS('YTD Sales'!$N:$N,'YTD Sales'!$B:$B,Brokerage!$B80,'YTD Sales'!$M:$M,Brokerage!G$4)+SUMIFS('YTD Purchases'!$H:$H,'YTD Purchases'!$C:$C,Brokerage!$B80,'YTD Purchases'!$G:$G,Brokerage!G$4)</f>
        <v>0</v>
      </c>
      <c r="H80" s="857">
        <f>SUMIFS('YTD Sales'!$N:$N,'YTD Sales'!$B:$B,Brokerage!$B80,'YTD Sales'!$M:$M,Brokerage!H$4)+SUMIFS('YTD Purchases'!$H:$H,'YTD Purchases'!$C:$C,Brokerage!$B80,'YTD Purchases'!$G:$G,Brokerage!H$4)</f>
        <v>0</v>
      </c>
      <c r="I80" s="857">
        <f>SUMIFS('YTD Sales'!$N:$N,'YTD Sales'!$B:$B,Brokerage!$B80,'YTD Sales'!$M:$M,Brokerage!I$4)+SUMIFS('YTD Purchases'!$H:$H,'YTD Purchases'!$C:$C,Brokerage!$B80,'YTD Purchases'!$G:$G,Brokerage!I$4)</f>
        <v>0</v>
      </c>
      <c r="J80" s="857">
        <f>SUMIFS('YTD Sales'!$N:$N,'YTD Sales'!$B:$B,Brokerage!$B80,'YTD Sales'!$M:$M,Brokerage!J$4)+SUMIFS('YTD Purchases'!$H:$H,'YTD Purchases'!$C:$C,Brokerage!$B80,'YTD Purchases'!$G:$G,Brokerage!J$4)</f>
        <v>0</v>
      </c>
      <c r="K80" s="857">
        <f>SUMIFS('YTD Sales'!$N:$N,'YTD Sales'!$B:$B,Brokerage!$B80,'YTD Sales'!$M:$M,Brokerage!K$4)+SUMIFS('YTD Purchases'!$H:$H,'YTD Purchases'!$C:$C,Brokerage!$B80,'YTD Purchases'!$G:$G,Brokerage!K$4)</f>
        <v>0</v>
      </c>
      <c r="L80" s="857">
        <f>SUMIFS('YTD Sales'!$N:$N,'YTD Sales'!$B:$B,Brokerage!$B80,'YTD Sales'!$M:$M,Brokerage!L$4)+SUMIFS('YTD Purchases'!$H:$H,'YTD Purchases'!$C:$C,Brokerage!$B80,'YTD Purchases'!$G:$G,Brokerage!L$4)</f>
        <v>0</v>
      </c>
      <c r="M80" s="857">
        <f>SUMIFS('YTD Sales'!$N:$N,'YTD Sales'!$B:$B,Brokerage!$B80,'YTD Sales'!$M:$M,Brokerage!M$4)+SUMIFS('YTD Purchases'!$H:$H,'YTD Purchases'!$C:$C,Brokerage!$B80,'YTD Purchases'!$G:$G,Brokerage!M$4)</f>
        <v>0</v>
      </c>
      <c r="N80" s="857">
        <f>SUMIFS('YTD Sales'!$N:$N,'YTD Sales'!$B:$B,Brokerage!$B80,'YTD Sales'!$M:$M,Brokerage!N$4)+SUMIFS('YTD Purchases'!$H:$H,'YTD Purchases'!$C:$C,Brokerage!$B80,'YTD Purchases'!$G:$G,Brokerage!N$4)</f>
        <v>0</v>
      </c>
      <c r="O80" s="857">
        <f>SUMIFS('YTD Sales'!$N:$N,'YTD Sales'!$B:$B,Brokerage!$B80,'YTD Sales'!$M:$M,Brokerage!O$4)+SUMIFS('YTD Purchases'!$H:$H,'YTD Purchases'!$C:$C,Brokerage!$B80,'YTD Purchases'!$G:$G,Brokerage!O$4)</f>
        <v>0</v>
      </c>
      <c r="P80" s="857">
        <f>SUMIFS('YTD Sales'!$N:$N,'YTD Sales'!$B:$B,Brokerage!$B80,'YTD Sales'!$M:$M,Brokerage!P$4)+SUMIFS('YTD Purchases'!$H:$H,'YTD Purchases'!$C:$C,Brokerage!$B80,'YTD Purchases'!$G:$G,Brokerage!P$4)</f>
        <v>0</v>
      </c>
      <c r="Q80" s="857">
        <f>SUMIFS('YTD Sales'!$N:$N,'YTD Sales'!$B:$B,Brokerage!$B80,'YTD Sales'!$M:$M,Brokerage!Q$4)+SUMIFS('YTD Purchases'!$H:$H,'YTD Purchases'!$C:$C,Brokerage!$B80,'YTD Purchases'!$G:$G,Brokerage!Q$4)</f>
        <v>0</v>
      </c>
      <c r="R80" s="857">
        <f>SUMIFS('YTD Sales'!$N:$N,'YTD Sales'!$B:$B,Brokerage!$B80,'YTD Sales'!$M:$M,Brokerage!R$4)+SUMIFS('YTD Purchases'!$H:$H,'YTD Purchases'!$C:$C,Brokerage!$B80,'YTD Purchases'!$G:$G,Brokerage!R$4)</f>
        <v>0</v>
      </c>
      <c r="S80" s="857">
        <f>SUMIFS('YTD Sales'!$N:$N,'YTD Sales'!$B:$B,Brokerage!$B80,'YTD Sales'!$M:$M,Brokerage!S$4)+SUMIFS('YTD Purchases'!$H:$H,'YTD Purchases'!$C:$C,Brokerage!$B80,'YTD Purchases'!$G:$G,Brokerage!S$4)</f>
        <v>0</v>
      </c>
      <c r="T80" s="857">
        <f>SUMIFS('YTD Sales'!$N:$N,'YTD Sales'!$B:$B,Brokerage!$B80,'YTD Sales'!$M:$M,Brokerage!T$4)+SUMIFS('YTD Purchases'!$H:$H,'YTD Purchases'!$C:$C,Brokerage!$B80,'YTD Purchases'!$G:$G,Brokerage!T$4)</f>
        <v>0</v>
      </c>
      <c r="U80" s="857">
        <f>SUMIFS('YTD Sales'!$N:$N,'YTD Sales'!$B:$B,Brokerage!$B80,'YTD Sales'!$M:$M,Brokerage!U$4)+SUMIFS('YTD Purchases'!$H:$H,'YTD Purchases'!$C:$C,Brokerage!$B80,'YTD Purchases'!$G:$G,Brokerage!U$4)</f>
        <v>0</v>
      </c>
      <c r="V80" s="857">
        <f>SUMIFS('YTD Sales'!$N:$N,'YTD Sales'!$B:$B,Brokerage!$B80,'YTD Sales'!$M:$M,Brokerage!V$4)+SUMIFS('YTD Purchases'!$H:$H,'YTD Purchases'!$C:$C,Brokerage!$B80,'YTD Purchases'!$G:$G,Brokerage!V$4)</f>
        <v>0</v>
      </c>
      <c r="W80" s="857">
        <f>SUMIFS('YTD Sales'!$N:$N,'YTD Sales'!$B:$B,Brokerage!$B80,'YTD Sales'!$M:$M,Brokerage!W$4)+SUMIFS('YTD Purchases'!$H:$H,'YTD Purchases'!$C:$C,Brokerage!$B80,'YTD Purchases'!$G:$G,Brokerage!W$4)</f>
        <v>0</v>
      </c>
      <c r="X80" s="857">
        <f>SUMIFS('YTD Sales'!$N:$N,'YTD Sales'!$B:$B,Brokerage!$B80,'YTD Sales'!$M:$M,Brokerage!X$4)+SUMIFS('YTD Purchases'!$H:$H,'YTD Purchases'!$C:$C,Brokerage!$B80,'YTD Purchases'!$G:$G,Brokerage!X$4)</f>
        <v>0</v>
      </c>
      <c r="Y80" s="857">
        <f>SUMIFS('YTD Sales'!$N:$N,'YTD Sales'!$B:$B,Brokerage!$B80,'YTD Sales'!$M:$M,Brokerage!Y$4)+SUMIFS('YTD Purchases'!$H:$H,'YTD Purchases'!$C:$C,Brokerage!$B80,'YTD Purchases'!$G:$G,Brokerage!Y$4)</f>
        <v>0</v>
      </c>
      <c r="Z80" s="857">
        <f>SUMIFS('YTD Sales'!$N:$N,'YTD Sales'!$B:$B,Brokerage!$B80,'YTD Sales'!$M:$M,Brokerage!Z$4)+SUMIFS('YTD Purchases'!$H:$H,'YTD Purchases'!$C:$C,Brokerage!$B80,'YTD Purchases'!$G:$G,Brokerage!Z$4)</f>
        <v>0</v>
      </c>
      <c r="AA80" s="857">
        <f>SUMIFS('YTD Sales'!$N:$N,'YTD Sales'!$B:$B,Brokerage!$B80,'YTD Sales'!$M:$M,Brokerage!AA$4)+SUMIFS('YTD Purchases'!$H:$H,'YTD Purchases'!$C:$C,Brokerage!$B80,'YTD Purchases'!$G:$G,Brokerage!AA$4)</f>
        <v>0</v>
      </c>
      <c r="AB80" s="857">
        <f>SUMIFS('YTD Sales'!$N:$N,'YTD Sales'!$B:$B,Brokerage!$B80,'YTD Sales'!$M:$M,Brokerage!AB$4)+SUMIFS('YTD Purchases'!$H:$H,'YTD Purchases'!$C:$C,Brokerage!$B80,'YTD Purchases'!$G:$G,Brokerage!AB$4)</f>
        <v>0</v>
      </c>
      <c r="AC80" s="857">
        <f>SUMIFS('YTD Sales'!$N:$N,'YTD Sales'!$B:$B,Brokerage!$B80,'YTD Sales'!$M:$M,Brokerage!AC$4)+SUMIFS('YTD Purchases'!$H:$H,'YTD Purchases'!$C:$C,Brokerage!$B80,'YTD Purchases'!$G:$G,Brokerage!AC$4)</f>
        <v>0</v>
      </c>
      <c r="AD80" s="857">
        <f>+SUMIFS(PIB!AG:AG,PIB!AF:AF,Brokerage!AD$4,PIB!AA:AA,Brokerage!$B80)+SUMIFS('T-Bills'!AB:AB,'T-Bills'!AA:AA,Brokerage!AD$4,'T-Bills'!V:V,Brokerage!$B80)</f>
        <v>0</v>
      </c>
      <c r="AE80" s="857">
        <f>+SUMIFS(PIB!AH:AH,PIB!AG:AG,Brokerage!AE$4,PIB!AB:AB,Brokerage!$B80)+SUMIFS('T-Bills'!AC:AC,'T-Bills'!AB:AB,Brokerage!AE$4,'T-Bills'!W:W,Brokerage!$B80)</f>
        <v>0</v>
      </c>
      <c r="AF80" s="857">
        <f>+SUMIFS(PIB!AI:AI,PIB!AH:AH,Brokerage!AF$4,PIB!AC:AC,Brokerage!$B80)+SUMIFS('T-Bills'!AD:AD,'T-Bills'!AC:AC,Brokerage!AF$4,'T-Bills'!X:X,Brokerage!$B80)</f>
        <v>0</v>
      </c>
      <c r="AG80" s="857">
        <f t="shared" si="10"/>
        <v>0</v>
      </c>
      <c r="AH80" s="858">
        <f t="shared" ref="AH80:AH143" si="17">ROUND((AG80*1.5%)/365,0)</f>
        <v>0</v>
      </c>
    </row>
    <row r="81" spans="2:34" x14ac:dyDescent="0.15">
      <c r="B81" s="661">
        <f t="shared" si="9"/>
        <v>44637</v>
      </c>
      <c r="C81" s="857">
        <f>SUMIFS('YTD Sales'!$N:$N,'YTD Sales'!$B:$B,Brokerage!$B81,'YTD Sales'!$M:$M,Brokerage!C$4)+SUMIFS('YTD Purchases'!$H:$H,'YTD Purchases'!$C:$C,Brokerage!$B81,'YTD Purchases'!$G:$G,Brokerage!C$4)</f>
        <v>0</v>
      </c>
      <c r="D81" s="857">
        <f>SUMIFS('YTD Sales'!$N:$N,'YTD Sales'!$B:$B,Brokerage!$B81,'YTD Sales'!$M:$M,Brokerage!D$4)+SUMIFS('YTD Purchases'!$H:$H,'YTD Purchases'!$C:$C,Brokerage!$B81,'YTD Purchases'!$G:$G,Brokerage!D$4)</f>
        <v>0</v>
      </c>
      <c r="E81" s="857">
        <f>SUMIFS('YTD Sales'!$N:$N,'YTD Sales'!$B:$B,Brokerage!$B81,'YTD Sales'!$M:$M,Brokerage!E$4)+SUMIFS('YTD Purchases'!$H:$H,'YTD Purchases'!$C:$C,Brokerage!$B81,'YTD Purchases'!$G:$G,Brokerage!E$4)</f>
        <v>0</v>
      </c>
      <c r="F81" s="857">
        <f>SUMIFS('YTD Sales'!$N:$N,'YTD Sales'!$B:$B,Brokerage!$B81,'YTD Sales'!$M:$M,Brokerage!F$4)+SUMIFS('YTD Purchases'!$H:$H,'YTD Purchases'!$C:$C,Brokerage!$B81,'YTD Purchases'!$G:$G,Brokerage!F$4)</f>
        <v>0</v>
      </c>
      <c r="G81" s="857">
        <f>SUMIFS('YTD Sales'!$N:$N,'YTD Sales'!$B:$B,Brokerage!$B81,'YTD Sales'!$M:$M,Brokerage!G$4)+SUMIFS('YTD Purchases'!$H:$H,'YTD Purchases'!$C:$C,Brokerage!$B81,'YTD Purchases'!$G:$G,Brokerage!G$4)</f>
        <v>0</v>
      </c>
      <c r="H81" s="857">
        <f>SUMIFS('YTD Sales'!$N:$N,'YTD Sales'!$B:$B,Brokerage!$B81,'YTD Sales'!$M:$M,Brokerage!H$4)+SUMIFS('YTD Purchases'!$H:$H,'YTD Purchases'!$C:$C,Brokerage!$B81,'YTD Purchases'!$G:$G,Brokerage!H$4)</f>
        <v>0</v>
      </c>
      <c r="I81" s="857">
        <f>SUMIFS('YTD Sales'!$N:$N,'YTD Sales'!$B:$B,Brokerage!$B81,'YTD Sales'!$M:$M,Brokerage!I$4)+SUMIFS('YTD Purchases'!$H:$H,'YTD Purchases'!$C:$C,Brokerage!$B81,'YTD Purchases'!$G:$G,Brokerage!I$4)</f>
        <v>0</v>
      </c>
      <c r="J81" s="857">
        <f>SUMIFS('YTD Sales'!$N:$N,'YTD Sales'!$B:$B,Brokerage!$B81,'YTD Sales'!$M:$M,Brokerage!J$4)+SUMIFS('YTD Purchases'!$H:$H,'YTD Purchases'!$C:$C,Brokerage!$B81,'YTD Purchases'!$G:$G,Brokerage!J$4)</f>
        <v>0</v>
      </c>
      <c r="K81" s="857">
        <f>SUMIFS('YTD Sales'!$N:$N,'YTD Sales'!$B:$B,Brokerage!$B81,'YTD Sales'!$M:$M,Brokerage!K$4)+SUMIFS('YTD Purchases'!$H:$H,'YTD Purchases'!$C:$C,Brokerage!$B81,'YTD Purchases'!$G:$G,Brokerage!K$4)</f>
        <v>0</v>
      </c>
      <c r="L81" s="857">
        <f>SUMIFS('YTD Sales'!$N:$N,'YTD Sales'!$B:$B,Brokerage!$B81,'YTD Sales'!$M:$M,Brokerage!L$4)+SUMIFS('YTD Purchases'!$H:$H,'YTD Purchases'!$C:$C,Brokerage!$B81,'YTD Purchases'!$G:$G,Brokerage!L$4)</f>
        <v>0</v>
      </c>
      <c r="M81" s="857">
        <f>SUMIFS('YTD Sales'!$N:$N,'YTD Sales'!$B:$B,Brokerage!$B81,'YTD Sales'!$M:$M,Brokerage!M$4)+SUMIFS('YTD Purchases'!$H:$H,'YTD Purchases'!$C:$C,Brokerage!$B81,'YTD Purchases'!$G:$G,Brokerage!M$4)</f>
        <v>0</v>
      </c>
      <c r="N81" s="857">
        <f>SUMIFS('YTD Sales'!$N:$N,'YTD Sales'!$B:$B,Brokerage!$B81,'YTD Sales'!$M:$M,Brokerage!N$4)+SUMIFS('YTD Purchases'!$H:$H,'YTD Purchases'!$C:$C,Brokerage!$B81,'YTD Purchases'!$G:$G,Brokerage!N$4)</f>
        <v>0</v>
      </c>
      <c r="O81" s="857">
        <f>SUMIFS('YTD Sales'!$N:$N,'YTD Sales'!$B:$B,Brokerage!$B81,'YTD Sales'!$M:$M,Brokerage!O$4)+SUMIFS('YTD Purchases'!$H:$H,'YTD Purchases'!$C:$C,Brokerage!$B81,'YTD Purchases'!$G:$G,Brokerage!O$4)</f>
        <v>0</v>
      </c>
      <c r="P81" s="857">
        <f>SUMIFS('YTD Sales'!$N:$N,'YTD Sales'!$B:$B,Brokerage!$B81,'YTD Sales'!$M:$M,Brokerage!P$4)+SUMIFS('YTD Purchases'!$H:$H,'YTD Purchases'!$C:$C,Brokerage!$B81,'YTD Purchases'!$G:$G,Brokerage!P$4)</f>
        <v>0</v>
      </c>
      <c r="Q81" s="857">
        <f>SUMIFS('YTD Sales'!$N:$N,'YTD Sales'!$B:$B,Brokerage!$B81,'YTD Sales'!$M:$M,Brokerage!Q$4)+SUMIFS('YTD Purchases'!$H:$H,'YTD Purchases'!$C:$C,Brokerage!$B81,'YTD Purchases'!$G:$G,Brokerage!Q$4)</f>
        <v>0</v>
      </c>
      <c r="R81" s="857">
        <f>SUMIFS('YTD Sales'!$N:$N,'YTD Sales'!$B:$B,Brokerage!$B81,'YTD Sales'!$M:$M,Brokerage!R$4)+SUMIFS('YTD Purchases'!$H:$H,'YTD Purchases'!$C:$C,Brokerage!$B81,'YTD Purchases'!$G:$G,Brokerage!R$4)</f>
        <v>0</v>
      </c>
      <c r="S81" s="857">
        <f>SUMIFS('YTD Sales'!$N:$N,'YTD Sales'!$B:$B,Brokerage!$B81,'YTD Sales'!$M:$M,Brokerage!S$4)+SUMIFS('YTD Purchases'!$H:$H,'YTD Purchases'!$C:$C,Brokerage!$B81,'YTD Purchases'!$G:$G,Brokerage!S$4)</f>
        <v>0</v>
      </c>
      <c r="T81" s="857">
        <f>SUMIFS('YTD Sales'!$N:$N,'YTD Sales'!$B:$B,Brokerage!$B81,'YTD Sales'!$M:$M,Brokerage!T$4)+SUMIFS('YTD Purchases'!$H:$H,'YTD Purchases'!$C:$C,Brokerage!$B81,'YTD Purchases'!$G:$G,Brokerage!T$4)</f>
        <v>0</v>
      </c>
      <c r="U81" s="857">
        <f>SUMIFS('YTD Sales'!$N:$N,'YTD Sales'!$B:$B,Brokerage!$B81,'YTD Sales'!$M:$M,Brokerage!U$4)+SUMIFS('YTD Purchases'!$H:$H,'YTD Purchases'!$C:$C,Brokerage!$B81,'YTD Purchases'!$G:$G,Brokerage!U$4)</f>
        <v>0</v>
      </c>
      <c r="V81" s="857">
        <f>SUMIFS('YTD Sales'!$N:$N,'YTD Sales'!$B:$B,Brokerage!$B81,'YTD Sales'!$M:$M,Brokerage!V$4)+SUMIFS('YTD Purchases'!$H:$H,'YTD Purchases'!$C:$C,Brokerage!$B81,'YTD Purchases'!$G:$G,Brokerage!V$4)</f>
        <v>0</v>
      </c>
      <c r="W81" s="857">
        <f>SUMIFS('YTD Sales'!$N:$N,'YTD Sales'!$B:$B,Brokerage!$B81,'YTD Sales'!$M:$M,Brokerage!W$4)+SUMIFS('YTD Purchases'!$H:$H,'YTD Purchases'!$C:$C,Brokerage!$B81,'YTD Purchases'!$G:$G,Brokerage!W$4)</f>
        <v>0</v>
      </c>
      <c r="X81" s="857">
        <f>SUMIFS('YTD Sales'!$N:$N,'YTD Sales'!$B:$B,Brokerage!$B81,'YTD Sales'!$M:$M,Brokerage!X$4)+SUMIFS('YTD Purchases'!$H:$H,'YTD Purchases'!$C:$C,Brokerage!$B81,'YTD Purchases'!$G:$G,Brokerage!X$4)</f>
        <v>0</v>
      </c>
      <c r="Y81" s="857">
        <f>SUMIFS('YTD Sales'!$N:$N,'YTD Sales'!$B:$B,Brokerage!$B81,'YTD Sales'!$M:$M,Brokerage!Y$4)+SUMIFS('YTD Purchases'!$H:$H,'YTD Purchases'!$C:$C,Brokerage!$B81,'YTD Purchases'!$G:$G,Brokerage!Y$4)</f>
        <v>0</v>
      </c>
      <c r="Z81" s="857">
        <f>SUMIFS('YTD Sales'!$N:$N,'YTD Sales'!$B:$B,Brokerage!$B81,'YTD Sales'!$M:$M,Brokerage!Z$4)+SUMIFS('YTD Purchases'!$H:$H,'YTD Purchases'!$C:$C,Brokerage!$B81,'YTD Purchases'!$G:$G,Brokerage!Z$4)</f>
        <v>0</v>
      </c>
      <c r="AA81" s="857">
        <f>SUMIFS('YTD Sales'!$N:$N,'YTD Sales'!$B:$B,Brokerage!$B81,'YTD Sales'!$M:$M,Brokerage!AA$4)+SUMIFS('YTD Purchases'!$H:$H,'YTD Purchases'!$C:$C,Brokerage!$B81,'YTD Purchases'!$G:$G,Brokerage!AA$4)</f>
        <v>0</v>
      </c>
      <c r="AB81" s="857">
        <f>SUMIFS('YTD Sales'!$N:$N,'YTD Sales'!$B:$B,Brokerage!$B81,'YTD Sales'!$M:$M,Brokerage!AB$4)+SUMIFS('YTD Purchases'!$H:$H,'YTD Purchases'!$C:$C,Brokerage!$B81,'YTD Purchases'!$G:$G,Brokerage!AB$4)</f>
        <v>0</v>
      </c>
      <c r="AC81" s="857">
        <f>SUMIFS('YTD Sales'!$N:$N,'YTD Sales'!$B:$B,Brokerage!$B81,'YTD Sales'!$M:$M,Brokerage!AC$4)+SUMIFS('YTD Purchases'!$H:$H,'YTD Purchases'!$C:$C,Brokerage!$B81,'YTD Purchases'!$G:$G,Brokerage!AC$4)</f>
        <v>0</v>
      </c>
      <c r="AD81" s="857">
        <f>+SUMIFS(PIB!AG:AG,PIB!AF:AF,Brokerage!AD$4,PIB!AA:AA,Brokerage!$B81)+SUMIFS('T-Bills'!AB:AB,'T-Bills'!AA:AA,Brokerage!AD$4,'T-Bills'!V:V,Brokerage!$B81)</f>
        <v>0</v>
      </c>
      <c r="AE81" s="857">
        <v>6666</v>
      </c>
      <c r="AF81" s="857">
        <f>+SUMIFS(PIB!AI:AI,PIB!AH:AH,Brokerage!AF$4,PIB!AC:AC,Brokerage!$B81)+SUMIFS('T-Bills'!AD:AD,'T-Bills'!AC:AC,Brokerage!AF$4,'T-Bills'!X:X,Brokerage!$B81)</f>
        <v>0</v>
      </c>
      <c r="AG81" s="857">
        <f t="shared" si="10"/>
        <v>6666</v>
      </c>
      <c r="AH81" s="858">
        <f t="shared" si="17"/>
        <v>0</v>
      </c>
    </row>
    <row r="82" spans="2:34" x14ac:dyDescent="0.15">
      <c r="B82" s="661">
        <f t="shared" si="9"/>
        <v>44638</v>
      </c>
      <c r="C82" s="857">
        <f>SUMIFS('YTD Sales'!$N:$N,'YTD Sales'!$B:$B,Brokerage!$B82,'YTD Sales'!$M:$M,Brokerage!C$4)+SUMIFS('YTD Purchases'!$H:$H,'YTD Purchases'!$C:$C,Brokerage!$B82,'YTD Purchases'!$G:$G,Brokerage!C$4)</f>
        <v>0</v>
      </c>
      <c r="D82" s="857">
        <f>SUMIFS('YTD Sales'!$N:$N,'YTD Sales'!$B:$B,Brokerage!$B82,'YTD Sales'!$M:$M,Brokerage!D$4)+SUMIFS('YTD Purchases'!$H:$H,'YTD Purchases'!$C:$C,Brokerage!$B82,'YTD Purchases'!$G:$G,Brokerage!D$4)</f>
        <v>0</v>
      </c>
      <c r="E82" s="857">
        <f>SUMIFS('YTD Sales'!$N:$N,'YTD Sales'!$B:$B,Brokerage!$B82,'YTD Sales'!$M:$M,Brokerage!E$4)+SUMIFS('YTD Purchases'!$H:$H,'YTD Purchases'!$C:$C,Brokerage!$B82,'YTD Purchases'!$G:$G,Brokerage!E$4)</f>
        <v>0</v>
      </c>
      <c r="F82" s="857">
        <f>SUMIFS('YTD Sales'!$N:$N,'YTD Sales'!$B:$B,Brokerage!$B82,'YTD Sales'!$M:$M,Brokerage!F$4)+SUMIFS('YTD Purchases'!$H:$H,'YTD Purchases'!$C:$C,Brokerage!$B82,'YTD Purchases'!$G:$G,Brokerage!F$4)</f>
        <v>0</v>
      </c>
      <c r="G82" s="857">
        <f>SUMIFS('YTD Sales'!$N:$N,'YTD Sales'!$B:$B,Brokerage!$B82,'YTD Sales'!$M:$M,Brokerage!G$4)+SUMIFS('YTD Purchases'!$H:$H,'YTD Purchases'!$C:$C,Brokerage!$B82,'YTD Purchases'!$G:$G,Brokerage!G$4)</f>
        <v>0</v>
      </c>
      <c r="H82" s="857">
        <f>SUMIFS('YTD Sales'!$N:$N,'YTD Sales'!$B:$B,Brokerage!$B82,'YTD Sales'!$M:$M,Brokerage!H$4)+SUMIFS('YTD Purchases'!$H:$H,'YTD Purchases'!$C:$C,Brokerage!$B82,'YTD Purchases'!$G:$G,Brokerage!H$4)</f>
        <v>0</v>
      </c>
      <c r="I82" s="857">
        <f>SUMIFS('YTD Sales'!$N:$N,'YTD Sales'!$B:$B,Brokerage!$B82,'YTD Sales'!$M:$M,Brokerage!I$4)+SUMIFS('YTD Purchases'!$H:$H,'YTD Purchases'!$C:$C,Brokerage!$B82,'YTD Purchases'!$G:$G,Brokerage!I$4)</f>
        <v>0</v>
      </c>
      <c r="J82" s="857">
        <f>SUMIFS('YTD Sales'!$N:$N,'YTD Sales'!$B:$B,Brokerage!$B82,'YTD Sales'!$M:$M,Brokerage!J$4)+SUMIFS('YTD Purchases'!$H:$H,'YTD Purchases'!$C:$C,Brokerage!$B82,'YTD Purchases'!$G:$G,Brokerage!J$4)</f>
        <v>0</v>
      </c>
      <c r="K82" s="857">
        <f>SUMIFS('YTD Sales'!$N:$N,'YTD Sales'!$B:$B,Brokerage!$B82,'YTD Sales'!$M:$M,Brokerage!K$4)+SUMIFS('YTD Purchases'!$H:$H,'YTD Purchases'!$C:$C,Brokerage!$B82,'YTD Purchases'!$G:$G,Brokerage!K$4)</f>
        <v>0</v>
      </c>
      <c r="L82" s="857">
        <f>SUMIFS('YTD Sales'!$N:$N,'YTD Sales'!$B:$B,Brokerage!$B82,'YTD Sales'!$M:$M,Brokerage!L$4)+SUMIFS('YTD Purchases'!$H:$H,'YTD Purchases'!$C:$C,Brokerage!$B82,'YTD Purchases'!$G:$G,Brokerage!L$4)</f>
        <v>0</v>
      </c>
      <c r="M82" s="857">
        <f>SUMIFS('YTD Sales'!$N:$N,'YTD Sales'!$B:$B,Brokerage!$B82,'YTD Sales'!$M:$M,Brokerage!M$4)+SUMIFS('YTD Purchases'!$H:$H,'YTD Purchases'!$C:$C,Brokerage!$B82,'YTD Purchases'!$G:$G,Brokerage!M$4)</f>
        <v>0</v>
      </c>
      <c r="N82" s="857">
        <f>SUMIFS('YTD Sales'!$N:$N,'YTD Sales'!$B:$B,Brokerage!$B82,'YTD Sales'!$M:$M,Brokerage!N$4)+SUMIFS('YTD Purchases'!$H:$H,'YTD Purchases'!$C:$C,Brokerage!$B82,'YTD Purchases'!$G:$G,Brokerage!N$4)</f>
        <v>0</v>
      </c>
      <c r="O82" s="857">
        <f>SUMIFS('YTD Sales'!$N:$N,'YTD Sales'!$B:$B,Brokerage!$B82,'YTD Sales'!$M:$M,Brokerage!O$4)+SUMIFS('YTD Purchases'!$H:$H,'YTD Purchases'!$C:$C,Brokerage!$B82,'YTD Purchases'!$G:$G,Brokerage!O$4)</f>
        <v>0</v>
      </c>
      <c r="P82" s="857">
        <f>SUMIFS('YTD Sales'!$N:$N,'YTD Sales'!$B:$B,Brokerage!$B82,'YTD Sales'!$M:$M,Brokerage!P$4)+SUMIFS('YTD Purchases'!$H:$H,'YTD Purchases'!$C:$C,Brokerage!$B82,'YTD Purchases'!$G:$G,Brokerage!P$4)</f>
        <v>0</v>
      </c>
      <c r="Q82" s="857">
        <f>SUMIFS('YTD Sales'!$N:$N,'YTD Sales'!$B:$B,Brokerage!$B82,'YTD Sales'!$M:$M,Brokerage!Q$4)+SUMIFS('YTD Purchases'!$H:$H,'YTD Purchases'!$C:$C,Brokerage!$B82,'YTD Purchases'!$G:$G,Brokerage!Q$4)</f>
        <v>0</v>
      </c>
      <c r="R82" s="857">
        <f>SUMIFS('YTD Sales'!$N:$N,'YTD Sales'!$B:$B,Brokerage!$B82,'YTD Sales'!$M:$M,Brokerage!R$4)+SUMIFS('YTD Purchases'!$H:$H,'YTD Purchases'!$C:$C,Brokerage!$B82,'YTD Purchases'!$G:$G,Brokerage!R$4)</f>
        <v>0</v>
      </c>
      <c r="S82" s="857">
        <f>SUMIFS('YTD Sales'!$N:$N,'YTD Sales'!$B:$B,Brokerage!$B82,'YTD Sales'!$M:$M,Brokerage!S$4)+SUMIFS('YTD Purchases'!$H:$H,'YTD Purchases'!$C:$C,Brokerage!$B82,'YTD Purchases'!$G:$G,Brokerage!S$4)</f>
        <v>0</v>
      </c>
      <c r="T82" s="857">
        <f>SUMIFS('YTD Sales'!$N:$N,'YTD Sales'!$B:$B,Brokerage!$B82,'YTD Sales'!$M:$M,Brokerage!T$4)+SUMIFS('YTD Purchases'!$H:$H,'YTD Purchases'!$C:$C,Brokerage!$B82,'YTD Purchases'!$G:$G,Brokerage!T$4)</f>
        <v>0</v>
      </c>
      <c r="U82" s="857">
        <f>SUMIFS('YTD Sales'!$N:$N,'YTD Sales'!$B:$B,Brokerage!$B82,'YTD Sales'!$M:$M,Brokerage!U$4)+SUMIFS('YTD Purchases'!$H:$H,'YTD Purchases'!$C:$C,Brokerage!$B82,'YTD Purchases'!$G:$G,Brokerage!U$4)</f>
        <v>0</v>
      </c>
      <c r="V82" s="857">
        <f>SUMIFS('YTD Sales'!$N:$N,'YTD Sales'!$B:$B,Brokerage!$B82,'YTD Sales'!$M:$M,Brokerage!V$4)+SUMIFS('YTD Purchases'!$H:$H,'YTD Purchases'!$C:$C,Brokerage!$B82,'YTD Purchases'!$G:$G,Brokerage!V$4)</f>
        <v>0</v>
      </c>
      <c r="W82" s="857">
        <f>SUMIFS('YTD Sales'!$N:$N,'YTD Sales'!$B:$B,Brokerage!$B82,'YTD Sales'!$M:$M,Brokerage!W$4)+SUMIFS('YTD Purchases'!$H:$H,'YTD Purchases'!$C:$C,Brokerage!$B82,'YTD Purchases'!$G:$G,Brokerage!W$4)</f>
        <v>0</v>
      </c>
      <c r="X82" s="857">
        <f>SUMIFS('YTD Sales'!$N:$N,'YTD Sales'!$B:$B,Brokerage!$B82,'YTD Sales'!$M:$M,Brokerage!X$4)+SUMIFS('YTD Purchases'!$H:$H,'YTD Purchases'!$C:$C,Brokerage!$B82,'YTD Purchases'!$G:$G,Brokerage!X$4)</f>
        <v>0</v>
      </c>
      <c r="Y82" s="857">
        <f>SUMIFS('YTD Sales'!$N:$N,'YTD Sales'!$B:$B,Brokerage!$B82,'YTD Sales'!$M:$M,Brokerage!Y$4)+SUMIFS('YTD Purchases'!$H:$H,'YTD Purchases'!$C:$C,Brokerage!$B82,'YTD Purchases'!$G:$G,Brokerage!Y$4)</f>
        <v>0</v>
      </c>
      <c r="Z82" s="857">
        <f>SUMIFS('YTD Sales'!$N:$N,'YTD Sales'!$B:$B,Brokerage!$B82,'YTD Sales'!$M:$M,Brokerage!Z$4)+SUMIFS('YTD Purchases'!$H:$H,'YTD Purchases'!$C:$C,Brokerage!$B82,'YTD Purchases'!$G:$G,Brokerage!Z$4)</f>
        <v>0</v>
      </c>
      <c r="AA82" s="857">
        <f>SUMIFS('YTD Sales'!$N:$N,'YTD Sales'!$B:$B,Brokerage!$B82,'YTD Sales'!$M:$M,Brokerage!AA$4)+SUMIFS('YTD Purchases'!$H:$H,'YTD Purchases'!$C:$C,Brokerage!$B82,'YTD Purchases'!$G:$G,Brokerage!AA$4)</f>
        <v>0</v>
      </c>
      <c r="AB82" s="857">
        <f>SUMIFS('YTD Sales'!$N:$N,'YTD Sales'!$B:$B,Brokerage!$B82,'YTD Sales'!$M:$M,Brokerage!AB$4)+SUMIFS('YTD Purchases'!$H:$H,'YTD Purchases'!$C:$C,Brokerage!$B82,'YTD Purchases'!$G:$G,Brokerage!AB$4)</f>
        <v>0</v>
      </c>
      <c r="AC82" s="857">
        <f>SUMIFS('YTD Sales'!$N:$N,'YTD Sales'!$B:$B,Brokerage!$B82,'YTD Sales'!$M:$M,Brokerage!AC$4)+SUMIFS('YTD Purchases'!$H:$H,'YTD Purchases'!$C:$C,Brokerage!$B82,'YTD Purchases'!$G:$G,Brokerage!AC$4)</f>
        <v>0</v>
      </c>
      <c r="AD82" s="857">
        <f>+SUMIFS(PIB!AG:AG,PIB!AF:AF,Brokerage!AD$4,PIB!AA:AA,Brokerage!$B82)+SUMIFS('T-Bills'!AB:AB,'T-Bills'!AA:AA,Brokerage!AD$4,'T-Bills'!V:V,Brokerage!$B82)</f>
        <v>0</v>
      </c>
      <c r="AE82" s="857">
        <f>+SUMIFS(PIB!AH:AH,PIB!AG:AG,Brokerage!AE$4,PIB!AB:AB,Brokerage!$B82)+SUMIFS('T-Bills'!AC:AC,'T-Bills'!AB:AB,Brokerage!AE$4,'T-Bills'!W:W,Brokerage!$B82)</f>
        <v>0</v>
      </c>
      <c r="AF82" s="857">
        <f>+SUMIFS(PIB!AI:AI,PIB!AH:AH,Brokerage!AF$4,PIB!AC:AC,Brokerage!$B82)+SUMIFS('T-Bills'!AD:AD,'T-Bills'!AC:AC,Brokerage!AF$4,'T-Bills'!X:X,Brokerage!$B82)</f>
        <v>0</v>
      </c>
      <c r="AG82" s="857">
        <f t="shared" si="10"/>
        <v>0</v>
      </c>
      <c r="AH82" s="858">
        <f t="shared" si="17"/>
        <v>0</v>
      </c>
    </row>
    <row r="83" spans="2:34" x14ac:dyDescent="0.15">
      <c r="B83" s="661">
        <f t="shared" si="9"/>
        <v>44639</v>
      </c>
      <c r="C83" s="857">
        <f>SUMIFS('YTD Sales'!$N:$N,'YTD Sales'!$B:$B,Brokerage!$B83,'YTD Sales'!$M:$M,Brokerage!C$4)+SUMIFS('YTD Purchases'!$H:$H,'YTD Purchases'!$C:$C,Brokerage!$B83,'YTD Purchases'!$G:$G,Brokerage!C$4)</f>
        <v>0</v>
      </c>
      <c r="D83" s="857">
        <f>SUMIFS('YTD Sales'!$N:$N,'YTD Sales'!$B:$B,Brokerage!$B83,'YTD Sales'!$M:$M,Brokerage!D$4)+SUMIFS('YTD Purchases'!$H:$H,'YTD Purchases'!$C:$C,Brokerage!$B83,'YTD Purchases'!$G:$G,Brokerage!D$4)</f>
        <v>0</v>
      </c>
      <c r="E83" s="857">
        <f>SUMIFS('YTD Sales'!$N:$N,'YTD Sales'!$B:$B,Brokerage!$B83,'YTD Sales'!$M:$M,Brokerage!E$4)+SUMIFS('YTD Purchases'!$H:$H,'YTD Purchases'!$C:$C,Brokerage!$B83,'YTD Purchases'!$G:$G,Brokerage!E$4)</f>
        <v>0</v>
      </c>
      <c r="F83" s="857">
        <f>SUMIFS('YTD Sales'!$N:$N,'YTD Sales'!$B:$B,Brokerage!$B83,'YTD Sales'!$M:$M,Brokerage!F$4)+SUMIFS('YTD Purchases'!$H:$H,'YTD Purchases'!$C:$C,Brokerage!$B83,'YTD Purchases'!$G:$G,Brokerage!F$4)</f>
        <v>0</v>
      </c>
      <c r="G83" s="857">
        <f>SUMIFS('YTD Sales'!$N:$N,'YTD Sales'!$B:$B,Brokerage!$B83,'YTD Sales'!$M:$M,Brokerage!G$4)+SUMIFS('YTD Purchases'!$H:$H,'YTD Purchases'!$C:$C,Brokerage!$B83,'YTD Purchases'!$G:$G,Brokerage!G$4)</f>
        <v>0</v>
      </c>
      <c r="H83" s="857">
        <f>SUMIFS('YTD Sales'!$N:$N,'YTD Sales'!$B:$B,Brokerage!$B83,'YTD Sales'!$M:$M,Brokerage!H$4)+SUMIFS('YTD Purchases'!$H:$H,'YTD Purchases'!$C:$C,Brokerage!$B83,'YTD Purchases'!$G:$G,Brokerage!H$4)</f>
        <v>0</v>
      </c>
      <c r="I83" s="857">
        <f>SUMIFS('YTD Sales'!$N:$N,'YTD Sales'!$B:$B,Brokerage!$B83,'YTD Sales'!$M:$M,Brokerage!I$4)+SUMIFS('YTD Purchases'!$H:$H,'YTD Purchases'!$C:$C,Brokerage!$B83,'YTD Purchases'!$G:$G,Brokerage!I$4)</f>
        <v>0</v>
      </c>
      <c r="J83" s="857">
        <f>SUMIFS('YTD Sales'!$N:$N,'YTD Sales'!$B:$B,Brokerage!$B83,'YTD Sales'!$M:$M,Brokerage!J$4)+SUMIFS('YTD Purchases'!$H:$H,'YTD Purchases'!$C:$C,Brokerage!$B83,'YTD Purchases'!$G:$G,Brokerage!J$4)</f>
        <v>0</v>
      </c>
      <c r="K83" s="857">
        <f>SUMIFS('YTD Sales'!$N:$N,'YTD Sales'!$B:$B,Brokerage!$B83,'YTD Sales'!$M:$M,Brokerage!K$4)+SUMIFS('YTD Purchases'!$H:$H,'YTD Purchases'!$C:$C,Brokerage!$B83,'YTD Purchases'!$G:$G,Brokerage!K$4)</f>
        <v>0</v>
      </c>
      <c r="L83" s="857">
        <f>SUMIFS('YTD Sales'!$N:$N,'YTD Sales'!$B:$B,Brokerage!$B83,'YTD Sales'!$M:$M,Brokerage!L$4)+SUMIFS('YTD Purchases'!$H:$H,'YTD Purchases'!$C:$C,Brokerage!$B83,'YTD Purchases'!$G:$G,Brokerage!L$4)</f>
        <v>0</v>
      </c>
      <c r="M83" s="857">
        <f>SUMIFS('YTD Sales'!$N:$N,'YTD Sales'!$B:$B,Brokerage!$B83,'YTD Sales'!$M:$M,Brokerage!M$4)+SUMIFS('YTD Purchases'!$H:$H,'YTD Purchases'!$C:$C,Brokerage!$B83,'YTD Purchases'!$G:$G,Brokerage!M$4)</f>
        <v>0</v>
      </c>
      <c r="N83" s="857">
        <f>SUMIFS('YTD Sales'!$N:$N,'YTD Sales'!$B:$B,Brokerage!$B83,'YTD Sales'!$M:$M,Brokerage!N$4)+SUMIFS('YTD Purchases'!$H:$H,'YTD Purchases'!$C:$C,Brokerage!$B83,'YTD Purchases'!$G:$G,Brokerage!N$4)</f>
        <v>0</v>
      </c>
      <c r="O83" s="857">
        <f>SUMIFS('YTD Sales'!$N:$N,'YTD Sales'!$B:$B,Brokerage!$B83,'YTD Sales'!$M:$M,Brokerage!O$4)+SUMIFS('YTD Purchases'!$H:$H,'YTD Purchases'!$C:$C,Brokerage!$B83,'YTD Purchases'!$G:$G,Brokerage!O$4)</f>
        <v>0</v>
      </c>
      <c r="P83" s="857">
        <f>SUMIFS('YTD Sales'!$N:$N,'YTD Sales'!$B:$B,Brokerage!$B83,'YTD Sales'!$M:$M,Brokerage!P$4)+SUMIFS('YTD Purchases'!$H:$H,'YTD Purchases'!$C:$C,Brokerage!$B83,'YTD Purchases'!$G:$G,Brokerage!P$4)</f>
        <v>0</v>
      </c>
      <c r="Q83" s="857">
        <f>SUMIFS('YTD Sales'!$N:$N,'YTD Sales'!$B:$B,Brokerage!$B83,'YTD Sales'!$M:$M,Brokerage!Q$4)+SUMIFS('YTD Purchases'!$H:$H,'YTD Purchases'!$C:$C,Brokerage!$B83,'YTD Purchases'!$G:$G,Brokerage!Q$4)</f>
        <v>0</v>
      </c>
      <c r="R83" s="857">
        <f>SUMIFS('YTD Sales'!$N:$N,'YTD Sales'!$B:$B,Brokerage!$B83,'YTD Sales'!$M:$M,Brokerage!R$4)+SUMIFS('YTD Purchases'!$H:$H,'YTD Purchases'!$C:$C,Brokerage!$B83,'YTD Purchases'!$G:$G,Brokerage!R$4)</f>
        <v>0</v>
      </c>
      <c r="S83" s="857">
        <f>SUMIFS('YTD Sales'!$N:$N,'YTD Sales'!$B:$B,Brokerage!$B83,'YTD Sales'!$M:$M,Brokerage!S$4)+SUMIFS('YTD Purchases'!$H:$H,'YTD Purchases'!$C:$C,Brokerage!$B83,'YTD Purchases'!$G:$G,Brokerage!S$4)</f>
        <v>0</v>
      </c>
      <c r="T83" s="857">
        <f>SUMIFS('YTD Sales'!$N:$N,'YTD Sales'!$B:$B,Brokerage!$B83,'YTD Sales'!$M:$M,Brokerage!T$4)+SUMIFS('YTD Purchases'!$H:$H,'YTD Purchases'!$C:$C,Brokerage!$B83,'YTD Purchases'!$G:$G,Brokerage!T$4)</f>
        <v>0</v>
      </c>
      <c r="U83" s="857">
        <f>SUMIFS('YTD Sales'!$N:$N,'YTD Sales'!$B:$B,Brokerage!$B83,'YTD Sales'!$M:$M,Brokerage!U$4)+SUMIFS('YTD Purchases'!$H:$H,'YTD Purchases'!$C:$C,Brokerage!$B83,'YTD Purchases'!$G:$G,Brokerage!U$4)</f>
        <v>0</v>
      </c>
      <c r="V83" s="857">
        <f>SUMIFS('YTD Sales'!$N:$N,'YTD Sales'!$B:$B,Brokerage!$B83,'YTD Sales'!$M:$M,Brokerage!V$4)+SUMIFS('YTD Purchases'!$H:$H,'YTD Purchases'!$C:$C,Brokerage!$B83,'YTD Purchases'!$G:$G,Brokerage!V$4)</f>
        <v>0</v>
      </c>
      <c r="W83" s="857">
        <f>SUMIFS('YTD Sales'!$N:$N,'YTD Sales'!$B:$B,Brokerage!$B83,'YTD Sales'!$M:$M,Brokerage!W$4)+SUMIFS('YTD Purchases'!$H:$H,'YTD Purchases'!$C:$C,Brokerage!$B83,'YTD Purchases'!$G:$G,Brokerage!W$4)</f>
        <v>0</v>
      </c>
      <c r="X83" s="857">
        <f>SUMIFS('YTD Sales'!$N:$N,'YTD Sales'!$B:$B,Brokerage!$B83,'YTD Sales'!$M:$M,Brokerage!X$4)+SUMIFS('YTD Purchases'!$H:$H,'YTD Purchases'!$C:$C,Brokerage!$B83,'YTD Purchases'!$G:$G,Brokerage!X$4)</f>
        <v>0</v>
      </c>
      <c r="Y83" s="857">
        <f>SUMIFS('YTD Sales'!$N:$N,'YTD Sales'!$B:$B,Brokerage!$B83,'YTD Sales'!$M:$M,Brokerage!Y$4)+SUMIFS('YTD Purchases'!$H:$H,'YTD Purchases'!$C:$C,Brokerage!$B83,'YTD Purchases'!$G:$G,Brokerage!Y$4)</f>
        <v>0</v>
      </c>
      <c r="Z83" s="857">
        <f>SUMIFS('YTD Sales'!$N:$N,'YTD Sales'!$B:$B,Brokerage!$B83,'YTD Sales'!$M:$M,Brokerage!Z$4)+SUMIFS('YTD Purchases'!$H:$H,'YTD Purchases'!$C:$C,Brokerage!$B83,'YTD Purchases'!$G:$G,Brokerage!Z$4)</f>
        <v>0</v>
      </c>
      <c r="AA83" s="857">
        <f>SUMIFS('YTD Sales'!$N:$N,'YTD Sales'!$B:$B,Brokerage!$B83,'YTD Sales'!$M:$M,Brokerage!AA$4)+SUMIFS('YTD Purchases'!$H:$H,'YTD Purchases'!$C:$C,Brokerage!$B83,'YTD Purchases'!$G:$G,Brokerage!AA$4)</f>
        <v>0</v>
      </c>
      <c r="AB83" s="857">
        <f>SUMIFS('YTD Sales'!$N:$N,'YTD Sales'!$B:$B,Brokerage!$B83,'YTD Sales'!$M:$M,Brokerage!AB$4)+SUMIFS('YTD Purchases'!$H:$H,'YTD Purchases'!$C:$C,Brokerage!$B83,'YTD Purchases'!$G:$G,Brokerage!AB$4)</f>
        <v>0</v>
      </c>
      <c r="AC83" s="857">
        <f>SUMIFS('YTD Sales'!$N:$N,'YTD Sales'!$B:$B,Brokerage!$B83,'YTD Sales'!$M:$M,Brokerage!AC$4)+SUMIFS('YTD Purchases'!$H:$H,'YTD Purchases'!$C:$C,Brokerage!$B83,'YTD Purchases'!$G:$G,Brokerage!AC$4)</f>
        <v>0</v>
      </c>
      <c r="AD83" s="857">
        <f>+SUMIFS(PIB!AG:AG,PIB!AF:AF,Brokerage!AD$4,PIB!AA:AA,Brokerage!$B83)+SUMIFS('T-Bills'!AB:AB,'T-Bills'!AA:AA,Brokerage!AD$4,'T-Bills'!V:V,Brokerage!$B83)</f>
        <v>0</v>
      </c>
      <c r="AE83" s="857">
        <f>+SUMIFS(PIB!AH:AH,PIB!AG:AG,Brokerage!AE$4,PIB!AB:AB,Brokerage!$B83)+SUMIFS('T-Bills'!AC:AC,'T-Bills'!AB:AB,Brokerage!AE$4,'T-Bills'!W:W,Brokerage!$B83)</f>
        <v>0</v>
      </c>
      <c r="AF83" s="857">
        <f>+SUMIFS(PIB!AI:AI,PIB!AH:AH,Brokerage!AF$4,PIB!AC:AC,Brokerage!$B83)+SUMIFS('T-Bills'!AD:AD,'T-Bills'!AC:AC,Brokerage!AF$4,'T-Bills'!X:X,Brokerage!$B83)</f>
        <v>0</v>
      </c>
      <c r="AG83" s="857">
        <f t="shared" si="10"/>
        <v>0</v>
      </c>
      <c r="AH83" s="858">
        <f t="shared" si="17"/>
        <v>0</v>
      </c>
    </row>
    <row r="84" spans="2:34" x14ac:dyDescent="0.15">
      <c r="B84" s="661">
        <f t="shared" si="9"/>
        <v>44640</v>
      </c>
      <c r="C84" s="857">
        <f>SUMIFS('YTD Sales'!$N:$N,'YTD Sales'!$B:$B,Brokerage!$B84,'YTD Sales'!$M:$M,Brokerage!C$4)+SUMIFS('YTD Purchases'!$H:$H,'YTD Purchases'!$C:$C,Brokerage!$B84,'YTD Purchases'!$G:$G,Brokerage!C$4)</f>
        <v>0</v>
      </c>
      <c r="D84" s="857">
        <f>SUMIFS('YTD Sales'!$N:$N,'YTD Sales'!$B:$B,Brokerage!$B84,'YTD Sales'!$M:$M,Brokerage!D$4)+SUMIFS('YTD Purchases'!$H:$H,'YTD Purchases'!$C:$C,Brokerage!$B84,'YTD Purchases'!$G:$G,Brokerage!D$4)</f>
        <v>0</v>
      </c>
      <c r="E84" s="857">
        <f>SUMIFS('YTD Sales'!$N:$N,'YTD Sales'!$B:$B,Brokerage!$B84,'YTD Sales'!$M:$M,Brokerage!E$4)+SUMIFS('YTD Purchases'!$H:$H,'YTD Purchases'!$C:$C,Brokerage!$B84,'YTD Purchases'!$G:$G,Brokerage!E$4)</f>
        <v>0</v>
      </c>
      <c r="F84" s="857">
        <f>SUMIFS('YTD Sales'!$N:$N,'YTD Sales'!$B:$B,Brokerage!$B84,'YTD Sales'!$M:$M,Brokerage!F$4)+SUMIFS('YTD Purchases'!$H:$H,'YTD Purchases'!$C:$C,Brokerage!$B84,'YTD Purchases'!$G:$G,Brokerage!F$4)</f>
        <v>0</v>
      </c>
      <c r="G84" s="857">
        <f>SUMIFS('YTD Sales'!$N:$N,'YTD Sales'!$B:$B,Brokerage!$B84,'YTD Sales'!$M:$M,Brokerage!G$4)+SUMIFS('YTD Purchases'!$H:$H,'YTD Purchases'!$C:$C,Brokerage!$B84,'YTD Purchases'!$G:$G,Brokerage!G$4)</f>
        <v>0</v>
      </c>
      <c r="H84" s="857">
        <f>SUMIFS('YTD Sales'!$N:$N,'YTD Sales'!$B:$B,Brokerage!$B84,'YTD Sales'!$M:$M,Brokerage!H$4)+SUMIFS('YTD Purchases'!$H:$H,'YTD Purchases'!$C:$C,Brokerage!$B84,'YTD Purchases'!$G:$G,Brokerage!H$4)</f>
        <v>0</v>
      </c>
      <c r="I84" s="857">
        <f>SUMIFS('YTD Sales'!$N:$N,'YTD Sales'!$B:$B,Brokerage!$B84,'YTD Sales'!$M:$M,Brokerage!I$4)+SUMIFS('YTD Purchases'!$H:$H,'YTD Purchases'!$C:$C,Brokerage!$B84,'YTD Purchases'!$G:$G,Brokerage!I$4)</f>
        <v>0</v>
      </c>
      <c r="J84" s="857">
        <f>SUMIFS('YTD Sales'!$N:$N,'YTD Sales'!$B:$B,Brokerage!$B84,'YTD Sales'!$M:$M,Brokerage!J$4)+SUMIFS('YTD Purchases'!$H:$H,'YTD Purchases'!$C:$C,Brokerage!$B84,'YTD Purchases'!$G:$G,Brokerage!J$4)</f>
        <v>0</v>
      </c>
      <c r="K84" s="857">
        <f>SUMIFS('YTD Sales'!$N:$N,'YTD Sales'!$B:$B,Brokerage!$B84,'YTD Sales'!$M:$M,Brokerage!K$4)+SUMIFS('YTD Purchases'!$H:$H,'YTD Purchases'!$C:$C,Brokerage!$B84,'YTD Purchases'!$G:$G,Brokerage!K$4)</f>
        <v>0</v>
      </c>
      <c r="L84" s="857">
        <f>SUMIFS('YTD Sales'!$N:$N,'YTD Sales'!$B:$B,Brokerage!$B84,'YTD Sales'!$M:$M,Brokerage!L$4)+SUMIFS('YTD Purchases'!$H:$H,'YTD Purchases'!$C:$C,Brokerage!$B84,'YTD Purchases'!$G:$G,Brokerage!L$4)</f>
        <v>0</v>
      </c>
      <c r="M84" s="857">
        <f>SUMIFS('YTD Sales'!$N:$N,'YTD Sales'!$B:$B,Brokerage!$B84,'YTD Sales'!$M:$M,Brokerage!M$4)+SUMIFS('YTD Purchases'!$H:$H,'YTD Purchases'!$C:$C,Brokerage!$B84,'YTD Purchases'!$G:$G,Brokerage!M$4)</f>
        <v>0</v>
      </c>
      <c r="N84" s="857">
        <f>SUMIFS('YTD Sales'!$N:$N,'YTD Sales'!$B:$B,Brokerage!$B84,'YTD Sales'!$M:$M,Brokerage!N$4)+SUMIFS('YTD Purchases'!$H:$H,'YTD Purchases'!$C:$C,Brokerage!$B84,'YTD Purchases'!$G:$G,Brokerage!N$4)</f>
        <v>0</v>
      </c>
      <c r="O84" s="857">
        <f>SUMIFS('YTD Sales'!$N:$N,'YTD Sales'!$B:$B,Brokerage!$B84,'YTD Sales'!$M:$M,Brokerage!O$4)+SUMIFS('YTD Purchases'!$H:$H,'YTD Purchases'!$C:$C,Brokerage!$B84,'YTD Purchases'!$G:$G,Brokerage!O$4)</f>
        <v>0</v>
      </c>
      <c r="P84" s="857">
        <f>SUMIFS('YTD Sales'!$N:$N,'YTD Sales'!$B:$B,Brokerage!$B84,'YTD Sales'!$M:$M,Brokerage!P$4)+SUMIFS('YTD Purchases'!$H:$H,'YTD Purchases'!$C:$C,Brokerage!$B84,'YTD Purchases'!$G:$G,Brokerage!P$4)</f>
        <v>0</v>
      </c>
      <c r="Q84" s="857">
        <f>SUMIFS('YTD Sales'!$N:$N,'YTD Sales'!$B:$B,Brokerage!$B84,'YTD Sales'!$M:$M,Brokerage!Q$4)+SUMIFS('YTD Purchases'!$H:$H,'YTD Purchases'!$C:$C,Brokerage!$B84,'YTD Purchases'!$G:$G,Brokerage!Q$4)</f>
        <v>0</v>
      </c>
      <c r="R84" s="857">
        <f>SUMIFS('YTD Sales'!$N:$N,'YTD Sales'!$B:$B,Brokerage!$B84,'YTD Sales'!$M:$M,Brokerage!R$4)+SUMIFS('YTD Purchases'!$H:$H,'YTD Purchases'!$C:$C,Brokerage!$B84,'YTD Purchases'!$G:$G,Brokerage!R$4)</f>
        <v>0</v>
      </c>
      <c r="S84" s="857">
        <f>SUMIFS('YTD Sales'!$N:$N,'YTD Sales'!$B:$B,Brokerage!$B84,'YTD Sales'!$M:$M,Brokerage!S$4)+SUMIFS('YTD Purchases'!$H:$H,'YTD Purchases'!$C:$C,Brokerage!$B84,'YTD Purchases'!$G:$G,Brokerage!S$4)</f>
        <v>0</v>
      </c>
      <c r="T84" s="857">
        <f>SUMIFS('YTD Sales'!$N:$N,'YTD Sales'!$B:$B,Brokerage!$B84,'YTD Sales'!$M:$M,Brokerage!T$4)+SUMIFS('YTD Purchases'!$H:$H,'YTD Purchases'!$C:$C,Brokerage!$B84,'YTD Purchases'!$G:$G,Brokerage!T$4)</f>
        <v>0</v>
      </c>
      <c r="U84" s="857">
        <f>SUMIFS('YTD Sales'!$N:$N,'YTD Sales'!$B:$B,Brokerage!$B84,'YTD Sales'!$M:$M,Brokerage!U$4)+SUMIFS('YTD Purchases'!$H:$H,'YTD Purchases'!$C:$C,Brokerage!$B84,'YTD Purchases'!$G:$G,Brokerage!U$4)</f>
        <v>0</v>
      </c>
      <c r="V84" s="857">
        <f>SUMIFS('YTD Sales'!$N:$N,'YTD Sales'!$B:$B,Brokerage!$B84,'YTD Sales'!$M:$M,Brokerage!V$4)+SUMIFS('YTD Purchases'!$H:$H,'YTD Purchases'!$C:$C,Brokerage!$B84,'YTD Purchases'!$G:$G,Brokerage!V$4)</f>
        <v>0</v>
      </c>
      <c r="W84" s="857">
        <f>SUMIFS('YTD Sales'!$N:$N,'YTD Sales'!$B:$B,Brokerage!$B84,'YTD Sales'!$M:$M,Brokerage!W$4)+SUMIFS('YTD Purchases'!$H:$H,'YTD Purchases'!$C:$C,Brokerage!$B84,'YTD Purchases'!$G:$G,Brokerage!W$4)</f>
        <v>0</v>
      </c>
      <c r="X84" s="857">
        <f>SUMIFS('YTD Sales'!$N:$N,'YTD Sales'!$B:$B,Brokerage!$B84,'YTD Sales'!$M:$M,Brokerage!X$4)+SUMIFS('YTD Purchases'!$H:$H,'YTD Purchases'!$C:$C,Brokerage!$B84,'YTD Purchases'!$G:$G,Brokerage!X$4)</f>
        <v>0</v>
      </c>
      <c r="Y84" s="857">
        <f>SUMIFS('YTD Sales'!$N:$N,'YTD Sales'!$B:$B,Brokerage!$B84,'YTD Sales'!$M:$M,Brokerage!Y$4)+SUMIFS('YTD Purchases'!$H:$H,'YTD Purchases'!$C:$C,Brokerage!$B84,'YTD Purchases'!$G:$G,Brokerage!Y$4)</f>
        <v>0</v>
      </c>
      <c r="Z84" s="857">
        <f>SUMIFS('YTD Sales'!$N:$N,'YTD Sales'!$B:$B,Brokerage!$B84,'YTD Sales'!$M:$M,Brokerage!Z$4)+SUMIFS('YTD Purchases'!$H:$H,'YTD Purchases'!$C:$C,Brokerage!$B84,'YTD Purchases'!$G:$G,Brokerage!Z$4)</f>
        <v>0</v>
      </c>
      <c r="AA84" s="857">
        <f>SUMIFS('YTD Sales'!$N:$N,'YTD Sales'!$B:$B,Brokerage!$B84,'YTD Sales'!$M:$M,Brokerage!AA$4)+SUMIFS('YTD Purchases'!$H:$H,'YTD Purchases'!$C:$C,Brokerage!$B84,'YTD Purchases'!$G:$G,Brokerage!AA$4)</f>
        <v>0</v>
      </c>
      <c r="AB84" s="857">
        <f>SUMIFS('YTD Sales'!$N:$N,'YTD Sales'!$B:$B,Brokerage!$B84,'YTD Sales'!$M:$M,Brokerage!AB$4)+SUMIFS('YTD Purchases'!$H:$H,'YTD Purchases'!$C:$C,Brokerage!$B84,'YTD Purchases'!$G:$G,Brokerage!AB$4)</f>
        <v>0</v>
      </c>
      <c r="AC84" s="857">
        <f>SUMIFS('YTD Sales'!$N:$N,'YTD Sales'!$B:$B,Brokerage!$B84,'YTD Sales'!$M:$M,Brokerage!AC$4)+SUMIFS('YTD Purchases'!$H:$H,'YTD Purchases'!$C:$C,Brokerage!$B84,'YTD Purchases'!$G:$G,Brokerage!AC$4)</f>
        <v>0</v>
      </c>
      <c r="AD84" s="857">
        <f>+SUMIFS(PIB!AG:AG,PIB!AF:AF,Brokerage!AD$4,PIB!AA:AA,Brokerage!$B84)+SUMIFS('T-Bills'!AB:AB,'T-Bills'!AA:AA,Brokerage!AD$4,'T-Bills'!V:V,Brokerage!$B84)</f>
        <v>0</v>
      </c>
      <c r="AE84" s="857">
        <f>+SUMIFS(PIB!AH:AH,PIB!AG:AG,Brokerage!AE$4,PIB!AB:AB,Brokerage!$B84)+SUMIFS('T-Bills'!AC:AC,'T-Bills'!AB:AB,Brokerage!AE$4,'T-Bills'!W:W,Brokerage!$B84)</f>
        <v>0</v>
      </c>
      <c r="AF84" s="857">
        <f>+SUMIFS(PIB!AI:AI,PIB!AH:AH,Brokerage!AF$4,PIB!AC:AC,Brokerage!$B84)+SUMIFS('T-Bills'!AD:AD,'T-Bills'!AC:AC,Brokerage!AF$4,'T-Bills'!X:X,Brokerage!$B84)</f>
        <v>0</v>
      </c>
      <c r="AG84" s="857">
        <f t="shared" si="10"/>
        <v>0</v>
      </c>
      <c r="AH84" s="858">
        <f t="shared" si="17"/>
        <v>0</v>
      </c>
    </row>
    <row r="85" spans="2:34" x14ac:dyDescent="0.15">
      <c r="B85" s="661">
        <f t="shared" si="9"/>
        <v>44641</v>
      </c>
      <c r="C85" s="857">
        <f>SUMIFS('YTD Sales'!$N:$N,'YTD Sales'!$B:$B,Brokerage!$B85,'YTD Sales'!$M:$M,Brokerage!C$4)+SUMIFS('YTD Purchases'!$H:$H,'YTD Purchases'!$C:$C,Brokerage!$B85,'YTD Purchases'!$G:$G,Brokerage!C$4)</f>
        <v>0</v>
      </c>
      <c r="D85" s="857">
        <f>SUMIFS('YTD Sales'!$N:$N,'YTD Sales'!$B:$B,Brokerage!$B85,'YTD Sales'!$M:$M,Brokerage!D$4)+SUMIFS('YTD Purchases'!$H:$H,'YTD Purchases'!$C:$C,Brokerage!$B85,'YTD Purchases'!$G:$G,Brokerage!D$4)</f>
        <v>0</v>
      </c>
      <c r="E85" s="857">
        <f>SUMIFS('YTD Sales'!$N:$N,'YTD Sales'!$B:$B,Brokerage!$B85,'YTD Sales'!$M:$M,Brokerage!E$4)+SUMIFS('YTD Purchases'!$H:$H,'YTD Purchases'!$C:$C,Brokerage!$B85,'YTD Purchases'!$G:$G,Brokerage!E$4)</f>
        <v>0</v>
      </c>
      <c r="F85" s="857">
        <f>SUMIFS('YTD Sales'!$N:$N,'YTD Sales'!$B:$B,Brokerage!$B85,'YTD Sales'!$M:$M,Brokerage!F$4)+SUMIFS('YTD Purchases'!$H:$H,'YTD Purchases'!$C:$C,Brokerage!$B85,'YTD Purchases'!$G:$G,Brokerage!F$4)</f>
        <v>0</v>
      </c>
      <c r="G85" s="857">
        <f>SUMIFS('YTD Sales'!$N:$N,'YTD Sales'!$B:$B,Brokerage!$B85,'YTD Sales'!$M:$M,Brokerage!G$4)+SUMIFS('YTD Purchases'!$H:$H,'YTD Purchases'!$C:$C,Brokerage!$B85,'YTD Purchases'!$G:$G,Brokerage!G$4)</f>
        <v>0</v>
      </c>
      <c r="H85" s="857">
        <f>SUMIFS('YTD Sales'!$N:$N,'YTD Sales'!$B:$B,Brokerage!$B85,'YTD Sales'!$M:$M,Brokerage!H$4)+SUMIFS('YTD Purchases'!$H:$H,'YTD Purchases'!$C:$C,Brokerage!$B85,'YTD Purchases'!$G:$G,Brokerage!H$4)</f>
        <v>0</v>
      </c>
      <c r="I85" s="857">
        <f>SUMIFS('YTD Sales'!$N:$N,'YTD Sales'!$B:$B,Brokerage!$B85,'YTD Sales'!$M:$M,Brokerage!I$4)+SUMIFS('YTD Purchases'!$H:$H,'YTD Purchases'!$C:$C,Brokerage!$B85,'YTD Purchases'!$G:$G,Brokerage!I$4)</f>
        <v>0</v>
      </c>
      <c r="J85" s="857">
        <f>SUMIFS('YTD Sales'!$N:$N,'YTD Sales'!$B:$B,Brokerage!$B85,'YTD Sales'!$M:$M,Brokerage!J$4)+SUMIFS('YTD Purchases'!$H:$H,'YTD Purchases'!$C:$C,Brokerage!$B85,'YTD Purchases'!$G:$G,Brokerage!J$4)</f>
        <v>0</v>
      </c>
      <c r="K85" s="857">
        <f>SUMIFS('YTD Sales'!$N:$N,'YTD Sales'!$B:$B,Brokerage!$B85,'YTD Sales'!$M:$M,Brokerage!K$4)+SUMIFS('YTD Purchases'!$H:$H,'YTD Purchases'!$C:$C,Brokerage!$B85,'YTD Purchases'!$G:$G,Brokerage!K$4)</f>
        <v>0</v>
      </c>
      <c r="L85" s="857">
        <f>SUMIFS('YTD Sales'!$N:$N,'YTD Sales'!$B:$B,Brokerage!$B85,'YTD Sales'!$M:$M,Brokerage!L$4)+SUMIFS('YTD Purchases'!$H:$H,'YTD Purchases'!$C:$C,Brokerage!$B85,'YTD Purchases'!$G:$G,Brokerage!L$4)</f>
        <v>0</v>
      </c>
      <c r="M85" s="857">
        <f>SUMIFS('YTD Sales'!$N:$N,'YTD Sales'!$B:$B,Brokerage!$B85,'YTD Sales'!$M:$M,Brokerage!M$4)+SUMIFS('YTD Purchases'!$H:$H,'YTD Purchases'!$C:$C,Brokerage!$B85,'YTD Purchases'!$G:$G,Brokerage!M$4)</f>
        <v>0</v>
      </c>
      <c r="N85" s="857">
        <f>SUMIFS('YTD Sales'!$N:$N,'YTD Sales'!$B:$B,Brokerage!$B85,'YTD Sales'!$M:$M,Brokerage!N$4)+SUMIFS('YTD Purchases'!$H:$H,'YTD Purchases'!$C:$C,Brokerage!$B85,'YTD Purchases'!$G:$G,Brokerage!N$4)</f>
        <v>0</v>
      </c>
      <c r="O85" s="857">
        <f>SUMIFS('YTD Sales'!$N:$N,'YTD Sales'!$B:$B,Brokerage!$B85,'YTD Sales'!$M:$M,Brokerage!O$4)+SUMIFS('YTD Purchases'!$H:$H,'YTD Purchases'!$C:$C,Brokerage!$B85,'YTD Purchases'!$G:$G,Brokerage!O$4)</f>
        <v>0</v>
      </c>
      <c r="P85" s="857">
        <f>SUMIFS('YTD Sales'!$N:$N,'YTD Sales'!$B:$B,Brokerage!$B85,'YTD Sales'!$M:$M,Brokerage!P$4)+SUMIFS('YTD Purchases'!$H:$H,'YTD Purchases'!$C:$C,Brokerage!$B85,'YTD Purchases'!$G:$G,Brokerage!P$4)</f>
        <v>0</v>
      </c>
      <c r="Q85" s="857">
        <f>SUMIFS('YTD Sales'!$N:$N,'YTD Sales'!$B:$B,Brokerage!$B85,'YTD Sales'!$M:$M,Brokerage!Q$4)+SUMIFS('YTD Purchases'!$H:$H,'YTD Purchases'!$C:$C,Brokerage!$B85,'YTD Purchases'!$G:$G,Brokerage!Q$4)</f>
        <v>0</v>
      </c>
      <c r="R85" s="857">
        <f>SUMIFS('YTD Sales'!$N:$N,'YTD Sales'!$B:$B,Brokerage!$B85,'YTD Sales'!$M:$M,Brokerage!R$4)+SUMIFS('YTD Purchases'!$H:$H,'YTD Purchases'!$C:$C,Brokerage!$B85,'YTD Purchases'!$G:$G,Brokerage!R$4)</f>
        <v>0</v>
      </c>
      <c r="S85" s="857">
        <f>SUMIFS('YTD Sales'!$N:$N,'YTD Sales'!$B:$B,Brokerage!$B85,'YTD Sales'!$M:$M,Brokerage!S$4)+SUMIFS('YTD Purchases'!$H:$H,'YTD Purchases'!$C:$C,Brokerage!$B85,'YTD Purchases'!$G:$G,Brokerage!S$4)</f>
        <v>0</v>
      </c>
      <c r="T85" s="857">
        <f>SUMIFS('YTD Sales'!$N:$N,'YTD Sales'!$B:$B,Brokerage!$B85,'YTD Sales'!$M:$M,Brokerage!T$4)+SUMIFS('YTD Purchases'!$H:$H,'YTD Purchases'!$C:$C,Brokerage!$B85,'YTD Purchases'!$G:$G,Brokerage!T$4)</f>
        <v>0</v>
      </c>
      <c r="U85" s="857">
        <f>SUMIFS('YTD Sales'!$N:$N,'YTD Sales'!$B:$B,Brokerage!$B85,'YTD Sales'!$M:$M,Brokerage!U$4)+SUMIFS('YTD Purchases'!$H:$H,'YTD Purchases'!$C:$C,Brokerage!$B85,'YTD Purchases'!$G:$G,Brokerage!U$4)</f>
        <v>0</v>
      </c>
      <c r="V85" s="857">
        <f>SUMIFS('YTD Sales'!$N:$N,'YTD Sales'!$B:$B,Brokerage!$B85,'YTD Sales'!$M:$M,Brokerage!V$4)+SUMIFS('YTD Purchases'!$H:$H,'YTD Purchases'!$C:$C,Brokerage!$B85,'YTD Purchases'!$G:$G,Brokerage!V$4)</f>
        <v>0</v>
      </c>
      <c r="W85" s="857">
        <f>SUMIFS('YTD Sales'!$N:$N,'YTD Sales'!$B:$B,Brokerage!$B85,'YTD Sales'!$M:$M,Brokerage!W$4)+SUMIFS('YTD Purchases'!$H:$H,'YTD Purchases'!$C:$C,Brokerage!$B85,'YTD Purchases'!$G:$G,Brokerage!W$4)</f>
        <v>0</v>
      </c>
      <c r="X85" s="857">
        <f>SUMIFS('YTD Sales'!$N:$N,'YTD Sales'!$B:$B,Brokerage!$B85,'YTD Sales'!$M:$M,Brokerage!X$4)+SUMIFS('YTD Purchases'!$H:$H,'YTD Purchases'!$C:$C,Brokerage!$B85,'YTD Purchases'!$G:$G,Brokerage!X$4)</f>
        <v>0</v>
      </c>
      <c r="Y85" s="857">
        <f>SUMIFS('YTD Sales'!$N:$N,'YTD Sales'!$B:$B,Brokerage!$B85,'YTD Sales'!$M:$M,Brokerage!Y$4)+SUMIFS('YTD Purchases'!$H:$H,'YTD Purchases'!$C:$C,Brokerage!$B85,'YTD Purchases'!$G:$G,Brokerage!Y$4)</f>
        <v>0</v>
      </c>
      <c r="Z85" s="857">
        <f>SUMIFS('YTD Sales'!$N:$N,'YTD Sales'!$B:$B,Brokerage!$B85,'YTD Sales'!$M:$M,Brokerage!Z$4)+SUMIFS('YTD Purchases'!$H:$H,'YTD Purchases'!$C:$C,Brokerage!$B85,'YTD Purchases'!$G:$G,Brokerage!Z$4)</f>
        <v>0</v>
      </c>
      <c r="AA85" s="857">
        <f>SUMIFS('YTD Sales'!$N:$N,'YTD Sales'!$B:$B,Brokerage!$B85,'YTD Sales'!$M:$M,Brokerage!AA$4)+SUMIFS('YTD Purchases'!$H:$H,'YTD Purchases'!$C:$C,Brokerage!$B85,'YTD Purchases'!$G:$G,Brokerage!AA$4)</f>
        <v>0</v>
      </c>
      <c r="AB85" s="857">
        <f>SUMIFS('YTD Sales'!$N:$N,'YTD Sales'!$B:$B,Brokerage!$B85,'YTD Sales'!$M:$M,Brokerage!AB$4)+SUMIFS('YTD Purchases'!$H:$H,'YTD Purchases'!$C:$C,Brokerage!$B85,'YTD Purchases'!$G:$G,Brokerage!AB$4)</f>
        <v>0</v>
      </c>
      <c r="AC85" s="857">
        <f>SUMIFS('YTD Sales'!$N:$N,'YTD Sales'!$B:$B,Brokerage!$B85,'YTD Sales'!$M:$M,Brokerage!AC$4)+SUMIFS('YTD Purchases'!$H:$H,'YTD Purchases'!$C:$C,Brokerage!$B85,'YTD Purchases'!$G:$G,Brokerage!AC$4)</f>
        <v>0</v>
      </c>
      <c r="AD85" s="857">
        <f>+SUMIFS(PIB!AG:AG,PIB!AF:AF,Brokerage!AD$4,PIB!AA:AA,Brokerage!$B85)+SUMIFS('T-Bills'!AB:AB,'T-Bills'!AA:AA,Brokerage!AD$4,'T-Bills'!V:V,Brokerage!$B85)</f>
        <v>0</v>
      </c>
      <c r="AE85" s="857">
        <f>+SUMIFS(PIB!AH:AH,PIB!AG:AG,Brokerage!AE$4,PIB!AB:AB,Brokerage!$B85)+SUMIFS('T-Bills'!AC:AC,'T-Bills'!AB:AB,Brokerage!AE$4,'T-Bills'!W:W,Brokerage!$B85)</f>
        <v>0</v>
      </c>
      <c r="AF85" s="857">
        <f>+SUMIFS(PIB!AI:AI,PIB!AH:AH,Brokerage!AF$4,PIB!AC:AC,Brokerage!$B85)+SUMIFS('T-Bills'!AD:AD,'T-Bills'!AC:AC,Brokerage!AF$4,'T-Bills'!X:X,Brokerage!$B85)</f>
        <v>0</v>
      </c>
      <c r="AG85" s="857">
        <f t="shared" si="10"/>
        <v>0</v>
      </c>
      <c r="AH85" s="858">
        <f t="shared" si="17"/>
        <v>0</v>
      </c>
    </row>
    <row r="86" spans="2:34" x14ac:dyDescent="0.15">
      <c r="B86" s="661">
        <f t="shared" si="9"/>
        <v>44642</v>
      </c>
      <c r="C86" s="857">
        <f>SUMIFS('YTD Sales'!$N:$N,'YTD Sales'!$B:$B,Brokerage!$B86,'YTD Sales'!$M:$M,Brokerage!C$4)+SUMIFS('YTD Purchases'!$H:$H,'YTD Purchases'!$C:$C,Brokerage!$B86,'YTD Purchases'!$G:$G,Brokerage!C$4)</f>
        <v>0</v>
      </c>
      <c r="D86" s="857">
        <f>SUMIFS('YTD Sales'!$N:$N,'YTD Sales'!$B:$B,Brokerage!$B86,'YTD Sales'!$M:$M,Brokerage!D$4)+SUMIFS('YTD Purchases'!$H:$H,'YTD Purchases'!$C:$C,Brokerage!$B86,'YTD Purchases'!$G:$G,Brokerage!D$4)</f>
        <v>0</v>
      </c>
      <c r="E86" s="857">
        <f>SUMIFS('YTD Sales'!$N:$N,'YTD Sales'!$B:$B,Brokerage!$B86,'YTD Sales'!$M:$M,Brokerage!E$4)+SUMIFS('YTD Purchases'!$H:$H,'YTD Purchases'!$C:$C,Brokerage!$B86,'YTD Purchases'!$G:$G,Brokerage!E$4)</f>
        <v>0</v>
      </c>
      <c r="F86" s="857">
        <f>SUMIFS('YTD Sales'!$N:$N,'YTD Sales'!$B:$B,Brokerage!$B86,'YTD Sales'!$M:$M,Brokerage!F$4)+SUMIFS('YTD Purchases'!$H:$H,'YTD Purchases'!$C:$C,Brokerage!$B86,'YTD Purchases'!$G:$G,Brokerage!F$4)</f>
        <v>0</v>
      </c>
      <c r="G86" s="857">
        <f>SUMIFS('YTD Sales'!$N:$N,'YTD Sales'!$B:$B,Brokerage!$B86,'YTD Sales'!$M:$M,Brokerage!G$4)+SUMIFS('YTD Purchases'!$H:$H,'YTD Purchases'!$C:$C,Brokerage!$B86,'YTD Purchases'!$G:$G,Brokerage!G$4)</f>
        <v>0</v>
      </c>
      <c r="H86" s="857">
        <f>SUMIFS('YTD Sales'!$N:$N,'YTD Sales'!$B:$B,Brokerage!$B86,'YTD Sales'!$M:$M,Brokerage!H$4)+SUMIFS('YTD Purchases'!$H:$H,'YTD Purchases'!$C:$C,Brokerage!$B86,'YTD Purchases'!$G:$G,Brokerage!H$4)</f>
        <v>0</v>
      </c>
      <c r="I86" s="857">
        <f>SUMIFS('YTD Sales'!$N:$N,'YTD Sales'!$B:$B,Brokerage!$B86,'YTD Sales'!$M:$M,Brokerage!I$4)+SUMIFS('YTD Purchases'!$H:$H,'YTD Purchases'!$C:$C,Brokerage!$B86,'YTD Purchases'!$G:$G,Brokerage!I$4)</f>
        <v>0</v>
      </c>
      <c r="J86" s="857">
        <f>SUMIFS('YTD Sales'!$N:$N,'YTD Sales'!$B:$B,Brokerage!$B86,'YTD Sales'!$M:$M,Brokerage!J$4)+SUMIFS('YTD Purchases'!$H:$H,'YTD Purchases'!$C:$C,Brokerage!$B86,'YTD Purchases'!$G:$G,Brokerage!J$4)</f>
        <v>0</v>
      </c>
      <c r="K86" s="857">
        <f>SUMIFS('YTD Sales'!$N:$N,'YTD Sales'!$B:$B,Brokerage!$B86,'YTD Sales'!$M:$M,Brokerage!K$4)+SUMIFS('YTD Purchases'!$H:$H,'YTD Purchases'!$C:$C,Brokerage!$B86,'YTD Purchases'!$G:$G,Brokerage!K$4)</f>
        <v>0</v>
      </c>
      <c r="L86" s="857">
        <f>SUMIFS('YTD Sales'!$N:$N,'YTD Sales'!$B:$B,Brokerage!$B86,'YTD Sales'!$M:$M,Brokerage!L$4)+SUMIFS('YTD Purchases'!$H:$H,'YTD Purchases'!$C:$C,Brokerage!$B86,'YTD Purchases'!$G:$G,Brokerage!L$4)</f>
        <v>0</v>
      </c>
      <c r="M86" s="857">
        <f>SUMIFS('YTD Sales'!$N:$N,'YTD Sales'!$B:$B,Brokerage!$B86,'YTD Sales'!$M:$M,Brokerage!M$4)+SUMIFS('YTD Purchases'!$H:$H,'YTD Purchases'!$C:$C,Brokerage!$B86,'YTD Purchases'!$G:$G,Brokerage!M$4)</f>
        <v>0</v>
      </c>
      <c r="N86" s="857">
        <f>SUMIFS('YTD Sales'!$N:$N,'YTD Sales'!$B:$B,Brokerage!$B86,'YTD Sales'!$M:$M,Brokerage!N$4)+SUMIFS('YTD Purchases'!$H:$H,'YTD Purchases'!$C:$C,Brokerage!$B86,'YTD Purchases'!$G:$G,Brokerage!N$4)</f>
        <v>0</v>
      </c>
      <c r="O86" s="857">
        <f>SUMIFS('YTD Sales'!$N:$N,'YTD Sales'!$B:$B,Brokerage!$B86,'YTD Sales'!$M:$M,Brokerage!O$4)+SUMIFS('YTD Purchases'!$H:$H,'YTD Purchases'!$C:$C,Brokerage!$B86,'YTD Purchases'!$G:$G,Brokerage!O$4)</f>
        <v>0</v>
      </c>
      <c r="P86" s="857">
        <f>SUMIFS('YTD Sales'!$N:$N,'YTD Sales'!$B:$B,Brokerage!$B86,'YTD Sales'!$M:$M,Brokerage!P$4)+SUMIFS('YTD Purchases'!$H:$H,'YTD Purchases'!$C:$C,Brokerage!$B86,'YTD Purchases'!$G:$G,Brokerage!P$4)</f>
        <v>0</v>
      </c>
      <c r="Q86" s="857">
        <f>SUMIFS('YTD Sales'!$N:$N,'YTD Sales'!$B:$B,Brokerage!$B86,'YTD Sales'!$M:$M,Brokerage!Q$4)+SUMIFS('YTD Purchases'!$H:$H,'YTD Purchases'!$C:$C,Brokerage!$B86,'YTD Purchases'!$G:$G,Brokerage!Q$4)</f>
        <v>0</v>
      </c>
      <c r="R86" s="857">
        <f>SUMIFS('YTD Sales'!$N:$N,'YTD Sales'!$B:$B,Brokerage!$B86,'YTD Sales'!$M:$M,Brokerage!R$4)+SUMIFS('YTD Purchases'!$H:$H,'YTD Purchases'!$C:$C,Brokerage!$B86,'YTD Purchases'!$G:$G,Brokerage!R$4)</f>
        <v>0</v>
      </c>
      <c r="S86" s="857">
        <f>SUMIFS('YTD Sales'!$N:$N,'YTD Sales'!$B:$B,Brokerage!$B86,'YTD Sales'!$M:$M,Brokerage!S$4)+SUMIFS('YTD Purchases'!$H:$H,'YTD Purchases'!$C:$C,Brokerage!$B86,'YTD Purchases'!$G:$G,Brokerage!S$4)</f>
        <v>0</v>
      </c>
      <c r="T86" s="857">
        <f>SUMIFS('YTD Sales'!$N:$N,'YTD Sales'!$B:$B,Brokerage!$B86,'YTD Sales'!$M:$M,Brokerage!T$4)+SUMIFS('YTD Purchases'!$H:$H,'YTD Purchases'!$C:$C,Brokerage!$B86,'YTD Purchases'!$G:$G,Brokerage!T$4)</f>
        <v>0</v>
      </c>
      <c r="U86" s="857">
        <f>SUMIFS('YTD Sales'!$N:$N,'YTD Sales'!$B:$B,Brokerage!$B86,'YTD Sales'!$M:$M,Brokerage!U$4)+SUMIFS('YTD Purchases'!$H:$H,'YTD Purchases'!$C:$C,Brokerage!$B86,'YTD Purchases'!$G:$G,Brokerage!U$4)</f>
        <v>0</v>
      </c>
      <c r="V86" s="857">
        <f>SUMIFS('YTD Sales'!$N:$N,'YTD Sales'!$B:$B,Brokerage!$B86,'YTD Sales'!$M:$M,Brokerage!V$4)+SUMIFS('YTD Purchases'!$H:$H,'YTD Purchases'!$C:$C,Brokerage!$B86,'YTD Purchases'!$G:$G,Brokerage!V$4)</f>
        <v>0</v>
      </c>
      <c r="W86" s="857">
        <f>SUMIFS('YTD Sales'!$N:$N,'YTD Sales'!$B:$B,Brokerage!$B86,'YTD Sales'!$M:$M,Brokerage!W$4)+SUMIFS('YTD Purchases'!$H:$H,'YTD Purchases'!$C:$C,Brokerage!$B86,'YTD Purchases'!$G:$G,Brokerage!W$4)</f>
        <v>0</v>
      </c>
      <c r="X86" s="857">
        <f>SUMIFS('YTD Sales'!$N:$N,'YTD Sales'!$B:$B,Brokerage!$B86,'YTD Sales'!$M:$M,Brokerage!X$4)+SUMIFS('YTD Purchases'!$H:$H,'YTD Purchases'!$C:$C,Brokerage!$B86,'YTD Purchases'!$G:$G,Brokerage!X$4)</f>
        <v>0</v>
      </c>
      <c r="Y86" s="857">
        <f>SUMIFS('YTD Sales'!$N:$N,'YTD Sales'!$B:$B,Brokerage!$B86,'YTD Sales'!$M:$M,Brokerage!Y$4)+SUMIFS('YTD Purchases'!$H:$H,'YTD Purchases'!$C:$C,Brokerage!$B86,'YTD Purchases'!$G:$G,Brokerage!Y$4)</f>
        <v>0</v>
      </c>
      <c r="Z86" s="857">
        <f>SUMIFS('YTD Sales'!$N:$N,'YTD Sales'!$B:$B,Brokerage!$B86,'YTD Sales'!$M:$M,Brokerage!Z$4)+SUMIFS('YTD Purchases'!$H:$H,'YTD Purchases'!$C:$C,Brokerage!$B86,'YTD Purchases'!$G:$G,Brokerage!Z$4)</f>
        <v>0</v>
      </c>
      <c r="AA86" s="857">
        <f>SUMIFS('YTD Sales'!$N:$N,'YTD Sales'!$B:$B,Brokerage!$B86,'YTD Sales'!$M:$M,Brokerage!AA$4)+SUMIFS('YTD Purchases'!$H:$H,'YTD Purchases'!$C:$C,Brokerage!$B86,'YTD Purchases'!$G:$G,Brokerage!AA$4)</f>
        <v>0</v>
      </c>
      <c r="AB86" s="857">
        <f>SUMIFS('YTD Sales'!$N:$N,'YTD Sales'!$B:$B,Brokerage!$B86,'YTD Sales'!$M:$M,Brokerage!AB$4)+SUMIFS('YTD Purchases'!$H:$H,'YTD Purchases'!$C:$C,Brokerage!$B86,'YTD Purchases'!$G:$G,Brokerage!AB$4)</f>
        <v>0</v>
      </c>
      <c r="AC86" s="857">
        <f>SUMIFS('YTD Sales'!$N:$N,'YTD Sales'!$B:$B,Brokerage!$B86,'YTD Sales'!$M:$M,Brokerage!AC$4)+SUMIFS('YTD Purchases'!$H:$H,'YTD Purchases'!$C:$C,Brokerage!$B86,'YTD Purchases'!$G:$G,Brokerage!AC$4)</f>
        <v>0</v>
      </c>
      <c r="AD86" s="857">
        <f>+SUMIFS(PIB!AG:AG,PIB!AF:AF,Brokerage!AD$4,PIB!AA:AA,Brokerage!$B86)+SUMIFS('T-Bills'!AB:AB,'T-Bills'!AA:AA,Brokerage!AD$4,'T-Bills'!V:V,Brokerage!$B86)</f>
        <v>0</v>
      </c>
      <c r="AE86" s="857">
        <f>+SUMIFS(PIB!AH:AH,PIB!AG:AG,Brokerage!AE$4,PIB!AB:AB,Brokerage!$B86)+SUMIFS('T-Bills'!AC:AC,'T-Bills'!AB:AB,Brokerage!AE$4,'T-Bills'!W:W,Brokerage!$B86)</f>
        <v>0</v>
      </c>
      <c r="AF86" s="857">
        <f>+SUMIFS(PIB!AI:AI,PIB!AH:AH,Brokerage!AF$4,PIB!AC:AC,Brokerage!$B86)+SUMIFS('T-Bills'!AD:AD,'T-Bills'!AC:AC,Brokerage!AF$4,'T-Bills'!X:X,Brokerage!$B86)</f>
        <v>0</v>
      </c>
      <c r="AG86" s="857">
        <f t="shared" si="10"/>
        <v>0</v>
      </c>
      <c r="AH86" s="858">
        <f t="shared" si="17"/>
        <v>0</v>
      </c>
    </row>
    <row r="87" spans="2:34" x14ac:dyDescent="0.15">
      <c r="B87" s="661">
        <f t="shared" si="9"/>
        <v>44643</v>
      </c>
      <c r="C87" s="857">
        <f>SUMIFS('YTD Sales'!$N:$N,'YTD Sales'!$B:$B,Brokerage!$B87,'YTD Sales'!$M:$M,Brokerage!C$4)+SUMIFS('YTD Purchases'!$H:$H,'YTD Purchases'!$C:$C,Brokerage!$B87,'YTD Purchases'!$G:$G,Brokerage!C$4)</f>
        <v>0</v>
      </c>
      <c r="D87" s="857">
        <f>SUMIFS('YTD Sales'!$N:$N,'YTD Sales'!$B:$B,Brokerage!$B87,'YTD Sales'!$M:$M,Brokerage!D$4)+SUMIFS('YTD Purchases'!$H:$H,'YTD Purchases'!$C:$C,Brokerage!$B87,'YTD Purchases'!$G:$G,Brokerage!D$4)</f>
        <v>0</v>
      </c>
      <c r="E87" s="857">
        <f>SUMIFS('YTD Sales'!$N:$N,'YTD Sales'!$B:$B,Brokerage!$B87,'YTD Sales'!$M:$M,Brokerage!E$4)+SUMIFS('YTD Purchases'!$H:$H,'YTD Purchases'!$C:$C,Brokerage!$B87,'YTD Purchases'!$G:$G,Brokerage!E$4)</f>
        <v>0</v>
      </c>
      <c r="F87" s="857">
        <f>SUMIFS('YTD Sales'!$N:$N,'YTD Sales'!$B:$B,Brokerage!$B87,'YTD Sales'!$M:$M,Brokerage!F$4)+SUMIFS('YTD Purchases'!$H:$H,'YTD Purchases'!$C:$C,Brokerage!$B87,'YTD Purchases'!$G:$G,Brokerage!F$4)</f>
        <v>0</v>
      </c>
      <c r="G87" s="857">
        <f>SUMIFS('YTD Sales'!$N:$N,'YTD Sales'!$B:$B,Brokerage!$B87,'YTD Sales'!$M:$M,Brokerage!G$4)+SUMIFS('YTD Purchases'!$H:$H,'YTD Purchases'!$C:$C,Brokerage!$B87,'YTD Purchases'!$G:$G,Brokerage!G$4)</f>
        <v>0</v>
      </c>
      <c r="H87" s="857">
        <f>SUMIFS('YTD Sales'!$N:$N,'YTD Sales'!$B:$B,Brokerage!$B87,'YTD Sales'!$M:$M,Brokerage!H$4)+SUMIFS('YTD Purchases'!$H:$H,'YTD Purchases'!$C:$C,Brokerage!$B87,'YTD Purchases'!$G:$G,Brokerage!H$4)</f>
        <v>0</v>
      </c>
      <c r="I87" s="857">
        <f>SUMIFS('YTD Sales'!$N:$N,'YTD Sales'!$B:$B,Brokerage!$B87,'YTD Sales'!$M:$M,Brokerage!I$4)+SUMIFS('YTD Purchases'!$H:$H,'YTD Purchases'!$C:$C,Brokerage!$B87,'YTD Purchases'!$G:$G,Brokerage!I$4)</f>
        <v>0</v>
      </c>
      <c r="J87" s="857">
        <f>SUMIFS('YTD Sales'!$N:$N,'YTD Sales'!$B:$B,Brokerage!$B87,'YTD Sales'!$M:$M,Brokerage!J$4)+SUMIFS('YTD Purchases'!$H:$H,'YTD Purchases'!$C:$C,Brokerage!$B87,'YTD Purchases'!$G:$G,Brokerage!J$4)</f>
        <v>0</v>
      </c>
      <c r="K87" s="857">
        <f>SUMIFS('YTD Sales'!$N:$N,'YTD Sales'!$B:$B,Brokerage!$B87,'YTD Sales'!$M:$M,Brokerage!K$4)+SUMIFS('YTD Purchases'!$H:$H,'YTD Purchases'!$C:$C,Brokerage!$B87,'YTD Purchases'!$G:$G,Brokerage!K$4)</f>
        <v>0</v>
      </c>
      <c r="L87" s="857">
        <f>SUMIFS('YTD Sales'!$N:$N,'YTD Sales'!$B:$B,Brokerage!$B87,'YTD Sales'!$M:$M,Brokerage!L$4)+SUMIFS('YTD Purchases'!$H:$H,'YTD Purchases'!$C:$C,Brokerage!$B87,'YTD Purchases'!$G:$G,Brokerage!L$4)</f>
        <v>0</v>
      </c>
      <c r="M87" s="857">
        <f>SUMIFS('YTD Sales'!$N:$N,'YTD Sales'!$B:$B,Brokerage!$B87,'YTD Sales'!$M:$M,Brokerage!M$4)+SUMIFS('YTD Purchases'!$H:$H,'YTD Purchases'!$C:$C,Brokerage!$B87,'YTD Purchases'!$G:$G,Brokerage!M$4)</f>
        <v>0</v>
      </c>
      <c r="N87" s="857">
        <f>SUMIFS('YTD Sales'!$N:$N,'YTD Sales'!$B:$B,Brokerage!$B87,'YTD Sales'!$M:$M,Brokerage!N$4)+SUMIFS('YTD Purchases'!$H:$H,'YTD Purchases'!$C:$C,Brokerage!$B87,'YTD Purchases'!$G:$G,Brokerage!N$4)</f>
        <v>0</v>
      </c>
      <c r="O87" s="857">
        <f>SUMIFS('YTD Sales'!$N:$N,'YTD Sales'!$B:$B,Brokerage!$B87,'YTD Sales'!$M:$M,Brokerage!O$4)+SUMIFS('YTD Purchases'!$H:$H,'YTD Purchases'!$C:$C,Brokerage!$B87,'YTD Purchases'!$G:$G,Brokerage!O$4)</f>
        <v>0</v>
      </c>
      <c r="P87" s="857">
        <f>SUMIFS('YTD Sales'!$N:$N,'YTD Sales'!$B:$B,Brokerage!$B87,'YTD Sales'!$M:$M,Brokerage!P$4)+SUMIFS('YTD Purchases'!$H:$H,'YTD Purchases'!$C:$C,Brokerage!$B87,'YTD Purchases'!$G:$G,Brokerage!P$4)</f>
        <v>0</v>
      </c>
      <c r="Q87" s="857">
        <f>SUMIFS('YTD Sales'!$N:$N,'YTD Sales'!$B:$B,Brokerage!$B87,'YTD Sales'!$M:$M,Brokerage!Q$4)+SUMIFS('YTD Purchases'!$H:$H,'YTD Purchases'!$C:$C,Brokerage!$B87,'YTD Purchases'!$G:$G,Brokerage!Q$4)</f>
        <v>0</v>
      </c>
      <c r="R87" s="857">
        <f>SUMIFS('YTD Sales'!$N:$N,'YTD Sales'!$B:$B,Brokerage!$B87,'YTD Sales'!$M:$M,Brokerage!R$4)+SUMIFS('YTD Purchases'!$H:$H,'YTD Purchases'!$C:$C,Brokerage!$B87,'YTD Purchases'!$G:$G,Brokerage!R$4)</f>
        <v>0</v>
      </c>
      <c r="S87" s="857">
        <f>SUMIFS('YTD Sales'!$N:$N,'YTD Sales'!$B:$B,Brokerage!$B87,'YTD Sales'!$M:$M,Brokerage!S$4)+SUMIFS('YTD Purchases'!$H:$H,'YTD Purchases'!$C:$C,Brokerage!$B87,'YTD Purchases'!$G:$G,Brokerage!S$4)</f>
        <v>0</v>
      </c>
      <c r="T87" s="857">
        <f>SUMIFS('YTD Sales'!$N:$N,'YTD Sales'!$B:$B,Brokerage!$B87,'YTD Sales'!$M:$M,Brokerage!T$4)+SUMIFS('YTD Purchases'!$H:$H,'YTD Purchases'!$C:$C,Brokerage!$B87,'YTD Purchases'!$G:$G,Brokerage!T$4)</f>
        <v>0</v>
      </c>
      <c r="U87" s="857">
        <f>SUMIFS('YTD Sales'!$N:$N,'YTD Sales'!$B:$B,Brokerage!$B87,'YTD Sales'!$M:$M,Brokerage!U$4)+SUMIFS('YTD Purchases'!$H:$H,'YTD Purchases'!$C:$C,Brokerage!$B87,'YTD Purchases'!$G:$G,Brokerage!U$4)</f>
        <v>0</v>
      </c>
      <c r="V87" s="857">
        <f>SUMIFS('YTD Sales'!$N:$N,'YTD Sales'!$B:$B,Brokerage!$B87,'YTD Sales'!$M:$M,Brokerage!V$4)+SUMIFS('YTD Purchases'!$H:$H,'YTD Purchases'!$C:$C,Brokerage!$B87,'YTD Purchases'!$G:$G,Brokerage!V$4)</f>
        <v>0</v>
      </c>
      <c r="W87" s="857">
        <f>SUMIFS('YTD Sales'!$N:$N,'YTD Sales'!$B:$B,Brokerage!$B87,'YTD Sales'!$M:$M,Brokerage!W$4)+SUMIFS('YTD Purchases'!$H:$H,'YTD Purchases'!$C:$C,Brokerage!$B87,'YTD Purchases'!$G:$G,Brokerage!W$4)</f>
        <v>0</v>
      </c>
      <c r="X87" s="857">
        <f>SUMIFS('YTD Sales'!$N:$N,'YTD Sales'!$B:$B,Brokerage!$B87,'YTD Sales'!$M:$M,Brokerage!X$4)+SUMIFS('YTD Purchases'!$H:$H,'YTD Purchases'!$C:$C,Brokerage!$B87,'YTD Purchases'!$G:$G,Brokerage!X$4)</f>
        <v>0</v>
      </c>
      <c r="Y87" s="857">
        <f>SUMIFS('YTD Sales'!$N:$N,'YTD Sales'!$B:$B,Brokerage!$B87,'YTD Sales'!$M:$M,Brokerage!Y$4)+SUMIFS('YTD Purchases'!$H:$H,'YTD Purchases'!$C:$C,Brokerage!$B87,'YTD Purchases'!$G:$G,Brokerage!Y$4)</f>
        <v>0</v>
      </c>
      <c r="Z87" s="857">
        <f>SUMIFS('YTD Sales'!$N:$N,'YTD Sales'!$B:$B,Brokerage!$B87,'YTD Sales'!$M:$M,Brokerage!Z$4)+SUMIFS('YTD Purchases'!$H:$H,'YTD Purchases'!$C:$C,Brokerage!$B87,'YTD Purchases'!$G:$G,Brokerage!Z$4)</f>
        <v>0</v>
      </c>
      <c r="AA87" s="857">
        <f>SUMIFS('YTD Sales'!$N:$N,'YTD Sales'!$B:$B,Brokerage!$B87,'YTD Sales'!$M:$M,Brokerage!AA$4)+SUMIFS('YTD Purchases'!$H:$H,'YTD Purchases'!$C:$C,Brokerage!$B87,'YTD Purchases'!$G:$G,Brokerage!AA$4)</f>
        <v>0</v>
      </c>
      <c r="AB87" s="857">
        <f>SUMIFS('YTD Sales'!$N:$N,'YTD Sales'!$B:$B,Brokerage!$B87,'YTD Sales'!$M:$M,Brokerage!AB$4)+SUMIFS('YTD Purchases'!$H:$H,'YTD Purchases'!$C:$C,Brokerage!$B87,'YTD Purchases'!$G:$G,Brokerage!AB$4)</f>
        <v>0</v>
      </c>
      <c r="AC87" s="857">
        <f>SUMIFS('YTD Sales'!$N:$N,'YTD Sales'!$B:$B,Brokerage!$B87,'YTD Sales'!$M:$M,Brokerage!AC$4)+SUMIFS('YTD Purchases'!$H:$H,'YTD Purchases'!$C:$C,Brokerage!$B87,'YTD Purchases'!$G:$G,Brokerage!AC$4)</f>
        <v>0</v>
      </c>
      <c r="AD87" s="857">
        <f>+SUMIFS(PIB!AG:AG,PIB!AF:AF,Brokerage!AD$4,PIB!AA:AA,Brokerage!$B87)+SUMIFS('T-Bills'!AB:AB,'T-Bills'!AA:AA,Brokerage!AD$4,'T-Bills'!V:V,Brokerage!$B87)</f>
        <v>0</v>
      </c>
      <c r="AE87" s="857">
        <f>+SUMIFS(PIB!AH:AH,PIB!AG:AG,Brokerage!AE$4,PIB!AB:AB,Brokerage!$B87)+SUMIFS('T-Bills'!AC:AC,'T-Bills'!AB:AB,Brokerage!AE$4,'T-Bills'!W:W,Brokerage!$B87)</f>
        <v>0</v>
      </c>
      <c r="AF87" s="857">
        <f>+SUMIFS(PIB!AI:AI,PIB!AH:AH,Brokerage!AF$4,PIB!AC:AC,Brokerage!$B87)+SUMIFS('T-Bills'!AD:AD,'T-Bills'!AC:AC,Brokerage!AF$4,'T-Bills'!X:X,Brokerage!$B87)</f>
        <v>0</v>
      </c>
      <c r="AG87" s="857">
        <f t="shared" si="10"/>
        <v>0</v>
      </c>
      <c r="AH87" s="858">
        <f t="shared" si="17"/>
        <v>0</v>
      </c>
    </row>
    <row r="88" spans="2:34" x14ac:dyDescent="0.15">
      <c r="B88" s="661">
        <f t="shared" si="9"/>
        <v>44644</v>
      </c>
      <c r="C88" s="857">
        <f>SUMIFS('YTD Sales'!$N:$N,'YTD Sales'!$B:$B,Brokerage!$B88,'YTD Sales'!$M:$M,Brokerage!C$4)+SUMIFS('YTD Purchases'!$H:$H,'YTD Purchases'!$C:$C,Brokerage!$B88,'YTD Purchases'!$G:$G,Brokerage!C$4)</f>
        <v>0</v>
      </c>
      <c r="D88" s="857">
        <f>SUMIFS('YTD Sales'!$N:$N,'YTD Sales'!$B:$B,Brokerage!$B88,'YTD Sales'!$M:$M,Brokerage!D$4)+SUMIFS('YTD Purchases'!$H:$H,'YTD Purchases'!$C:$C,Brokerage!$B88,'YTD Purchases'!$G:$G,Brokerage!D$4)</f>
        <v>0</v>
      </c>
      <c r="E88" s="857">
        <f>SUMIFS('YTD Sales'!$N:$N,'YTD Sales'!$B:$B,Brokerage!$B88,'YTD Sales'!$M:$M,Brokerage!E$4)+SUMIFS('YTD Purchases'!$H:$H,'YTD Purchases'!$C:$C,Brokerage!$B88,'YTD Purchases'!$G:$G,Brokerage!E$4)</f>
        <v>0</v>
      </c>
      <c r="F88" s="857">
        <f>SUMIFS('YTD Sales'!$N:$N,'YTD Sales'!$B:$B,Brokerage!$B88,'YTD Sales'!$M:$M,Brokerage!F$4)+SUMIFS('YTD Purchases'!$H:$H,'YTD Purchases'!$C:$C,Brokerage!$B88,'YTD Purchases'!$G:$G,Brokerage!F$4)</f>
        <v>0</v>
      </c>
      <c r="G88" s="857">
        <f>SUMIFS('YTD Sales'!$N:$N,'YTD Sales'!$B:$B,Brokerage!$B88,'YTD Sales'!$M:$M,Brokerage!G$4)+SUMIFS('YTD Purchases'!$H:$H,'YTD Purchases'!$C:$C,Brokerage!$B88,'YTD Purchases'!$G:$G,Brokerage!G$4)</f>
        <v>0</v>
      </c>
      <c r="H88" s="857">
        <f>SUMIFS('YTD Sales'!$N:$N,'YTD Sales'!$B:$B,Brokerage!$B88,'YTD Sales'!$M:$M,Brokerage!H$4)+SUMIFS('YTD Purchases'!$H:$H,'YTD Purchases'!$C:$C,Brokerage!$B88,'YTD Purchases'!$G:$G,Brokerage!H$4)</f>
        <v>0</v>
      </c>
      <c r="I88" s="857">
        <f>SUMIFS('YTD Sales'!$N:$N,'YTD Sales'!$B:$B,Brokerage!$B88,'YTD Sales'!$M:$M,Brokerage!I$4)+SUMIFS('YTD Purchases'!$H:$H,'YTD Purchases'!$C:$C,Brokerage!$B88,'YTD Purchases'!$G:$G,Brokerage!I$4)</f>
        <v>0</v>
      </c>
      <c r="J88" s="857">
        <f>SUMIFS('YTD Sales'!$N:$N,'YTD Sales'!$B:$B,Brokerage!$B88,'YTD Sales'!$M:$M,Brokerage!J$4)+SUMIFS('YTD Purchases'!$H:$H,'YTD Purchases'!$C:$C,Brokerage!$B88,'YTD Purchases'!$G:$G,Brokerage!J$4)</f>
        <v>0</v>
      </c>
      <c r="K88" s="857">
        <f>SUMIFS('YTD Sales'!$N:$N,'YTD Sales'!$B:$B,Brokerage!$B88,'YTD Sales'!$M:$M,Brokerage!K$4)+SUMIFS('YTD Purchases'!$H:$H,'YTD Purchases'!$C:$C,Brokerage!$B88,'YTD Purchases'!$G:$G,Brokerage!K$4)</f>
        <v>0</v>
      </c>
      <c r="L88" s="857">
        <f>SUMIFS('YTD Sales'!$N:$N,'YTD Sales'!$B:$B,Brokerage!$B88,'YTD Sales'!$M:$M,Brokerage!L$4)+SUMIFS('YTD Purchases'!$H:$H,'YTD Purchases'!$C:$C,Brokerage!$B88,'YTD Purchases'!$G:$G,Brokerage!L$4)</f>
        <v>0</v>
      </c>
      <c r="M88" s="857">
        <f>SUMIFS('YTD Sales'!$N:$N,'YTD Sales'!$B:$B,Brokerage!$B88,'YTD Sales'!$M:$M,Brokerage!M$4)+SUMIFS('YTD Purchases'!$H:$H,'YTD Purchases'!$C:$C,Brokerage!$B88,'YTD Purchases'!$G:$G,Brokerage!M$4)</f>
        <v>0</v>
      </c>
      <c r="N88" s="857">
        <f>SUMIFS('YTD Sales'!$N:$N,'YTD Sales'!$B:$B,Brokerage!$B88,'YTD Sales'!$M:$M,Brokerage!N$4)+SUMIFS('YTD Purchases'!$H:$H,'YTD Purchases'!$C:$C,Brokerage!$B88,'YTD Purchases'!$G:$G,Brokerage!N$4)</f>
        <v>0</v>
      </c>
      <c r="O88" s="857">
        <f>SUMIFS('YTD Sales'!$N:$N,'YTD Sales'!$B:$B,Brokerage!$B88,'YTD Sales'!$M:$M,Brokerage!O$4)+SUMIFS('YTD Purchases'!$H:$H,'YTD Purchases'!$C:$C,Brokerage!$B88,'YTD Purchases'!$G:$G,Brokerage!O$4)</f>
        <v>0</v>
      </c>
      <c r="P88" s="857">
        <f>SUMIFS('YTD Sales'!$N:$N,'YTD Sales'!$B:$B,Brokerage!$B88,'YTD Sales'!$M:$M,Brokerage!P$4)+SUMIFS('YTD Purchases'!$H:$H,'YTD Purchases'!$C:$C,Brokerage!$B88,'YTD Purchases'!$G:$G,Brokerage!P$4)</f>
        <v>0</v>
      </c>
      <c r="Q88" s="857">
        <f>SUMIFS('YTD Sales'!$N:$N,'YTD Sales'!$B:$B,Brokerage!$B88,'YTD Sales'!$M:$M,Brokerage!Q$4)+SUMIFS('YTD Purchases'!$H:$H,'YTD Purchases'!$C:$C,Brokerage!$B88,'YTD Purchases'!$G:$G,Brokerage!Q$4)</f>
        <v>0</v>
      </c>
      <c r="R88" s="857">
        <f>SUMIFS('YTD Sales'!$N:$N,'YTD Sales'!$B:$B,Brokerage!$B88,'YTD Sales'!$M:$M,Brokerage!R$4)+SUMIFS('YTD Purchases'!$H:$H,'YTD Purchases'!$C:$C,Brokerage!$B88,'YTD Purchases'!$G:$G,Brokerage!R$4)</f>
        <v>0</v>
      </c>
      <c r="S88" s="857">
        <f>SUMIFS('YTD Sales'!$N:$N,'YTD Sales'!$B:$B,Brokerage!$B88,'YTD Sales'!$M:$M,Brokerage!S$4)+SUMIFS('YTD Purchases'!$H:$H,'YTD Purchases'!$C:$C,Brokerage!$B88,'YTD Purchases'!$G:$G,Brokerage!S$4)</f>
        <v>0</v>
      </c>
      <c r="T88" s="857">
        <f>SUMIFS('YTD Sales'!$N:$N,'YTD Sales'!$B:$B,Brokerage!$B88,'YTD Sales'!$M:$M,Brokerage!T$4)+SUMIFS('YTD Purchases'!$H:$H,'YTD Purchases'!$C:$C,Brokerage!$B88,'YTD Purchases'!$G:$G,Brokerage!T$4)</f>
        <v>0</v>
      </c>
      <c r="U88" s="857">
        <f>SUMIFS('YTD Sales'!$N:$N,'YTD Sales'!$B:$B,Brokerage!$B88,'YTD Sales'!$M:$M,Brokerage!U$4)+SUMIFS('YTD Purchases'!$H:$H,'YTD Purchases'!$C:$C,Brokerage!$B88,'YTD Purchases'!$G:$G,Brokerage!U$4)</f>
        <v>0</v>
      </c>
      <c r="V88" s="857">
        <f>SUMIFS('YTD Sales'!$N:$N,'YTD Sales'!$B:$B,Brokerage!$B88,'YTD Sales'!$M:$M,Brokerage!V$4)+SUMIFS('YTD Purchases'!$H:$H,'YTD Purchases'!$C:$C,Brokerage!$B88,'YTD Purchases'!$G:$G,Brokerage!V$4)</f>
        <v>0</v>
      </c>
      <c r="W88" s="857">
        <f>SUMIFS('YTD Sales'!$N:$N,'YTD Sales'!$B:$B,Brokerage!$B88,'YTD Sales'!$M:$M,Brokerage!W$4)+SUMIFS('YTD Purchases'!$H:$H,'YTD Purchases'!$C:$C,Brokerage!$B88,'YTD Purchases'!$G:$G,Brokerage!W$4)</f>
        <v>0</v>
      </c>
      <c r="X88" s="857">
        <f>SUMIFS('YTD Sales'!$N:$N,'YTD Sales'!$B:$B,Brokerage!$B88,'YTD Sales'!$M:$M,Brokerage!X$4)+SUMIFS('YTD Purchases'!$H:$H,'YTD Purchases'!$C:$C,Brokerage!$B88,'YTD Purchases'!$G:$G,Brokerage!X$4)</f>
        <v>0</v>
      </c>
      <c r="Y88" s="857">
        <f>SUMIFS('YTD Sales'!$N:$N,'YTD Sales'!$B:$B,Brokerage!$B88,'YTD Sales'!$M:$M,Brokerage!Y$4)+SUMIFS('YTD Purchases'!$H:$H,'YTD Purchases'!$C:$C,Brokerage!$B88,'YTD Purchases'!$G:$G,Brokerage!Y$4)</f>
        <v>0</v>
      </c>
      <c r="Z88" s="857">
        <f>SUMIFS('YTD Sales'!$N:$N,'YTD Sales'!$B:$B,Brokerage!$B88,'YTD Sales'!$M:$M,Brokerage!Z$4)+SUMIFS('YTD Purchases'!$H:$H,'YTD Purchases'!$C:$C,Brokerage!$B88,'YTD Purchases'!$G:$G,Brokerage!Z$4)</f>
        <v>0</v>
      </c>
      <c r="AA88" s="857">
        <f>SUMIFS('YTD Sales'!$N:$N,'YTD Sales'!$B:$B,Brokerage!$B88,'YTD Sales'!$M:$M,Brokerage!AA$4)+SUMIFS('YTD Purchases'!$H:$H,'YTD Purchases'!$C:$C,Brokerage!$B88,'YTD Purchases'!$G:$G,Brokerage!AA$4)</f>
        <v>0</v>
      </c>
      <c r="AB88" s="857">
        <f>SUMIFS('YTD Sales'!$N:$N,'YTD Sales'!$B:$B,Brokerage!$B88,'YTD Sales'!$M:$M,Brokerage!AB$4)+SUMIFS('YTD Purchases'!$H:$H,'YTD Purchases'!$C:$C,Brokerage!$B88,'YTD Purchases'!$G:$G,Brokerage!AB$4)</f>
        <v>0</v>
      </c>
      <c r="AC88" s="857">
        <f>SUMIFS('YTD Sales'!$N:$N,'YTD Sales'!$B:$B,Brokerage!$B88,'YTD Sales'!$M:$M,Brokerage!AC$4)+SUMIFS('YTD Purchases'!$H:$H,'YTD Purchases'!$C:$C,Brokerage!$B88,'YTD Purchases'!$G:$G,Brokerage!AC$4)</f>
        <v>0</v>
      </c>
      <c r="AD88" s="857">
        <f>+SUMIFS(PIB!AG:AG,PIB!AF:AF,Brokerage!AD$4,PIB!AA:AA,Brokerage!$B88)+SUMIFS('T-Bills'!AB:AB,'T-Bills'!AA:AA,Brokerage!AD$4,'T-Bills'!V:V,Brokerage!$B88)</f>
        <v>0</v>
      </c>
      <c r="AE88" s="857">
        <f>+SUMIFS(PIB!AH:AH,PIB!AG:AG,Brokerage!AE$4,PIB!AB:AB,Brokerage!$B88)+SUMIFS('T-Bills'!AC:AC,'T-Bills'!AB:AB,Brokerage!AE$4,'T-Bills'!W:W,Brokerage!$B88)</f>
        <v>0</v>
      </c>
      <c r="AF88" s="857">
        <f>+SUMIFS(PIB!AI:AI,PIB!AH:AH,Brokerage!AF$4,PIB!AC:AC,Brokerage!$B88)+SUMIFS('T-Bills'!AD:AD,'T-Bills'!AC:AC,Brokerage!AF$4,'T-Bills'!X:X,Brokerage!$B88)</f>
        <v>0</v>
      </c>
      <c r="AG88" s="857">
        <f t="shared" si="10"/>
        <v>0</v>
      </c>
      <c r="AH88" s="858">
        <f t="shared" si="17"/>
        <v>0</v>
      </c>
    </row>
    <row r="89" spans="2:34" x14ac:dyDescent="0.15">
      <c r="B89" s="661">
        <f t="shared" si="9"/>
        <v>44645</v>
      </c>
      <c r="C89" s="857">
        <f>SUMIFS('YTD Sales'!$N:$N,'YTD Sales'!$B:$B,Brokerage!$B89,'YTD Sales'!$M:$M,Brokerage!C$4)+SUMIFS('YTD Purchases'!$H:$H,'YTD Purchases'!$C:$C,Brokerage!$B89,'YTD Purchases'!$G:$G,Brokerage!C$4)</f>
        <v>0</v>
      </c>
      <c r="D89" s="857">
        <f>SUMIFS('YTD Sales'!$N:$N,'YTD Sales'!$B:$B,Brokerage!$B89,'YTD Sales'!$M:$M,Brokerage!D$4)+SUMIFS('YTD Purchases'!$H:$H,'YTD Purchases'!$C:$C,Brokerage!$B89,'YTD Purchases'!$G:$G,Brokerage!D$4)</f>
        <v>0</v>
      </c>
      <c r="E89" s="857">
        <f>SUMIFS('YTD Sales'!$N:$N,'YTD Sales'!$B:$B,Brokerage!$B89,'YTD Sales'!$M:$M,Brokerage!E$4)+SUMIFS('YTD Purchases'!$H:$H,'YTD Purchases'!$C:$C,Brokerage!$B89,'YTD Purchases'!$G:$G,Brokerage!E$4)</f>
        <v>0</v>
      </c>
      <c r="F89" s="857">
        <f>SUMIFS('YTD Sales'!$N:$N,'YTD Sales'!$B:$B,Brokerage!$B89,'YTD Sales'!$M:$M,Brokerage!F$4)+SUMIFS('YTD Purchases'!$H:$H,'YTD Purchases'!$C:$C,Brokerage!$B89,'YTD Purchases'!$G:$G,Brokerage!F$4)</f>
        <v>0</v>
      </c>
      <c r="G89" s="857">
        <f>SUMIFS('YTD Sales'!$N:$N,'YTD Sales'!$B:$B,Brokerage!$B89,'YTD Sales'!$M:$M,Brokerage!G$4)+SUMIFS('YTD Purchases'!$H:$H,'YTD Purchases'!$C:$C,Brokerage!$B89,'YTD Purchases'!$G:$G,Brokerage!G$4)</f>
        <v>0</v>
      </c>
      <c r="H89" s="857">
        <f>SUMIFS('YTD Sales'!$N:$N,'YTD Sales'!$B:$B,Brokerage!$B89,'YTD Sales'!$M:$M,Brokerage!H$4)+SUMIFS('YTD Purchases'!$H:$H,'YTD Purchases'!$C:$C,Brokerage!$B89,'YTD Purchases'!$G:$G,Brokerage!H$4)</f>
        <v>0</v>
      </c>
      <c r="I89" s="857">
        <f>SUMIFS('YTD Sales'!$N:$N,'YTD Sales'!$B:$B,Brokerage!$B89,'YTD Sales'!$M:$M,Brokerage!I$4)+SUMIFS('YTD Purchases'!$H:$H,'YTD Purchases'!$C:$C,Brokerage!$B89,'YTD Purchases'!$G:$G,Brokerage!I$4)</f>
        <v>0</v>
      </c>
      <c r="J89" s="857">
        <f>SUMIFS('YTD Sales'!$N:$N,'YTD Sales'!$B:$B,Brokerage!$B89,'YTD Sales'!$M:$M,Brokerage!J$4)+SUMIFS('YTD Purchases'!$H:$H,'YTD Purchases'!$C:$C,Brokerage!$B89,'YTD Purchases'!$G:$G,Brokerage!J$4)</f>
        <v>0</v>
      </c>
      <c r="K89" s="857">
        <f>SUMIFS('YTD Sales'!$N:$N,'YTD Sales'!$B:$B,Brokerage!$B89,'YTD Sales'!$M:$M,Brokerage!K$4)+SUMIFS('YTD Purchases'!$H:$H,'YTD Purchases'!$C:$C,Brokerage!$B89,'YTD Purchases'!$G:$G,Brokerage!K$4)</f>
        <v>0</v>
      </c>
      <c r="L89" s="857">
        <f>SUMIFS('YTD Sales'!$N:$N,'YTD Sales'!$B:$B,Brokerage!$B89,'YTD Sales'!$M:$M,Brokerage!L$4)+SUMIFS('YTD Purchases'!$H:$H,'YTD Purchases'!$C:$C,Brokerage!$B89,'YTD Purchases'!$G:$G,Brokerage!L$4)</f>
        <v>0</v>
      </c>
      <c r="M89" s="857">
        <f>SUMIFS('YTD Sales'!$N:$N,'YTD Sales'!$B:$B,Brokerage!$B89,'YTD Sales'!$M:$M,Brokerage!M$4)+SUMIFS('YTD Purchases'!$H:$H,'YTD Purchases'!$C:$C,Brokerage!$B89,'YTD Purchases'!$G:$G,Brokerage!M$4)</f>
        <v>0</v>
      </c>
      <c r="N89" s="857">
        <f>SUMIFS('YTD Sales'!$N:$N,'YTD Sales'!$B:$B,Brokerage!$B89,'YTD Sales'!$M:$M,Brokerage!N$4)+SUMIFS('YTD Purchases'!$H:$H,'YTD Purchases'!$C:$C,Brokerage!$B89,'YTD Purchases'!$G:$G,Brokerage!N$4)</f>
        <v>0</v>
      </c>
      <c r="O89" s="857">
        <f>SUMIFS('YTD Sales'!$N:$N,'YTD Sales'!$B:$B,Brokerage!$B89,'YTD Sales'!$M:$M,Brokerage!O$4)+SUMIFS('YTD Purchases'!$H:$H,'YTD Purchases'!$C:$C,Brokerage!$B89,'YTD Purchases'!$G:$G,Brokerage!O$4)</f>
        <v>0</v>
      </c>
      <c r="P89" s="857">
        <f>SUMIFS('YTD Sales'!$N:$N,'YTD Sales'!$B:$B,Brokerage!$B89,'YTD Sales'!$M:$M,Brokerage!P$4)+SUMIFS('YTD Purchases'!$H:$H,'YTD Purchases'!$C:$C,Brokerage!$B89,'YTD Purchases'!$G:$G,Brokerage!P$4)</f>
        <v>0</v>
      </c>
      <c r="Q89" s="857">
        <f>SUMIFS('YTD Sales'!$N:$N,'YTD Sales'!$B:$B,Brokerage!$B89,'YTD Sales'!$M:$M,Brokerage!Q$4)+SUMIFS('YTD Purchases'!$H:$H,'YTD Purchases'!$C:$C,Brokerage!$B89,'YTD Purchases'!$G:$G,Brokerage!Q$4)</f>
        <v>0</v>
      </c>
      <c r="R89" s="857">
        <f>SUMIFS('YTD Sales'!$N:$N,'YTD Sales'!$B:$B,Brokerage!$B89,'YTD Sales'!$M:$M,Brokerage!R$4)+SUMIFS('YTD Purchases'!$H:$H,'YTD Purchases'!$C:$C,Brokerage!$B89,'YTD Purchases'!$G:$G,Brokerage!R$4)</f>
        <v>0</v>
      </c>
      <c r="S89" s="857">
        <f>SUMIFS('YTD Sales'!$N:$N,'YTD Sales'!$B:$B,Brokerage!$B89,'YTD Sales'!$M:$M,Brokerage!S$4)+SUMIFS('YTD Purchases'!$H:$H,'YTD Purchases'!$C:$C,Brokerage!$B89,'YTD Purchases'!$G:$G,Brokerage!S$4)</f>
        <v>0</v>
      </c>
      <c r="T89" s="857">
        <f>SUMIFS('YTD Sales'!$N:$N,'YTD Sales'!$B:$B,Brokerage!$B89,'YTD Sales'!$M:$M,Brokerage!T$4)+SUMIFS('YTD Purchases'!$H:$H,'YTD Purchases'!$C:$C,Brokerage!$B89,'YTD Purchases'!$G:$G,Brokerage!T$4)</f>
        <v>0</v>
      </c>
      <c r="U89" s="857">
        <f>SUMIFS('YTD Sales'!$N:$N,'YTD Sales'!$B:$B,Brokerage!$B89,'YTD Sales'!$M:$M,Brokerage!U$4)+SUMIFS('YTD Purchases'!$H:$H,'YTD Purchases'!$C:$C,Brokerage!$B89,'YTD Purchases'!$G:$G,Brokerage!U$4)</f>
        <v>0</v>
      </c>
      <c r="V89" s="857">
        <f>SUMIFS('YTD Sales'!$N:$N,'YTD Sales'!$B:$B,Brokerage!$B89,'YTD Sales'!$M:$M,Brokerage!V$4)+SUMIFS('YTD Purchases'!$H:$H,'YTD Purchases'!$C:$C,Brokerage!$B89,'YTD Purchases'!$G:$G,Brokerage!V$4)</f>
        <v>0</v>
      </c>
      <c r="W89" s="857">
        <f>SUMIFS('YTD Sales'!$N:$N,'YTD Sales'!$B:$B,Brokerage!$B89,'YTD Sales'!$M:$M,Brokerage!W$4)+SUMIFS('YTD Purchases'!$H:$H,'YTD Purchases'!$C:$C,Brokerage!$B89,'YTD Purchases'!$G:$G,Brokerage!W$4)</f>
        <v>0</v>
      </c>
      <c r="X89" s="857">
        <f>SUMIFS('YTD Sales'!$N:$N,'YTD Sales'!$B:$B,Brokerage!$B89,'YTD Sales'!$M:$M,Brokerage!X$4)+SUMIFS('YTD Purchases'!$H:$H,'YTD Purchases'!$C:$C,Brokerage!$B89,'YTD Purchases'!$G:$G,Brokerage!X$4)</f>
        <v>0</v>
      </c>
      <c r="Y89" s="857">
        <f>SUMIFS('YTD Sales'!$N:$N,'YTD Sales'!$B:$B,Brokerage!$B89,'YTD Sales'!$M:$M,Brokerage!Y$4)+SUMIFS('YTD Purchases'!$H:$H,'YTD Purchases'!$C:$C,Brokerage!$B89,'YTD Purchases'!$G:$G,Brokerage!Y$4)</f>
        <v>0</v>
      </c>
      <c r="Z89" s="857">
        <f>SUMIFS('YTD Sales'!$N:$N,'YTD Sales'!$B:$B,Brokerage!$B89,'YTD Sales'!$M:$M,Brokerage!Z$4)+SUMIFS('YTD Purchases'!$H:$H,'YTD Purchases'!$C:$C,Brokerage!$B89,'YTD Purchases'!$G:$G,Brokerage!Z$4)</f>
        <v>0</v>
      </c>
      <c r="AA89" s="857">
        <f>SUMIFS('YTD Sales'!$N:$N,'YTD Sales'!$B:$B,Brokerage!$B89,'YTD Sales'!$M:$M,Brokerage!AA$4)+SUMIFS('YTD Purchases'!$H:$H,'YTD Purchases'!$C:$C,Brokerage!$B89,'YTD Purchases'!$G:$G,Brokerage!AA$4)</f>
        <v>0</v>
      </c>
      <c r="AB89" s="857">
        <f>SUMIFS('YTD Sales'!$N:$N,'YTD Sales'!$B:$B,Brokerage!$B89,'YTD Sales'!$M:$M,Brokerage!AB$4)+SUMIFS('YTD Purchases'!$H:$H,'YTD Purchases'!$C:$C,Brokerage!$B89,'YTD Purchases'!$G:$G,Brokerage!AB$4)</f>
        <v>0</v>
      </c>
      <c r="AC89" s="857">
        <f>SUMIFS('YTD Sales'!$N:$N,'YTD Sales'!$B:$B,Brokerage!$B89,'YTD Sales'!$M:$M,Brokerage!AC$4)+SUMIFS('YTD Purchases'!$H:$H,'YTD Purchases'!$C:$C,Brokerage!$B89,'YTD Purchases'!$G:$G,Brokerage!AC$4)</f>
        <v>0</v>
      </c>
      <c r="AD89" s="857">
        <f>+SUMIFS(PIB!AG:AG,PIB!AF:AF,Brokerage!AD$4,PIB!AA:AA,Brokerage!$B89)+SUMIFS('T-Bills'!AB:AB,'T-Bills'!AA:AA,Brokerage!AD$4,'T-Bills'!V:V,Brokerage!$B89)</f>
        <v>0</v>
      </c>
      <c r="AE89" s="857">
        <f>+SUMIFS(PIB!AH:AH,PIB!AG:AG,Brokerage!AE$4,PIB!AB:AB,Brokerage!$B89)+SUMIFS('T-Bills'!AC:AC,'T-Bills'!AB:AB,Brokerage!AE$4,'T-Bills'!W:W,Brokerage!$B89)</f>
        <v>0</v>
      </c>
      <c r="AF89" s="857">
        <f>+SUMIFS(PIB!AI:AI,PIB!AH:AH,Brokerage!AF$4,PIB!AC:AC,Brokerage!$B89)+SUMIFS('T-Bills'!AD:AD,'T-Bills'!AC:AC,Brokerage!AF$4,'T-Bills'!X:X,Brokerage!$B89)</f>
        <v>0</v>
      </c>
      <c r="AG89" s="857">
        <f t="shared" si="10"/>
        <v>0</v>
      </c>
      <c r="AH89" s="858">
        <f t="shared" si="17"/>
        <v>0</v>
      </c>
    </row>
    <row r="90" spans="2:34" x14ac:dyDescent="0.15">
      <c r="B90" s="661">
        <f t="shared" si="9"/>
        <v>44646</v>
      </c>
      <c r="C90" s="857">
        <f>SUMIFS('YTD Sales'!$N:$N,'YTD Sales'!$B:$B,Brokerage!$B90,'YTD Sales'!$M:$M,Brokerage!C$4)+SUMIFS('YTD Purchases'!$H:$H,'YTD Purchases'!$C:$C,Brokerage!$B90,'YTD Purchases'!$G:$G,Brokerage!C$4)</f>
        <v>0</v>
      </c>
      <c r="D90" s="857">
        <f>SUMIFS('YTD Sales'!$N:$N,'YTD Sales'!$B:$B,Brokerage!$B90,'YTD Sales'!$M:$M,Brokerage!D$4)+SUMIFS('YTD Purchases'!$H:$H,'YTD Purchases'!$C:$C,Brokerage!$B90,'YTD Purchases'!$G:$G,Brokerage!D$4)</f>
        <v>0</v>
      </c>
      <c r="E90" s="857">
        <f>SUMIFS('YTD Sales'!$N:$N,'YTD Sales'!$B:$B,Brokerage!$B90,'YTD Sales'!$M:$M,Brokerage!E$4)+SUMIFS('YTD Purchases'!$H:$H,'YTD Purchases'!$C:$C,Brokerage!$B90,'YTD Purchases'!$G:$G,Brokerage!E$4)</f>
        <v>0</v>
      </c>
      <c r="F90" s="857">
        <f>SUMIFS('YTD Sales'!$N:$N,'YTD Sales'!$B:$B,Brokerage!$B90,'YTD Sales'!$M:$M,Brokerage!F$4)+SUMIFS('YTD Purchases'!$H:$H,'YTD Purchases'!$C:$C,Brokerage!$B90,'YTD Purchases'!$G:$G,Brokerage!F$4)</f>
        <v>0</v>
      </c>
      <c r="G90" s="857">
        <f>SUMIFS('YTD Sales'!$N:$N,'YTD Sales'!$B:$B,Brokerage!$B90,'YTD Sales'!$M:$M,Brokerage!G$4)+SUMIFS('YTD Purchases'!$H:$H,'YTD Purchases'!$C:$C,Brokerage!$B90,'YTD Purchases'!$G:$G,Brokerage!G$4)</f>
        <v>0</v>
      </c>
      <c r="H90" s="857">
        <f>SUMIFS('YTD Sales'!$N:$N,'YTD Sales'!$B:$B,Brokerage!$B90,'YTD Sales'!$M:$M,Brokerage!H$4)+SUMIFS('YTD Purchases'!$H:$H,'YTD Purchases'!$C:$C,Brokerage!$B90,'YTD Purchases'!$G:$G,Brokerage!H$4)</f>
        <v>0</v>
      </c>
      <c r="I90" s="857">
        <f>SUMIFS('YTD Sales'!$N:$N,'YTD Sales'!$B:$B,Brokerage!$B90,'YTD Sales'!$M:$M,Brokerage!I$4)+SUMIFS('YTD Purchases'!$H:$H,'YTD Purchases'!$C:$C,Brokerage!$B90,'YTD Purchases'!$G:$G,Brokerage!I$4)</f>
        <v>0</v>
      </c>
      <c r="J90" s="857">
        <f>SUMIFS('YTD Sales'!$N:$N,'YTD Sales'!$B:$B,Brokerage!$B90,'YTD Sales'!$M:$M,Brokerage!J$4)+SUMIFS('YTD Purchases'!$H:$H,'YTD Purchases'!$C:$C,Brokerage!$B90,'YTD Purchases'!$G:$G,Brokerage!J$4)</f>
        <v>0</v>
      </c>
      <c r="K90" s="857">
        <f>SUMIFS('YTD Sales'!$N:$N,'YTD Sales'!$B:$B,Brokerage!$B90,'YTD Sales'!$M:$M,Brokerage!K$4)+SUMIFS('YTD Purchases'!$H:$H,'YTD Purchases'!$C:$C,Brokerage!$B90,'YTD Purchases'!$G:$G,Brokerage!K$4)</f>
        <v>0</v>
      </c>
      <c r="L90" s="857">
        <f>SUMIFS('YTD Sales'!$N:$N,'YTD Sales'!$B:$B,Brokerage!$B90,'YTD Sales'!$M:$M,Brokerage!L$4)+SUMIFS('YTD Purchases'!$H:$H,'YTD Purchases'!$C:$C,Brokerage!$B90,'YTD Purchases'!$G:$G,Brokerage!L$4)</f>
        <v>0</v>
      </c>
      <c r="M90" s="857">
        <f>SUMIFS('YTD Sales'!$N:$N,'YTD Sales'!$B:$B,Brokerage!$B90,'YTD Sales'!$M:$M,Brokerage!M$4)+SUMIFS('YTD Purchases'!$H:$H,'YTD Purchases'!$C:$C,Brokerage!$B90,'YTD Purchases'!$G:$G,Brokerage!M$4)</f>
        <v>0</v>
      </c>
      <c r="N90" s="857">
        <f>SUMIFS('YTD Sales'!$N:$N,'YTD Sales'!$B:$B,Brokerage!$B90,'YTD Sales'!$M:$M,Brokerage!N$4)+SUMIFS('YTD Purchases'!$H:$H,'YTD Purchases'!$C:$C,Brokerage!$B90,'YTD Purchases'!$G:$G,Brokerage!N$4)</f>
        <v>0</v>
      </c>
      <c r="O90" s="857">
        <f>SUMIFS('YTD Sales'!$N:$N,'YTD Sales'!$B:$B,Brokerage!$B90,'YTD Sales'!$M:$M,Brokerage!O$4)+SUMIFS('YTD Purchases'!$H:$H,'YTD Purchases'!$C:$C,Brokerage!$B90,'YTD Purchases'!$G:$G,Brokerage!O$4)</f>
        <v>0</v>
      </c>
      <c r="P90" s="857">
        <f>SUMIFS('YTD Sales'!$N:$N,'YTD Sales'!$B:$B,Brokerage!$B90,'YTD Sales'!$M:$M,Brokerage!P$4)+SUMIFS('YTD Purchases'!$H:$H,'YTD Purchases'!$C:$C,Brokerage!$B90,'YTD Purchases'!$G:$G,Brokerage!P$4)</f>
        <v>0</v>
      </c>
      <c r="Q90" s="857">
        <f>SUMIFS('YTD Sales'!$N:$N,'YTD Sales'!$B:$B,Brokerage!$B90,'YTD Sales'!$M:$M,Brokerage!Q$4)+SUMIFS('YTD Purchases'!$H:$H,'YTD Purchases'!$C:$C,Brokerage!$B90,'YTD Purchases'!$G:$G,Brokerage!Q$4)</f>
        <v>0</v>
      </c>
      <c r="R90" s="857">
        <f>SUMIFS('YTD Sales'!$N:$N,'YTD Sales'!$B:$B,Brokerage!$B90,'YTD Sales'!$M:$M,Brokerage!R$4)+SUMIFS('YTD Purchases'!$H:$H,'YTD Purchases'!$C:$C,Brokerage!$B90,'YTD Purchases'!$G:$G,Brokerage!R$4)</f>
        <v>0</v>
      </c>
      <c r="S90" s="857">
        <f>SUMIFS('YTD Sales'!$N:$N,'YTD Sales'!$B:$B,Brokerage!$B90,'YTD Sales'!$M:$M,Brokerage!S$4)+SUMIFS('YTD Purchases'!$H:$H,'YTD Purchases'!$C:$C,Brokerage!$B90,'YTD Purchases'!$G:$G,Brokerage!S$4)</f>
        <v>0</v>
      </c>
      <c r="T90" s="857">
        <f>SUMIFS('YTD Sales'!$N:$N,'YTD Sales'!$B:$B,Brokerage!$B90,'YTD Sales'!$M:$M,Brokerage!T$4)+SUMIFS('YTD Purchases'!$H:$H,'YTD Purchases'!$C:$C,Brokerage!$B90,'YTD Purchases'!$G:$G,Brokerage!T$4)</f>
        <v>0</v>
      </c>
      <c r="U90" s="857">
        <f>SUMIFS('YTD Sales'!$N:$N,'YTD Sales'!$B:$B,Brokerage!$B90,'YTD Sales'!$M:$M,Brokerage!U$4)+SUMIFS('YTD Purchases'!$H:$H,'YTD Purchases'!$C:$C,Brokerage!$B90,'YTD Purchases'!$G:$G,Brokerage!U$4)</f>
        <v>0</v>
      </c>
      <c r="V90" s="857">
        <f>SUMIFS('YTD Sales'!$N:$N,'YTD Sales'!$B:$B,Brokerage!$B90,'YTD Sales'!$M:$M,Brokerage!V$4)+SUMIFS('YTD Purchases'!$H:$H,'YTD Purchases'!$C:$C,Brokerage!$B90,'YTD Purchases'!$G:$G,Brokerage!V$4)</f>
        <v>0</v>
      </c>
      <c r="W90" s="857">
        <f>SUMIFS('YTD Sales'!$N:$N,'YTD Sales'!$B:$B,Brokerage!$B90,'YTD Sales'!$M:$M,Brokerage!W$4)+SUMIFS('YTD Purchases'!$H:$H,'YTD Purchases'!$C:$C,Brokerage!$B90,'YTD Purchases'!$G:$G,Brokerage!W$4)</f>
        <v>0</v>
      </c>
      <c r="X90" s="857">
        <f>SUMIFS('YTD Sales'!$N:$N,'YTD Sales'!$B:$B,Brokerage!$B90,'YTD Sales'!$M:$M,Brokerage!X$4)+SUMIFS('YTD Purchases'!$H:$H,'YTD Purchases'!$C:$C,Brokerage!$B90,'YTD Purchases'!$G:$G,Brokerage!X$4)</f>
        <v>0</v>
      </c>
      <c r="Y90" s="857">
        <f>SUMIFS('YTD Sales'!$N:$N,'YTD Sales'!$B:$B,Brokerage!$B90,'YTD Sales'!$M:$M,Brokerage!Y$4)+SUMIFS('YTD Purchases'!$H:$H,'YTD Purchases'!$C:$C,Brokerage!$B90,'YTD Purchases'!$G:$G,Brokerage!Y$4)</f>
        <v>0</v>
      </c>
      <c r="Z90" s="857">
        <f>SUMIFS('YTD Sales'!$N:$N,'YTD Sales'!$B:$B,Brokerage!$B90,'YTD Sales'!$M:$M,Brokerage!Z$4)+SUMIFS('YTD Purchases'!$H:$H,'YTD Purchases'!$C:$C,Brokerage!$B90,'YTD Purchases'!$G:$G,Brokerage!Z$4)</f>
        <v>0</v>
      </c>
      <c r="AA90" s="857">
        <f>SUMIFS('YTD Sales'!$N:$N,'YTD Sales'!$B:$B,Brokerage!$B90,'YTD Sales'!$M:$M,Brokerage!AA$4)+SUMIFS('YTD Purchases'!$H:$H,'YTD Purchases'!$C:$C,Brokerage!$B90,'YTD Purchases'!$G:$G,Brokerage!AA$4)</f>
        <v>0</v>
      </c>
      <c r="AB90" s="857">
        <f>SUMIFS('YTD Sales'!$N:$N,'YTD Sales'!$B:$B,Brokerage!$B90,'YTD Sales'!$M:$M,Brokerage!AB$4)+SUMIFS('YTD Purchases'!$H:$H,'YTD Purchases'!$C:$C,Brokerage!$B90,'YTD Purchases'!$G:$G,Brokerage!AB$4)</f>
        <v>0</v>
      </c>
      <c r="AC90" s="857">
        <f>SUMIFS('YTD Sales'!$N:$N,'YTD Sales'!$B:$B,Brokerage!$B90,'YTD Sales'!$M:$M,Brokerage!AC$4)+SUMIFS('YTD Purchases'!$H:$H,'YTD Purchases'!$C:$C,Brokerage!$B90,'YTD Purchases'!$G:$G,Brokerage!AC$4)</f>
        <v>0</v>
      </c>
      <c r="AD90" s="857">
        <f>+SUMIFS(PIB!AG:AG,PIB!AF:AF,Brokerage!AD$4,PIB!AA:AA,Brokerage!$B90)+SUMIFS('T-Bills'!AB:AB,'T-Bills'!AA:AA,Brokerage!AD$4,'T-Bills'!V:V,Brokerage!$B90)</f>
        <v>0</v>
      </c>
      <c r="AE90" s="857">
        <f>+SUMIFS(PIB!AH:AH,PIB!AG:AG,Brokerage!AE$4,PIB!AB:AB,Brokerage!$B90)+SUMIFS('T-Bills'!AC:AC,'T-Bills'!AB:AB,Brokerage!AE$4,'T-Bills'!W:W,Brokerage!$B90)</f>
        <v>0</v>
      </c>
      <c r="AF90" s="857">
        <f>+SUMIFS(PIB!AI:AI,PIB!AH:AH,Brokerage!AF$4,PIB!AC:AC,Brokerage!$B90)+SUMIFS('T-Bills'!AD:AD,'T-Bills'!AC:AC,Brokerage!AF$4,'T-Bills'!X:X,Brokerage!$B90)</f>
        <v>0</v>
      </c>
      <c r="AG90" s="857">
        <f t="shared" si="10"/>
        <v>0</v>
      </c>
      <c r="AH90" s="858">
        <f t="shared" si="17"/>
        <v>0</v>
      </c>
    </row>
    <row r="91" spans="2:34" x14ac:dyDescent="0.15">
      <c r="B91" s="661">
        <f t="shared" si="9"/>
        <v>44647</v>
      </c>
      <c r="C91" s="857">
        <f>SUMIFS('YTD Sales'!$N:$N,'YTD Sales'!$B:$B,Brokerage!$B91,'YTD Sales'!$M:$M,Brokerage!C$4)+SUMIFS('YTD Purchases'!$H:$H,'YTD Purchases'!$C:$C,Brokerage!$B91,'YTD Purchases'!$G:$G,Brokerage!C$4)</f>
        <v>0</v>
      </c>
      <c r="D91" s="857">
        <f>SUMIFS('YTD Sales'!$N:$N,'YTD Sales'!$B:$B,Brokerage!$B91,'YTD Sales'!$M:$M,Brokerage!D$4)+SUMIFS('YTD Purchases'!$H:$H,'YTD Purchases'!$C:$C,Brokerage!$B91,'YTD Purchases'!$G:$G,Brokerage!D$4)</f>
        <v>0</v>
      </c>
      <c r="E91" s="857">
        <f>SUMIFS('YTD Sales'!$N:$N,'YTD Sales'!$B:$B,Brokerage!$B91,'YTD Sales'!$M:$M,Brokerage!E$4)+SUMIFS('YTD Purchases'!$H:$H,'YTD Purchases'!$C:$C,Brokerage!$B91,'YTD Purchases'!$G:$G,Brokerage!E$4)</f>
        <v>0</v>
      </c>
      <c r="F91" s="857">
        <f>SUMIFS('YTD Sales'!$N:$N,'YTD Sales'!$B:$B,Brokerage!$B91,'YTD Sales'!$M:$M,Brokerage!F$4)+SUMIFS('YTD Purchases'!$H:$H,'YTD Purchases'!$C:$C,Brokerage!$B91,'YTD Purchases'!$G:$G,Brokerage!F$4)</f>
        <v>0</v>
      </c>
      <c r="G91" s="857">
        <f>SUMIFS('YTD Sales'!$N:$N,'YTD Sales'!$B:$B,Brokerage!$B91,'YTD Sales'!$M:$M,Brokerage!G$4)+SUMIFS('YTD Purchases'!$H:$H,'YTD Purchases'!$C:$C,Brokerage!$B91,'YTD Purchases'!$G:$G,Brokerage!G$4)</f>
        <v>0</v>
      </c>
      <c r="H91" s="857">
        <f>SUMIFS('YTD Sales'!$N:$N,'YTD Sales'!$B:$B,Brokerage!$B91,'YTD Sales'!$M:$M,Brokerage!H$4)+SUMIFS('YTD Purchases'!$H:$H,'YTD Purchases'!$C:$C,Brokerage!$B91,'YTD Purchases'!$G:$G,Brokerage!H$4)</f>
        <v>0</v>
      </c>
      <c r="I91" s="857">
        <f>SUMIFS('YTD Sales'!$N:$N,'YTD Sales'!$B:$B,Brokerage!$B91,'YTD Sales'!$M:$M,Brokerage!I$4)+SUMIFS('YTD Purchases'!$H:$H,'YTD Purchases'!$C:$C,Brokerage!$B91,'YTD Purchases'!$G:$G,Brokerage!I$4)</f>
        <v>0</v>
      </c>
      <c r="J91" s="857">
        <f>SUMIFS('YTD Sales'!$N:$N,'YTD Sales'!$B:$B,Brokerage!$B91,'YTD Sales'!$M:$M,Brokerage!J$4)+SUMIFS('YTD Purchases'!$H:$H,'YTD Purchases'!$C:$C,Brokerage!$B91,'YTD Purchases'!$G:$G,Brokerage!J$4)</f>
        <v>0</v>
      </c>
      <c r="K91" s="857">
        <f>SUMIFS('YTD Sales'!$N:$N,'YTD Sales'!$B:$B,Brokerage!$B91,'YTD Sales'!$M:$M,Brokerage!K$4)+SUMIFS('YTD Purchases'!$H:$H,'YTD Purchases'!$C:$C,Brokerage!$B91,'YTD Purchases'!$G:$G,Brokerage!K$4)</f>
        <v>0</v>
      </c>
      <c r="L91" s="857">
        <f>SUMIFS('YTD Sales'!$N:$N,'YTD Sales'!$B:$B,Brokerage!$B91,'YTD Sales'!$M:$M,Brokerage!L$4)+SUMIFS('YTD Purchases'!$H:$H,'YTD Purchases'!$C:$C,Brokerage!$B91,'YTD Purchases'!$G:$G,Brokerage!L$4)</f>
        <v>0</v>
      </c>
      <c r="M91" s="857">
        <f>SUMIFS('YTD Sales'!$N:$N,'YTD Sales'!$B:$B,Brokerage!$B91,'YTD Sales'!$M:$M,Brokerage!M$4)+SUMIFS('YTD Purchases'!$H:$H,'YTD Purchases'!$C:$C,Brokerage!$B91,'YTD Purchases'!$G:$G,Brokerage!M$4)</f>
        <v>0</v>
      </c>
      <c r="N91" s="857">
        <f>SUMIFS('YTD Sales'!$N:$N,'YTD Sales'!$B:$B,Brokerage!$B91,'YTD Sales'!$M:$M,Brokerage!N$4)+SUMIFS('YTD Purchases'!$H:$H,'YTD Purchases'!$C:$C,Brokerage!$B91,'YTD Purchases'!$G:$G,Brokerage!N$4)</f>
        <v>0</v>
      </c>
      <c r="O91" s="857">
        <f>SUMIFS('YTD Sales'!$N:$N,'YTD Sales'!$B:$B,Brokerage!$B91,'YTD Sales'!$M:$M,Brokerage!O$4)+SUMIFS('YTD Purchases'!$H:$H,'YTD Purchases'!$C:$C,Brokerage!$B91,'YTD Purchases'!$G:$G,Brokerage!O$4)</f>
        <v>0</v>
      </c>
      <c r="P91" s="857">
        <f>SUMIFS('YTD Sales'!$N:$N,'YTD Sales'!$B:$B,Brokerage!$B91,'YTD Sales'!$M:$M,Brokerage!P$4)+SUMIFS('YTD Purchases'!$H:$H,'YTD Purchases'!$C:$C,Brokerage!$B91,'YTD Purchases'!$G:$G,Brokerage!P$4)</f>
        <v>0</v>
      </c>
      <c r="Q91" s="857">
        <f>SUMIFS('YTD Sales'!$N:$N,'YTD Sales'!$B:$B,Brokerage!$B91,'YTD Sales'!$M:$M,Brokerage!Q$4)+SUMIFS('YTD Purchases'!$H:$H,'YTD Purchases'!$C:$C,Brokerage!$B91,'YTD Purchases'!$G:$G,Brokerage!Q$4)</f>
        <v>0</v>
      </c>
      <c r="R91" s="857">
        <f>SUMIFS('YTD Sales'!$N:$N,'YTD Sales'!$B:$B,Brokerage!$B91,'YTD Sales'!$M:$M,Brokerage!R$4)+SUMIFS('YTD Purchases'!$H:$H,'YTD Purchases'!$C:$C,Brokerage!$B91,'YTD Purchases'!$G:$G,Brokerage!R$4)</f>
        <v>0</v>
      </c>
      <c r="S91" s="857">
        <f>SUMIFS('YTD Sales'!$N:$N,'YTD Sales'!$B:$B,Brokerage!$B91,'YTD Sales'!$M:$M,Brokerage!S$4)+SUMIFS('YTD Purchases'!$H:$H,'YTD Purchases'!$C:$C,Brokerage!$B91,'YTD Purchases'!$G:$G,Brokerage!S$4)</f>
        <v>0</v>
      </c>
      <c r="T91" s="857">
        <f>SUMIFS('YTD Sales'!$N:$N,'YTD Sales'!$B:$B,Brokerage!$B91,'YTD Sales'!$M:$M,Brokerage!T$4)+SUMIFS('YTD Purchases'!$H:$H,'YTD Purchases'!$C:$C,Brokerage!$B91,'YTD Purchases'!$G:$G,Brokerage!T$4)</f>
        <v>0</v>
      </c>
      <c r="U91" s="857">
        <f>SUMIFS('YTD Sales'!$N:$N,'YTD Sales'!$B:$B,Brokerage!$B91,'YTD Sales'!$M:$M,Brokerage!U$4)+SUMIFS('YTD Purchases'!$H:$H,'YTD Purchases'!$C:$C,Brokerage!$B91,'YTD Purchases'!$G:$G,Brokerage!U$4)</f>
        <v>0</v>
      </c>
      <c r="V91" s="857">
        <f>SUMIFS('YTD Sales'!$N:$N,'YTD Sales'!$B:$B,Brokerage!$B91,'YTD Sales'!$M:$M,Brokerage!V$4)+SUMIFS('YTD Purchases'!$H:$H,'YTD Purchases'!$C:$C,Brokerage!$B91,'YTD Purchases'!$G:$G,Brokerage!V$4)</f>
        <v>0</v>
      </c>
      <c r="W91" s="857">
        <f>SUMIFS('YTD Sales'!$N:$N,'YTD Sales'!$B:$B,Brokerage!$B91,'YTD Sales'!$M:$M,Brokerage!W$4)+SUMIFS('YTD Purchases'!$H:$H,'YTD Purchases'!$C:$C,Brokerage!$B91,'YTD Purchases'!$G:$G,Brokerage!W$4)</f>
        <v>0</v>
      </c>
      <c r="X91" s="857">
        <f>SUMIFS('YTD Sales'!$N:$N,'YTD Sales'!$B:$B,Brokerage!$B91,'YTD Sales'!$M:$M,Brokerage!X$4)+SUMIFS('YTD Purchases'!$H:$H,'YTD Purchases'!$C:$C,Brokerage!$B91,'YTD Purchases'!$G:$G,Brokerage!X$4)</f>
        <v>0</v>
      </c>
      <c r="Y91" s="857">
        <f>SUMIFS('YTD Sales'!$N:$N,'YTD Sales'!$B:$B,Brokerage!$B91,'YTD Sales'!$M:$M,Brokerage!Y$4)+SUMIFS('YTD Purchases'!$H:$H,'YTD Purchases'!$C:$C,Brokerage!$B91,'YTD Purchases'!$G:$G,Brokerage!Y$4)</f>
        <v>0</v>
      </c>
      <c r="Z91" s="857">
        <f>SUMIFS('YTD Sales'!$N:$N,'YTD Sales'!$B:$B,Brokerage!$B91,'YTD Sales'!$M:$M,Brokerage!Z$4)+SUMIFS('YTD Purchases'!$H:$H,'YTD Purchases'!$C:$C,Brokerage!$B91,'YTD Purchases'!$G:$G,Brokerage!Z$4)</f>
        <v>0</v>
      </c>
      <c r="AA91" s="857">
        <f>SUMIFS('YTD Sales'!$N:$N,'YTD Sales'!$B:$B,Brokerage!$B91,'YTD Sales'!$M:$M,Brokerage!AA$4)+SUMIFS('YTD Purchases'!$H:$H,'YTD Purchases'!$C:$C,Brokerage!$B91,'YTD Purchases'!$G:$G,Brokerage!AA$4)</f>
        <v>0</v>
      </c>
      <c r="AB91" s="857">
        <f>SUMIFS('YTD Sales'!$N:$N,'YTD Sales'!$B:$B,Brokerage!$B91,'YTD Sales'!$M:$M,Brokerage!AB$4)+SUMIFS('YTD Purchases'!$H:$H,'YTD Purchases'!$C:$C,Brokerage!$B91,'YTD Purchases'!$G:$G,Brokerage!AB$4)</f>
        <v>0</v>
      </c>
      <c r="AC91" s="857">
        <f>SUMIFS('YTD Sales'!$N:$N,'YTD Sales'!$B:$B,Brokerage!$B91,'YTD Sales'!$M:$M,Brokerage!AC$4)+SUMIFS('YTD Purchases'!$H:$H,'YTD Purchases'!$C:$C,Brokerage!$B91,'YTD Purchases'!$G:$G,Brokerage!AC$4)</f>
        <v>0</v>
      </c>
      <c r="AD91" s="857">
        <f>+SUMIFS(PIB!AG:AG,PIB!AF:AF,Brokerage!AD$4,PIB!AA:AA,Brokerage!$B91)+SUMIFS('T-Bills'!AB:AB,'T-Bills'!AA:AA,Brokerage!AD$4,'T-Bills'!V:V,Brokerage!$B91)</f>
        <v>0</v>
      </c>
      <c r="AE91" s="857">
        <f>+SUMIFS(PIB!AH:AH,PIB!AG:AG,Brokerage!AE$4,PIB!AB:AB,Brokerage!$B91)+SUMIFS('T-Bills'!AC:AC,'T-Bills'!AB:AB,Brokerage!AE$4,'T-Bills'!W:W,Brokerage!$B91)</f>
        <v>0</v>
      </c>
      <c r="AF91" s="857">
        <f>+SUMIFS(PIB!AI:AI,PIB!AH:AH,Brokerage!AF$4,PIB!AC:AC,Brokerage!$B91)+SUMIFS('T-Bills'!AD:AD,'T-Bills'!AC:AC,Brokerage!AF$4,'T-Bills'!X:X,Brokerage!$B91)</f>
        <v>0</v>
      </c>
      <c r="AG91" s="857">
        <f t="shared" si="10"/>
        <v>0</v>
      </c>
      <c r="AH91" s="858">
        <f t="shared" si="17"/>
        <v>0</v>
      </c>
    </row>
    <row r="92" spans="2:34" x14ac:dyDescent="0.15">
      <c r="B92" s="661">
        <f t="shared" si="9"/>
        <v>44648</v>
      </c>
      <c r="C92" s="857">
        <f>SUMIFS('YTD Sales'!$N:$N,'YTD Sales'!$B:$B,Brokerage!$B92,'YTD Sales'!$M:$M,Brokerage!C$4)+SUMIFS('YTD Purchases'!$H:$H,'YTD Purchases'!$C:$C,Brokerage!$B92,'YTD Purchases'!$G:$G,Brokerage!C$4)</f>
        <v>0</v>
      </c>
      <c r="D92" s="857">
        <f>SUMIFS('YTD Sales'!$N:$N,'YTD Sales'!$B:$B,Brokerage!$B92,'YTD Sales'!$M:$M,Brokerage!D$4)+SUMIFS('YTD Purchases'!$H:$H,'YTD Purchases'!$C:$C,Brokerage!$B92,'YTD Purchases'!$G:$G,Brokerage!D$4)</f>
        <v>0</v>
      </c>
      <c r="E92" s="857">
        <f>SUMIFS('YTD Sales'!$N:$N,'YTD Sales'!$B:$B,Brokerage!$B92,'YTD Sales'!$M:$M,Brokerage!E$4)+SUMIFS('YTD Purchases'!$H:$H,'YTD Purchases'!$C:$C,Brokerage!$B92,'YTD Purchases'!$G:$G,Brokerage!E$4)</f>
        <v>0</v>
      </c>
      <c r="F92" s="857">
        <f>SUMIFS('YTD Sales'!$N:$N,'YTD Sales'!$B:$B,Brokerage!$B92,'YTD Sales'!$M:$M,Brokerage!F$4)+SUMIFS('YTD Purchases'!$H:$H,'YTD Purchases'!$C:$C,Brokerage!$B92,'YTD Purchases'!$G:$G,Brokerage!F$4)</f>
        <v>0</v>
      </c>
      <c r="G92" s="857">
        <f>SUMIFS('YTD Sales'!$N:$N,'YTD Sales'!$B:$B,Brokerage!$B92,'YTD Sales'!$M:$M,Brokerage!G$4)+SUMIFS('YTD Purchases'!$H:$H,'YTD Purchases'!$C:$C,Brokerage!$B92,'YTD Purchases'!$G:$G,Brokerage!G$4)</f>
        <v>0</v>
      </c>
      <c r="H92" s="857">
        <f>SUMIFS('YTD Sales'!$N:$N,'YTD Sales'!$B:$B,Brokerage!$B92,'YTD Sales'!$M:$M,Brokerage!H$4)+SUMIFS('YTD Purchases'!$H:$H,'YTD Purchases'!$C:$C,Brokerage!$B92,'YTD Purchases'!$G:$G,Brokerage!H$4)</f>
        <v>0</v>
      </c>
      <c r="I92" s="857">
        <f>SUMIFS('YTD Sales'!$N:$N,'YTD Sales'!$B:$B,Brokerage!$B92,'YTD Sales'!$M:$M,Brokerage!I$4)+SUMIFS('YTD Purchases'!$H:$H,'YTD Purchases'!$C:$C,Brokerage!$B92,'YTD Purchases'!$G:$G,Brokerage!I$4)</f>
        <v>0</v>
      </c>
      <c r="J92" s="857">
        <f>SUMIFS('YTD Sales'!$N:$N,'YTD Sales'!$B:$B,Brokerage!$B92,'YTD Sales'!$M:$M,Brokerage!J$4)+SUMIFS('YTD Purchases'!$H:$H,'YTD Purchases'!$C:$C,Brokerage!$B92,'YTD Purchases'!$G:$G,Brokerage!J$4)</f>
        <v>0</v>
      </c>
      <c r="K92" s="857">
        <f>SUMIFS('YTD Sales'!$N:$N,'YTD Sales'!$B:$B,Brokerage!$B92,'YTD Sales'!$M:$M,Brokerage!K$4)+SUMIFS('YTD Purchases'!$H:$H,'YTD Purchases'!$C:$C,Brokerage!$B92,'YTD Purchases'!$G:$G,Brokerage!K$4)</f>
        <v>0</v>
      </c>
      <c r="L92" s="857">
        <f>SUMIFS('YTD Sales'!$N:$N,'YTD Sales'!$B:$B,Brokerage!$B92,'YTD Sales'!$M:$M,Brokerage!L$4)+SUMIFS('YTD Purchases'!$H:$H,'YTD Purchases'!$C:$C,Brokerage!$B92,'YTD Purchases'!$G:$G,Brokerage!L$4)</f>
        <v>0</v>
      </c>
      <c r="M92" s="857">
        <f>SUMIFS('YTD Sales'!$N:$N,'YTD Sales'!$B:$B,Brokerage!$B92,'YTD Sales'!$M:$M,Brokerage!M$4)+SUMIFS('YTD Purchases'!$H:$H,'YTD Purchases'!$C:$C,Brokerage!$B92,'YTD Purchases'!$G:$G,Brokerage!M$4)</f>
        <v>0</v>
      </c>
      <c r="N92" s="857">
        <f>SUMIFS('YTD Sales'!$N:$N,'YTD Sales'!$B:$B,Brokerage!$B92,'YTD Sales'!$M:$M,Brokerage!N$4)+SUMIFS('YTD Purchases'!$H:$H,'YTD Purchases'!$C:$C,Brokerage!$B92,'YTD Purchases'!$G:$G,Brokerage!N$4)</f>
        <v>0</v>
      </c>
      <c r="O92" s="857">
        <f>SUMIFS('YTD Sales'!$N:$N,'YTD Sales'!$B:$B,Brokerage!$B92,'YTD Sales'!$M:$M,Brokerage!O$4)+SUMIFS('YTD Purchases'!$H:$H,'YTD Purchases'!$C:$C,Brokerage!$B92,'YTD Purchases'!$G:$G,Brokerage!O$4)</f>
        <v>0</v>
      </c>
      <c r="P92" s="857">
        <f>SUMIFS('YTD Sales'!$N:$N,'YTD Sales'!$B:$B,Brokerage!$B92,'YTD Sales'!$M:$M,Brokerage!P$4)+SUMIFS('YTD Purchases'!$H:$H,'YTD Purchases'!$C:$C,Brokerage!$B92,'YTD Purchases'!$G:$G,Brokerage!P$4)</f>
        <v>16405.114653268294</v>
      </c>
      <c r="Q92" s="857">
        <f>SUMIFS('YTD Sales'!$N:$N,'YTD Sales'!$B:$B,Brokerage!$B92,'YTD Sales'!$M:$M,Brokerage!Q$4)+SUMIFS('YTD Purchases'!$H:$H,'YTD Purchases'!$C:$C,Brokerage!$B92,'YTD Purchases'!$G:$G,Brokerage!Q$4)</f>
        <v>0</v>
      </c>
      <c r="R92" s="857">
        <f>SUMIFS('YTD Sales'!$N:$N,'YTD Sales'!$B:$B,Brokerage!$B92,'YTD Sales'!$M:$M,Brokerage!R$4)+SUMIFS('YTD Purchases'!$H:$H,'YTD Purchases'!$C:$C,Brokerage!$B92,'YTD Purchases'!$G:$G,Brokerage!R$4)</f>
        <v>0</v>
      </c>
      <c r="S92" s="857">
        <f>SUMIFS('YTD Sales'!$N:$N,'YTD Sales'!$B:$B,Brokerage!$B92,'YTD Sales'!$M:$M,Brokerage!S$4)+SUMIFS('YTD Purchases'!$H:$H,'YTD Purchases'!$C:$C,Brokerage!$B92,'YTD Purchases'!$G:$G,Brokerage!S$4)</f>
        <v>0</v>
      </c>
      <c r="T92" s="857">
        <f>SUMIFS('YTD Sales'!$N:$N,'YTD Sales'!$B:$B,Brokerage!$B92,'YTD Sales'!$M:$M,Brokerage!T$4)+SUMIFS('YTD Purchases'!$H:$H,'YTD Purchases'!$C:$C,Brokerage!$B92,'YTD Purchases'!$G:$G,Brokerage!T$4)</f>
        <v>0</v>
      </c>
      <c r="U92" s="857">
        <f>SUMIFS('YTD Sales'!$N:$N,'YTD Sales'!$B:$B,Brokerage!$B92,'YTD Sales'!$M:$M,Brokerage!U$4)+SUMIFS('YTD Purchases'!$H:$H,'YTD Purchases'!$C:$C,Brokerage!$B92,'YTD Purchases'!$G:$G,Brokerage!U$4)</f>
        <v>0</v>
      </c>
      <c r="V92" s="857">
        <f>SUMIFS('YTD Sales'!$N:$N,'YTD Sales'!$B:$B,Brokerage!$B92,'YTD Sales'!$M:$M,Brokerage!V$4)+SUMIFS('YTD Purchases'!$H:$H,'YTD Purchases'!$C:$C,Brokerage!$B92,'YTD Purchases'!$G:$G,Brokerage!V$4)</f>
        <v>45714.477979094081</v>
      </c>
      <c r="W92" s="857">
        <f>SUMIFS('YTD Sales'!$N:$N,'YTD Sales'!$B:$B,Brokerage!$B92,'YTD Sales'!$M:$M,Brokerage!W$4)+SUMIFS('YTD Purchases'!$H:$H,'YTD Purchases'!$C:$C,Brokerage!$B92,'YTD Purchases'!$G:$G,Brokerage!W$4)</f>
        <v>0</v>
      </c>
      <c r="X92" s="857">
        <f>SUMIFS('YTD Sales'!$N:$N,'YTD Sales'!$B:$B,Brokerage!$B92,'YTD Sales'!$M:$M,Brokerage!X$4)+SUMIFS('YTD Purchases'!$H:$H,'YTD Purchases'!$C:$C,Brokerage!$B92,'YTD Purchases'!$G:$G,Brokerage!X$4)</f>
        <v>0</v>
      </c>
      <c r="Y92" s="857">
        <f>SUMIFS('YTD Sales'!$N:$N,'YTD Sales'!$B:$B,Brokerage!$B92,'YTD Sales'!$M:$M,Brokerage!Y$4)+SUMIFS('YTD Purchases'!$H:$H,'YTD Purchases'!$C:$C,Brokerage!$B92,'YTD Purchases'!$G:$G,Brokerage!Y$4)</f>
        <v>0</v>
      </c>
      <c r="Z92" s="857">
        <f>SUMIFS('YTD Sales'!$N:$N,'YTD Sales'!$B:$B,Brokerage!$B92,'YTD Sales'!$M:$M,Brokerage!Z$4)+SUMIFS('YTD Purchases'!$H:$H,'YTD Purchases'!$C:$C,Brokerage!$B92,'YTD Purchases'!$G:$G,Brokerage!Z$4)</f>
        <v>0</v>
      </c>
      <c r="AA92" s="857">
        <f>SUMIFS('YTD Sales'!$N:$N,'YTD Sales'!$B:$B,Brokerage!$B92,'YTD Sales'!$M:$M,Brokerage!AA$4)+SUMIFS('YTD Purchases'!$H:$H,'YTD Purchases'!$C:$C,Brokerage!$B92,'YTD Purchases'!$G:$G,Brokerage!AA$4)</f>
        <v>0</v>
      </c>
      <c r="AB92" s="857">
        <f>SUMIFS('YTD Sales'!$N:$N,'YTD Sales'!$B:$B,Brokerage!$B92,'YTD Sales'!$M:$M,Brokerage!AB$4)+SUMIFS('YTD Purchases'!$H:$H,'YTD Purchases'!$C:$C,Brokerage!$B92,'YTD Purchases'!$G:$G,Brokerage!AB$4)</f>
        <v>0</v>
      </c>
      <c r="AC92" s="857">
        <f>SUMIFS('YTD Sales'!$N:$N,'YTD Sales'!$B:$B,Brokerage!$B92,'YTD Sales'!$M:$M,Brokerage!AC$4)+SUMIFS('YTD Purchases'!$H:$H,'YTD Purchases'!$C:$C,Brokerage!$B92,'YTD Purchases'!$G:$G,Brokerage!AC$4)</f>
        <v>0</v>
      </c>
      <c r="AD92" s="857">
        <f>+SUMIFS(PIB!AG:AG,PIB!AF:AF,Brokerage!AD$4,PIB!AA:AA,Brokerage!$B92)+SUMIFS('T-Bills'!AB:AB,'T-Bills'!AA:AA,Brokerage!AD$4,'T-Bills'!V:V,Brokerage!$B92)</f>
        <v>0</v>
      </c>
      <c r="AE92" s="857">
        <f>+SUMIFS(PIB!AH:AH,PIB!AG:AG,Brokerage!AE$4,PIB!AB:AB,Brokerage!$B92)+SUMIFS('T-Bills'!AC:AC,'T-Bills'!AB:AB,Brokerage!AE$4,'T-Bills'!W:W,Brokerage!$B92)</f>
        <v>0</v>
      </c>
      <c r="AF92" s="857">
        <f>+SUMIFS(PIB!AI:AI,PIB!AH:AH,Brokerage!AF$4,PIB!AC:AC,Brokerage!$B92)+SUMIFS('T-Bills'!AD:AD,'T-Bills'!AC:AC,Brokerage!AF$4,'T-Bills'!X:X,Brokerage!$B92)</f>
        <v>0</v>
      </c>
      <c r="AG92" s="857">
        <f t="shared" si="10"/>
        <v>62119.592632362372</v>
      </c>
      <c r="AH92" s="858">
        <f t="shared" si="17"/>
        <v>3</v>
      </c>
    </row>
    <row r="93" spans="2:34" x14ac:dyDescent="0.15">
      <c r="B93" s="661">
        <f t="shared" si="9"/>
        <v>44649</v>
      </c>
      <c r="C93" s="857">
        <f>SUMIFS('YTD Sales'!$N:$N,'YTD Sales'!$B:$B,Brokerage!$B93,'YTD Sales'!$M:$M,Brokerage!C$4)+SUMIFS('YTD Purchases'!$H:$H,'YTD Purchases'!$C:$C,Brokerage!$B93,'YTD Purchases'!$G:$G,Brokerage!C$4)</f>
        <v>0</v>
      </c>
      <c r="D93" s="857">
        <f>SUMIFS('YTD Sales'!$N:$N,'YTD Sales'!$B:$B,Brokerage!$B93,'YTD Sales'!$M:$M,Brokerage!D$4)+SUMIFS('YTD Purchases'!$H:$H,'YTD Purchases'!$C:$C,Brokerage!$B93,'YTD Purchases'!$G:$G,Brokerage!D$4)</f>
        <v>0</v>
      </c>
      <c r="E93" s="857">
        <f>SUMIFS('YTD Sales'!$N:$N,'YTD Sales'!$B:$B,Brokerage!$B93,'YTD Sales'!$M:$M,Brokerage!E$4)+SUMIFS('YTD Purchases'!$H:$H,'YTD Purchases'!$C:$C,Brokerage!$B93,'YTD Purchases'!$G:$G,Brokerage!E$4)</f>
        <v>0</v>
      </c>
      <c r="F93" s="857">
        <f>SUMIFS('YTD Sales'!$N:$N,'YTD Sales'!$B:$B,Brokerage!$B93,'YTD Sales'!$M:$M,Brokerage!F$4)+SUMIFS('YTD Purchases'!$H:$H,'YTD Purchases'!$C:$C,Brokerage!$B93,'YTD Purchases'!$G:$G,Brokerage!F$4)</f>
        <v>0</v>
      </c>
      <c r="G93" s="857">
        <f>SUMIFS('YTD Sales'!$N:$N,'YTD Sales'!$B:$B,Brokerage!$B93,'YTD Sales'!$M:$M,Brokerage!G$4)+SUMIFS('YTD Purchases'!$H:$H,'YTD Purchases'!$C:$C,Brokerage!$B93,'YTD Purchases'!$G:$G,Brokerage!G$4)</f>
        <v>0</v>
      </c>
      <c r="H93" s="857">
        <f>SUMIFS('YTD Sales'!$N:$N,'YTD Sales'!$B:$B,Brokerage!$B93,'YTD Sales'!$M:$M,Brokerage!H$4)+SUMIFS('YTD Purchases'!$H:$H,'YTD Purchases'!$C:$C,Brokerage!$B93,'YTD Purchases'!$G:$G,Brokerage!H$4)</f>
        <v>4328.18</v>
      </c>
      <c r="I93" s="857">
        <f>SUMIFS('YTD Sales'!$N:$N,'YTD Sales'!$B:$B,Brokerage!$B93,'YTD Sales'!$M:$M,Brokerage!I$4)+SUMIFS('YTD Purchases'!$H:$H,'YTD Purchases'!$C:$C,Brokerage!$B93,'YTD Purchases'!$G:$G,Brokerage!I$4)</f>
        <v>0</v>
      </c>
      <c r="J93" s="857">
        <f>SUMIFS('YTD Sales'!$N:$N,'YTD Sales'!$B:$B,Brokerage!$B93,'YTD Sales'!$M:$M,Brokerage!J$4)+SUMIFS('YTD Purchases'!$H:$H,'YTD Purchases'!$C:$C,Brokerage!$B93,'YTD Purchases'!$G:$G,Brokerage!J$4)</f>
        <v>0</v>
      </c>
      <c r="K93" s="857">
        <f>SUMIFS('YTD Sales'!$N:$N,'YTD Sales'!$B:$B,Brokerage!$B93,'YTD Sales'!$M:$M,Brokerage!K$4)+SUMIFS('YTD Purchases'!$H:$H,'YTD Purchases'!$C:$C,Brokerage!$B93,'YTD Purchases'!$G:$G,Brokerage!K$4)</f>
        <v>0</v>
      </c>
      <c r="L93" s="857">
        <f>SUMIFS('YTD Sales'!$N:$N,'YTD Sales'!$B:$B,Brokerage!$B93,'YTD Sales'!$M:$M,Brokerage!L$4)+SUMIFS('YTD Purchases'!$H:$H,'YTD Purchases'!$C:$C,Brokerage!$B93,'YTD Purchases'!$G:$G,Brokerage!L$4)</f>
        <v>0</v>
      </c>
      <c r="M93" s="857">
        <f>SUMIFS('YTD Sales'!$N:$N,'YTD Sales'!$B:$B,Brokerage!$B93,'YTD Sales'!$M:$M,Brokerage!M$4)+SUMIFS('YTD Purchases'!$H:$H,'YTD Purchases'!$C:$C,Brokerage!$B93,'YTD Purchases'!$G:$G,Brokerage!M$4)</f>
        <v>0</v>
      </c>
      <c r="N93" s="857">
        <f>SUMIFS('YTD Sales'!$N:$N,'YTD Sales'!$B:$B,Brokerage!$B93,'YTD Sales'!$M:$M,Brokerage!N$4)+SUMIFS('YTD Purchases'!$H:$H,'YTD Purchases'!$C:$C,Brokerage!$B93,'YTD Purchases'!$G:$G,Brokerage!N$4)</f>
        <v>0</v>
      </c>
      <c r="O93" s="857">
        <f>SUMIFS('YTD Sales'!$N:$N,'YTD Sales'!$B:$B,Brokerage!$B93,'YTD Sales'!$M:$M,Brokerage!O$4)+SUMIFS('YTD Purchases'!$H:$H,'YTD Purchases'!$C:$C,Brokerage!$B93,'YTD Purchases'!$G:$G,Brokerage!O$4)</f>
        <v>0</v>
      </c>
      <c r="P93" s="857">
        <f>SUMIFS('YTD Sales'!$N:$N,'YTD Sales'!$B:$B,Brokerage!$B93,'YTD Sales'!$M:$M,Brokerage!P$4)+SUMIFS('YTD Purchases'!$H:$H,'YTD Purchases'!$C:$C,Brokerage!$B93,'YTD Purchases'!$G:$G,Brokerage!P$4)</f>
        <v>13410.76</v>
      </c>
      <c r="Q93" s="857">
        <f>SUMIFS('YTD Sales'!$N:$N,'YTD Sales'!$B:$B,Brokerage!$B93,'YTD Sales'!$M:$M,Brokerage!Q$4)+SUMIFS('YTD Purchases'!$H:$H,'YTD Purchases'!$C:$C,Brokerage!$B93,'YTD Purchases'!$G:$G,Brokerage!Q$4)</f>
        <v>0</v>
      </c>
      <c r="R93" s="857">
        <f>SUMIFS('YTD Sales'!$N:$N,'YTD Sales'!$B:$B,Brokerage!$B93,'YTD Sales'!$M:$M,Brokerage!R$4)+SUMIFS('YTD Purchases'!$H:$H,'YTD Purchases'!$C:$C,Brokerage!$B93,'YTD Purchases'!$G:$G,Brokerage!R$4)</f>
        <v>0</v>
      </c>
      <c r="S93" s="857">
        <f>SUMIFS('YTD Sales'!$N:$N,'YTD Sales'!$B:$B,Brokerage!$B93,'YTD Sales'!$M:$M,Brokerage!S$4)+SUMIFS('YTD Purchases'!$H:$H,'YTD Purchases'!$C:$C,Brokerage!$B93,'YTD Purchases'!$G:$G,Brokerage!S$4)</f>
        <v>6635.5</v>
      </c>
      <c r="T93" s="857">
        <f>SUMIFS('YTD Sales'!$N:$N,'YTD Sales'!$B:$B,Brokerage!$B93,'YTD Sales'!$M:$M,Brokerage!T$4)+SUMIFS('YTD Purchases'!$H:$H,'YTD Purchases'!$C:$C,Brokerage!$B93,'YTD Purchases'!$G:$G,Brokerage!T$4)</f>
        <v>0</v>
      </c>
      <c r="U93" s="857">
        <f>SUMIFS('YTD Sales'!$N:$N,'YTD Sales'!$B:$B,Brokerage!$B93,'YTD Sales'!$M:$M,Brokerage!U$4)+SUMIFS('YTD Purchases'!$H:$H,'YTD Purchases'!$C:$C,Brokerage!$B93,'YTD Purchases'!$G:$G,Brokerage!U$4)</f>
        <v>0</v>
      </c>
      <c r="V93" s="857">
        <f>SUMIFS('YTD Sales'!$N:$N,'YTD Sales'!$B:$B,Brokerage!$B93,'YTD Sales'!$M:$M,Brokerage!V$4)+SUMIFS('YTD Purchases'!$H:$H,'YTD Purchases'!$C:$C,Brokerage!$B93,'YTD Purchases'!$G:$G,Brokerage!V$4)</f>
        <v>0</v>
      </c>
      <c r="W93" s="857">
        <f>SUMIFS('YTD Sales'!$N:$N,'YTD Sales'!$B:$B,Brokerage!$B93,'YTD Sales'!$M:$M,Brokerage!W$4)+SUMIFS('YTD Purchases'!$H:$H,'YTD Purchases'!$C:$C,Brokerage!$B93,'YTD Purchases'!$G:$G,Brokerage!W$4)</f>
        <v>0</v>
      </c>
      <c r="X93" s="857">
        <f>SUMIFS('YTD Sales'!$N:$N,'YTD Sales'!$B:$B,Brokerage!$B93,'YTD Sales'!$M:$M,Brokerage!X$4)+SUMIFS('YTD Purchases'!$H:$H,'YTD Purchases'!$C:$C,Brokerage!$B93,'YTD Purchases'!$G:$G,Brokerage!X$4)</f>
        <v>0</v>
      </c>
      <c r="Y93" s="857">
        <f>SUMIFS('YTD Sales'!$N:$N,'YTD Sales'!$B:$B,Brokerage!$B93,'YTD Sales'!$M:$M,Brokerage!Y$4)+SUMIFS('YTD Purchases'!$H:$H,'YTD Purchases'!$C:$C,Brokerage!$B93,'YTD Purchases'!$G:$G,Brokerage!Y$4)</f>
        <v>0</v>
      </c>
      <c r="Z93" s="857">
        <f>SUMIFS('YTD Sales'!$N:$N,'YTD Sales'!$B:$B,Brokerage!$B93,'YTD Sales'!$M:$M,Brokerage!Z$4)+SUMIFS('YTD Purchases'!$H:$H,'YTD Purchases'!$C:$C,Brokerage!$B93,'YTD Purchases'!$G:$G,Brokerage!Z$4)</f>
        <v>0</v>
      </c>
      <c r="AA93" s="857">
        <f>SUMIFS('YTD Sales'!$N:$N,'YTD Sales'!$B:$B,Brokerage!$B93,'YTD Sales'!$M:$M,Brokerage!AA$4)+SUMIFS('YTD Purchases'!$H:$H,'YTD Purchases'!$C:$C,Brokerage!$B93,'YTD Purchases'!$G:$G,Brokerage!AA$4)</f>
        <v>0</v>
      </c>
      <c r="AB93" s="857">
        <f>SUMIFS('YTD Sales'!$N:$N,'YTD Sales'!$B:$B,Brokerage!$B93,'YTD Sales'!$M:$M,Brokerage!AB$4)+SUMIFS('YTD Purchases'!$H:$H,'YTD Purchases'!$C:$C,Brokerage!$B93,'YTD Purchases'!$G:$G,Brokerage!AB$4)</f>
        <v>0</v>
      </c>
      <c r="AC93" s="857">
        <f>SUMIFS('YTD Sales'!$N:$N,'YTD Sales'!$B:$B,Brokerage!$B93,'YTD Sales'!$M:$M,Brokerage!AC$4)+SUMIFS('YTD Purchases'!$H:$H,'YTD Purchases'!$C:$C,Brokerage!$B93,'YTD Purchases'!$G:$G,Brokerage!AC$4)</f>
        <v>0</v>
      </c>
      <c r="AD93" s="857">
        <f>+SUMIFS(PIB!AG:AG,PIB!AF:AF,Brokerage!AD$4,PIB!AA:AA,Brokerage!$B93)+SUMIFS('T-Bills'!AB:AB,'T-Bills'!AA:AA,Brokerage!AD$4,'T-Bills'!V:V,Brokerage!$B93)</f>
        <v>0</v>
      </c>
      <c r="AE93" s="857">
        <f>+SUMIFS(PIB!AH:AH,PIB!AG:AG,Brokerage!AE$4,PIB!AB:AB,Brokerage!$B93)+SUMIFS('T-Bills'!AC:AC,'T-Bills'!AB:AB,Brokerage!AE$4,'T-Bills'!W:W,Brokerage!$B93)</f>
        <v>0</v>
      </c>
      <c r="AF93" s="857">
        <f>+SUMIFS(PIB!AI:AI,PIB!AH:AH,Brokerage!AF$4,PIB!AC:AC,Brokerage!$B93)+SUMIFS('T-Bills'!AD:AD,'T-Bills'!AC:AC,Brokerage!AF$4,'T-Bills'!X:X,Brokerage!$B93)</f>
        <v>0</v>
      </c>
      <c r="AG93" s="857">
        <f t="shared" si="10"/>
        <v>24374.440000000002</v>
      </c>
      <c r="AH93" s="858">
        <f t="shared" si="17"/>
        <v>1</v>
      </c>
    </row>
    <row r="94" spans="2:34" x14ac:dyDescent="0.15">
      <c r="B94" s="661">
        <f t="shared" si="9"/>
        <v>44650</v>
      </c>
      <c r="C94" s="857">
        <f>SUMIFS('YTD Sales'!$N:$N,'YTD Sales'!$B:$B,Brokerage!$B94,'YTD Sales'!$M:$M,Brokerage!C$4)+SUMIFS('YTD Purchases'!$H:$H,'YTD Purchases'!$C:$C,Brokerage!$B94,'YTD Purchases'!$G:$G,Brokerage!C$4)</f>
        <v>0</v>
      </c>
      <c r="D94" s="857">
        <f>SUMIFS('YTD Sales'!$N:$N,'YTD Sales'!$B:$B,Brokerage!$B94,'YTD Sales'!$M:$M,Brokerage!D$4)+SUMIFS('YTD Purchases'!$H:$H,'YTD Purchases'!$C:$C,Brokerage!$B94,'YTD Purchases'!$G:$G,Brokerage!D$4)</f>
        <v>0</v>
      </c>
      <c r="E94" s="857">
        <f>SUMIFS('YTD Sales'!$N:$N,'YTD Sales'!$B:$B,Brokerage!$B94,'YTD Sales'!$M:$M,Brokerage!E$4)+SUMIFS('YTD Purchases'!$H:$H,'YTD Purchases'!$C:$C,Brokerage!$B94,'YTD Purchases'!$G:$G,Brokerage!E$4)</f>
        <v>0</v>
      </c>
      <c r="F94" s="857">
        <f>SUMIFS('YTD Sales'!$N:$N,'YTD Sales'!$B:$B,Brokerage!$B94,'YTD Sales'!$M:$M,Brokerage!F$4)+SUMIFS('YTD Purchases'!$H:$H,'YTD Purchases'!$C:$C,Brokerage!$B94,'YTD Purchases'!$G:$G,Brokerage!F$4)</f>
        <v>0</v>
      </c>
      <c r="G94" s="857">
        <f>SUMIFS('YTD Sales'!$N:$N,'YTD Sales'!$B:$B,Brokerage!$B94,'YTD Sales'!$M:$M,Brokerage!G$4)+SUMIFS('YTD Purchases'!$H:$H,'YTD Purchases'!$C:$C,Brokerage!$B94,'YTD Purchases'!$G:$G,Brokerage!G$4)</f>
        <v>0</v>
      </c>
      <c r="H94" s="857">
        <f>SUMIFS('YTD Sales'!$N:$N,'YTD Sales'!$B:$B,Brokerage!$B94,'YTD Sales'!$M:$M,Brokerage!H$4)+SUMIFS('YTD Purchases'!$H:$H,'YTD Purchases'!$C:$C,Brokerage!$B94,'YTD Purchases'!$G:$G,Brokerage!H$4)</f>
        <v>0</v>
      </c>
      <c r="I94" s="857">
        <f>SUMIFS('YTD Sales'!$N:$N,'YTD Sales'!$B:$B,Brokerage!$B94,'YTD Sales'!$M:$M,Brokerage!I$4)+SUMIFS('YTD Purchases'!$H:$H,'YTD Purchases'!$C:$C,Brokerage!$B94,'YTD Purchases'!$G:$G,Brokerage!I$4)</f>
        <v>0</v>
      </c>
      <c r="J94" s="857">
        <f>SUMIFS('YTD Sales'!$N:$N,'YTD Sales'!$B:$B,Brokerage!$B94,'YTD Sales'!$M:$M,Brokerage!J$4)+SUMIFS('YTD Purchases'!$H:$H,'YTD Purchases'!$C:$C,Brokerage!$B94,'YTD Purchases'!$G:$G,Brokerage!J$4)</f>
        <v>0</v>
      </c>
      <c r="K94" s="857">
        <f>SUMIFS('YTD Sales'!$N:$N,'YTD Sales'!$B:$B,Brokerage!$B94,'YTD Sales'!$M:$M,Brokerage!K$4)+SUMIFS('YTD Purchases'!$H:$H,'YTD Purchases'!$C:$C,Brokerage!$B94,'YTD Purchases'!$G:$G,Brokerage!K$4)</f>
        <v>0</v>
      </c>
      <c r="L94" s="857">
        <f>SUMIFS('YTD Sales'!$N:$N,'YTD Sales'!$B:$B,Brokerage!$B94,'YTD Sales'!$M:$M,Brokerage!L$4)+SUMIFS('YTD Purchases'!$H:$H,'YTD Purchases'!$C:$C,Brokerage!$B94,'YTD Purchases'!$G:$G,Brokerage!L$4)</f>
        <v>9184.1400000000012</v>
      </c>
      <c r="M94" s="857">
        <f>SUMIFS('YTD Sales'!$N:$N,'YTD Sales'!$B:$B,Brokerage!$B94,'YTD Sales'!$M:$M,Brokerage!M$4)+SUMIFS('YTD Purchases'!$H:$H,'YTD Purchases'!$C:$C,Brokerage!$B94,'YTD Purchases'!$G:$G,Brokerage!M$4)</f>
        <v>0</v>
      </c>
      <c r="N94" s="857">
        <f>SUMIFS('YTD Sales'!$N:$N,'YTD Sales'!$B:$B,Brokerage!$B94,'YTD Sales'!$M:$M,Brokerage!N$4)+SUMIFS('YTD Purchases'!$H:$H,'YTD Purchases'!$C:$C,Brokerage!$B94,'YTD Purchases'!$G:$G,Brokerage!N$4)</f>
        <v>0</v>
      </c>
      <c r="O94" s="857">
        <f>SUMIFS('YTD Sales'!$N:$N,'YTD Sales'!$B:$B,Brokerage!$B94,'YTD Sales'!$M:$M,Brokerage!O$4)+SUMIFS('YTD Purchases'!$H:$H,'YTD Purchases'!$C:$C,Brokerage!$B94,'YTD Purchases'!$G:$G,Brokerage!O$4)</f>
        <v>0</v>
      </c>
      <c r="P94" s="857">
        <f>SUMIFS('YTD Sales'!$N:$N,'YTD Sales'!$B:$B,Brokerage!$B94,'YTD Sales'!$M:$M,Brokerage!P$4)+SUMIFS('YTD Purchases'!$H:$H,'YTD Purchases'!$C:$C,Brokerage!$B94,'YTD Purchases'!$G:$G,Brokerage!P$4)</f>
        <v>0</v>
      </c>
      <c r="Q94" s="857">
        <f>SUMIFS('YTD Sales'!$N:$N,'YTD Sales'!$B:$B,Brokerage!$B94,'YTD Sales'!$M:$M,Brokerage!Q$4)+SUMIFS('YTD Purchases'!$H:$H,'YTD Purchases'!$C:$C,Brokerage!$B94,'YTD Purchases'!$G:$G,Brokerage!Q$4)</f>
        <v>0</v>
      </c>
      <c r="R94" s="857">
        <f>SUMIFS('YTD Sales'!$N:$N,'YTD Sales'!$B:$B,Brokerage!$B94,'YTD Sales'!$M:$M,Brokerage!R$4)+SUMIFS('YTD Purchases'!$H:$H,'YTD Purchases'!$C:$C,Brokerage!$B94,'YTD Purchases'!$G:$G,Brokerage!R$4)</f>
        <v>0</v>
      </c>
      <c r="S94" s="857">
        <f>SUMIFS('YTD Sales'!$N:$N,'YTD Sales'!$B:$B,Brokerage!$B94,'YTD Sales'!$M:$M,Brokerage!S$4)+SUMIFS('YTD Purchases'!$H:$H,'YTD Purchases'!$C:$C,Brokerage!$B94,'YTD Purchases'!$G:$G,Brokerage!S$4)</f>
        <v>5009.1499999999996</v>
      </c>
      <c r="T94" s="857">
        <f>SUMIFS('YTD Sales'!$N:$N,'YTD Sales'!$B:$B,Brokerage!$B94,'YTD Sales'!$M:$M,Brokerage!T$4)+SUMIFS('YTD Purchases'!$H:$H,'YTD Purchases'!$C:$C,Brokerage!$B94,'YTD Purchases'!$G:$G,Brokerage!T$4)</f>
        <v>0</v>
      </c>
      <c r="U94" s="857">
        <f>SUMIFS('YTD Sales'!$N:$N,'YTD Sales'!$B:$B,Brokerage!$B94,'YTD Sales'!$M:$M,Brokerage!U$4)+SUMIFS('YTD Purchases'!$H:$H,'YTD Purchases'!$C:$C,Brokerage!$B94,'YTD Purchases'!$G:$G,Brokerage!U$4)</f>
        <v>0</v>
      </c>
      <c r="V94" s="857">
        <f>SUMIFS('YTD Sales'!$N:$N,'YTD Sales'!$B:$B,Brokerage!$B94,'YTD Sales'!$M:$M,Brokerage!V$4)+SUMIFS('YTD Purchases'!$H:$H,'YTD Purchases'!$C:$C,Brokerage!$B94,'YTD Purchases'!$G:$G,Brokerage!V$4)</f>
        <v>0</v>
      </c>
      <c r="W94" s="857">
        <f>SUMIFS('YTD Sales'!$N:$N,'YTD Sales'!$B:$B,Brokerage!$B94,'YTD Sales'!$M:$M,Brokerage!W$4)+SUMIFS('YTD Purchases'!$H:$H,'YTD Purchases'!$C:$C,Brokerage!$B94,'YTD Purchases'!$G:$G,Brokerage!W$4)</f>
        <v>0</v>
      </c>
      <c r="X94" s="857">
        <f>SUMIFS('YTD Sales'!$N:$N,'YTD Sales'!$B:$B,Brokerage!$B94,'YTD Sales'!$M:$M,Brokerage!X$4)+SUMIFS('YTD Purchases'!$H:$H,'YTD Purchases'!$C:$C,Brokerage!$B94,'YTD Purchases'!$G:$G,Brokerage!X$4)</f>
        <v>0</v>
      </c>
      <c r="Y94" s="857">
        <f>SUMIFS('YTD Sales'!$N:$N,'YTD Sales'!$B:$B,Brokerage!$B94,'YTD Sales'!$M:$M,Brokerage!Y$4)+SUMIFS('YTD Purchases'!$H:$H,'YTD Purchases'!$C:$C,Brokerage!$B94,'YTD Purchases'!$G:$G,Brokerage!Y$4)</f>
        <v>0</v>
      </c>
      <c r="Z94" s="857">
        <f>SUMIFS('YTD Sales'!$N:$N,'YTD Sales'!$B:$B,Brokerage!$B94,'YTD Sales'!$M:$M,Brokerage!Z$4)+SUMIFS('YTD Purchases'!$H:$H,'YTD Purchases'!$C:$C,Brokerage!$B94,'YTD Purchases'!$G:$G,Brokerage!Z$4)</f>
        <v>0</v>
      </c>
      <c r="AA94" s="857">
        <f>SUMIFS('YTD Sales'!$N:$N,'YTD Sales'!$B:$B,Brokerage!$B94,'YTD Sales'!$M:$M,Brokerage!AA$4)+SUMIFS('YTD Purchases'!$H:$H,'YTD Purchases'!$C:$C,Brokerage!$B94,'YTD Purchases'!$G:$G,Brokerage!AA$4)</f>
        <v>0</v>
      </c>
      <c r="AB94" s="857">
        <f>SUMIFS('YTD Sales'!$N:$N,'YTD Sales'!$B:$B,Brokerage!$B94,'YTD Sales'!$M:$M,Brokerage!AB$4)+SUMIFS('YTD Purchases'!$H:$H,'YTD Purchases'!$C:$C,Brokerage!$B94,'YTD Purchases'!$G:$G,Brokerage!AB$4)</f>
        <v>0</v>
      </c>
      <c r="AC94" s="857">
        <f>SUMIFS('YTD Sales'!$N:$N,'YTD Sales'!$B:$B,Brokerage!$B94,'YTD Sales'!$M:$M,Brokerage!AC$4)+SUMIFS('YTD Purchases'!$H:$H,'YTD Purchases'!$C:$C,Brokerage!$B94,'YTD Purchases'!$G:$G,Brokerage!AC$4)</f>
        <v>0</v>
      </c>
      <c r="AD94" s="857">
        <f>+SUMIFS(PIB!AG:AG,PIB!AF:AF,Brokerage!AD$4,PIB!AA:AA,Brokerage!$B94)+SUMIFS('T-Bills'!AB:AB,'T-Bills'!AA:AA,Brokerage!AD$4,'T-Bills'!V:V,Brokerage!$B94)</f>
        <v>0</v>
      </c>
      <c r="AE94" s="857">
        <f>+SUMIFS(PIB!AH:AH,PIB!AG:AG,Brokerage!AE$4,PIB!AB:AB,Brokerage!$B94)+SUMIFS('T-Bills'!AC:AC,'T-Bills'!AB:AB,Brokerage!AE$4,'T-Bills'!W:W,Brokerage!$B94)</f>
        <v>0</v>
      </c>
      <c r="AF94" s="857">
        <f>+SUMIFS(PIB!AI:AI,PIB!AH:AH,Brokerage!AF$4,PIB!AC:AC,Brokerage!$B94)+SUMIFS('T-Bills'!AD:AD,'T-Bills'!AC:AC,Brokerage!AF$4,'T-Bills'!X:X,Brokerage!$B94)</f>
        <v>0</v>
      </c>
      <c r="AG94" s="857">
        <f t="shared" si="10"/>
        <v>14193.29</v>
      </c>
      <c r="AH94" s="858">
        <f t="shared" si="17"/>
        <v>1</v>
      </c>
    </row>
    <row r="95" spans="2:34" x14ac:dyDescent="0.15">
      <c r="B95" s="661">
        <f t="shared" si="9"/>
        <v>44651</v>
      </c>
      <c r="C95" s="857">
        <f>SUMIFS('YTD Sales'!$N:$N,'YTD Sales'!$B:$B,Brokerage!$B95,'YTD Sales'!$M:$M,Brokerage!C$4)+SUMIFS('YTD Purchases'!$H:$H,'YTD Purchases'!$C:$C,Brokerage!$B95,'YTD Purchases'!$G:$G,Brokerage!C$4)</f>
        <v>5556.4500000000007</v>
      </c>
      <c r="D95" s="857">
        <f>SUMIFS('YTD Sales'!$N:$N,'YTD Sales'!$B:$B,Brokerage!$B95,'YTD Sales'!$M:$M,Brokerage!D$4)+SUMIFS('YTD Purchases'!$H:$H,'YTD Purchases'!$C:$C,Brokerage!$B95,'YTD Purchases'!$G:$G,Brokerage!D$4)</f>
        <v>10675.21</v>
      </c>
      <c r="E95" s="857">
        <f>SUMIFS('YTD Sales'!$N:$N,'YTD Sales'!$B:$B,Brokerage!$B95,'YTD Sales'!$M:$M,Brokerage!E$4)+SUMIFS('YTD Purchases'!$H:$H,'YTD Purchases'!$C:$C,Brokerage!$B95,'YTD Purchases'!$G:$G,Brokerage!E$4)</f>
        <v>0</v>
      </c>
      <c r="F95" s="857">
        <f>SUMIFS('YTD Sales'!$N:$N,'YTD Sales'!$B:$B,Brokerage!$B95,'YTD Sales'!$M:$M,Brokerage!F$4)+SUMIFS('YTD Purchases'!$H:$H,'YTD Purchases'!$C:$C,Brokerage!$B95,'YTD Purchases'!$G:$G,Brokerage!F$4)</f>
        <v>0</v>
      </c>
      <c r="G95" s="857">
        <f>SUMIFS('YTD Sales'!$N:$N,'YTD Sales'!$B:$B,Brokerage!$B95,'YTD Sales'!$M:$M,Brokerage!G$4)+SUMIFS('YTD Purchases'!$H:$H,'YTD Purchases'!$C:$C,Brokerage!$B95,'YTD Purchases'!$G:$G,Brokerage!G$4)</f>
        <v>0</v>
      </c>
      <c r="H95" s="857">
        <f>SUMIFS('YTD Sales'!$N:$N,'YTD Sales'!$B:$B,Brokerage!$B95,'YTD Sales'!$M:$M,Brokerage!H$4)+SUMIFS('YTD Purchases'!$H:$H,'YTD Purchases'!$C:$C,Brokerage!$B95,'YTD Purchases'!$G:$G,Brokerage!H$4)</f>
        <v>981.40999999999985</v>
      </c>
      <c r="I95" s="857">
        <f>SUMIFS('YTD Sales'!$N:$N,'YTD Sales'!$B:$B,Brokerage!$B95,'YTD Sales'!$M:$M,Brokerage!I$4)+SUMIFS('YTD Purchases'!$H:$H,'YTD Purchases'!$C:$C,Brokerage!$B95,'YTD Purchases'!$G:$G,Brokerage!I$4)</f>
        <v>0</v>
      </c>
      <c r="J95" s="857">
        <f>SUMIFS('YTD Sales'!$N:$N,'YTD Sales'!$B:$B,Brokerage!$B95,'YTD Sales'!$M:$M,Brokerage!J$4)+SUMIFS('YTD Purchases'!$H:$H,'YTD Purchases'!$C:$C,Brokerage!$B95,'YTD Purchases'!$G:$G,Brokerage!J$4)</f>
        <v>0</v>
      </c>
      <c r="K95" s="857">
        <f>SUMIFS('YTD Sales'!$N:$N,'YTD Sales'!$B:$B,Brokerage!$B95,'YTD Sales'!$M:$M,Brokerage!K$4)+SUMIFS('YTD Purchases'!$H:$H,'YTD Purchases'!$C:$C,Brokerage!$B95,'YTD Purchases'!$G:$G,Brokerage!K$4)</f>
        <v>0</v>
      </c>
      <c r="L95" s="857">
        <f>SUMIFS('YTD Sales'!$N:$N,'YTD Sales'!$B:$B,Brokerage!$B95,'YTD Sales'!$M:$M,Brokerage!L$4)+SUMIFS('YTD Purchases'!$H:$H,'YTD Purchases'!$C:$C,Brokerage!$B95,'YTD Purchases'!$G:$G,Brokerage!L$4)</f>
        <v>0</v>
      </c>
      <c r="M95" s="857">
        <f>SUMIFS('YTD Sales'!$N:$N,'YTD Sales'!$B:$B,Brokerage!$B95,'YTD Sales'!$M:$M,Brokerage!M$4)+SUMIFS('YTD Purchases'!$H:$H,'YTD Purchases'!$C:$C,Brokerage!$B95,'YTD Purchases'!$G:$G,Brokerage!M$4)</f>
        <v>2366.1899999999996</v>
      </c>
      <c r="N95" s="857">
        <f>SUMIFS('YTD Sales'!$N:$N,'YTD Sales'!$B:$B,Brokerage!$B95,'YTD Sales'!$M:$M,Brokerage!N$4)+SUMIFS('YTD Purchases'!$H:$H,'YTD Purchases'!$C:$C,Brokerage!$B95,'YTD Purchases'!$G:$G,Brokerage!N$4)</f>
        <v>0</v>
      </c>
      <c r="O95" s="857">
        <f>SUMIFS('YTD Sales'!$N:$N,'YTD Sales'!$B:$B,Brokerage!$B95,'YTD Sales'!$M:$M,Brokerage!O$4)+SUMIFS('YTD Purchases'!$H:$H,'YTD Purchases'!$C:$C,Brokerage!$B95,'YTD Purchases'!$G:$G,Brokerage!O$4)</f>
        <v>0</v>
      </c>
      <c r="P95" s="857">
        <f>SUMIFS('YTD Sales'!$N:$N,'YTD Sales'!$B:$B,Brokerage!$B95,'YTD Sales'!$M:$M,Brokerage!P$4)+SUMIFS('YTD Purchases'!$H:$H,'YTD Purchases'!$C:$C,Brokerage!$B95,'YTD Purchases'!$G:$G,Brokerage!P$4)</f>
        <v>0</v>
      </c>
      <c r="Q95" s="857">
        <f>SUMIFS('YTD Sales'!$N:$N,'YTD Sales'!$B:$B,Brokerage!$B95,'YTD Sales'!$M:$M,Brokerage!Q$4)+SUMIFS('YTD Purchases'!$H:$H,'YTD Purchases'!$C:$C,Brokerage!$B95,'YTD Purchases'!$G:$G,Brokerage!Q$4)</f>
        <v>0</v>
      </c>
      <c r="R95" s="857">
        <f>SUMIFS('YTD Sales'!$N:$N,'YTD Sales'!$B:$B,Brokerage!$B95,'YTD Sales'!$M:$M,Brokerage!R$4)+SUMIFS('YTD Purchases'!$H:$H,'YTD Purchases'!$C:$C,Brokerage!$B95,'YTD Purchases'!$G:$G,Brokerage!R$4)</f>
        <v>0</v>
      </c>
      <c r="S95" s="857">
        <f>SUMIFS('YTD Sales'!$N:$N,'YTD Sales'!$B:$B,Brokerage!$B95,'YTD Sales'!$M:$M,Brokerage!S$4)+SUMIFS('YTD Purchases'!$H:$H,'YTD Purchases'!$C:$C,Brokerage!$B95,'YTD Purchases'!$G:$G,Brokerage!S$4)</f>
        <v>0</v>
      </c>
      <c r="T95" s="857">
        <f>SUMIFS('YTD Sales'!$N:$N,'YTD Sales'!$B:$B,Brokerage!$B95,'YTD Sales'!$M:$M,Brokerage!T$4)+SUMIFS('YTD Purchases'!$H:$H,'YTD Purchases'!$C:$C,Brokerage!$B95,'YTD Purchases'!$G:$G,Brokerage!T$4)</f>
        <v>0</v>
      </c>
      <c r="U95" s="857">
        <f>SUMIFS('YTD Sales'!$N:$N,'YTD Sales'!$B:$B,Brokerage!$B95,'YTD Sales'!$M:$M,Brokerage!U$4)+SUMIFS('YTD Purchases'!$H:$H,'YTD Purchases'!$C:$C,Brokerage!$B95,'YTD Purchases'!$G:$G,Brokerage!U$4)</f>
        <v>0</v>
      </c>
      <c r="V95" s="857">
        <f>SUMIFS('YTD Sales'!$N:$N,'YTD Sales'!$B:$B,Brokerage!$B95,'YTD Sales'!$M:$M,Brokerage!V$4)+SUMIFS('YTD Purchases'!$H:$H,'YTD Purchases'!$C:$C,Brokerage!$B95,'YTD Purchases'!$G:$G,Brokerage!V$4)</f>
        <v>0</v>
      </c>
      <c r="W95" s="857">
        <f>SUMIFS('YTD Sales'!$N:$N,'YTD Sales'!$B:$B,Brokerage!$B95,'YTD Sales'!$M:$M,Brokerage!W$4)+SUMIFS('YTD Purchases'!$H:$H,'YTD Purchases'!$C:$C,Brokerage!$B95,'YTD Purchases'!$G:$G,Brokerage!W$4)</f>
        <v>0</v>
      </c>
      <c r="X95" s="857">
        <f>SUMIFS('YTD Sales'!$N:$N,'YTD Sales'!$B:$B,Brokerage!$B95,'YTD Sales'!$M:$M,Brokerage!X$4)+SUMIFS('YTD Purchases'!$H:$H,'YTD Purchases'!$C:$C,Brokerage!$B95,'YTD Purchases'!$G:$G,Brokerage!X$4)</f>
        <v>0</v>
      </c>
      <c r="Y95" s="857">
        <f>SUMIFS('YTD Sales'!$N:$N,'YTD Sales'!$B:$B,Brokerage!$B95,'YTD Sales'!$M:$M,Brokerage!Y$4)+SUMIFS('YTD Purchases'!$H:$H,'YTD Purchases'!$C:$C,Brokerage!$B95,'YTD Purchases'!$G:$G,Brokerage!Y$4)</f>
        <v>0</v>
      </c>
      <c r="Z95" s="857">
        <f>SUMIFS('YTD Sales'!$N:$N,'YTD Sales'!$B:$B,Brokerage!$B95,'YTD Sales'!$M:$M,Brokerage!Z$4)+SUMIFS('YTD Purchases'!$H:$H,'YTD Purchases'!$C:$C,Brokerage!$B95,'YTD Purchases'!$G:$G,Brokerage!Z$4)</f>
        <v>0</v>
      </c>
      <c r="AA95" s="857">
        <f>SUMIFS('YTD Sales'!$N:$N,'YTD Sales'!$B:$B,Brokerage!$B95,'YTD Sales'!$M:$M,Brokerage!AA$4)+SUMIFS('YTD Purchases'!$H:$H,'YTD Purchases'!$C:$C,Brokerage!$B95,'YTD Purchases'!$G:$G,Brokerage!AA$4)</f>
        <v>0</v>
      </c>
      <c r="AB95" s="857">
        <f>SUMIFS('YTD Sales'!$N:$N,'YTD Sales'!$B:$B,Brokerage!$B95,'YTD Sales'!$M:$M,Brokerage!AB$4)+SUMIFS('YTD Purchases'!$H:$H,'YTD Purchases'!$C:$C,Brokerage!$B95,'YTD Purchases'!$G:$G,Brokerage!AB$4)</f>
        <v>0</v>
      </c>
      <c r="AC95" s="857">
        <f>SUMIFS('YTD Sales'!$N:$N,'YTD Sales'!$B:$B,Brokerage!$B95,'YTD Sales'!$M:$M,Brokerage!AC$4)+SUMIFS('YTD Purchases'!$H:$H,'YTD Purchases'!$C:$C,Brokerage!$B95,'YTD Purchases'!$G:$G,Brokerage!AC$4)</f>
        <v>0</v>
      </c>
      <c r="AD95" s="857">
        <f>+SUMIFS(PIB!AG:AG,PIB!AF:AF,Brokerage!AD$4,PIB!AA:AA,Brokerage!$B95)+SUMIFS('T-Bills'!AB:AB,'T-Bills'!AA:AA,Brokerage!AD$4,'T-Bills'!V:V,Brokerage!$B95)</f>
        <v>0</v>
      </c>
      <c r="AE95" s="857">
        <f>+SUMIFS(PIB!AH:AH,PIB!AG:AG,Brokerage!AE$4,PIB!AB:AB,Brokerage!$B95)+SUMIFS('T-Bills'!AC:AC,'T-Bills'!AB:AB,Brokerage!AE$4,'T-Bills'!W:W,Brokerage!$B95)</f>
        <v>0</v>
      </c>
      <c r="AF95" s="857">
        <f>+SUMIFS(PIB!AI:AI,PIB!AH:AH,Brokerage!AF$4,PIB!AC:AC,Brokerage!$B95)+SUMIFS('T-Bills'!AD:AD,'T-Bills'!AC:AC,Brokerage!AF$4,'T-Bills'!X:X,Brokerage!$B95)</f>
        <v>0</v>
      </c>
      <c r="AG95" s="857">
        <f t="shared" si="10"/>
        <v>19579.259999999998</v>
      </c>
      <c r="AH95" s="858">
        <f t="shared" si="17"/>
        <v>1</v>
      </c>
    </row>
    <row r="96" spans="2:34" x14ac:dyDescent="0.15">
      <c r="B96" s="661">
        <f t="shared" si="9"/>
        <v>44652</v>
      </c>
      <c r="C96" s="857">
        <f>SUMIFS('YTD Sales'!$N:$N,'YTD Sales'!$B:$B,Brokerage!$B96,'YTD Sales'!$M:$M,Brokerage!C$4)+SUMIFS('YTD Purchases'!$H:$H,'YTD Purchases'!$C:$C,Brokerage!$B96,'YTD Purchases'!$G:$G,Brokerage!C$4)</f>
        <v>0</v>
      </c>
      <c r="D96" s="857">
        <f>SUMIFS('YTD Sales'!$N:$N,'YTD Sales'!$B:$B,Brokerage!$B96,'YTD Sales'!$M:$M,Brokerage!D$4)+SUMIFS('YTD Purchases'!$H:$H,'YTD Purchases'!$C:$C,Brokerage!$B96,'YTD Purchases'!$G:$G,Brokerage!D$4)</f>
        <v>0</v>
      </c>
      <c r="E96" s="857">
        <f>SUMIFS('YTD Sales'!$N:$N,'YTD Sales'!$B:$B,Brokerage!$B96,'YTD Sales'!$M:$M,Brokerage!E$4)+SUMIFS('YTD Purchases'!$H:$H,'YTD Purchases'!$C:$C,Brokerage!$B96,'YTD Purchases'!$G:$G,Brokerage!E$4)</f>
        <v>0</v>
      </c>
      <c r="F96" s="857">
        <f>SUMIFS('YTD Sales'!$N:$N,'YTD Sales'!$B:$B,Brokerage!$B96,'YTD Sales'!$M:$M,Brokerage!F$4)+SUMIFS('YTD Purchases'!$H:$H,'YTD Purchases'!$C:$C,Brokerage!$B96,'YTD Purchases'!$G:$G,Brokerage!F$4)</f>
        <v>0</v>
      </c>
      <c r="G96" s="857">
        <f>SUMIFS('YTD Sales'!$N:$N,'YTD Sales'!$B:$B,Brokerage!$B96,'YTD Sales'!$M:$M,Brokerage!G$4)+SUMIFS('YTD Purchases'!$H:$H,'YTD Purchases'!$C:$C,Brokerage!$B96,'YTD Purchases'!$G:$G,Brokerage!G$4)</f>
        <v>0</v>
      </c>
      <c r="H96" s="857">
        <f>SUMIFS('YTD Sales'!$N:$N,'YTD Sales'!$B:$B,Brokerage!$B96,'YTD Sales'!$M:$M,Brokerage!H$4)+SUMIFS('YTD Purchases'!$H:$H,'YTD Purchases'!$C:$C,Brokerage!$B96,'YTD Purchases'!$G:$G,Brokerage!H$4)</f>
        <v>0</v>
      </c>
      <c r="I96" s="857">
        <f>SUMIFS('YTD Sales'!$N:$N,'YTD Sales'!$B:$B,Brokerage!$B96,'YTD Sales'!$M:$M,Brokerage!I$4)+SUMIFS('YTD Purchases'!$H:$H,'YTD Purchases'!$C:$C,Brokerage!$B96,'YTD Purchases'!$G:$G,Brokerage!I$4)</f>
        <v>0</v>
      </c>
      <c r="J96" s="857">
        <f>SUMIFS('YTD Sales'!$N:$N,'YTD Sales'!$B:$B,Brokerage!$B96,'YTD Sales'!$M:$M,Brokerage!J$4)+SUMIFS('YTD Purchases'!$H:$H,'YTD Purchases'!$C:$C,Brokerage!$B96,'YTD Purchases'!$G:$G,Brokerage!J$4)</f>
        <v>0</v>
      </c>
      <c r="K96" s="857">
        <f>SUMIFS('YTD Sales'!$N:$N,'YTD Sales'!$B:$B,Brokerage!$B96,'YTD Sales'!$M:$M,Brokerage!K$4)+SUMIFS('YTD Purchases'!$H:$H,'YTD Purchases'!$C:$C,Brokerage!$B96,'YTD Purchases'!$G:$G,Brokerage!K$4)</f>
        <v>0</v>
      </c>
      <c r="L96" s="857">
        <f>SUMIFS('YTD Sales'!$N:$N,'YTD Sales'!$B:$B,Brokerage!$B96,'YTD Sales'!$M:$M,Brokerage!L$4)+SUMIFS('YTD Purchases'!$H:$H,'YTD Purchases'!$C:$C,Brokerage!$B96,'YTD Purchases'!$G:$G,Brokerage!L$4)</f>
        <v>0</v>
      </c>
      <c r="M96" s="857">
        <f>SUMIFS('YTD Sales'!$N:$N,'YTD Sales'!$B:$B,Brokerage!$B96,'YTD Sales'!$M:$M,Brokerage!M$4)+SUMIFS('YTD Purchases'!$H:$H,'YTD Purchases'!$C:$C,Brokerage!$B96,'YTD Purchases'!$G:$G,Brokerage!M$4)</f>
        <v>1917.5800000000004</v>
      </c>
      <c r="N96" s="857">
        <f>SUMIFS('YTD Sales'!$N:$N,'YTD Sales'!$B:$B,Brokerage!$B96,'YTD Sales'!$M:$M,Brokerage!N$4)+SUMIFS('YTD Purchases'!$H:$H,'YTD Purchases'!$C:$C,Brokerage!$B96,'YTD Purchases'!$G:$G,Brokerage!N$4)</f>
        <v>0</v>
      </c>
      <c r="O96" s="857">
        <f>SUMIFS('YTD Sales'!$N:$N,'YTD Sales'!$B:$B,Brokerage!$B96,'YTD Sales'!$M:$M,Brokerage!O$4)+SUMIFS('YTD Purchases'!$H:$H,'YTD Purchases'!$C:$C,Brokerage!$B96,'YTD Purchases'!$G:$G,Brokerage!O$4)</f>
        <v>0</v>
      </c>
      <c r="P96" s="857">
        <f>SUMIFS('YTD Sales'!$N:$N,'YTD Sales'!$B:$B,Brokerage!$B96,'YTD Sales'!$M:$M,Brokerage!P$4)+SUMIFS('YTD Purchases'!$H:$H,'YTD Purchases'!$C:$C,Brokerage!$B96,'YTD Purchases'!$G:$G,Brokerage!P$4)</f>
        <v>0</v>
      </c>
      <c r="Q96" s="857">
        <f>SUMIFS('YTD Sales'!$N:$N,'YTD Sales'!$B:$B,Brokerage!$B96,'YTD Sales'!$M:$M,Brokerage!Q$4)+SUMIFS('YTD Purchases'!$H:$H,'YTD Purchases'!$C:$C,Brokerage!$B96,'YTD Purchases'!$G:$G,Brokerage!Q$4)</f>
        <v>0</v>
      </c>
      <c r="R96" s="857">
        <f>SUMIFS('YTD Sales'!$N:$N,'YTD Sales'!$B:$B,Brokerage!$B96,'YTD Sales'!$M:$M,Brokerage!R$4)+SUMIFS('YTD Purchases'!$H:$H,'YTD Purchases'!$C:$C,Brokerage!$B96,'YTD Purchases'!$G:$G,Brokerage!R$4)</f>
        <v>0</v>
      </c>
      <c r="S96" s="857">
        <f>SUMIFS('YTD Sales'!$N:$N,'YTD Sales'!$B:$B,Brokerage!$B96,'YTD Sales'!$M:$M,Brokerage!S$4)+SUMIFS('YTD Purchases'!$H:$H,'YTD Purchases'!$C:$C,Brokerage!$B96,'YTD Purchases'!$G:$G,Brokerage!S$4)</f>
        <v>0</v>
      </c>
      <c r="T96" s="857">
        <f>SUMIFS('YTD Sales'!$N:$N,'YTD Sales'!$B:$B,Brokerage!$B96,'YTD Sales'!$M:$M,Brokerage!T$4)+SUMIFS('YTD Purchases'!$H:$H,'YTD Purchases'!$C:$C,Brokerage!$B96,'YTD Purchases'!$G:$G,Brokerage!T$4)</f>
        <v>0</v>
      </c>
      <c r="U96" s="857">
        <f>SUMIFS('YTD Sales'!$N:$N,'YTD Sales'!$B:$B,Brokerage!$B96,'YTD Sales'!$M:$M,Brokerage!U$4)+SUMIFS('YTD Purchases'!$H:$H,'YTD Purchases'!$C:$C,Brokerage!$B96,'YTD Purchases'!$G:$G,Brokerage!U$4)</f>
        <v>0</v>
      </c>
      <c r="V96" s="857">
        <f>SUMIFS('YTD Sales'!$N:$N,'YTD Sales'!$B:$B,Brokerage!$B96,'YTD Sales'!$M:$M,Brokerage!V$4)+SUMIFS('YTD Purchases'!$H:$H,'YTD Purchases'!$C:$C,Brokerage!$B96,'YTD Purchases'!$G:$G,Brokerage!V$4)</f>
        <v>0</v>
      </c>
      <c r="W96" s="857">
        <f>SUMIFS('YTD Sales'!$N:$N,'YTD Sales'!$B:$B,Brokerage!$B96,'YTD Sales'!$M:$M,Brokerage!W$4)+SUMIFS('YTD Purchases'!$H:$H,'YTD Purchases'!$C:$C,Brokerage!$B96,'YTD Purchases'!$G:$G,Brokerage!W$4)</f>
        <v>0</v>
      </c>
      <c r="X96" s="857">
        <f>SUMIFS('YTD Sales'!$N:$N,'YTD Sales'!$B:$B,Brokerage!$B96,'YTD Sales'!$M:$M,Brokerage!X$4)+SUMIFS('YTD Purchases'!$H:$H,'YTD Purchases'!$C:$C,Brokerage!$B96,'YTD Purchases'!$G:$G,Brokerage!X$4)</f>
        <v>0</v>
      </c>
      <c r="Y96" s="857">
        <f>SUMIFS('YTD Sales'!$N:$N,'YTD Sales'!$B:$B,Brokerage!$B96,'YTD Sales'!$M:$M,Brokerage!Y$4)+SUMIFS('YTD Purchases'!$H:$H,'YTD Purchases'!$C:$C,Brokerage!$B96,'YTD Purchases'!$G:$G,Brokerage!Y$4)</f>
        <v>0</v>
      </c>
      <c r="Z96" s="857">
        <f>SUMIFS('YTD Sales'!$N:$N,'YTD Sales'!$B:$B,Brokerage!$B96,'YTD Sales'!$M:$M,Brokerage!Z$4)+SUMIFS('YTD Purchases'!$H:$H,'YTD Purchases'!$C:$C,Brokerage!$B96,'YTD Purchases'!$G:$G,Brokerage!Z$4)</f>
        <v>0</v>
      </c>
      <c r="AA96" s="857">
        <f>SUMIFS('YTD Sales'!$N:$N,'YTD Sales'!$B:$B,Brokerage!$B96,'YTD Sales'!$M:$M,Brokerage!AA$4)+SUMIFS('YTD Purchases'!$H:$H,'YTD Purchases'!$C:$C,Brokerage!$B96,'YTD Purchases'!$G:$G,Brokerage!AA$4)</f>
        <v>0</v>
      </c>
      <c r="AB96" s="857">
        <f>SUMIFS('YTD Sales'!$N:$N,'YTD Sales'!$B:$B,Brokerage!$B96,'YTD Sales'!$M:$M,Brokerage!AB$4)+SUMIFS('YTD Purchases'!$H:$H,'YTD Purchases'!$C:$C,Brokerage!$B96,'YTD Purchases'!$G:$G,Brokerage!AB$4)</f>
        <v>0</v>
      </c>
      <c r="AC96" s="857">
        <f>SUMIFS('YTD Sales'!$N:$N,'YTD Sales'!$B:$B,Brokerage!$B96,'YTD Sales'!$M:$M,Brokerage!AC$4)+SUMIFS('YTD Purchases'!$H:$H,'YTD Purchases'!$C:$C,Brokerage!$B96,'YTD Purchases'!$G:$G,Brokerage!AC$4)</f>
        <v>0</v>
      </c>
      <c r="AD96" s="857">
        <f>+SUMIFS(PIB!AG:AG,PIB!AF:AF,Brokerage!AD$4,PIB!AA:AA,Brokerage!$B96)+SUMIFS('T-Bills'!AB:AB,'T-Bills'!AA:AA,Brokerage!AD$4,'T-Bills'!V:V,Brokerage!$B96)</f>
        <v>0</v>
      </c>
      <c r="AE96" s="857">
        <f>+SUMIFS(PIB!AH:AH,PIB!AG:AG,Brokerage!AE$4,PIB!AB:AB,Brokerage!$B96)+SUMIFS('T-Bills'!AC:AC,'T-Bills'!AB:AB,Brokerage!AE$4,'T-Bills'!W:W,Brokerage!$B96)</f>
        <v>0</v>
      </c>
      <c r="AF96" s="857">
        <f>+SUMIFS(PIB!AI:AI,PIB!AH:AH,Brokerage!AF$4,PIB!AC:AC,Brokerage!$B96)+SUMIFS('T-Bills'!AD:AD,'T-Bills'!AC:AC,Brokerage!AF$4,'T-Bills'!X:X,Brokerage!$B96)</f>
        <v>0</v>
      </c>
      <c r="AG96" s="857">
        <f t="shared" si="10"/>
        <v>1917.5800000000004</v>
      </c>
      <c r="AH96" s="858">
        <f t="shared" si="17"/>
        <v>0</v>
      </c>
    </row>
    <row r="97" spans="2:34" x14ac:dyDescent="0.15">
      <c r="B97" s="661">
        <f t="shared" si="9"/>
        <v>44653</v>
      </c>
      <c r="C97" s="857">
        <f>SUMIFS('YTD Sales'!$N:$N,'YTD Sales'!$B:$B,Brokerage!$B97,'YTD Sales'!$M:$M,Brokerage!C$4)+SUMIFS('YTD Purchases'!$H:$H,'YTD Purchases'!$C:$C,Brokerage!$B97,'YTD Purchases'!$G:$G,Brokerage!C$4)</f>
        <v>0</v>
      </c>
      <c r="D97" s="857">
        <f>SUMIFS('YTD Sales'!$N:$N,'YTD Sales'!$B:$B,Brokerage!$B97,'YTD Sales'!$M:$M,Brokerage!D$4)+SUMIFS('YTD Purchases'!$H:$H,'YTD Purchases'!$C:$C,Brokerage!$B97,'YTD Purchases'!$G:$G,Brokerage!D$4)</f>
        <v>0</v>
      </c>
      <c r="E97" s="857">
        <f>SUMIFS('YTD Sales'!$N:$N,'YTD Sales'!$B:$B,Brokerage!$B97,'YTD Sales'!$M:$M,Brokerage!E$4)+SUMIFS('YTD Purchases'!$H:$H,'YTD Purchases'!$C:$C,Brokerage!$B97,'YTD Purchases'!$G:$G,Brokerage!E$4)</f>
        <v>0</v>
      </c>
      <c r="F97" s="857">
        <f>SUMIFS('YTD Sales'!$N:$N,'YTD Sales'!$B:$B,Brokerage!$B97,'YTD Sales'!$M:$M,Brokerage!F$4)+SUMIFS('YTD Purchases'!$H:$H,'YTD Purchases'!$C:$C,Brokerage!$B97,'YTD Purchases'!$G:$G,Brokerage!F$4)</f>
        <v>0</v>
      </c>
      <c r="G97" s="857">
        <f>SUMIFS('YTD Sales'!$N:$N,'YTD Sales'!$B:$B,Brokerage!$B97,'YTD Sales'!$M:$M,Brokerage!G$4)+SUMIFS('YTD Purchases'!$H:$H,'YTD Purchases'!$C:$C,Brokerage!$B97,'YTD Purchases'!$G:$G,Brokerage!G$4)</f>
        <v>0</v>
      </c>
      <c r="H97" s="857">
        <f>SUMIFS('YTD Sales'!$N:$N,'YTD Sales'!$B:$B,Brokerage!$B97,'YTD Sales'!$M:$M,Brokerage!H$4)+SUMIFS('YTD Purchases'!$H:$H,'YTD Purchases'!$C:$C,Brokerage!$B97,'YTD Purchases'!$G:$G,Brokerage!H$4)</f>
        <v>0</v>
      </c>
      <c r="I97" s="857">
        <f>SUMIFS('YTD Sales'!$N:$N,'YTD Sales'!$B:$B,Brokerage!$B97,'YTD Sales'!$M:$M,Brokerage!I$4)+SUMIFS('YTD Purchases'!$H:$H,'YTD Purchases'!$C:$C,Brokerage!$B97,'YTD Purchases'!$G:$G,Brokerage!I$4)</f>
        <v>0</v>
      </c>
      <c r="J97" s="857">
        <f>SUMIFS('YTD Sales'!$N:$N,'YTD Sales'!$B:$B,Brokerage!$B97,'YTD Sales'!$M:$M,Brokerage!J$4)+SUMIFS('YTD Purchases'!$H:$H,'YTD Purchases'!$C:$C,Brokerage!$B97,'YTD Purchases'!$G:$G,Brokerage!J$4)</f>
        <v>0</v>
      </c>
      <c r="K97" s="857">
        <f>SUMIFS('YTD Sales'!$N:$N,'YTD Sales'!$B:$B,Brokerage!$B97,'YTD Sales'!$M:$M,Brokerage!K$4)+SUMIFS('YTD Purchases'!$H:$H,'YTD Purchases'!$C:$C,Brokerage!$B97,'YTD Purchases'!$G:$G,Brokerage!K$4)</f>
        <v>0</v>
      </c>
      <c r="L97" s="857">
        <f>SUMIFS('YTD Sales'!$N:$N,'YTD Sales'!$B:$B,Brokerage!$B97,'YTD Sales'!$M:$M,Brokerage!L$4)+SUMIFS('YTD Purchases'!$H:$H,'YTD Purchases'!$C:$C,Brokerage!$B97,'YTD Purchases'!$G:$G,Brokerage!L$4)</f>
        <v>0</v>
      </c>
      <c r="M97" s="857">
        <f>SUMIFS('YTD Sales'!$N:$N,'YTD Sales'!$B:$B,Brokerage!$B97,'YTD Sales'!$M:$M,Brokerage!M$4)+SUMIFS('YTD Purchases'!$H:$H,'YTD Purchases'!$C:$C,Brokerage!$B97,'YTD Purchases'!$G:$G,Brokerage!M$4)</f>
        <v>0</v>
      </c>
      <c r="N97" s="857">
        <f>SUMIFS('YTD Sales'!$N:$N,'YTD Sales'!$B:$B,Brokerage!$B97,'YTD Sales'!$M:$M,Brokerage!N$4)+SUMIFS('YTD Purchases'!$H:$H,'YTD Purchases'!$C:$C,Brokerage!$B97,'YTD Purchases'!$G:$G,Brokerage!N$4)</f>
        <v>0</v>
      </c>
      <c r="O97" s="857">
        <f>SUMIFS('YTD Sales'!$N:$N,'YTD Sales'!$B:$B,Brokerage!$B97,'YTD Sales'!$M:$M,Brokerage!O$4)+SUMIFS('YTD Purchases'!$H:$H,'YTD Purchases'!$C:$C,Brokerage!$B97,'YTD Purchases'!$G:$G,Brokerage!O$4)</f>
        <v>0</v>
      </c>
      <c r="P97" s="857">
        <f>SUMIFS('YTD Sales'!$N:$N,'YTD Sales'!$B:$B,Brokerage!$B97,'YTD Sales'!$M:$M,Brokerage!P$4)+SUMIFS('YTD Purchases'!$H:$H,'YTD Purchases'!$C:$C,Brokerage!$B97,'YTD Purchases'!$G:$G,Brokerage!P$4)</f>
        <v>0</v>
      </c>
      <c r="Q97" s="857">
        <f>SUMIFS('YTD Sales'!$N:$N,'YTD Sales'!$B:$B,Brokerage!$B97,'YTD Sales'!$M:$M,Brokerage!Q$4)+SUMIFS('YTD Purchases'!$H:$H,'YTD Purchases'!$C:$C,Brokerage!$B97,'YTD Purchases'!$G:$G,Brokerage!Q$4)</f>
        <v>0</v>
      </c>
      <c r="R97" s="857">
        <f>SUMIFS('YTD Sales'!$N:$N,'YTD Sales'!$B:$B,Brokerage!$B97,'YTD Sales'!$M:$M,Brokerage!R$4)+SUMIFS('YTD Purchases'!$H:$H,'YTD Purchases'!$C:$C,Brokerage!$B97,'YTD Purchases'!$G:$G,Brokerage!R$4)</f>
        <v>0</v>
      </c>
      <c r="S97" s="857">
        <f>SUMIFS('YTD Sales'!$N:$N,'YTD Sales'!$B:$B,Brokerage!$B97,'YTD Sales'!$M:$M,Brokerage!S$4)+SUMIFS('YTD Purchases'!$H:$H,'YTD Purchases'!$C:$C,Brokerage!$B97,'YTD Purchases'!$G:$G,Brokerage!S$4)</f>
        <v>0</v>
      </c>
      <c r="T97" s="857">
        <f>SUMIFS('YTD Sales'!$N:$N,'YTD Sales'!$B:$B,Brokerage!$B97,'YTD Sales'!$M:$M,Brokerage!T$4)+SUMIFS('YTD Purchases'!$H:$H,'YTD Purchases'!$C:$C,Brokerage!$B97,'YTD Purchases'!$G:$G,Brokerage!T$4)</f>
        <v>0</v>
      </c>
      <c r="U97" s="857">
        <f>SUMIFS('YTD Sales'!$N:$N,'YTD Sales'!$B:$B,Brokerage!$B97,'YTD Sales'!$M:$M,Brokerage!U$4)+SUMIFS('YTD Purchases'!$H:$H,'YTD Purchases'!$C:$C,Brokerage!$B97,'YTD Purchases'!$G:$G,Brokerage!U$4)</f>
        <v>0</v>
      </c>
      <c r="V97" s="857">
        <f>SUMIFS('YTD Sales'!$N:$N,'YTD Sales'!$B:$B,Brokerage!$B97,'YTD Sales'!$M:$M,Brokerage!V$4)+SUMIFS('YTD Purchases'!$H:$H,'YTD Purchases'!$C:$C,Brokerage!$B97,'YTD Purchases'!$G:$G,Brokerage!V$4)</f>
        <v>0</v>
      </c>
      <c r="W97" s="857">
        <f>SUMIFS('YTD Sales'!$N:$N,'YTD Sales'!$B:$B,Brokerage!$B97,'YTD Sales'!$M:$M,Brokerage!W$4)+SUMIFS('YTD Purchases'!$H:$H,'YTD Purchases'!$C:$C,Brokerage!$B97,'YTD Purchases'!$G:$G,Brokerage!W$4)</f>
        <v>0</v>
      </c>
      <c r="X97" s="857">
        <f>SUMIFS('YTD Sales'!$N:$N,'YTD Sales'!$B:$B,Brokerage!$B97,'YTD Sales'!$M:$M,Brokerage!X$4)+SUMIFS('YTD Purchases'!$H:$H,'YTD Purchases'!$C:$C,Brokerage!$B97,'YTD Purchases'!$G:$G,Brokerage!X$4)</f>
        <v>0</v>
      </c>
      <c r="Y97" s="857">
        <f>SUMIFS('YTD Sales'!$N:$N,'YTD Sales'!$B:$B,Brokerage!$B97,'YTD Sales'!$M:$M,Brokerage!Y$4)+SUMIFS('YTD Purchases'!$H:$H,'YTD Purchases'!$C:$C,Brokerage!$B97,'YTD Purchases'!$G:$G,Brokerage!Y$4)</f>
        <v>0</v>
      </c>
      <c r="Z97" s="857">
        <f>SUMIFS('YTD Sales'!$N:$N,'YTD Sales'!$B:$B,Brokerage!$B97,'YTD Sales'!$M:$M,Brokerage!Z$4)+SUMIFS('YTD Purchases'!$H:$H,'YTD Purchases'!$C:$C,Brokerage!$B97,'YTD Purchases'!$G:$G,Brokerage!Z$4)</f>
        <v>0</v>
      </c>
      <c r="AA97" s="857">
        <f>SUMIFS('YTD Sales'!$N:$N,'YTD Sales'!$B:$B,Brokerage!$B97,'YTD Sales'!$M:$M,Brokerage!AA$4)+SUMIFS('YTD Purchases'!$H:$H,'YTD Purchases'!$C:$C,Brokerage!$B97,'YTD Purchases'!$G:$G,Brokerage!AA$4)</f>
        <v>0</v>
      </c>
      <c r="AB97" s="857">
        <f>SUMIFS('YTD Sales'!$N:$N,'YTD Sales'!$B:$B,Brokerage!$B97,'YTD Sales'!$M:$M,Brokerage!AB$4)+SUMIFS('YTD Purchases'!$H:$H,'YTD Purchases'!$C:$C,Brokerage!$B97,'YTD Purchases'!$G:$G,Brokerage!AB$4)</f>
        <v>0</v>
      </c>
      <c r="AC97" s="857">
        <f>SUMIFS('YTD Sales'!$N:$N,'YTD Sales'!$B:$B,Brokerage!$B97,'YTD Sales'!$M:$M,Brokerage!AC$4)+SUMIFS('YTD Purchases'!$H:$H,'YTD Purchases'!$C:$C,Brokerage!$B97,'YTD Purchases'!$G:$G,Brokerage!AC$4)</f>
        <v>0</v>
      </c>
      <c r="AD97" s="857">
        <f>+SUMIFS(PIB!AG:AG,PIB!AF:AF,Brokerage!AD$4,PIB!AA:AA,Brokerage!$B97)+SUMIFS('T-Bills'!AB:AB,'T-Bills'!AA:AA,Brokerage!AD$4,'T-Bills'!V:V,Brokerage!$B97)</f>
        <v>0</v>
      </c>
      <c r="AE97" s="857">
        <f>+SUMIFS(PIB!AH:AH,PIB!AG:AG,Brokerage!AE$4,PIB!AB:AB,Brokerage!$B97)+SUMIFS('T-Bills'!AC:AC,'T-Bills'!AB:AB,Brokerage!AE$4,'T-Bills'!W:W,Brokerage!$B97)</f>
        <v>0</v>
      </c>
      <c r="AF97" s="857">
        <f>+SUMIFS(PIB!AI:AI,PIB!AH:AH,Brokerage!AF$4,PIB!AC:AC,Brokerage!$B97)+SUMIFS('T-Bills'!AD:AD,'T-Bills'!AC:AC,Brokerage!AF$4,'T-Bills'!X:X,Brokerage!$B97)</f>
        <v>0</v>
      </c>
      <c r="AG97" s="857">
        <f t="shared" si="10"/>
        <v>0</v>
      </c>
      <c r="AH97" s="858">
        <f t="shared" si="17"/>
        <v>0</v>
      </c>
    </row>
    <row r="98" spans="2:34" x14ac:dyDescent="0.15">
      <c r="B98" s="661">
        <f t="shared" si="9"/>
        <v>44654</v>
      </c>
      <c r="C98" s="857">
        <f>SUMIFS('YTD Sales'!$N:$N,'YTD Sales'!$B:$B,Brokerage!$B98,'YTD Sales'!$M:$M,Brokerage!C$4)+SUMIFS('YTD Purchases'!$H:$H,'YTD Purchases'!$C:$C,Brokerage!$B98,'YTD Purchases'!$G:$G,Brokerage!C$4)</f>
        <v>0</v>
      </c>
      <c r="D98" s="857">
        <f>SUMIFS('YTD Sales'!$N:$N,'YTD Sales'!$B:$B,Brokerage!$B98,'YTD Sales'!$M:$M,Brokerage!D$4)+SUMIFS('YTD Purchases'!$H:$H,'YTD Purchases'!$C:$C,Brokerage!$B98,'YTD Purchases'!$G:$G,Brokerage!D$4)</f>
        <v>0</v>
      </c>
      <c r="E98" s="857">
        <f>SUMIFS('YTD Sales'!$N:$N,'YTD Sales'!$B:$B,Brokerage!$B98,'YTD Sales'!$M:$M,Brokerage!E$4)+SUMIFS('YTD Purchases'!$H:$H,'YTD Purchases'!$C:$C,Brokerage!$B98,'YTD Purchases'!$G:$G,Brokerage!E$4)</f>
        <v>0</v>
      </c>
      <c r="F98" s="857">
        <f>SUMIFS('YTD Sales'!$N:$N,'YTD Sales'!$B:$B,Brokerage!$B98,'YTD Sales'!$M:$M,Brokerage!F$4)+SUMIFS('YTD Purchases'!$H:$H,'YTD Purchases'!$C:$C,Brokerage!$B98,'YTD Purchases'!$G:$G,Brokerage!F$4)</f>
        <v>0</v>
      </c>
      <c r="G98" s="857">
        <f>SUMIFS('YTD Sales'!$N:$N,'YTD Sales'!$B:$B,Brokerage!$B98,'YTD Sales'!$M:$M,Brokerage!G$4)+SUMIFS('YTD Purchases'!$H:$H,'YTD Purchases'!$C:$C,Brokerage!$B98,'YTD Purchases'!$G:$G,Brokerage!G$4)</f>
        <v>0</v>
      </c>
      <c r="H98" s="857">
        <f>SUMIFS('YTD Sales'!$N:$N,'YTD Sales'!$B:$B,Brokerage!$B98,'YTD Sales'!$M:$M,Brokerage!H$4)+SUMIFS('YTD Purchases'!$H:$H,'YTD Purchases'!$C:$C,Brokerage!$B98,'YTD Purchases'!$G:$G,Brokerage!H$4)</f>
        <v>0</v>
      </c>
      <c r="I98" s="857">
        <f>SUMIFS('YTD Sales'!$N:$N,'YTD Sales'!$B:$B,Brokerage!$B98,'YTD Sales'!$M:$M,Brokerage!I$4)+SUMIFS('YTD Purchases'!$H:$H,'YTD Purchases'!$C:$C,Brokerage!$B98,'YTD Purchases'!$G:$G,Brokerage!I$4)</f>
        <v>0</v>
      </c>
      <c r="J98" s="857">
        <f>SUMIFS('YTD Sales'!$N:$N,'YTD Sales'!$B:$B,Brokerage!$B98,'YTD Sales'!$M:$M,Brokerage!J$4)+SUMIFS('YTD Purchases'!$H:$H,'YTD Purchases'!$C:$C,Brokerage!$B98,'YTD Purchases'!$G:$G,Brokerage!J$4)</f>
        <v>0</v>
      </c>
      <c r="K98" s="857">
        <f>SUMIFS('YTD Sales'!$N:$N,'YTD Sales'!$B:$B,Brokerage!$B98,'YTD Sales'!$M:$M,Brokerage!K$4)+SUMIFS('YTD Purchases'!$H:$H,'YTD Purchases'!$C:$C,Brokerage!$B98,'YTD Purchases'!$G:$G,Brokerage!K$4)</f>
        <v>0</v>
      </c>
      <c r="L98" s="857">
        <f>SUMIFS('YTD Sales'!$N:$N,'YTD Sales'!$B:$B,Brokerage!$B98,'YTD Sales'!$M:$M,Brokerage!L$4)+SUMIFS('YTD Purchases'!$H:$H,'YTD Purchases'!$C:$C,Brokerage!$B98,'YTD Purchases'!$G:$G,Brokerage!L$4)</f>
        <v>0</v>
      </c>
      <c r="M98" s="857">
        <f>SUMIFS('YTD Sales'!$N:$N,'YTD Sales'!$B:$B,Brokerage!$B98,'YTD Sales'!$M:$M,Brokerage!M$4)+SUMIFS('YTD Purchases'!$H:$H,'YTD Purchases'!$C:$C,Brokerage!$B98,'YTD Purchases'!$G:$G,Brokerage!M$4)</f>
        <v>0</v>
      </c>
      <c r="N98" s="857">
        <f>SUMIFS('YTD Sales'!$N:$N,'YTD Sales'!$B:$B,Brokerage!$B98,'YTD Sales'!$M:$M,Brokerage!N$4)+SUMIFS('YTD Purchases'!$H:$H,'YTD Purchases'!$C:$C,Brokerage!$B98,'YTD Purchases'!$G:$G,Brokerage!N$4)</f>
        <v>0</v>
      </c>
      <c r="O98" s="857">
        <f>SUMIFS('YTD Sales'!$N:$N,'YTD Sales'!$B:$B,Brokerage!$B98,'YTD Sales'!$M:$M,Brokerage!O$4)+SUMIFS('YTD Purchases'!$H:$H,'YTD Purchases'!$C:$C,Brokerage!$B98,'YTD Purchases'!$G:$G,Brokerage!O$4)</f>
        <v>0</v>
      </c>
      <c r="P98" s="857">
        <f>SUMIFS('YTD Sales'!$N:$N,'YTD Sales'!$B:$B,Brokerage!$B98,'YTD Sales'!$M:$M,Brokerage!P$4)+SUMIFS('YTD Purchases'!$H:$H,'YTD Purchases'!$C:$C,Brokerage!$B98,'YTD Purchases'!$G:$G,Brokerage!P$4)</f>
        <v>0</v>
      </c>
      <c r="Q98" s="857">
        <f>SUMIFS('YTD Sales'!$N:$N,'YTD Sales'!$B:$B,Brokerage!$B98,'YTD Sales'!$M:$M,Brokerage!Q$4)+SUMIFS('YTD Purchases'!$H:$H,'YTD Purchases'!$C:$C,Brokerage!$B98,'YTD Purchases'!$G:$G,Brokerage!Q$4)</f>
        <v>0</v>
      </c>
      <c r="R98" s="857">
        <f>SUMIFS('YTD Sales'!$N:$N,'YTD Sales'!$B:$B,Brokerage!$B98,'YTD Sales'!$M:$M,Brokerage!R$4)+SUMIFS('YTD Purchases'!$H:$H,'YTD Purchases'!$C:$C,Brokerage!$B98,'YTD Purchases'!$G:$G,Brokerage!R$4)</f>
        <v>0</v>
      </c>
      <c r="S98" s="857">
        <f>SUMIFS('YTD Sales'!$N:$N,'YTD Sales'!$B:$B,Brokerage!$B98,'YTD Sales'!$M:$M,Brokerage!S$4)+SUMIFS('YTD Purchases'!$H:$H,'YTD Purchases'!$C:$C,Brokerage!$B98,'YTD Purchases'!$G:$G,Brokerage!S$4)</f>
        <v>0</v>
      </c>
      <c r="T98" s="857">
        <f>SUMIFS('YTD Sales'!$N:$N,'YTD Sales'!$B:$B,Brokerage!$B98,'YTD Sales'!$M:$M,Brokerage!T$4)+SUMIFS('YTD Purchases'!$H:$H,'YTD Purchases'!$C:$C,Brokerage!$B98,'YTD Purchases'!$G:$G,Brokerage!T$4)</f>
        <v>0</v>
      </c>
      <c r="U98" s="857">
        <f>SUMIFS('YTD Sales'!$N:$N,'YTD Sales'!$B:$B,Brokerage!$B98,'YTD Sales'!$M:$M,Brokerage!U$4)+SUMIFS('YTD Purchases'!$H:$H,'YTD Purchases'!$C:$C,Brokerage!$B98,'YTD Purchases'!$G:$G,Brokerage!U$4)</f>
        <v>0</v>
      </c>
      <c r="V98" s="857">
        <f>SUMIFS('YTD Sales'!$N:$N,'YTD Sales'!$B:$B,Brokerage!$B98,'YTD Sales'!$M:$M,Brokerage!V$4)+SUMIFS('YTD Purchases'!$H:$H,'YTD Purchases'!$C:$C,Brokerage!$B98,'YTD Purchases'!$G:$G,Brokerage!V$4)</f>
        <v>0</v>
      </c>
      <c r="W98" s="857">
        <f>SUMIFS('YTD Sales'!$N:$N,'YTD Sales'!$B:$B,Brokerage!$B98,'YTD Sales'!$M:$M,Brokerage!W$4)+SUMIFS('YTD Purchases'!$H:$H,'YTD Purchases'!$C:$C,Brokerage!$B98,'YTD Purchases'!$G:$G,Brokerage!W$4)</f>
        <v>0</v>
      </c>
      <c r="X98" s="857">
        <f>SUMIFS('YTD Sales'!$N:$N,'YTD Sales'!$B:$B,Brokerage!$B98,'YTD Sales'!$M:$M,Brokerage!X$4)+SUMIFS('YTD Purchases'!$H:$H,'YTD Purchases'!$C:$C,Brokerage!$B98,'YTD Purchases'!$G:$G,Brokerage!X$4)</f>
        <v>0</v>
      </c>
      <c r="Y98" s="857">
        <f>SUMIFS('YTD Sales'!$N:$N,'YTD Sales'!$B:$B,Brokerage!$B98,'YTD Sales'!$M:$M,Brokerage!Y$4)+SUMIFS('YTD Purchases'!$H:$H,'YTD Purchases'!$C:$C,Brokerage!$B98,'YTD Purchases'!$G:$G,Brokerage!Y$4)</f>
        <v>0</v>
      </c>
      <c r="Z98" s="857">
        <f>SUMIFS('YTD Sales'!$N:$N,'YTD Sales'!$B:$B,Brokerage!$B98,'YTD Sales'!$M:$M,Brokerage!Z$4)+SUMIFS('YTD Purchases'!$H:$H,'YTD Purchases'!$C:$C,Brokerage!$B98,'YTD Purchases'!$G:$G,Brokerage!Z$4)</f>
        <v>0</v>
      </c>
      <c r="AA98" s="857">
        <f>SUMIFS('YTD Sales'!$N:$N,'YTD Sales'!$B:$B,Brokerage!$B98,'YTD Sales'!$M:$M,Brokerage!AA$4)+SUMIFS('YTD Purchases'!$H:$H,'YTD Purchases'!$C:$C,Brokerage!$B98,'YTD Purchases'!$G:$G,Brokerage!AA$4)</f>
        <v>0</v>
      </c>
      <c r="AB98" s="857">
        <f>SUMIFS('YTD Sales'!$N:$N,'YTD Sales'!$B:$B,Brokerage!$B98,'YTD Sales'!$M:$M,Brokerage!AB$4)+SUMIFS('YTD Purchases'!$H:$H,'YTD Purchases'!$C:$C,Brokerage!$B98,'YTD Purchases'!$G:$G,Brokerage!AB$4)</f>
        <v>0</v>
      </c>
      <c r="AC98" s="857">
        <f>SUMIFS('YTD Sales'!$N:$N,'YTD Sales'!$B:$B,Brokerage!$B98,'YTD Sales'!$M:$M,Brokerage!AC$4)+SUMIFS('YTD Purchases'!$H:$H,'YTD Purchases'!$C:$C,Brokerage!$B98,'YTD Purchases'!$G:$G,Brokerage!AC$4)</f>
        <v>0</v>
      </c>
      <c r="AD98" s="857">
        <f>+SUMIFS(PIB!AG:AG,PIB!AF:AF,Brokerage!AD$4,PIB!AA:AA,Brokerage!$B98)+SUMIFS('T-Bills'!AB:AB,'T-Bills'!AA:AA,Brokerage!AD$4,'T-Bills'!V:V,Brokerage!$B98)</f>
        <v>0</v>
      </c>
      <c r="AE98" s="857">
        <f>+SUMIFS(PIB!AH:AH,PIB!AG:AG,Brokerage!AE$4,PIB!AB:AB,Brokerage!$B98)+SUMIFS('T-Bills'!AC:AC,'T-Bills'!AB:AB,Brokerage!AE$4,'T-Bills'!W:W,Brokerage!$B98)</f>
        <v>0</v>
      </c>
      <c r="AF98" s="857">
        <f>+SUMIFS(PIB!AI:AI,PIB!AH:AH,Brokerage!AF$4,PIB!AC:AC,Brokerage!$B98)+SUMIFS('T-Bills'!AD:AD,'T-Bills'!AC:AC,Brokerage!AF$4,'T-Bills'!X:X,Brokerage!$B98)</f>
        <v>0</v>
      </c>
      <c r="AG98" s="857">
        <f t="shared" si="10"/>
        <v>0</v>
      </c>
      <c r="AH98" s="858">
        <f t="shared" si="17"/>
        <v>0</v>
      </c>
    </row>
    <row r="99" spans="2:34" x14ac:dyDescent="0.15">
      <c r="B99" s="661">
        <f t="shared" si="9"/>
        <v>44655</v>
      </c>
      <c r="C99" s="857">
        <f>SUMIFS('YTD Sales'!$N:$N,'YTD Sales'!$B:$B,Brokerage!$B99,'YTD Sales'!$M:$M,Brokerage!C$4)+SUMIFS('YTD Purchases'!$H:$H,'YTD Purchases'!$C:$C,Brokerage!$B99,'YTD Purchases'!$G:$G,Brokerage!C$4)</f>
        <v>0</v>
      </c>
      <c r="D99" s="857">
        <f>SUMIFS('YTD Sales'!$N:$N,'YTD Sales'!$B:$B,Brokerage!$B99,'YTD Sales'!$M:$M,Brokerage!D$4)+SUMIFS('YTD Purchases'!$H:$H,'YTD Purchases'!$C:$C,Brokerage!$B99,'YTD Purchases'!$G:$G,Brokerage!D$4)</f>
        <v>997.43</v>
      </c>
      <c r="E99" s="857">
        <f>SUMIFS('YTD Sales'!$N:$N,'YTD Sales'!$B:$B,Brokerage!$B99,'YTD Sales'!$M:$M,Brokerage!E$4)+SUMIFS('YTD Purchases'!$H:$H,'YTD Purchases'!$C:$C,Brokerage!$B99,'YTD Purchases'!$G:$G,Brokerage!E$4)</f>
        <v>0</v>
      </c>
      <c r="F99" s="857">
        <f>SUMIFS('YTD Sales'!$N:$N,'YTD Sales'!$B:$B,Brokerage!$B99,'YTD Sales'!$M:$M,Brokerage!F$4)+SUMIFS('YTD Purchases'!$H:$H,'YTD Purchases'!$C:$C,Brokerage!$B99,'YTD Purchases'!$G:$G,Brokerage!F$4)</f>
        <v>0</v>
      </c>
      <c r="G99" s="857">
        <f>SUMIFS('YTD Sales'!$N:$N,'YTD Sales'!$B:$B,Brokerage!$B99,'YTD Sales'!$M:$M,Brokerage!G$4)+SUMIFS('YTD Purchases'!$H:$H,'YTD Purchases'!$C:$C,Brokerage!$B99,'YTD Purchases'!$G:$G,Brokerage!G$4)</f>
        <v>0</v>
      </c>
      <c r="H99" s="857">
        <f>SUMIFS('YTD Sales'!$N:$N,'YTD Sales'!$B:$B,Brokerage!$B99,'YTD Sales'!$M:$M,Brokerage!H$4)+SUMIFS('YTD Purchases'!$H:$H,'YTD Purchases'!$C:$C,Brokerage!$B99,'YTD Purchases'!$G:$G,Brokerage!H$4)</f>
        <v>0</v>
      </c>
      <c r="I99" s="857">
        <f>SUMIFS('YTD Sales'!$N:$N,'YTD Sales'!$B:$B,Brokerage!$B99,'YTD Sales'!$M:$M,Brokerage!I$4)+SUMIFS('YTD Purchases'!$H:$H,'YTD Purchases'!$C:$C,Brokerage!$B99,'YTD Purchases'!$G:$G,Brokerage!I$4)</f>
        <v>0</v>
      </c>
      <c r="J99" s="857">
        <f>SUMIFS('YTD Sales'!$N:$N,'YTD Sales'!$B:$B,Brokerage!$B99,'YTD Sales'!$M:$M,Brokerage!J$4)+SUMIFS('YTD Purchases'!$H:$H,'YTD Purchases'!$C:$C,Brokerage!$B99,'YTD Purchases'!$G:$G,Brokerage!J$4)</f>
        <v>0</v>
      </c>
      <c r="K99" s="857">
        <f>SUMIFS('YTD Sales'!$N:$N,'YTD Sales'!$B:$B,Brokerage!$B99,'YTD Sales'!$M:$M,Brokerage!K$4)+SUMIFS('YTD Purchases'!$H:$H,'YTD Purchases'!$C:$C,Brokerage!$B99,'YTD Purchases'!$G:$G,Brokerage!K$4)</f>
        <v>0</v>
      </c>
      <c r="L99" s="857">
        <f>SUMIFS('YTD Sales'!$N:$N,'YTD Sales'!$B:$B,Brokerage!$B99,'YTD Sales'!$M:$M,Brokerage!L$4)+SUMIFS('YTD Purchases'!$H:$H,'YTD Purchases'!$C:$C,Brokerage!$B99,'YTD Purchases'!$G:$G,Brokerage!L$4)</f>
        <v>548.14</v>
      </c>
      <c r="M99" s="857">
        <f>SUMIFS('YTD Sales'!$N:$N,'YTD Sales'!$B:$B,Brokerage!$B99,'YTD Sales'!$M:$M,Brokerage!M$4)+SUMIFS('YTD Purchases'!$H:$H,'YTD Purchases'!$C:$C,Brokerage!$B99,'YTD Purchases'!$G:$G,Brokerage!M$4)</f>
        <v>3973.1800000000007</v>
      </c>
      <c r="N99" s="857">
        <f>SUMIFS('YTD Sales'!$N:$N,'YTD Sales'!$B:$B,Brokerage!$B99,'YTD Sales'!$M:$M,Brokerage!N$4)+SUMIFS('YTD Purchases'!$H:$H,'YTD Purchases'!$C:$C,Brokerage!$B99,'YTD Purchases'!$G:$G,Brokerage!N$4)</f>
        <v>0</v>
      </c>
      <c r="O99" s="857">
        <f>SUMIFS('YTD Sales'!$N:$N,'YTD Sales'!$B:$B,Brokerage!$B99,'YTD Sales'!$M:$M,Brokerage!O$4)+SUMIFS('YTD Purchases'!$H:$H,'YTD Purchases'!$C:$C,Brokerage!$B99,'YTD Purchases'!$G:$G,Brokerage!O$4)</f>
        <v>0</v>
      </c>
      <c r="P99" s="857">
        <f>SUMIFS('YTD Sales'!$N:$N,'YTD Sales'!$B:$B,Brokerage!$B99,'YTD Sales'!$M:$M,Brokerage!P$4)+SUMIFS('YTD Purchases'!$H:$H,'YTD Purchases'!$C:$C,Brokerage!$B99,'YTD Purchases'!$G:$G,Brokerage!P$4)</f>
        <v>0</v>
      </c>
      <c r="Q99" s="857">
        <f>SUMIFS('YTD Sales'!$N:$N,'YTD Sales'!$B:$B,Brokerage!$B99,'YTD Sales'!$M:$M,Brokerage!Q$4)+SUMIFS('YTD Purchases'!$H:$H,'YTD Purchases'!$C:$C,Brokerage!$B99,'YTD Purchases'!$G:$G,Brokerage!Q$4)</f>
        <v>0</v>
      </c>
      <c r="R99" s="857">
        <f>SUMIFS('YTD Sales'!$N:$N,'YTD Sales'!$B:$B,Brokerage!$B99,'YTD Sales'!$M:$M,Brokerage!R$4)+SUMIFS('YTD Purchases'!$H:$H,'YTD Purchases'!$C:$C,Brokerage!$B99,'YTD Purchases'!$G:$G,Brokerage!R$4)</f>
        <v>0</v>
      </c>
      <c r="S99" s="857">
        <f>SUMIFS('YTD Sales'!$N:$N,'YTD Sales'!$B:$B,Brokerage!$B99,'YTD Sales'!$M:$M,Brokerage!S$4)+SUMIFS('YTD Purchases'!$H:$H,'YTD Purchases'!$C:$C,Brokerage!$B99,'YTD Purchases'!$G:$G,Brokerage!S$4)</f>
        <v>0</v>
      </c>
      <c r="T99" s="857">
        <f>SUMIFS('YTD Sales'!$N:$N,'YTD Sales'!$B:$B,Brokerage!$B99,'YTD Sales'!$M:$M,Brokerage!T$4)+SUMIFS('YTD Purchases'!$H:$H,'YTD Purchases'!$C:$C,Brokerage!$B99,'YTD Purchases'!$G:$G,Brokerage!T$4)</f>
        <v>0</v>
      </c>
      <c r="U99" s="857">
        <f>SUMIFS('YTD Sales'!$N:$N,'YTD Sales'!$B:$B,Brokerage!$B99,'YTD Sales'!$M:$M,Brokerage!U$4)+SUMIFS('YTD Purchases'!$H:$H,'YTD Purchases'!$C:$C,Brokerage!$B99,'YTD Purchases'!$G:$G,Brokerage!U$4)</f>
        <v>0</v>
      </c>
      <c r="V99" s="857">
        <f>SUMIFS('YTD Sales'!$N:$N,'YTD Sales'!$B:$B,Brokerage!$B99,'YTD Sales'!$M:$M,Brokerage!V$4)+SUMIFS('YTD Purchases'!$H:$H,'YTD Purchases'!$C:$C,Brokerage!$B99,'YTD Purchases'!$G:$G,Brokerage!V$4)</f>
        <v>0</v>
      </c>
      <c r="W99" s="857">
        <f>SUMIFS('YTD Sales'!$N:$N,'YTD Sales'!$B:$B,Brokerage!$B99,'YTD Sales'!$M:$M,Brokerage!W$4)+SUMIFS('YTD Purchases'!$H:$H,'YTD Purchases'!$C:$C,Brokerage!$B99,'YTD Purchases'!$G:$G,Brokerage!W$4)</f>
        <v>0</v>
      </c>
      <c r="X99" s="857">
        <f>SUMIFS('YTD Sales'!$N:$N,'YTD Sales'!$B:$B,Brokerage!$B99,'YTD Sales'!$M:$M,Brokerage!X$4)+SUMIFS('YTD Purchases'!$H:$H,'YTD Purchases'!$C:$C,Brokerage!$B99,'YTD Purchases'!$G:$G,Brokerage!X$4)</f>
        <v>0</v>
      </c>
      <c r="Y99" s="857">
        <f>SUMIFS('YTD Sales'!$N:$N,'YTD Sales'!$B:$B,Brokerage!$B99,'YTD Sales'!$M:$M,Brokerage!Y$4)+SUMIFS('YTD Purchases'!$H:$H,'YTD Purchases'!$C:$C,Brokerage!$B99,'YTD Purchases'!$G:$G,Brokerage!Y$4)</f>
        <v>0</v>
      </c>
      <c r="Z99" s="857">
        <f>SUMIFS('YTD Sales'!$N:$N,'YTD Sales'!$B:$B,Brokerage!$B99,'YTD Sales'!$M:$M,Brokerage!Z$4)+SUMIFS('YTD Purchases'!$H:$H,'YTD Purchases'!$C:$C,Brokerage!$B99,'YTD Purchases'!$G:$G,Brokerage!Z$4)</f>
        <v>0</v>
      </c>
      <c r="AA99" s="857">
        <f>SUMIFS('YTD Sales'!$N:$N,'YTD Sales'!$B:$B,Brokerage!$B99,'YTD Sales'!$M:$M,Brokerage!AA$4)+SUMIFS('YTD Purchases'!$H:$H,'YTD Purchases'!$C:$C,Brokerage!$B99,'YTD Purchases'!$G:$G,Brokerage!AA$4)</f>
        <v>0</v>
      </c>
      <c r="AB99" s="857">
        <f>SUMIFS('YTD Sales'!$N:$N,'YTD Sales'!$B:$B,Brokerage!$B99,'YTD Sales'!$M:$M,Brokerage!AB$4)+SUMIFS('YTD Purchases'!$H:$H,'YTD Purchases'!$C:$C,Brokerage!$B99,'YTD Purchases'!$G:$G,Brokerage!AB$4)</f>
        <v>0</v>
      </c>
      <c r="AC99" s="857">
        <f>SUMIFS('YTD Sales'!$N:$N,'YTD Sales'!$B:$B,Brokerage!$B99,'YTD Sales'!$M:$M,Brokerage!AC$4)+SUMIFS('YTD Purchases'!$H:$H,'YTD Purchases'!$C:$C,Brokerage!$B99,'YTD Purchases'!$G:$G,Brokerage!AC$4)</f>
        <v>0</v>
      </c>
      <c r="AD99" s="857">
        <f>+SUMIFS(PIB!AG:AG,PIB!AF:AF,Brokerage!AD$4,PIB!AA:AA,Brokerage!$B99)+SUMIFS('T-Bills'!AB:AB,'T-Bills'!AA:AA,Brokerage!AD$4,'T-Bills'!V:V,Brokerage!$B99)</f>
        <v>0</v>
      </c>
      <c r="AE99" s="857">
        <f>+SUMIFS(PIB!AH:AH,PIB!AG:AG,Brokerage!AE$4,PIB!AB:AB,Brokerage!$B99)+SUMIFS('T-Bills'!AC:AC,'T-Bills'!AB:AB,Brokerage!AE$4,'T-Bills'!W:W,Brokerage!$B99)</f>
        <v>0</v>
      </c>
      <c r="AF99" s="857">
        <f>+SUMIFS(PIB!AI:AI,PIB!AH:AH,Brokerage!AF$4,PIB!AC:AC,Brokerage!$B99)+SUMIFS('T-Bills'!AD:AD,'T-Bills'!AC:AC,Brokerage!AF$4,'T-Bills'!X:X,Brokerage!$B99)</f>
        <v>0</v>
      </c>
      <c r="AG99" s="857">
        <f t="shared" si="10"/>
        <v>5518.7500000000009</v>
      </c>
      <c r="AH99" s="858">
        <f t="shared" si="17"/>
        <v>0</v>
      </c>
    </row>
    <row r="100" spans="2:34" x14ac:dyDescent="0.15">
      <c r="B100" s="661">
        <f t="shared" si="9"/>
        <v>44656</v>
      </c>
      <c r="C100" s="857">
        <f>SUMIFS('YTD Sales'!$N:$N,'YTD Sales'!$B:$B,Brokerage!$B100,'YTD Sales'!$M:$M,Brokerage!C$4)+SUMIFS('YTD Purchases'!$H:$H,'YTD Purchases'!$C:$C,Brokerage!$B100,'YTD Purchases'!$G:$G,Brokerage!C$4)</f>
        <v>0</v>
      </c>
      <c r="D100" s="857">
        <f>SUMIFS('YTD Sales'!$N:$N,'YTD Sales'!$B:$B,Brokerage!$B100,'YTD Sales'!$M:$M,Brokerage!D$4)+SUMIFS('YTD Purchases'!$H:$H,'YTD Purchases'!$C:$C,Brokerage!$B100,'YTD Purchases'!$G:$G,Brokerage!D$4)</f>
        <v>1644.7</v>
      </c>
      <c r="E100" s="857">
        <f>SUMIFS('YTD Sales'!$N:$N,'YTD Sales'!$B:$B,Brokerage!$B100,'YTD Sales'!$M:$M,Brokerage!E$4)+SUMIFS('YTD Purchases'!$H:$H,'YTD Purchases'!$C:$C,Brokerage!$B100,'YTD Purchases'!$G:$G,Brokerage!E$4)</f>
        <v>0</v>
      </c>
      <c r="F100" s="857">
        <f>SUMIFS('YTD Sales'!$N:$N,'YTD Sales'!$B:$B,Brokerage!$B100,'YTD Sales'!$M:$M,Brokerage!F$4)+SUMIFS('YTD Purchases'!$H:$H,'YTD Purchases'!$C:$C,Brokerage!$B100,'YTD Purchases'!$G:$G,Brokerage!F$4)</f>
        <v>0</v>
      </c>
      <c r="G100" s="857">
        <f>SUMIFS('YTD Sales'!$N:$N,'YTD Sales'!$B:$B,Brokerage!$B100,'YTD Sales'!$M:$M,Brokerage!G$4)+SUMIFS('YTD Purchases'!$H:$H,'YTD Purchases'!$C:$C,Brokerage!$B100,'YTD Purchases'!$G:$G,Brokerage!G$4)</f>
        <v>0</v>
      </c>
      <c r="H100" s="857">
        <f>SUMIFS('YTD Sales'!$N:$N,'YTD Sales'!$B:$B,Brokerage!$B100,'YTD Sales'!$M:$M,Brokerage!H$4)+SUMIFS('YTD Purchases'!$H:$H,'YTD Purchases'!$C:$C,Brokerage!$B100,'YTD Purchases'!$G:$G,Brokerage!H$4)</f>
        <v>0</v>
      </c>
      <c r="I100" s="857">
        <f>SUMIFS('YTD Sales'!$N:$N,'YTD Sales'!$B:$B,Brokerage!$B100,'YTD Sales'!$M:$M,Brokerage!I$4)+SUMIFS('YTD Purchases'!$H:$H,'YTD Purchases'!$C:$C,Brokerage!$B100,'YTD Purchases'!$G:$G,Brokerage!I$4)</f>
        <v>0</v>
      </c>
      <c r="J100" s="857">
        <f>SUMIFS('YTD Sales'!$N:$N,'YTD Sales'!$B:$B,Brokerage!$B100,'YTD Sales'!$M:$M,Brokerage!J$4)+SUMIFS('YTD Purchases'!$H:$H,'YTD Purchases'!$C:$C,Brokerage!$B100,'YTD Purchases'!$G:$G,Brokerage!J$4)</f>
        <v>0</v>
      </c>
      <c r="K100" s="857">
        <f>SUMIFS('YTD Sales'!$N:$N,'YTD Sales'!$B:$B,Brokerage!$B100,'YTD Sales'!$M:$M,Brokerage!K$4)+SUMIFS('YTD Purchases'!$H:$H,'YTD Purchases'!$C:$C,Brokerage!$B100,'YTD Purchases'!$G:$G,Brokerage!K$4)</f>
        <v>0</v>
      </c>
      <c r="L100" s="857">
        <f>SUMIFS('YTD Sales'!$N:$N,'YTD Sales'!$B:$B,Brokerage!$B100,'YTD Sales'!$M:$M,Brokerage!L$4)+SUMIFS('YTD Purchases'!$H:$H,'YTD Purchases'!$C:$C,Brokerage!$B100,'YTD Purchases'!$G:$G,Brokerage!L$4)</f>
        <v>0</v>
      </c>
      <c r="M100" s="857">
        <f>SUMIFS('YTD Sales'!$N:$N,'YTD Sales'!$B:$B,Brokerage!$B100,'YTD Sales'!$M:$M,Brokerage!M$4)+SUMIFS('YTD Purchases'!$H:$H,'YTD Purchases'!$C:$C,Brokerage!$B100,'YTD Purchases'!$G:$G,Brokerage!M$4)</f>
        <v>0</v>
      </c>
      <c r="N100" s="857">
        <f>SUMIFS('YTD Sales'!$N:$N,'YTD Sales'!$B:$B,Brokerage!$B100,'YTD Sales'!$M:$M,Brokerage!N$4)+SUMIFS('YTD Purchases'!$H:$H,'YTD Purchases'!$C:$C,Brokerage!$B100,'YTD Purchases'!$G:$G,Brokerage!N$4)</f>
        <v>0</v>
      </c>
      <c r="O100" s="857">
        <f>SUMIFS('YTD Sales'!$N:$N,'YTD Sales'!$B:$B,Brokerage!$B100,'YTD Sales'!$M:$M,Brokerage!O$4)+SUMIFS('YTD Purchases'!$H:$H,'YTD Purchases'!$C:$C,Brokerage!$B100,'YTD Purchases'!$G:$G,Brokerage!O$4)</f>
        <v>0</v>
      </c>
      <c r="P100" s="857">
        <f>SUMIFS('YTD Sales'!$N:$N,'YTD Sales'!$B:$B,Brokerage!$B100,'YTD Sales'!$M:$M,Brokerage!P$4)+SUMIFS('YTD Purchases'!$H:$H,'YTD Purchases'!$C:$C,Brokerage!$B100,'YTD Purchases'!$G:$G,Brokerage!P$4)</f>
        <v>0</v>
      </c>
      <c r="Q100" s="857">
        <f>SUMIFS('YTD Sales'!$N:$N,'YTD Sales'!$B:$B,Brokerage!$B100,'YTD Sales'!$M:$M,Brokerage!Q$4)+SUMIFS('YTD Purchases'!$H:$H,'YTD Purchases'!$C:$C,Brokerage!$B100,'YTD Purchases'!$G:$G,Brokerage!Q$4)</f>
        <v>0</v>
      </c>
      <c r="R100" s="857">
        <f>SUMIFS('YTD Sales'!$N:$N,'YTD Sales'!$B:$B,Brokerage!$B100,'YTD Sales'!$M:$M,Brokerage!R$4)+SUMIFS('YTD Purchases'!$H:$H,'YTD Purchases'!$C:$C,Brokerage!$B100,'YTD Purchases'!$G:$G,Brokerage!R$4)</f>
        <v>1367.02</v>
      </c>
      <c r="S100" s="857">
        <f>SUMIFS('YTD Sales'!$N:$N,'YTD Sales'!$B:$B,Brokerage!$B100,'YTD Sales'!$M:$M,Brokerage!S$4)+SUMIFS('YTD Purchases'!$H:$H,'YTD Purchases'!$C:$C,Brokerage!$B100,'YTD Purchases'!$G:$G,Brokerage!S$4)</f>
        <v>0</v>
      </c>
      <c r="T100" s="857">
        <f>SUMIFS('YTD Sales'!$N:$N,'YTD Sales'!$B:$B,Brokerage!$B100,'YTD Sales'!$M:$M,Brokerage!T$4)+SUMIFS('YTD Purchases'!$H:$H,'YTD Purchases'!$C:$C,Brokerage!$B100,'YTD Purchases'!$G:$G,Brokerage!T$4)</f>
        <v>0</v>
      </c>
      <c r="U100" s="857">
        <f>SUMIFS('YTD Sales'!$N:$N,'YTD Sales'!$B:$B,Brokerage!$B100,'YTD Sales'!$M:$M,Brokerage!U$4)+SUMIFS('YTD Purchases'!$H:$H,'YTD Purchases'!$C:$C,Brokerage!$B100,'YTD Purchases'!$G:$G,Brokerage!U$4)</f>
        <v>0</v>
      </c>
      <c r="V100" s="857">
        <f>SUMIFS('YTD Sales'!$N:$N,'YTD Sales'!$B:$B,Brokerage!$B100,'YTD Sales'!$M:$M,Brokerage!V$4)+SUMIFS('YTD Purchases'!$H:$H,'YTD Purchases'!$C:$C,Brokerage!$B100,'YTD Purchases'!$G:$G,Brokerage!V$4)</f>
        <v>0</v>
      </c>
      <c r="W100" s="857">
        <f>SUMIFS('YTD Sales'!$N:$N,'YTD Sales'!$B:$B,Brokerage!$B100,'YTD Sales'!$M:$M,Brokerage!W$4)+SUMIFS('YTD Purchases'!$H:$H,'YTD Purchases'!$C:$C,Brokerage!$B100,'YTD Purchases'!$G:$G,Brokerage!W$4)</f>
        <v>0</v>
      </c>
      <c r="X100" s="857">
        <f>SUMIFS('YTD Sales'!$N:$N,'YTD Sales'!$B:$B,Brokerage!$B100,'YTD Sales'!$M:$M,Brokerage!X$4)+SUMIFS('YTD Purchases'!$H:$H,'YTD Purchases'!$C:$C,Brokerage!$B100,'YTD Purchases'!$G:$G,Brokerage!X$4)</f>
        <v>0</v>
      </c>
      <c r="Y100" s="857">
        <f>SUMIFS('YTD Sales'!$N:$N,'YTD Sales'!$B:$B,Brokerage!$B100,'YTD Sales'!$M:$M,Brokerage!Y$4)+SUMIFS('YTD Purchases'!$H:$H,'YTD Purchases'!$C:$C,Brokerage!$B100,'YTD Purchases'!$G:$G,Brokerage!Y$4)</f>
        <v>0</v>
      </c>
      <c r="Z100" s="857">
        <f>SUMIFS('YTD Sales'!$N:$N,'YTD Sales'!$B:$B,Brokerage!$B100,'YTD Sales'!$M:$M,Brokerage!Z$4)+SUMIFS('YTD Purchases'!$H:$H,'YTD Purchases'!$C:$C,Brokerage!$B100,'YTD Purchases'!$G:$G,Brokerage!Z$4)</f>
        <v>0</v>
      </c>
      <c r="AA100" s="857">
        <f>SUMIFS('YTD Sales'!$N:$N,'YTD Sales'!$B:$B,Brokerage!$B100,'YTD Sales'!$M:$M,Brokerage!AA$4)+SUMIFS('YTD Purchases'!$H:$H,'YTD Purchases'!$C:$C,Brokerage!$B100,'YTD Purchases'!$G:$G,Brokerage!AA$4)</f>
        <v>0</v>
      </c>
      <c r="AB100" s="857">
        <f>SUMIFS('YTD Sales'!$N:$N,'YTD Sales'!$B:$B,Brokerage!$B100,'YTD Sales'!$M:$M,Brokerage!AB$4)+SUMIFS('YTD Purchases'!$H:$H,'YTD Purchases'!$C:$C,Brokerage!$B100,'YTD Purchases'!$G:$G,Brokerage!AB$4)</f>
        <v>0</v>
      </c>
      <c r="AC100" s="857">
        <f>SUMIFS('YTD Sales'!$N:$N,'YTD Sales'!$B:$B,Brokerage!$B100,'YTD Sales'!$M:$M,Brokerage!AC$4)+SUMIFS('YTD Purchases'!$H:$H,'YTD Purchases'!$C:$C,Brokerage!$B100,'YTD Purchases'!$G:$G,Brokerage!AC$4)</f>
        <v>0</v>
      </c>
      <c r="AD100" s="857">
        <f>+SUMIFS(PIB!AG:AG,PIB!AF:AF,Brokerage!AD$4,PIB!AA:AA,Brokerage!$B100)+SUMIFS('T-Bills'!AB:AB,'T-Bills'!AA:AA,Brokerage!AD$4,'T-Bills'!V:V,Brokerage!$B100)</f>
        <v>0</v>
      </c>
      <c r="AE100" s="857">
        <f>+SUMIFS(PIB!AH:AH,PIB!AG:AG,Brokerage!AE$4,PIB!AB:AB,Brokerage!$B100)+SUMIFS('T-Bills'!AC:AC,'T-Bills'!AB:AB,Brokerage!AE$4,'T-Bills'!W:W,Brokerage!$B100)</f>
        <v>0</v>
      </c>
      <c r="AF100" s="857">
        <f>+SUMIFS(PIB!AI:AI,PIB!AH:AH,Brokerage!AF$4,PIB!AC:AC,Brokerage!$B100)+SUMIFS('T-Bills'!AD:AD,'T-Bills'!AC:AC,Brokerage!AF$4,'T-Bills'!X:X,Brokerage!$B100)</f>
        <v>0</v>
      </c>
      <c r="AG100" s="857">
        <f t="shared" si="10"/>
        <v>3011.7200000000003</v>
      </c>
      <c r="AH100" s="858">
        <f t="shared" si="17"/>
        <v>0</v>
      </c>
    </row>
    <row r="101" spans="2:34" x14ac:dyDescent="0.15">
      <c r="B101" s="661">
        <f t="shared" si="9"/>
        <v>44657</v>
      </c>
      <c r="C101" s="857">
        <f>SUMIFS('YTD Sales'!$N:$N,'YTD Sales'!$B:$B,Brokerage!$B101,'YTD Sales'!$M:$M,Brokerage!C$4)+SUMIFS('YTD Purchases'!$H:$H,'YTD Purchases'!$C:$C,Brokerage!$B101,'YTD Purchases'!$G:$G,Brokerage!C$4)</f>
        <v>2080.6824999999999</v>
      </c>
      <c r="D101" s="857">
        <f>SUMIFS('YTD Sales'!$N:$N,'YTD Sales'!$B:$B,Brokerage!$B101,'YTD Sales'!$M:$M,Brokerage!D$4)+SUMIFS('YTD Purchases'!$H:$H,'YTD Purchases'!$C:$C,Brokerage!$B101,'YTD Purchases'!$G:$G,Brokerage!D$4)</f>
        <v>0</v>
      </c>
      <c r="E101" s="857">
        <f>SUMIFS('YTD Sales'!$N:$N,'YTD Sales'!$B:$B,Brokerage!$B101,'YTD Sales'!$M:$M,Brokerage!E$4)+SUMIFS('YTD Purchases'!$H:$H,'YTD Purchases'!$C:$C,Brokerage!$B101,'YTD Purchases'!$G:$G,Brokerage!E$4)</f>
        <v>0</v>
      </c>
      <c r="F101" s="857">
        <f>SUMIFS('YTD Sales'!$N:$N,'YTD Sales'!$B:$B,Brokerage!$B101,'YTD Sales'!$M:$M,Brokerage!F$4)+SUMIFS('YTD Purchases'!$H:$H,'YTD Purchases'!$C:$C,Brokerage!$B101,'YTD Purchases'!$G:$G,Brokerage!F$4)</f>
        <v>0</v>
      </c>
      <c r="G101" s="857">
        <f>SUMIFS('YTD Sales'!$N:$N,'YTD Sales'!$B:$B,Brokerage!$B101,'YTD Sales'!$M:$M,Brokerage!G$4)+SUMIFS('YTD Purchases'!$H:$H,'YTD Purchases'!$C:$C,Brokerage!$B101,'YTD Purchases'!$G:$G,Brokerage!G$4)</f>
        <v>0</v>
      </c>
      <c r="H101" s="857">
        <f>SUMIFS('YTD Sales'!$N:$N,'YTD Sales'!$B:$B,Brokerage!$B101,'YTD Sales'!$M:$M,Brokerage!H$4)+SUMIFS('YTD Purchases'!$H:$H,'YTD Purchases'!$C:$C,Brokerage!$B101,'YTD Purchases'!$G:$G,Brokerage!H$4)</f>
        <v>0</v>
      </c>
      <c r="I101" s="857">
        <f>SUMIFS('YTD Sales'!$N:$N,'YTD Sales'!$B:$B,Brokerage!$B101,'YTD Sales'!$M:$M,Brokerage!I$4)+SUMIFS('YTD Purchases'!$H:$H,'YTD Purchases'!$C:$C,Brokerage!$B101,'YTD Purchases'!$G:$G,Brokerage!I$4)</f>
        <v>0</v>
      </c>
      <c r="J101" s="857">
        <f>SUMIFS('YTD Sales'!$N:$N,'YTD Sales'!$B:$B,Brokerage!$B101,'YTD Sales'!$M:$M,Brokerage!J$4)+SUMIFS('YTD Purchases'!$H:$H,'YTD Purchases'!$C:$C,Brokerage!$B101,'YTD Purchases'!$G:$G,Brokerage!J$4)</f>
        <v>0</v>
      </c>
      <c r="K101" s="857">
        <f>SUMIFS('YTD Sales'!$N:$N,'YTD Sales'!$B:$B,Brokerage!$B101,'YTD Sales'!$M:$M,Brokerage!K$4)+SUMIFS('YTD Purchases'!$H:$H,'YTD Purchases'!$C:$C,Brokerage!$B101,'YTD Purchases'!$G:$G,Brokerage!K$4)</f>
        <v>0</v>
      </c>
      <c r="L101" s="857">
        <f>SUMIFS('YTD Sales'!$N:$N,'YTD Sales'!$B:$B,Brokerage!$B101,'YTD Sales'!$M:$M,Brokerage!L$4)+SUMIFS('YTD Purchases'!$H:$H,'YTD Purchases'!$C:$C,Brokerage!$B101,'YTD Purchases'!$G:$G,Brokerage!L$4)</f>
        <v>0</v>
      </c>
      <c r="M101" s="857">
        <f>SUMIFS('YTD Sales'!$N:$N,'YTD Sales'!$B:$B,Brokerage!$B101,'YTD Sales'!$M:$M,Brokerage!M$4)+SUMIFS('YTD Purchases'!$H:$H,'YTD Purchases'!$C:$C,Brokerage!$B101,'YTD Purchases'!$G:$G,Brokerage!M$4)</f>
        <v>0</v>
      </c>
      <c r="N101" s="857">
        <f>SUMIFS('YTD Sales'!$N:$N,'YTD Sales'!$B:$B,Brokerage!$B101,'YTD Sales'!$M:$M,Brokerage!N$4)+SUMIFS('YTD Purchases'!$H:$H,'YTD Purchases'!$C:$C,Brokerage!$B101,'YTD Purchases'!$G:$G,Brokerage!N$4)</f>
        <v>0</v>
      </c>
      <c r="O101" s="857">
        <f>SUMIFS('YTD Sales'!$N:$N,'YTD Sales'!$B:$B,Brokerage!$B101,'YTD Sales'!$M:$M,Brokerage!O$4)+SUMIFS('YTD Purchases'!$H:$H,'YTD Purchases'!$C:$C,Brokerage!$B101,'YTD Purchases'!$G:$G,Brokerage!O$4)</f>
        <v>0</v>
      </c>
      <c r="P101" s="857">
        <f>SUMIFS('YTD Sales'!$N:$N,'YTD Sales'!$B:$B,Brokerage!$B101,'YTD Sales'!$M:$M,Brokerage!P$4)+SUMIFS('YTD Purchases'!$H:$H,'YTD Purchases'!$C:$C,Brokerage!$B101,'YTD Purchases'!$G:$G,Brokerage!P$4)</f>
        <v>0</v>
      </c>
      <c r="Q101" s="857">
        <f>SUMIFS('YTD Sales'!$N:$N,'YTD Sales'!$B:$B,Brokerage!$B101,'YTD Sales'!$M:$M,Brokerage!Q$4)+SUMIFS('YTD Purchases'!$H:$H,'YTD Purchases'!$C:$C,Brokerage!$B101,'YTD Purchases'!$G:$G,Brokerage!Q$4)</f>
        <v>0</v>
      </c>
      <c r="R101" s="857">
        <f>SUMIFS('YTD Sales'!$N:$N,'YTD Sales'!$B:$B,Brokerage!$B101,'YTD Sales'!$M:$M,Brokerage!R$4)+SUMIFS('YTD Purchases'!$H:$H,'YTD Purchases'!$C:$C,Brokerage!$B101,'YTD Purchases'!$G:$G,Brokerage!R$4)</f>
        <v>0</v>
      </c>
      <c r="S101" s="857">
        <f>SUMIFS('YTD Sales'!$N:$N,'YTD Sales'!$B:$B,Brokerage!$B101,'YTD Sales'!$M:$M,Brokerage!S$4)+SUMIFS('YTD Purchases'!$H:$H,'YTD Purchases'!$C:$C,Brokerage!$B101,'YTD Purchases'!$G:$G,Brokerage!S$4)</f>
        <v>0</v>
      </c>
      <c r="T101" s="857">
        <f>SUMIFS('YTD Sales'!$N:$N,'YTD Sales'!$B:$B,Brokerage!$B101,'YTD Sales'!$M:$M,Brokerage!T$4)+SUMIFS('YTD Purchases'!$H:$H,'YTD Purchases'!$C:$C,Brokerage!$B101,'YTD Purchases'!$G:$G,Brokerage!T$4)</f>
        <v>0</v>
      </c>
      <c r="U101" s="857">
        <f>SUMIFS('YTD Sales'!$N:$N,'YTD Sales'!$B:$B,Brokerage!$B101,'YTD Sales'!$M:$M,Brokerage!U$4)+SUMIFS('YTD Purchases'!$H:$H,'YTD Purchases'!$C:$C,Brokerage!$B101,'YTD Purchases'!$G:$G,Brokerage!U$4)</f>
        <v>0</v>
      </c>
      <c r="V101" s="857">
        <f>SUMIFS('YTD Sales'!$N:$N,'YTD Sales'!$B:$B,Brokerage!$B101,'YTD Sales'!$M:$M,Brokerage!V$4)+SUMIFS('YTD Purchases'!$H:$H,'YTD Purchases'!$C:$C,Brokerage!$B101,'YTD Purchases'!$G:$G,Brokerage!V$4)</f>
        <v>0</v>
      </c>
      <c r="W101" s="857">
        <f>SUMIFS('YTD Sales'!$N:$N,'YTD Sales'!$B:$B,Brokerage!$B101,'YTD Sales'!$M:$M,Brokerage!W$4)+SUMIFS('YTD Purchases'!$H:$H,'YTD Purchases'!$C:$C,Brokerage!$B101,'YTD Purchases'!$G:$G,Brokerage!W$4)</f>
        <v>0</v>
      </c>
      <c r="X101" s="857">
        <f>SUMIFS('YTD Sales'!$N:$N,'YTD Sales'!$B:$B,Brokerage!$B101,'YTD Sales'!$M:$M,Brokerage!X$4)+SUMIFS('YTD Purchases'!$H:$H,'YTD Purchases'!$C:$C,Brokerage!$B101,'YTD Purchases'!$G:$G,Brokerage!X$4)</f>
        <v>0</v>
      </c>
      <c r="Y101" s="857">
        <f>SUMIFS('YTD Sales'!$N:$N,'YTD Sales'!$B:$B,Brokerage!$B101,'YTD Sales'!$M:$M,Brokerage!Y$4)+SUMIFS('YTD Purchases'!$H:$H,'YTD Purchases'!$C:$C,Brokerage!$B101,'YTD Purchases'!$G:$G,Brokerage!Y$4)</f>
        <v>0</v>
      </c>
      <c r="Z101" s="857">
        <f>SUMIFS('YTD Sales'!$N:$N,'YTD Sales'!$B:$B,Brokerage!$B101,'YTD Sales'!$M:$M,Brokerage!Z$4)+SUMIFS('YTD Purchases'!$H:$H,'YTD Purchases'!$C:$C,Brokerage!$B101,'YTD Purchases'!$G:$G,Brokerage!Z$4)</f>
        <v>0</v>
      </c>
      <c r="AA101" s="857">
        <f>SUMIFS('YTD Sales'!$N:$N,'YTD Sales'!$B:$B,Brokerage!$B101,'YTD Sales'!$M:$M,Brokerage!AA$4)+SUMIFS('YTD Purchases'!$H:$H,'YTD Purchases'!$C:$C,Brokerage!$B101,'YTD Purchases'!$G:$G,Brokerage!AA$4)</f>
        <v>0</v>
      </c>
      <c r="AB101" s="857">
        <f>SUMIFS('YTD Sales'!$N:$N,'YTD Sales'!$B:$B,Brokerage!$B101,'YTD Sales'!$M:$M,Brokerage!AB$4)+SUMIFS('YTD Purchases'!$H:$H,'YTD Purchases'!$C:$C,Brokerage!$B101,'YTD Purchases'!$G:$G,Brokerage!AB$4)</f>
        <v>0</v>
      </c>
      <c r="AC101" s="857">
        <f>SUMIFS('YTD Sales'!$N:$N,'YTD Sales'!$B:$B,Brokerage!$B101,'YTD Sales'!$M:$M,Brokerage!AC$4)+SUMIFS('YTD Purchases'!$H:$H,'YTD Purchases'!$C:$C,Brokerage!$B101,'YTD Purchases'!$G:$G,Brokerage!AC$4)</f>
        <v>0</v>
      </c>
      <c r="AD101" s="857">
        <f>+SUMIFS(PIB!AG:AG,PIB!AF:AF,Brokerage!AD$4,PIB!AA:AA,Brokerage!$B101)+SUMIFS('T-Bills'!AB:AB,'T-Bills'!AA:AA,Brokerage!AD$4,'T-Bills'!V:V,Brokerage!$B101)</f>
        <v>0</v>
      </c>
      <c r="AE101" s="857">
        <f>+SUMIFS(PIB!AH:AH,PIB!AG:AG,Brokerage!AE$4,PIB!AB:AB,Brokerage!$B101)+SUMIFS('T-Bills'!AC:AC,'T-Bills'!AB:AB,Brokerage!AE$4,'T-Bills'!W:W,Brokerage!$B101)</f>
        <v>0</v>
      </c>
      <c r="AF101" s="857">
        <f>+SUMIFS(PIB!AI:AI,PIB!AH:AH,Brokerage!AF$4,PIB!AC:AC,Brokerage!$B101)+SUMIFS('T-Bills'!AD:AD,'T-Bills'!AC:AC,Brokerage!AF$4,'T-Bills'!X:X,Brokerage!$B101)</f>
        <v>0</v>
      </c>
      <c r="AG101" s="857">
        <f t="shared" si="10"/>
        <v>2080.6824999999999</v>
      </c>
      <c r="AH101" s="858">
        <f t="shared" si="17"/>
        <v>0</v>
      </c>
    </row>
    <row r="102" spans="2:34" x14ac:dyDescent="0.15">
      <c r="B102" s="661">
        <f t="shared" si="9"/>
        <v>44658</v>
      </c>
      <c r="C102" s="857">
        <f>SUMIFS('YTD Sales'!$N:$N,'YTD Sales'!$B:$B,Brokerage!$B102,'YTD Sales'!$M:$M,Brokerage!C$4)+SUMIFS('YTD Purchases'!$H:$H,'YTD Purchases'!$C:$C,Brokerage!$B102,'YTD Purchases'!$G:$G,Brokerage!C$4)</f>
        <v>0</v>
      </c>
      <c r="D102" s="857">
        <f>SUMIFS('YTD Sales'!$N:$N,'YTD Sales'!$B:$B,Brokerage!$B102,'YTD Sales'!$M:$M,Brokerage!D$4)+SUMIFS('YTD Purchases'!$H:$H,'YTD Purchases'!$C:$C,Brokerage!$B102,'YTD Purchases'!$G:$G,Brokerage!D$4)</f>
        <v>5534.6399999999994</v>
      </c>
      <c r="E102" s="857">
        <f>SUMIFS('YTD Sales'!$N:$N,'YTD Sales'!$B:$B,Brokerage!$B102,'YTD Sales'!$M:$M,Brokerage!E$4)+SUMIFS('YTD Purchases'!$H:$H,'YTD Purchases'!$C:$C,Brokerage!$B102,'YTD Purchases'!$G:$G,Brokerage!E$4)</f>
        <v>0</v>
      </c>
      <c r="F102" s="857">
        <f>SUMIFS('YTD Sales'!$N:$N,'YTD Sales'!$B:$B,Brokerage!$B102,'YTD Sales'!$M:$M,Brokerage!F$4)+SUMIFS('YTD Purchases'!$H:$H,'YTD Purchases'!$C:$C,Brokerage!$B102,'YTD Purchases'!$G:$G,Brokerage!F$4)</f>
        <v>0</v>
      </c>
      <c r="G102" s="857">
        <f>SUMIFS('YTD Sales'!$N:$N,'YTD Sales'!$B:$B,Brokerage!$B102,'YTD Sales'!$M:$M,Brokerage!G$4)+SUMIFS('YTD Purchases'!$H:$H,'YTD Purchases'!$C:$C,Brokerage!$B102,'YTD Purchases'!$G:$G,Brokerage!G$4)</f>
        <v>0</v>
      </c>
      <c r="H102" s="857">
        <f>SUMIFS('YTD Sales'!$N:$N,'YTD Sales'!$B:$B,Brokerage!$B102,'YTD Sales'!$M:$M,Brokerage!H$4)+SUMIFS('YTD Purchases'!$H:$H,'YTD Purchases'!$C:$C,Brokerage!$B102,'YTD Purchases'!$G:$G,Brokerage!H$4)</f>
        <v>0</v>
      </c>
      <c r="I102" s="857">
        <f>SUMIFS('YTD Sales'!$N:$N,'YTD Sales'!$B:$B,Brokerage!$B102,'YTD Sales'!$M:$M,Brokerage!I$4)+SUMIFS('YTD Purchases'!$H:$H,'YTD Purchases'!$C:$C,Brokerage!$B102,'YTD Purchases'!$G:$G,Brokerage!I$4)</f>
        <v>0</v>
      </c>
      <c r="J102" s="857">
        <f>SUMIFS('YTD Sales'!$N:$N,'YTD Sales'!$B:$B,Brokerage!$B102,'YTD Sales'!$M:$M,Brokerage!J$4)+SUMIFS('YTD Purchases'!$H:$H,'YTD Purchases'!$C:$C,Brokerage!$B102,'YTD Purchases'!$G:$G,Brokerage!J$4)</f>
        <v>0</v>
      </c>
      <c r="K102" s="857">
        <f>SUMIFS('YTD Sales'!$N:$N,'YTD Sales'!$B:$B,Brokerage!$B102,'YTD Sales'!$M:$M,Brokerage!K$4)+SUMIFS('YTD Purchases'!$H:$H,'YTD Purchases'!$C:$C,Brokerage!$B102,'YTD Purchases'!$G:$G,Brokerage!K$4)</f>
        <v>0</v>
      </c>
      <c r="L102" s="857">
        <f>SUMIFS('YTD Sales'!$N:$N,'YTD Sales'!$B:$B,Brokerage!$B102,'YTD Sales'!$M:$M,Brokerage!L$4)+SUMIFS('YTD Purchases'!$H:$H,'YTD Purchases'!$C:$C,Brokerage!$B102,'YTD Purchases'!$G:$G,Brokerage!L$4)</f>
        <v>0</v>
      </c>
      <c r="M102" s="857">
        <f>SUMIFS('YTD Sales'!$N:$N,'YTD Sales'!$B:$B,Brokerage!$B102,'YTD Sales'!$M:$M,Brokerage!M$4)+SUMIFS('YTD Purchases'!$H:$H,'YTD Purchases'!$C:$C,Brokerage!$B102,'YTD Purchases'!$G:$G,Brokerage!M$4)</f>
        <v>0</v>
      </c>
      <c r="N102" s="857">
        <f>SUMIFS('YTD Sales'!$N:$N,'YTD Sales'!$B:$B,Brokerage!$B102,'YTD Sales'!$M:$M,Brokerage!N$4)+SUMIFS('YTD Purchases'!$H:$H,'YTD Purchases'!$C:$C,Brokerage!$B102,'YTD Purchases'!$G:$G,Brokerage!N$4)</f>
        <v>0</v>
      </c>
      <c r="O102" s="857">
        <f>SUMIFS('YTD Sales'!$N:$N,'YTD Sales'!$B:$B,Brokerage!$B102,'YTD Sales'!$M:$M,Brokerage!O$4)+SUMIFS('YTD Purchases'!$H:$H,'YTD Purchases'!$C:$C,Brokerage!$B102,'YTD Purchases'!$G:$G,Brokerage!O$4)</f>
        <v>9714.7799999999988</v>
      </c>
      <c r="P102" s="857">
        <f>SUMIFS('YTD Sales'!$N:$N,'YTD Sales'!$B:$B,Brokerage!$B102,'YTD Sales'!$M:$M,Brokerage!P$4)+SUMIFS('YTD Purchases'!$H:$H,'YTD Purchases'!$C:$C,Brokerage!$B102,'YTD Purchases'!$G:$G,Brokerage!P$4)</f>
        <v>0</v>
      </c>
      <c r="Q102" s="857">
        <f>SUMIFS('YTD Sales'!$N:$N,'YTD Sales'!$B:$B,Brokerage!$B102,'YTD Sales'!$M:$M,Brokerage!Q$4)+SUMIFS('YTD Purchases'!$H:$H,'YTD Purchases'!$C:$C,Brokerage!$B102,'YTD Purchases'!$G:$G,Brokerage!Q$4)</f>
        <v>0</v>
      </c>
      <c r="R102" s="857">
        <f>SUMIFS('YTD Sales'!$N:$N,'YTD Sales'!$B:$B,Brokerage!$B102,'YTD Sales'!$M:$M,Brokerage!R$4)+SUMIFS('YTD Purchases'!$H:$H,'YTD Purchases'!$C:$C,Brokerage!$B102,'YTD Purchases'!$G:$G,Brokerage!R$4)</f>
        <v>0</v>
      </c>
      <c r="S102" s="857">
        <f>SUMIFS('YTD Sales'!$N:$N,'YTD Sales'!$B:$B,Brokerage!$B102,'YTD Sales'!$M:$M,Brokerage!S$4)+SUMIFS('YTD Purchases'!$H:$H,'YTD Purchases'!$C:$C,Brokerage!$B102,'YTD Purchases'!$G:$G,Brokerage!S$4)</f>
        <v>3334.84</v>
      </c>
      <c r="T102" s="857">
        <f>SUMIFS('YTD Sales'!$N:$N,'YTD Sales'!$B:$B,Brokerage!$B102,'YTD Sales'!$M:$M,Brokerage!T$4)+SUMIFS('YTD Purchases'!$H:$H,'YTD Purchases'!$C:$C,Brokerage!$B102,'YTD Purchases'!$G:$G,Brokerage!T$4)</f>
        <v>0</v>
      </c>
      <c r="U102" s="857">
        <f>SUMIFS('YTD Sales'!$N:$N,'YTD Sales'!$B:$B,Brokerage!$B102,'YTD Sales'!$M:$M,Brokerage!U$4)+SUMIFS('YTD Purchases'!$H:$H,'YTD Purchases'!$C:$C,Brokerage!$B102,'YTD Purchases'!$G:$G,Brokerage!U$4)</f>
        <v>0</v>
      </c>
      <c r="V102" s="857">
        <f>SUMIFS('YTD Sales'!$N:$N,'YTD Sales'!$B:$B,Brokerage!$B102,'YTD Sales'!$M:$M,Brokerage!V$4)+SUMIFS('YTD Purchases'!$H:$H,'YTD Purchases'!$C:$C,Brokerage!$B102,'YTD Purchases'!$G:$G,Brokerage!V$4)</f>
        <v>0</v>
      </c>
      <c r="W102" s="857">
        <f>SUMIFS('YTD Sales'!$N:$N,'YTD Sales'!$B:$B,Brokerage!$B102,'YTD Sales'!$M:$M,Brokerage!W$4)+SUMIFS('YTD Purchases'!$H:$H,'YTD Purchases'!$C:$C,Brokerage!$B102,'YTD Purchases'!$G:$G,Brokerage!W$4)</f>
        <v>0</v>
      </c>
      <c r="X102" s="857">
        <f>SUMIFS('YTD Sales'!$N:$N,'YTD Sales'!$B:$B,Brokerage!$B102,'YTD Sales'!$M:$M,Brokerage!X$4)+SUMIFS('YTD Purchases'!$H:$H,'YTD Purchases'!$C:$C,Brokerage!$B102,'YTD Purchases'!$G:$G,Brokerage!X$4)</f>
        <v>0</v>
      </c>
      <c r="Y102" s="857">
        <f>SUMIFS('YTD Sales'!$N:$N,'YTD Sales'!$B:$B,Brokerage!$B102,'YTD Sales'!$M:$M,Brokerage!Y$4)+SUMIFS('YTD Purchases'!$H:$H,'YTD Purchases'!$C:$C,Brokerage!$B102,'YTD Purchases'!$G:$G,Brokerage!Y$4)</f>
        <v>0</v>
      </c>
      <c r="Z102" s="857">
        <f>SUMIFS('YTD Sales'!$N:$N,'YTD Sales'!$B:$B,Brokerage!$B102,'YTD Sales'!$M:$M,Brokerage!Z$4)+SUMIFS('YTD Purchases'!$H:$H,'YTD Purchases'!$C:$C,Brokerage!$B102,'YTD Purchases'!$G:$G,Brokerage!Z$4)</f>
        <v>0</v>
      </c>
      <c r="AA102" s="857">
        <f>SUMIFS('YTD Sales'!$N:$N,'YTD Sales'!$B:$B,Brokerage!$B102,'YTD Sales'!$M:$M,Brokerage!AA$4)+SUMIFS('YTD Purchases'!$H:$H,'YTD Purchases'!$C:$C,Brokerage!$B102,'YTD Purchases'!$G:$G,Brokerage!AA$4)</f>
        <v>0</v>
      </c>
      <c r="AB102" s="857">
        <f>SUMIFS('YTD Sales'!$N:$N,'YTD Sales'!$B:$B,Brokerage!$B102,'YTD Sales'!$M:$M,Brokerage!AB$4)+SUMIFS('YTD Purchases'!$H:$H,'YTD Purchases'!$C:$C,Brokerage!$B102,'YTD Purchases'!$G:$G,Brokerage!AB$4)</f>
        <v>0</v>
      </c>
      <c r="AC102" s="857">
        <f>SUMIFS('YTD Sales'!$N:$N,'YTD Sales'!$B:$B,Brokerage!$B102,'YTD Sales'!$M:$M,Brokerage!AC$4)+SUMIFS('YTD Purchases'!$H:$H,'YTD Purchases'!$C:$C,Brokerage!$B102,'YTD Purchases'!$G:$G,Brokerage!AC$4)</f>
        <v>0</v>
      </c>
      <c r="AD102" s="857">
        <f>+SUMIFS(PIB!AG:AG,PIB!AF:AF,Brokerage!AD$4,PIB!AA:AA,Brokerage!$B102)+SUMIFS('T-Bills'!AB:AB,'T-Bills'!AA:AA,Brokerage!AD$4,'T-Bills'!V:V,Brokerage!$B102)</f>
        <v>0</v>
      </c>
      <c r="AE102" s="857">
        <f>+SUMIFS(PIB!AH:AH,PIB!AG:AG,Brokerage!AE$4,PIB!AB:AB,Brokerage!$B102)+SUMIFS('T-Bills'!AC:AC,'T-Bills'!AB:AB,Brokerage!AE$4,'T-Bills'!W:W,Brokerage!$B102)</f>
        <v>0</v>
      </c>
      <c r="AF102" s="857">
        <f>+SUMIFS(PIB!AI:AI,PIB!AH:AH,Brokerage!AF$4,PIB!AC:AC,Brokerage!$B102)+SUMIFS('T-Bills'!AD:AD,'T-Bills'!AC:AC,Brokerage!AF$4,'T-Bills'!X:X,Brokerage!$B102)</f>
        <v>0</v>
      </c>
      <c r="AG102" s="857">
        <f t="shared" si="10"/>
        <v>18584.259999999998</v>
      </c>
      <c r="AH102" s="858">
        <f t="shared" si="17"/>
        <v>1</v>
      </c>
    </row>
    <row r="103" spans="2:34" x14ac:dyDescent="0.15">
      <c r="B103" s="661">
        <f t="shared" si="9"/>
        <v>44659</v>
      </c>
      <c r="C103" s="857">
        <f>SUMIFS('YTD Sales'!$N:$N,'YTD Sales'!$B:$B,Brokerage!$B103,'YTD Sales'!$M:$M,Brokerage!C$4)+SUMIFS('YTD Purchases'!$H:$H,'YTD Purchases'!$C:$C,Brokerage!$B103,'YTD Purchases'!$G:$G,Brokerage!C$4)</f>
        <v>0</v>
      </c>
      <c r="D103" s="857">
        <f>SUMIFS('YTD Sales'!$N:$N,'YTD Sales'!$B:$B,Brokerage!$B103,'YTD Sales'!$M:$M,Brokerage!D$4)+SUMIFS('YTD Purchases'!$H:$H,'YTD Purchases'!$C:$C,Brokerage!$B103,'YTD Purchases'!$G:$G,Brokerage!D$4)</f>
        <v>0</v>
      </c>
      <c r="E103" s="857">
        <f>SUMIFS('YTD Sales'!$N:$N,'YTD Sales'!$B:$B,Brokerage!$B103,'YTD Sales'!$M:$M,Brokerage!E$4)+SUMIFS('YTD Purchases'!$H:$H,'YTD Purchases'!$C:$C,Brokerage!$B103,'YTD Purchases'!$G:$G,Brokerage!E$4)</f>
        <v>0</v>
      </c>
      <c r="F103" s="857">
        <f>SUMIFS('YTD Sales'!$N:$N,'YTD Sales'!$B:$B,Brokerage!$B103,'YTD Sales'!$M:$M,Brokerage!F$4)+SUMIFS('YTD Purchases'!$H:$H,'YTD Purchases'!$C:$C,Brokerage!$B103,'YTD Purchases'!$G:$G,Brokerage!F$4)</f>
        <v>0</v>
      </c>
      <c r="G103" s="857">
        <f>SUMIFS('YTD Sales'!$N:$N,'YTD Sales'!$B:$B,Brokerage!$B103,'YTD Sales'!$M:$M,Brokerage!G$4)+SUMIFS('YTD Purchases'!$H:$H,'YTD Purchases'!$C:$C,Brokerage!$B103,'YTD Purchases'!$G:$G,Brokerage!G$4)</f>
        <v>0</v>
      </c>
      <c r="H103" s="857">
        <f>SUMIFS('YTD Sales'!$N:$N,'YTD Sales'!$B:$B,Brokerage!$B103,'YTD Sales'!$M:$M,Brokerage!H$4)+SUMIFS('YTD Purchases'!$H:$H,'YTD Purchases'!$C:$C,Brokerage!$B103,'YTD Purchases'!$G:$G,Brokerage!H$4)</f>
        <v>0</v>
      </c>
      <c r="I103" s="857">
        <f>SUMIFS('YTD Sales'!$N:$N,'YTD Sales'!$B:$B,Brokerage!$B103,'YTD Sales'!$M:$M,Brokerage!I$4)+SUMIFS('YTD Purchases'!$H:$H,'YTD Purchases'!$C:$C,Brokerage!$B103,'YTD Purchases'!$G:$G,Brokerage!I$4)</f>
        <v>0</v>
      </c>
      <c r="J103" s="857">
        <f>SUMIFS('YTD Sales'!$N:$N,'YTD Sales'!$B:$B,Brokerage!$B103,'YTD Sales'!$M:$M,Brokerage!J$4)+SUMIFS('YTD Purchases'!$H:$H,'YTD Purchases'!$C:$C,Brokerage!$B103,'YTD Purchases'!$G:$G,Brokerage!J$4)</f>
        <v>0</v>
      </c>
      <c r="K103" s="857">
        <f>SUMIFS('YTD Sales'!$N:$N,'YTD Sales'!$B:$B,Brokerage!$B103,'YTD Sales'!$M:$M,Brokerage!K$4)+SUMIFS('YTD Purchases'!$H:$H,'YTD Purchases'!$C:$C,Brokerage!$B103,'YTD Purchases'!$G:$G,Brokerage!K$4)</f>
        <v>0</v>
      </c>
      <c r="L103" s="857">
        <f>SUMIFS('YTD Sales'!$N:$N,'YTD Sales'!$B:$B,Brokerage!$B103,'YTD Sales'!$M:$M,Brokerage!L$4)+SUMIFS('YTD Purchases'!$H:$H,'YTD Purchases'!$C:$C,Brokerage!$B103,'YTD Purchases'!$G:$G,Brokerage!L$4)</f>
        <v>0</v>
      </c>
      <c r="M103" s="857">
        <f>SUMIFS('YTD Sales'!$N:$N,'YTD Sales'!$B:$B,Brokerage!$B103,'YTD Sales'!$M:$M,Brokerage!M$4)+SUMIFS('YTD Purchases'!$H:$H,'YTD Purchases'!$C:$C,Brokerage!$B103,'YTD Purchases'!$G:$G,Brokerage!M$4)</f>
        <v>0</v>
      </c>
      <c r="N103" s="857">
        <f>SUMIFS('YTD Sales'!$N:$N,'YTD Sales'!$B:$B,Brokerage!$B103,'YTD Sales'!$M:$M,Brokerage!N$4)+SUMIFS('YTD Purchases'!$H:$H,'YTD Purchases'!$C:$C,Brokerage!$B103,'YTD Purchases'!$G:$G,Brokerage!N$4)</f>
        <v>0</v>
      </c>
      <c r="O103" s="857">
        <f>SUMIFS('YTD Sales'!$N:$N,'YTD Sales'!$B:$B,Brokerage!$B103,'YTD Sales'!$M:$M,Brokerage!O$4)+SUMIFS('YTD Purchases'!$H:$H,'YTD Purchases'!$C:$C,Brokerage!$B103,'YTD Purchases'!$G:$G,Brokerage!O$4)</f>
        <v>0</v>
      </c>
      <c r="P103" s="857">
        <f>SUMIFS('YTD Sales'!$N:$N,'YTD Sales'!$B:$B,Brokerage!$B103,'YTD Sales'!$M:$M,Brokerage!P$4)+SUMIFS('YTD Purchases'!$H:$H,'YTD Purchases'!$C:$C,Brokerage!$B103,'YTD Purchases'!$G:$G,Brokerage!P$4)</f>
        <v>0</v>
      </c>
      <c r="Q103" s="857">
        <f>SUMIFS('YTD Sales'!$N:$N,'YTD Sales'!$B:$B,Brokerage!$B103,'YTD Sales'!$M:$M,Brokerage!Q$4)+SUMIFS('YTD Purchases'!$H:$H,'YTD Purchases'!$C:$C,Brokerage!$B103,'YTD Purchases'!$G:$G,Brokerage!Q$4)</f>
        <v>0</v>
      </c>
      <c r="R103" s="857">
        <f>SUMIFS('YTD Sales'!$N:$N,'YTD Sales'!$B:$B,Brokerage!$B103,'YTD Sales'!$M:$M,Brokerage!R$4)+SUMIFS('YTD Purchases'!$H:$H,'YTD Purchases'!$C:$C,Brokerage!$B103,'YTD Purchases'!$G:$G,Brokerage!R$4)</f>
        <v>0</v>
      </c>
      <c r="S103" s="857">
        <f>SUMIFS('YTD Sales'!$N:$N,'YTD Sales'!$B:$B,Brokerage!$B103,'YTD Sales'!$M:$M,Brokerage!S$4)+SUMIFS('YTD Purchases'!$H:$H,'YTD Purchases'!$C:$C,Brokerage!$B103,'YTD Purchases'!$G:$G,Brokerage!S$4)</f>
        <v>0</v>
      </c>
      <c r="T103" s="857">
        <f>SUMIFS('YTD Sales'!$N:$N,'YTD Sales'!$B:$B,Brokerage!$B103,'YTD Sales'!$M:$M,Brokerage!T$4)+SUMIFS('YTD Purchases'!$H:$H,'YTD Purchases'!$C:$C,Brokerage!$B103,'YTD Purchases'!$G:$G,Brokerage!T$4)</f>
        <v>0</v>
      </c>
      <c r="U103" s="857">
        <f>SUMIFS('YTD Sales'!$N:$N,'YTD Sales'!$B:$B,Brokerage!$B103,'YTD Sales'!$M:$M,Brokerage!U$4)+SUMIFS('YTD Purchases'!$H:$H,'YTD Purchases'!$C:$C,Brokerage!$B103,'YTD Purchases'!$G:$G,Brokerage!U$4)</f>
        <v>0</v>
      </c>
      <c r="V103" s="857">
        <f>SUMIFS('YTD Sales'!$N:$N,'YTD Sales'!$B:$B,Brokerage!$B103,'YTD Sales'!$M:$M,Brokerage!V$4)+SUMIFS('YTD Purchases'!$H:$H,'YTD Purchases'!$C:$C,Brokerage!$B103,'YTD Purchases'!$G:$G,Brokerage!V$4)</f>
        <v>0</v>
      </c>
      <c r="W103" s="857">
        <f>SUMIFS('YTD Sales'!$N:$N,'YTD Sales'!$B:$B,Brokerage!$B103,'YTD Sales'!$M:$M,Brokerage!W$4)+SUMIFS('YTD Purchases'!$H:$H,'YTD Purchases'!$C:$C,Brokerage!$B103,'YTD Purchases'!$G:$G,Brokerage!W$4)</f>
        <v>0</v>
      </c>
      <c r="X103" s="857">
        <f>SUMIFS('YTD Sales'!$N:$N,'YTD Sales'!$B:$B,Brokerage!$B103,'YTD Sales'!$M:$M,Brokerage!X$4)+SUMIFS('YTD Purchases'!$H:$H,'YTD Purchases'!$C:$C,Brokerage!$B103,'YTD Purchases'!$G:$G,Brokerage!X$4)</f>
        <v>1928.8500000000001</v>
      </c>
      <c r="Y103" s="857">
        <f>SUMIFS('YTD Sales'!$N:$N,'YTD Sales'!$B:$B,Brokerage!$B103,'YTD Sales'!$M:$M,Brokerage!Y$4)+SUMIFS('YTD Purchases'!$H:$H,'YTD Purchases'!$C:$C,Brokerage!$B103,'YTD Purchases'!$G:$G,Brokerage!Y$4)</f>
        <v>0</v>
      </c>
      <c r="Z103" s="857">
        <f>SUMIFS('YTD Sales'!$N:$N,'YTD Sales'!$B:$B,Brokerage!$B103,'YTD Sales'!$M:$M,Brokerage!Z$4)+SUMIFS('YTD Purchases'!$H:$H,'YTD Purchases'!$C:$C,Brokerage!$B103,'YTD Purchases'!$G:$G,Brokerage!Z$4)</f>
        <v>0</v>
      </c>
      <c r="AA103" s="857">
        <f>SUMIFS('YTD Sales'!$N:$N,'YTD Sales'!$B:$B,Brokerage!$B103,'YTD Sales'!$M:$M,Brokerage!AA$4)+SUMIFS('YTD Purchases'!$H:$H,'YTD Purchases'!$C:$C,Brokerage!$B103,'YTD Purchases'!$G:$G,Brokerage!AA$4)</f>
        <v>0</v>
      </c>
      <c r="AB103" s="857">
        <f>SUMIFS('YTD Sales'!$N:$N,'YTD Sales'!$B:$B,Brokerage!$B103,'YTD Sales'!$M:$M,Brokerage!AB$4)+SUMIFS('YTD Purchases'!$H:$H,'YTD Purchases'!$C:$C,Brokerage!$B103,'YTD Purchases'!$G:$G,Brokerage!AB$4)</f>
        <v>0</v>
      </c>
      <c r="AC103" s="857">
        <f>SUMIFS('YTD Sales'!$N:$N,'YTD Sales'!$B:$B,Brokerage!$B103,'YTD Sales'!$M:$M,Brokerage!AC$4)+SUMIFS('YTD Purchases'!$H:$H,'YTD Purchases'!$C:$C,Brokerage!$B103,'YTD Purchases'!$G:$G,Brokerage!AC$4)</f>
        <v>2875.7447619047621</v>
      </c>
      <c r="AD103" s="857">
        <f>+SUMIFS(PIB!AG:AG,PIB!AF:AF,Brokerage!AD$4,PIB!AA:AA,Brokerage!$B103)+SUMIFS('T-Bills'!AB:AB,'T-Bills'!AA:AA,Brokerage!AD$4,'T-Bills'!V:V,Brokerage!$B103)</f>
        <v>0</v>
      </c>
      <c r="AE103" s="857">
        <f>+SUMIFS(PIB!AH:AH,PIB!AG:AG,Brokerage!AE$4,PIB!AB:AB,Brokerage!$B103)+SUMIFS('T-Bills'!AC:AC,'T-Bills'!AB:AB,Brokerage!AE$4,'T-Bills'!W:W,Brokerage!$B103)</f>
        <v>0</v>
      </c>
      <c r="AF103" s="857">
        <f>+SUMIFS(PIB!AI:AI,PIB!AH:AH,Brokerage!AF$4,PIB!AC:AC,Brokerage!$B103)+SUMIFS('T-Bills'!AD:AD,'T-Bills'!AC:AC,Brokerage!AF$4,'T-Bills'!X:X,Brokerage!$B103)</f>
        <v>0</v>
      </c>
      <c r="AG103" s="857">
        <f t="shared" si="10"/>
        <v>4804.594761904762</v>
      </c>
      <c r="AH103" s="858">
        <f t="shared" si="17"/>
        <v>0</v>
      </c>
    </row>
    <row r="104" spans="2:34" x14ac:dyDescent="0.15">
      <c r="B104" s="661">
        <f t="shared" si="9"/>
        <v>44660</v>
      </c>
      <c r="C104" s="857">
        <f>SUMIFS('YTD Sales'!$N:$N,'YTD Sales'!$B:$B,Brokerage!$B104,'YTD Sales'!$M:$M,Brokerage!C$4)+SUMIFS('YTD Purchases'!$H:$H,'YTD Purchases'!$C:$C,Brokerage!$B104,'YTD Purchases'!$G:$G,Brokerage!C$4)</f>
        <v>0</v>
      </c>
      <c r="D104" s="857">
        <f>SUMIFS('YTD Sales'!$N:$N,'YTD Sales'!$B:$B,Brokerage!$B104,'YTD Sales'!$M:$M,Brokerage!D$4)+SUMIFS('YTD Purchases'!$H:$H,'YTD Purchases'!$C:$C,Brokerage!$B104,'YTD Purchases'!$G:$G,Brokerage!D$4)</f>
        <v>0</v>
      </c>
      <c r="E104" s="857">
        <f>SUMIFS('YTD Sales'!$N:$N,'YTD Sales'!$B:$B,Brokerage!$B104,'YTD Sales'!$M:$M,Brokerage!E$4)+SUMIFS('YTD Purchases'!$H:$H,'YTD Purchases'!$C:$C,Brokerage!$B104,'YTD Purchases'!$G:$G,Brokerage!E$4)</f>
        <v>0</v>
      </c>
      <c r="F104" s="857">
        <f>SUMIFS('YTD Sales'!$N:$N,'YTD Sales'!$B:$B,Brokerage!$B104,'YTD Sales'!$M:$M,Brokerage!F$4)+SUMIFS('YTD Purchases'!$H:$H,'YTD Purchases'!$C:$C,Brokerage!$B104,'YTD Purchases'!$G:$G,Brokerage!F$4)</f>
        <v>0</v>
      </c>
      <c r="G104" s="857">
        <f>SUMIFS('YTD Sales'!$N:$N,'YTD Sales'!$B:$B,Brokerage!$B104,'YTD Sales'!$M:$M,Brokerage!G$4)+SUMIFS('YTD Purchases'!$H:$H,'YTD Purchases'!$C:$C,Brokerage!$B104,'YTD Purchases'!$G:$G,Brokerage!G$4)</f>
        <v>0</v>
      </c>
      <c r="H104" s="857">
        <f>SUMIFS('YTD Sales'!$N:$N,'YTD Sales'!$B:$B,Brokerage!$B104,'YTD Sales'!$M:$M,Brokerage!H$4)+SUMIFS('YTD Purchases'!$H:$H,'YTD Purchases'!$C:$C,Brokerage!$B104,'YTD Purchases'!$G:$G,Brokerage!H$4)</f>
        <v>0</v>
      </c>
      <c r="I104" s="857">
        <f>SUMIFS('YTD Sales'!$N:$N,'YTD Sales'!$B:$B,Brokerage!$B104,'YTD Sales'!$M:$M,Brokerage!I$4)+SUMIFS('YTD Purchases'!$H:$H,'YTD Purchases'!$C:$C,Brokerage!$B104,'YTD Purchases'!$G:$G,Brokerage!I$4)</f>
        <v>0</v>
      </c>
      <c r="J104" s="857">
        <f>SUMIFS('YTD Sales'!$N:$N,'YTD Sales'!$B:$B,Brokerage!$B104,'YTD Sales'!$M:$M,Brokerage!J$4)+SUMIFS('YTD Purchases'!$H:$H,'YTD Purchases'!$C:$C,Brokerage!$B104,'YTD Purchases'!$G:$G,Brokerage!J$4)</f>
        <v>0</v>
      </c>
      <c r="K104" s="857">
        <f>SUMIFS('YTD Sales'!$N:$N,'YTD Sales'!$B:$B,Brokerage!$B104,'YTD Sales'!$M:$M,Brokerage!K$4)+SUMIFS('YTD Purchases'!$H:$H,'YTD Purchases'!$C:$C,Brokerage!$B104,'YTD Purchases'!$G:$G,Brokerage!K$4)</f>
        <v>0</v>
      </c>
      <c r="L104" s="857">
        <f>SUMIFS('YTD Sales'!$N:$N,'YTD Sales'!$B:$B,Brokerage!$B104,'YTD Sales'!$M:$M,Brokerage!L$4)+SUMIFS('YTD Purchases'!$H:$H,'YTD Purchases'!$C:$C,Brokerage!$B104,'YTD Purchases'!$G:$G,Brokerage!L$4)</f>
        <v>0</v>
      </c>
      <c r="M104" s="857">
        <f>SUMIFS('YTD Sales'!$N:$N,'YTD Sales'!$B:$B,Brokerage!$B104,'YTD Sales'!$M:$M,Brokerage!M$4)+SUMIFS('YTD Purchases'!$H:$H,'YTD Purchases'!$C:$C,Brokerage!$B104,'YTD Purchases'!$G:$G,Brokerage!M$4)</f>
        <v>0</v>
      </c>
      <c r="N104" s="857">
        <f>SUMIFS('YTD Sales'!$N:$N,'YTD Sales'!$B:$B,Brokerage!$B104,'YTD Sales'!$M:$M,Brokerage!N$4)+SUMIFS('YTD Purchases'!$H:$H,'YTD Purchases'!$C:$C,Brokerage!$B104,'YTD Purchases'!$G:$G,Brokerage!N$4)</f>
        <v>0</v>
      </c>
      <c r="O104" s="857">
        <f>SUMIFS('YTD Sales'!$N:$N,'YTD Sales'!$B:$B,Brokerage!$B104,'YTD Sales'!$M:$M,Brokerage!O$4)+SUMIFS('YTD Purchases'!$H:$H,'YTD Purchases'!$C:$C,Brokerage!$B104,'YTD Purchases'!$G:$G,Brokerage!O$4)</f>
        <v>0</v>
      </c>
      <c r="P104" s="857">
        <f>SUMIFS('YTD Sales'!$N:$N,'YTD Sales'!$B:$B,Brokerage!$B104,'YTD Sales'!$M:$M,Brokerage!P$4)+SUMIFS('YTD Purchases'!$H:$H,'YTD Purchases'!$C:$C,Brokerage!$B104,'YTD Purchases'!$G:$G,Brokerage!P$4)</f>
        <v>0</v>
      </c>
      <c r="Q104" s="857">
        <f>SUMIFS('YTD Sales'!$N:$N,'YTD Sales'!$B:$B,Brokerage!$B104,'YTD Sales'!$M:$M,Brokerage!Q$4)+SUMIFS('YTD Purchases'!$H:$H,'YTD Purchases'!$C:$C,Brokerage!$B104,'YTD Purchases'!$G:$G,Brokerage!Q$4)</f>
        <v>0</v>
      </c>
      <c r="R104" s="857">
        <f>SUMIFS('YTD Sales'!$N:$N,'YTD Sales'!$B:$B,Brokerage!$B104,'YTD Sales'!$M:$M,Brokerage!R$4)+SUMIFS('YTD Purchases'!$H:$H,'YTD Purchases'!$C:$C,Brokerage!$B104,'YTD Purchases'!$G:$G,Brokerage!R$4)</f>
        <v>0</v>
      </c>
      <c r="S104" s="857">
        <f>SUMIFS('YTD Sales'!$N:$N,'YTD Sales'!$B:$B,Brokerage!$B104,'YTD Sales'!$M:$M,Brokerage!S$4)+SUMIFS('YTD Purchases'!$H:$H,'YTD Purchases'!$C:$C,Brokerage!$B104,'YTD Purchases'!$G:$G,Brokerage!S$4)</f>
        <v>0</v>
      </c>
      <c r="T104" s="857">
        <f>SUMIFS('YTD Sales'!$N:$N,'YTD Sales'!$B:$B,Brokerage!$B104,'YTD Sales'!$M:$M,Brokerage!T$4)+SUMIFS('YTD Purchases'!$H:$H,'YTD Purchases'!$C:$C,Brokerage!$B104,'YTD Purchases'!$G:$G,Brokerage!T$4)</f>
        <v>0</v>
      </c>
      <c r="U104" s="857">
        <f>SUMIFS('YTD Sales'!$N:$N,'YTD Sales'!$B:$B,Brokerage!$B104,'YTD Sales'!$M:$M,Brokerage!U$4)+SUMIFS('YTD Purchases'!$H:$H,'YTD Purchases'!$C:$C,Brokerage!$B104,'YTD Purchases'!$G:$G,Brokerage!U$4)</f>
        <v>0</v>
      </c>
      <c r="V104" s="857">
        <f>SUMIFS('YTD Sales'!$N:$N,'YTD Sales'!$B:$B,Brokerage!$B104,'YTD Sales'!$M:$M,Brokerage!V$4)+SUMIFS('YTD Purchases'!$H:$H,'YTD Purchases'!$C:$C,Brokerage!$B104,'YTD Purchases'!$G:$G,Brokerage!V$4)</f>
        <v>0</v>
      </c>
      <c r="W104" s="857">
        <f>SUMIFS('YTD Sales'!$N:$N,'YTD Sales'!$B:$B,Brokerage!$B104,'YTD Sales'!$M:$M,Brokerage!W$4)+SUMIFS('YTD Purchases'!$H:$H,'YTD Purchases'!$C:$C,Brokerage!$B104,'YTD Purchases'!$G:$G,Brokerage!W$4)</f>
        <v>0</v>
      </c>
      <c r="X104" s="857">
        <f>SUMIFS('YTD Sales'!$N:$N,'YTD Sales'!$B:$B,Brokerage!$B104,'YTD Sales'!$M:$M,Brokerage!X$4)+SUMIFS('YTD Purchases'!$H:$H,'YTD Purchases'!$C:$C,Brokerage!$B104,'YTD Purchases'!$G:$G,Brokerage!X$4)</f>
        <v>0</v>
      </c>
      <c r="Y104" s="857">
        <f>SUMIFS('YTD Sales'!$N:$N,'YTD Sales'!$B:$B,Brokerage!$B104,'YTD Sales'!$M:$M,Brokerage!Y$4)+SUMIFS('YTD Purchases'!$H:$H,'YTD Purchases'!$C:$C,Brokerage!$B104,'YTD Purchases'!$G:$G,Brokerage!Y$4)</f>
        <v>0</v>
      </c>
      <c r="Z104" s="857">
        <f>SUMIFS('YTD Sales'!$N:$N,'YTD Sales'!$B:$B,Brokerage!$B104,'YTD Sales'!$M:$M,Brokerage!Z$4)+SUMIFS('YTD Purchases'!$H:$H,'YTD Purchases'!$C:$C,Brokerage!$B104,'YTD Purchases'!$G:$G,Brokerage!Z$4)</f>
        <v>0</v>
      </c>
      <c r="AA104" s="857">
        <f>SUMIFS('YTD Sales'!$N:$N,'YTD Sales'!$B:$B,Brokerage!$B104,'YTD Sales'!$M:$M,Brokerage!AA$4)+SUMIFS('YTD Purchases'!$H:$H,'YTD Purchases'!$C:$C,Brokerage!$B104,'YTD Purchases'!$G:$G,Brokerage!AA$4)</f>
        <v>0</v>
      </c>
      <c r="AB104" s="857">
        <f>SUMIFS('YTD Sales'!$N:$N,'YTD Sales'!$B:$B,Brokerage!$B104,'YTD Sales'!$M:$M,Brokerage!AB$4)+SUMIFS('YTD Purchases'!$H:$H,'YTD Purchases'!$C:$C,Brokerage!$B104,'YTD Purchases'!$G:$G,Brokerage!AB$4)</f>
        <v>0</v>
      </c>
      <c r="AC104" s="857">
        <f>SUMIFS('YTD Sales'!$N:$N,'YTD Sales'!$B:$B,Brokerage!$B104,'YTD Sales'!$M:$M,Brokerage!AC$4)+SUMIFS('YTD Purchases'!$H:$H,'YTD Purchases'!$C:$C,Brokerage!$B104,'YTD Purchases'!$G:$G,Brokerage!AC$4)</f>
        <v>0</v>
      </c>
      <c r="AD104" s="857">
        <f>+SUMIFS(PIB!AG:AG,PIB!AF:AF,Brokerage!AD$4,PIB!AA:AA,Brokerage!$B104)+SUMIFS('T-Bills'!AB:AB,'T-Bills'!AA:AA,Brokerage!AD$4,'T-Bills'!V:V,Brokerage!$B104)</f>
        <v>0</v>
      </c>
      <c r="AE104" s="857">
        <f>+SUMIFS(PIB!AH:AH,PIB!AG:AG,Brokerage!AE$4,PIB!AB:AB,Brokerage!$B104)+SUMIFS('T-Bills'!AC:AC,'T-Bills'!AB:AB,Brokerage!AE$4,'T-Bills'!W:W,Brokerage!$B104)</f>
        <v>0</v>
      </c>
      <c r="AF104" s="857">
        <f>+SUMIFS(PIB!AI:AI,PIB!AH:AH,Brokerage!AF$4,PIB!AC:AC,Brokerage!$B104)+SUMIFS('T-Bills'!AD:AD,'T-Bills'!AC:AC,Brokerage!AF$4,'T-Bills'!X:X,Brokerage!$B104)</f>
        <v>0</v>
      </c>
      <c r="AG104" s="857">
        <f t="shared" si="10"/>
        <v>0</v>
      </c>
      <c r="AH104" s="858">
        <f t="shared" si="17"/>
        <v>0</v>
      </c>
    </row>
    <row r="105" spans="2:34" x14ac:dyDescent="0.15">
      <c r="B105" s="661">
        <f t="shared" si="9"/>
        <v>44661</v>
      </c>
      <c r="C105" s="857">
        <f>SUMIFS('YTD Sales'!$N:$N,'YTD Sales'!$B:$B,Brokerage!$B105,'YTD Sales'!$M:$M,Brokerage!C$4)+SUMIFS('YTD Purchases'!$H:$H,'YTD Purchases'!$C:$C,Brokerage!$B105,'YTD Purchases'!$G:$G,Brokerage!C$4)</f>
        <v>0</v>
      </c>
      <c r="D105" s="857">
        <f>SUMIFS('YTD Sales'!$N:$N,'YTD Sales'!$B:$B,Brokerage!$B105,'YTD Sales'!$M:$M,Brokerage!D$4)+SUMIFS('YTD Purchases'!$H:$H,'YTD Purchases'!$C:$C,Brokerage!$B105,'YTD Purchases'!$G:$G,Brokerage!D$4)</f>
        <v>0</v>
      </c>
      <c r="E105" s="857">
        <f>SUMIFS('YTD Sales'!$N:$N,'YTD Sales'!$B:$B,Brokerage!$B105,'YTD Sales'!$M:$M,Brokerage!E$4)+SUMIFS('YTD Purchases'!$H:$H,'YTD Purchases'!$C:$C,Brokerage!$B105,'YTD Purchases'!$G:$G,Brokerage!E$4)</f>
        <v>0</v>
      </c>
      <c r="F105" s="857">
        <f>SUMIFS('YTD Sales'!$N:$N,'YTD Sales'!$B:$B,Brokerage!$B105,'YTD Sales'!$M:$M,Brokerage!F$4)+SUMIFS('YTD Purchases'!$H:$H,'YTD Purchases'!$C:$C,Brokerage!$B105,'YTD Purchases'!$G:$G,Brokerage!F$4)</f>
        <v>0</v>
      </c>
      <c r="G105" s="857">
        <f>SUMIFS('YTD Sales'!$N:$N,'YTD Sales'!$B:$B,Brokerage!$B105,'YTD Sales'!$M:$M,Brokerage!G$4)+SUMIFS('YTD Purchases'!$H:$H,'YTD Purchases'!$C:$C,Brokerage!$B105,'YTD Purchases'!$G:$G,Brokerage!G$4)</f>
        <v>0</v>
      </c>
      <c r="H105" s="857">
        <f>SUMIFS('YTD Sales'!$N:$N,'YTD Sales'!$B:$B,Brokerage!$B105,'YTD Sales'!$M:$M,Brokerage!H$4)+SUMIFS('YTD Purchases'!$H:$H,'YTD Purchases'!$C:$C,Brokerage!$B105,'YTD Purchases'!$G:$G,Brokerage!H$4)</f>
        <v>0</v>
      </c>
      <c r="I105" s="857">
        <f>SUMIFS('YTD Sales'!$N:$N,'YTD Sales'!$B:$B,Brokerage!$B105,'YTD Sales'!$M:$M,Brokerage!I$4)+SUMIFS('YTD Purchases'!$H:$H,'YTD Purchases'!$C:$C,Brokerage!$B105,'YTD Purchases'!$G:$G,Brokerage!I$4)</f>
        <v>0</v>
      </c>
      <c r="J105" s="857">
        <f>SUMIFS('YTD Sales'!$N:$N,'YTD Sales'!$B:$B,Brokerage!$B105,'YTD Sales'!$M:$M,Brokerage!J$4)+SUMIFS('YTD Purchases'!$H:$H,'YTD Purchases'!$C:$C,Brokerage!$B105,'YTD Purchases'!$G:$G,Brokerage!J$4)</f>
        <v>0</v>
      </c>
      <c r="K105" s="857">
        <f>SUMIFS('YTD Sales'!$N:$N,'YTD Sales'!$B:$B,Brokerage!$B105,'YTD Sales'!$M:$M,Brokerage!K$4)+SUMIFS('YTD Purchases'!$H:$H,'YTD Purchases'!$C:$C,Brokerage!$B105,'YTD Purchases'!$G:$G,Brokerage!K$4)</f>
        <v>0</v>
      </c>
      <c r="L105" s="857">
        <f>SUMIFS('YTD Sales'!$N:$N,'YTD Sales'!$B:$B,Brokerage!$B105,'YTD Sales'!$M:$M,Brokerage!L$4)+SUMIFS('YTD Purchases'!$H:$H,'YTD Purchases'!$C:$C,Brokerage!$B105,'YTD Purchases'!$G:$G,Brokerage!L$4)</f>
        <v>0</v>
      </c>
      <c r="M105" s="857">
        <f>SUMIFS('YTD Sales'!$N:$N,'YTD Sales'!$B:$B,Brokerage!$B105,'YTD Sales'!$M:$M,Brokerage!M$4)+SUMIFS('YTD Purchases'!$H:$H,'YTD Purchases'!$C:$C,Brokerage!$B105,'YTD Purchases'!$G:$G,Brokerage!M$4)</f>
        <v>0</v>
      </c>
      <c r="N105" s="857">
        <f>SUMIFS('YTD Sales'!$N:$N,'YTD Sales'!$B:$B,Brokerage!$B105,'YTD Sales'!$M:$M,Brokerage!N$4)+SUMIFS('YTD Purchases'!$H:$H,'YTD Purchases'!$C:$C,Brokerage!$B105,'YTD Purchases'!$G:$G,Brokerage!N$4)</f>
        <v>0</v>
      </c>
      <c r="O105" s="857">
        <f>SUMIFS('YTD Sales'!$N:$N,'YTD Sales'!$B:$B,Brokerage!$B105,'YTD Sales'!$M:$M,Brokerage!O$4)+SUMIFS('YTD Purchases'!$H:$H,'YTD Purchases'!$C:$C,Brokerage!$B105,'YTD Purchases'!$G:$G,Brokerage!O$4)</f>
        <v>0</v>
      </c>
      <c r="P105" s="857">
        <f>SUMIFS('YTD Sales'!$N:$N,'YTD Sales'!$B:$B,Brokerage!$B105,'YTD Sales'!$M:$M,Brokerage!P$4)+SUMIFS('YTD Purchases'!$H:$H,'YTD Purchases'!$C:$C,Brokerage!$B105,'YTD Purchases'!$G:$G,Brokerage!P$4)</f>
        <v>0</v>
      </c>
      <c r="Q105" s="857">
        <f>SUMIFS('YTD Sales'!$N:$N,'YTD Sales'!$B:$B,Brokerage!$B105,'YTD Sales'!$M:$M,Brokerage!Q$4)+SUMIFS('YTD Purchases'!$H:$H,'YTD Purchases'!$C:$C,Brokerage!$B105,'YTD Purchases'!$G:$G,Brokerage!Q$4)</f>
        <v>0</v>
      </c>
      <c r="R105" s="857">
        <f>SUMIFS('YTD Sales'!$N:$N,'YTD Sales'!$B:$B,Brokerage!$B105,'YTD Sales'!$M:$M,Brokerage!R$4)+SUMIFS('YTD Purchases'!$H:$H,'YTD Purchases'!$C:$C,Brokerage!$B105,'YTD Purchases'!$G:$G,Brokerage!R$4)</f>
        <v>0</v>
      </c>
      <c r="S105" s="857">
        <f>SUMIFS('YTD Sales'!$N:$N,'YTD Sales'!$B:$B,Brokerage!$B105,'YTD Sales'!$M:$M,Brokerage!S$4)+SUMIFS('YTD Purchases'!$H:$H,'YTD Purchases'!$C:$C,Brokerage!$B105,'YTD Purchases'!$G:$G,Brokerage!S$4)</f>
        <v>0</v>
      </c>
      <c r="T105" s="857">
        <f>SUMIFS('YTD Sales'!$N:$N,'YTD Sales'!$B:$B,Brokerage!$B105,'YTD Sales'!$M:$M,Brokerage!T$4)+SUMIFS('YTD Purchases'!$H:$H,'YTD Purchases'!$C:$C,Brokerage!$B105,'YTD Purchases'!$G:$G,Brokerage!T$4)</f>
        <v>0</v>
      </c>
      <c r="U105" s="857">
        <f>SUMIFS('YTD Sales'!$N:$N,'YTD Sales'!$B:$B,Brokerage!$B105,'YTD Sales'!$M:$M,Brokerage!U$4)+SUMIFS('YTD Purchases'!$H:$H,'YTD Purchases'!$C:$C,Brokerage!$B105,'YTD Purchases'!$G:$G,Brokerage!U$4)</f>
        <v>0</v>
      </c>
      <c r="V105" s="857">
        <f>SUMIFS('YTD Sales'!$N:$N,'YTD Sales'!$B:$B,Brokerage!$B105,'YTD Sales'!$M:$M,Brokerage!V$4)+SUMIFS('YTD Purchases'!$H:$H,'YTD Purchases'!$C:$C,Brokerage!$B105,'YTD Purchases'!$G:$G,Brokerage!V$4)</f>
        <v>0</v>
      </c>
      <c r="W105" s="857">
        <f>SUMIFS('YTD Sales'!$N:$N,'YTD Sales'!$B:$B,Brokerage!$B105,'YTD Sales'!$M:$M,Brokerage!W$4)+SUMIFS('YTD Purchases'!$H:$H,'YTD Purchases'!$C:$C,Brokerage!$B105,'YTD Purchases'!$G:$G,Brokerage!W$4)</f>
        <v>0</v>
      </c>
      <c r="X105" s="857">
        <f>SUMIFS('YTD Sales'!$N:$N,'YTD Sales'!$B:$B,Brokerage!$B105,'YTD Sales'!$M:$M,Brokerage!X$4)+SUMIFS('YTD Purchases'!$H:$H,'YTD Purchases'!$C:$C,Brokerage!$B105,'YTD Purchases'!$G:$G,Brokerage!X$4)</f>
        <v>0</v>
      </c>
      <c r="Y105" s="857">
        <f>SUMIFS('YTD Sales'!$N:$N,'YTD Sales'!$B:$B,Brokerage!$B105,'YTD Sales'!$M:$M,Brokerage!Y$4)+SUMIFS('YTD Purchases'!$H:$H,'YTD Purchases'!$C:$C,Brokerage!$B105,'YTD Purchases'!$G:$G,Brokerage!Y$4)</f>
        <v>0</v>
      </c>
      <c r="Z105" s="857">
        <f>SUMIFS('YTD Sales'!$N:$N,'YTD Sales'!$B:$B,Brokerage!$B105,'YTD Sales'!$M:$M,Brokerage!Z$4)+SUMIFS('YTD Purchases'!$H:$H,'YTD Purchases'!$C:$C,Brokerage!$B105,'YTD Purchases'!$G:$G,Brokerage!Z$4)</f>
        <v>0</v>
      </c>
      <c r="AA105" s="857">
        <f>SUMIFS('YTD Sales'!$N:$N,'YTD Sales'!$B:$B,Brokerage!$B105,'YTD Sales'!$M:$M,Brokerage!AA$4)+SUMIFS('YTD Purchases'!$H:$H,'YTD Purchases'!$C:$C,Brokerage!$B105,'YTD Purchases'!$G:$G,Brokerage!AA$4)</f>
        <v>0</v>
      </c>
      <c r="AB105" s="857">
        <f>SUMIFS('YTD Sales'!$N:$N,'YTD Sales'!$B:$B,Brokerage!$B105,'YTD Sales'!$M:$M,Brokerage!AB$4)+SUMIFS('YTD Purchases'!$H:$H,'YTD Purchases'!$C:$C,Brokerage!$B105,'YTD Purchases'!$G:$G,Brokerage!AB$4)</f>
        <v>0</v>
      </c>
      <c r="AC105" s="857">
        <f>SUMIFS('YTD Sales'!$N:$N,'YTD Sales'!$B:$B,Brokerage!$B105,'YTD Sales'!$M:$M,Brokerage!AC$4)+SUMIFS('YTD Purchases'!$H:$H,'YTD Purchases'!$C:$C,Brokerage!$B105,'YTD Purchases'!$G:$G,Brokerage!AC$4)</f>
        <v>0</v>
      </c>
      <c r="AD105" s="857">
        <f>+SUMIFS(PIB!AG:AG,PIB!AF:AF,Brokerage!AD$4,PIB!AA:AA,Brokerage!$B105)+SUMIFS('T-Bills'!AB:AB,'T-Bills'!AA:AA,Brokerage!AD$4,'T-Bills'!V:V,Brokerage!$B105)</f>
        <v>0</v>
      </c>
      <c r="AE105" s="857">
        <f>+SUMIFS(PIB!AH:AH,PIB!AG:AG,Brokerage!AE$4,PIB!AB:AB,Brokerage!$B105)+SUMIFS('T-Bills'!AC:AC,'T-Bills'!AB:AB,Brokerage!AE$4,'T-Bills'!W:W,Brokerage!$B105)</f>
        <v>0</v>
      </c>
      <c r="AF105" s="857">
        <f>+SUMIFS(PIB!AI:AI,PIB!AH:AH,Brokerage!AF$4,PIB!AC:AC,Brokerage!$B105)+SUMIFS('T-Bills'!AD:AD,'T-Bills'!AC:AC,Brokerage!AF$4,'T-Bills'!X:X,Brokerage!$B105)</f>
        <v>0</v>
      </c>
      <c r="AG105" s="857">
        <f t="shared" si="10"/>
        <v>0</v>
      </c>
      <c r="AH105" s="858">
        <f t="shared" si="17"/>
        <v>0</v>
      </c>
    </row>
    <row r="106" spans="2:34" x14ac:dyDescent="0.15">
      <c r="B106" s="661">
        <f t="shared" si="9"/>
        <v>44662</v>
      </c>
      <c r="C106" s="857">
        <f>SUMIFS('YTD Sales'!$N:$N,'YTD Sales'!$B:$B,Brokerage!$B106,'YTD Sales'!$M:$M,Brokerage!C$4)+SUMIFS('YTD Purchases'!$H:$H,'YTD Purchases'!$C:$C,Brokerage!$B106,'YTD Purchases'!$G:$G,Brokerage!C$4)</f>
        <v>0</v>
      </c>
      <c r="D106" s="857">
        <f>SUMIFS('YTD Sales'!$N:$N,'YTD Sales'!$B:$B,Brokerage!$B106,'YTD Sales'!$M:$M,Brokerage!D$4)+SUMIFS('YTD Purchases'!$H:$H,'YTD Purchases'!$C:$C,Brokerage!$B106,'YTD Purchases'!$G:$G,Brokerage!D$4)</f>
        <v>6843.380000000001</v>
      </c>
      <c r="E106" s="857">
        <f>SUMIFS('YTD Sales'!$N:$N,'YTD Sales'!$B:$B,Brokerage!$B106,'YTD Sales'!$M:$M,Brokerage!E$4)+SUMIFS('YTD Purchases'!$H:$H,'YTD Purchases'!$C:$C,Brokerage!$B106,'YTD Purchases'!$G:$G,Brokerage!E$4)</f>
        <v>0</v>
      </c>
      <c r="F106" s="857">
        <f>SUMIFS('YTD Sales'!$N:$N,'YTD Sales'!$B:$B,Brokerage!$B106,'YTD Sales'!$M:$M,Brokerage!F$4)+SUMIFS('YTD Purchases'!$H:$H,'YTD Purchases'!$C:$C,Brokerage!$B106,'YTD Purchases'!$G:$G,Brokerage!F$4)</f>
        <v>0</v>
      </c>
      <c r="G106" s="857">
        <f>SUMIFS('YTD Sales'!$N:$N,'YTD Sales'!$B:$B,Brokerage!$B106,'YTD Sales'!$M:$M,Brokerage!G$4)+SUMIFS('YTD Purchases'!$H:$H,'YTD Purchases'!$C:$C,Brokerage!$B106,'YTD Purchases'!$G:$G,Brokerage!G$4)</f>
        <v>0</v>
      </c>
      <c r="H106" s="857">
        <f>SUMIFS('YTD Sales'!$N:$N,'YTD Sales'!$B:$B,Brokerage!$B106,'YTD Sales'!$M:$M,Brokerage!H$4)+SUMIFS('YTD Purchases'!$H:$H,'YTD Purchases'!$C:$C,Brokerage!$B106,'YTD Purchases'!$G:$G,Brokerage!H$4)</f>
        <v>0</v>
      </c>
      <c r="I106" s="857">
        <f>SUMIFS('YTD Sales'!$N:$N,'YTD Sales'!$B:$B,Brokerage!$B106,'YTD Sales'!$M:$M,Brokerage!I$4)+SUMIFS('YTD Purchases'!$H:$H,'YTD Purchases'!$C:$C,Brokerage!$B106,'YTD Purchases'!$G:$G,Brokerage!I$4)</f>
        <v>0</v>
      </c>
      <c r="J106" s="857">
        <f>SUMIFS('YTD Sales'!$N:$N,'YTD Sales'!$B:$B,Brokerage!$B106,'YTD Sales'!$M:$M,Brokerage!J$4)+SUMIFS('YTD Purchases'!$H:$H,'YTD Purchases'!$C:$C,Brokerage!$B106,'YTD Purchases'!$G:$G,Brokerage!J$4)</f>
        <v>0</v>
      </c>
      <c r="K106" s="857">
        <f>SUMIFS('YTD Sales'!$N:$N,'YTD Sales'!$B:$B,Brokerage!$B106,'YTD Sales'!$M:$M,Brokerage!K$4)+SUMIFS('YTD Purchases'!$H:$H,'YTD Purchases'!$C:$C,Brokerage!$B106,'YTD Purchases'!$G:$G,Brokerage!K$4)</f>
        <v>0</v>
      </c>
      <c r="L106" s="857">
        <f>SUMIFS('YTD Sales'!$N:$N,'YTD Sales'!$B:$B,Brokerage!$B106,'YTD Sales'!$M:$M,Brokerage!L$4)+SUMIFS('YTD Purchases'!$H:$H,'YTD Purchases'!$C:$C,Brokerage!$B106,'YTD Purchases'!$G:$G,Brokerage!L$4)</f>
        <v>0</v>
      </c>
      <c r="M106" s="857">
        <f>SUMIFS('YTD Sales'!$N:$N,'YTD Sales'!$B:$B,Brokerage!$B106,'YTD Sales'!$M:$M,Brokerage!M$4)+SUMIFS('YTD Purchases'!$H:$H,'YTD Purchases'!$C:$C,Brokerage!$B106,'YTD Purchases'!$G:$G,Brokerage!M$4)</f>
        <v>0</v>
      </c>
      <c r="N106" s="857">
        <f>SUMIFS('YTD Sales'!$N:$N,'YTD Sales'!$B:$B,Brokerage!$B106,'YTD Sales'!$M:$M,Brokerage!N$4)+SUMIFS('YTD Purchases'!$H:$H,'YTD Purchases'!$C:$C,Brokerage!$B106,'YTD Purchases'!$G:$G,Brokerage!N$4)</f>
        <v>11903.22</v>
      </c>
      <c r="O106" s="857">
        <f>SUMIFS('YTD Sales'!$N:$N,'YTD Sales'!$B:$B,Brokerage!$B106,'YTD Sales'!$M:$M,Brokerage!O$4)+SUMIFS('YTD Purchases'!$H:$H,'YTD Purchases'!$C:$C,Brokerage!$B106,'YTD Purchases'!$G:$G,Brokerage!O$4)</f>
        <v>0</v>
      </c>
      <c r="P106" s="857">
        <f>SUMIFS('YTD Sales'!$N:$N,'YTD Sales'!$B:$B,Brokerage!$B106,'YTD Sales'!$M:$M,Brokerage!P$4)+SUMIFS('YTD Purchases'!$H:$H,'YTD Purchases'!$C:$C,Brokerage!$B106,'YTD Purchases'!$G:$G,Brokerage!P$4)</f>
        <v>0</v>
      </c>
      <c r="Q106" s="857">
        <f>SUMIFS('YTD Sales'!$N:$N,'YTD Sales'!$B:$B,Brokerage!$B106,'YTD Sales'!$M:$M,Brokerage!Q$4)+SUMIFS('YTD Purchases'!$H:$H,'YTD Purchases'!$C:$C,Brokerage!$B106,'YTD Purchases'!$G:$G,Brokerage!Q$4)</f>
        <v>0</v>
      </c>
      <c r="R106" s="857">
        <f>SUMIFS('YTD Sales'!$N:$N,'YTD Sales'!$B:$B,Brokerage!$B106,'YTD Sales'!$M:$M,Brokerage!R$4)+SUMIFS('YTD Purchases'!$H:$H,'YTD Purchases'!$C:$C,Brokerage!$B106,'YTD Purchases'!$G:$G,Brokerage!R$4)</f>
        <v>0</v>
      </c>
      <c r="S106" s="857">
        <f>SUMIFS('YTD Sales'!$N:$N,'YTD Sales'!$B:$B,Brokerage!$B106,'YTD Sales'!$M:$M,Brokerage!S$4)+SUMIFS('YTD Purchases'!$H:$H,'YTD Purchases'!$C:$C,Brokerage!$B106,'YTD Purchases'!$G:$G,Brokerage!S$4)</f>
        <v>0</v>
      </c>
      <c r="T106" s="857">
        <f>SUMIFS('YTD Sales'!$N:$N,'YTD Sales'!$B:$B,Brokerage!$B106,'YTD Sales'!$M:$M,Brokerage!T$4)+SUMIFS('YTD Purchases'!$H:$H,'YTD Purchases'!$C:$C,Brokerage!$B106,'YTD Purchases'!$G:$G,Brokerage!T$4)</f>
        <v>0</v>
      </c>
      <c r="U106" s="857">
        <f>SUMIFS('YTD Sales'!$N:$N,'YTD Sales'!$B:$B,Brokerage!$B106,'YTD Sales'!$M:$M,Brokerage!U$4)+SUMIFS('YTD Purchases'!$H:$H,'YTD Purchases'!$C:$C,Brokerage!$B106,'YTD Purchases'!$G:$G,Brokerage!U$4)</f>
        <v>0</v>
      </c>
      <c r="V106" s="857">
        <f>SUMIFS('YTD Sales'!$N:$N,'YTD Sales'!$B:$B,Brokerage!$B106,'YTD Sales'!$M:$M,Brokerage!V$4)+SUMIFS('YTD Purchases'!$H:$H,'YTD Purchases'!$C:$C,Brokerage!$B106,'YTD Purchases'!$G:$G,Brokerage!V$4)</f>
        <v>0</v>
      </c>
      <c r="W106" s="857">
        <f>SUMIFS('YTD Sales'!$N:$N,'YTD Sales'!$B:$B,Brokerage!$B106,'YTD Sales'!$M:$M,Brokerage!W$4)+SUMIFS('YTD Purchases'!$H:$H,'YTD Purchases'!$C:$C,Brokerage!$B106,'YTD Purchases'!$G:$G,Brokerage!W$4)</f>
        <v>0</v>
      </c>
      <c r="X106" s="857">
        <f>SUMIFS('YTD Sales'!$N:$N,'YTD Sales'!$B:$B,Brokerage!$B106,'YTD Sales'!$M:$M,Brokerage!X$4)+SUMIFS('YTD Purchases'!$H:$H,'YTD Purchases'!$C:$C,Brokerage!$B106,'YTD Purchases'!$G:$G,Brokerage!X$4)</f>
        <v>0</v>
      </c>
      <c r="Y106" s="857">
        <f>SUMIFS('YTD Sales'!$N:$N,'YTD Sales'!$B:$B,Brokerage!$B106,'YTD Sales'!$M:$M,Brokerage!Y$4)+SUMIFS('YTD Purchases'!$H:$H,'YTD Purchases'!$C:$C,Brokerage!$B106,'YTD Purchases'!$G:$G,Brokerage!Y$4)</f>
        <v>0</v>
      </c>
      <c r="Z106" s="857">
        <f>SUMIFS('YTD Sales'!$N:$N,'YTD Sales'!$B:$B,Brokerage!$B106,'YTD Sales'!$M:$M,Brokerage!Z$4)+SUMIFS('YTD Purchases'!$H:$H,'YTD Purchases'!$C:$C,Brokerage!$B106,'YTD Purchases'!$G:$G,Brokerage!Z$4)</f>
        <v>0</v>
      </c>
      <c r="AA106" s="857">
        <f>SUMIFS('YTD Sales'!$N:$N,'YTD Sales'!$B:$B,Brokerage!$B106,'YTD Sales'!$M:$M,Brokerage!AA$4)+SUMIFS('YTD Purchases'!$H:$H,'YTD Purchases'!$C:$C,Brokerage!$B106,'YTD Purchases'!$G:$G,Brokerage!AA$4)</f>
        <v>0</v>
      </c>
      <c r="AB106" s="857">
        <f>SUMIFS('YTD Sales'!$N:$N,'YTD Sales'!$B:$B,Brokerage!$B106,'YTD Sales'!$M:$M,Brokerage!AB$4)+SUMIFS('YTD Purchases'!$H:$H,'YTD Purchases'!$C:$C,Brokerage!$B106,'YTD Purchases'!$G:$G,Brokerage!AB$4)</f>
        <v>0</v>
      </c>
      <c r="AC106" s="857">
        <f>SUMIFS('YTD Sales'!$N:$N,'YTD Sales'!$B:$B,Brokerage!$B106,'YTD Sales'!$M:$M,Brokerage!AC$4)+SUMIFS('YTD Purchases'!$H:$H,'YTD Purchases'!$C:$C,Brokerage!$B106,'YTD Purchases'!$G:$G,Brokerage!AC$4)</f>
        <v>0</v>
      </c>
      <c r="AD106" s="857">
        <f>+SUMIFS(PIB!AG:AG,PIB!AF:AF,Brokerage!AD$4,PIB!AA:AA,Brokerage!$B106)+SUMIFS('T-Bills'!AB:AB,'T-Bills'!AA:AA,Brokerage!AD$4,'T-Bills'!V:V,Brokerage!$B106)</f>
        <v>0</v>
      </c>
      <c r="AE106" s="857">
        <f>+SUMIFS(PIB!AH:AH,PIB!AG:AG,Brokerage!AE$4,PIB!AB:AB,Brokerage!$B106)+SUMIFS('T-Bills'!AC:AC,'T-Bills'!AB:AB,Brokerage!AE$4,'T-Bills'!W:W,Brokerage!$B106)</f>
        <v>0</v>
      </c>
      <c r="AF106" s="857">
        <f>+SUMIFS(PIB!AI:AI,PIB!AH:AH,Brokerage!AF$4,PIB!AC:AC,Brokerage!$B106)+SUMIFS('T-Bills'!AD:AD,'T-Bills'!AC:AC,Brokerage!AF$4,'T-Bills'!X:X,Brokerage!$B106)</f>
        <v>0</v>
      </c>
      <c r="AG106" s="857">
        <f t="shared" si="10"/>
        <v>18746.599999999999</v>
      </c>
      <c r="AH106" s="858">
        <f t="shared" si="17"/>
        <v>1</v>
      </c>
    </row>
    <row r="107" spans="2:34" x14ac:dyDescent="0.15">
      <c r="B107" s="661">
        <f t="shared" si="9"/>
        <v>44663</v>
      </c>
      <c r="C107" s="857">
        <f>SUMIFS('YTD Sales'!$N:$N,'YTD Sales'!$B:$B,Brokerage!$B107,'YTD Sales'!$M:$M,Brokerage!C$4)+SUMIFS('YTD Purchases'!$H:$H,'YTD Purchases'!$C:$C,Brokerage!$B107,'YTD Purchases'!$G:$G,Brokerage!C$4)</f>
        <v>0</v>
      </c>
      <c r="D107" s="857">
        <f>SUMIFS('YTD Sales'!$N:$N,'YTD Sales'!$B:$B,Brokerage!$B107,'YTD Sales'!$M:$M,Brokerage!D$4)+SUMIFS('YTD Purchases'!$H:$H,'YTD Purchases'!$C:$C,Brokerage!$B107,'YTD Purchases'!$G:$G,Brokerage!D$4)</f>
        <v>6656.8450000000003</v>
      </c>
      <c r="E107" s="857">
        <f>SUMIFS('YTD Sales'!$N:$N,'YTD Sales'!$B:$B,Brokerage!$B107,'YTD Sales'!$M:$M,Brokerage!E$4)+SUMIFS('YTD Purchases'!$H:$H,'YTD Purchases'!$C:$C,Brokerage!$B107,'YTD Purchases'!$G:$G,Brokerage!E$4)</f>
        <v>0</v>
      </c>
      <c r="F107" s="857">
        <f>SUMIFS('YTD Sales'!$N:$N,'YTD Sales'!$B:$B,Brokerage!$B107,'YTD Sales'!$M:$M,Brokerage!F$4)+SUMIFS('YTD Purchases'!$H:$H,'YTD Purchases'!$C:$C,Brokerage!$B107,'YTD Purchases'!$G:$G,Brokerage!F$4)</f>
        <v>0</v>
      </c>
      <c r="G107" s="857">
        <f>SUMIFS('YTD Sales'!$N:$N,'YTD Sales'!$B:$B,Brokerage!$B107,'YTD Sales'!$M:$M,Brokerage!G$4)+SUMIFS('YTD Purchases'!$H:$H,'YTD Purchases'!$C:$C,Brokerage!$B107,'YTD Purchases'!$G:$G,Brokerage!G$4)</f>
        <v>0</v>
      </c>
      <c r="H107" s="857">
        <f>SUMIFS('YTD Sales'!$N:$N,'YTD Sales'!$B:$B,Brokerage!$B107,'YTD Sales'!$M:$M,Brokerage!H$4)+SUMIFS('YTD Purchases'!$H:$H,'YTD Purchases'!$C:$C,Brokerage!$B107,'YTD Purchases'!$G:$G,Brokerage!H$4)</f>
        <v>0</v>
      </c>
      <c r="I107" s="857">
        <f>SUMIFS('YTD Sales'!$N:$N,'YTD Sales'!$B:$B,Brokerage!$B107,'YTD Sales'!$M:$M,Brokerage!I$4)+SUMIFS('YTD Purchases'!$H:$H,'YTD Purchases'!$C:$C,Brokerage!$B107,'YTD Purchases'!$G:$G,Brokerage!I$4)</f>
        <v>0</v>
      </c>
      <c r="J107" s="857">
        <f>SUMIFS('YTD Sales'!$N:$N,'YTD Sales'!$B:$B,Brokerage!$B107,'YTD Sales'!$M:$M,Brokerage!J$4)+SUMIFS('YTD Purchases'!$H:$H,'YTD Purchases'!$C:$C,Brokerage!$B107,'YTD Purchases'!$G:$G,Brokerage!J$4)</f>
        <v>0</v>
      </c>
      <c r="K107" s="857">
        <f>SUMIFS('YTD Sales'!$N:$N,'YTD Sales'!$B:$B,Brokerage!$B107,'YTD Sales'!$M:$M,Brokerage!K$4)+SUMIFS('YTD Purchases'!$H:$H,'YTD Purchases'!$C:$C,Brokerage!$B107,'YTD Purchases'!$G:$G,Brokerage!K$4)</f>
        <v>0</v>
      </c>
      <c r="L107" s="857">
        <f>SUMIFS('YTD Sales'!$N:$N,'YTD Sales'!$B:$B,Brokerage!$B107,'YTD Sales'!$M:$M,Brokerage!L$4)+SUMIFS('YTD Purchases'!$H:$H,'YTD Purchases'!$C:$C,Brokerage!$B107,'YTD Purchases'!$G:$G,Brokerage!L$4)</f>
        <v>0</v>
      </c>
      <c r="M107" s="857">
        <f>SUMIFS('YTD Sales'!$N:$N,'YTD Sales'!$B:$B,Brokerage!$B107,'YTD Sales'!$M:$M,Brokerage!M$4)+SUMIFS('YTD Purchases'!$H:$H,'YTD Purchases'!$C:$C,Brokerage!$B107,'YTD Purchases'!$G:$G,Brokerage!M$4)</f>
        <v>6435.3166666666684</v>
      </c>
      <c r="N107" s="857">
        <f>SUMIFS('YTD Sales'!$N:$N,'YTD Sales'!$B:$B,Brokerage!$B107,'YTD Sales'!$M:$M,Brokerage!N$4)+SUMIFS('YTD Purchases'!$H:$H,'YTD Purchases'!$C:$C,Brokerage!$B107,'YTD Purchases'!$G:$G,Brokerage!N$4)</f>
        <v>0</v>
      </c>
      <c r="O107" s="857">
        <f>SUMIFS('YTD Sales'!$N:$N,'YTD Sales'!$B:$B,Brokerage!$B107,'YTD Sales'!$M:$M,Brokerage!O$4)+SUMIFS('YTD Purchases'!$H:$H,'YTD Purchases'!$C:$C,Brokerage!$B107,'YTD Purchases'!$G:$G,Brokerage!O$4)</f>
        <v>0</v>
      </c>
      <c r="P107" s="857">
        <f>SUMIFS('YTD Sales'!$N:$N,'YTD Sales'!$B:$B,Brokerage!$B107,'YTD Sales'!$M:$M,Brokerage!P$4)+SUMIFS('YTD Purchases'!$H:$H,'YTD Purchases'!$C:$C,Brokerage!$B107,'YTD Purchases'!$G:$G,Brokerage!P$4)</f>
        <v>0</v>
      </c>
      <c r="Q107" s="857">
        <f>SUMIFS('YTD Sales'!$N:$N,'YTD Sales'!$B:$B,Brokerage!$B107,'YTD Sales'!$M:$M,Brokerage!Q$4)+SUMIFS('YTD Purchases'!$H:$H,'YTD Purchases'!$C:$C,Brokerage!$B107,'YTD Purchases'!$G:$G,Brokerage!Q$4)</f>
        <v>0</v>
      </c>
      <c r="R107" s="857">
        <f>SUMIFS('YTD Sales'!$N:$N,'YTD Sales'!$B:$B,Brokerage!$B107,'YTD Sales'!$M:$M,Brokerage!R$4)+SUMIFS('YTD Purchases'!$H:$H,'YTD Purchases'!$C:$C,Brokerage!$B107,'YTD Purchases'!$G:$G,Brokerage!R$4)</f>
        <v>0</v>
      </c>
      <c r="S107" s="857">
        <f>SUMIFS('YTD Sales'!$N:$N,'YTD Sales'!$B:$B,Brokerage!$B107,'YTD Sales'!$M:$M,Brokerage!S$4)+SUMIFS('YTD Purchases'!$H:$H,'YTD Purchases'!$C:$C,Brokerage!$B107,'YTD Purchases'!$G:$G,Brokerage!S$4)</f>
        <v>0</v>
      </c>
      <c r="T107" s="857">
        <f>SUMIFS('YTD Sales'!$N:$N,'YTD Sales'!$B:$B,Brokerage!$B107,'YTD Sales'!$M:$M,Brokerage!T$4)+SUMIFS('YTD Purchases'!$H:$H,'YTD Purchases'!$C:$C,Brokerage!$B107,'YTD Purchases'!$G:$G,Brokerage!T$4)</f>
        <v>0</v>
      </c>
      <c r="U107" s="857">
        <f>SUMIFS('YTD Sales'!$N:$N,'YTD Sales'!$B:$B,Brokerage!$B107,'YTD Sales'!$M:$M,Brokerage!U$4)+SUMIFS('YTD Purchases'!$H:$H,'YTD Purchases'!$C:$C,Brokerage!$B107,'YTD Purchases'!$G:$G,Brokerage!U$4)</f>
        <v>0</v>
      </c>
      <c r="V107" s="857">
        <f>SUMIFS('YTD Sales'!$N:$N,'YTD Sales'!$B:$B,Brokerage!$B107,'YTD Sales'!$M:$M,Brokerage!V$4)+SUMIFS('YTD Purchases'!$H:$H,'YTD Purchases'!$C:$C,Brokerage!$B107,'YTD Purchases'!$G:$G,Brokerage!V$4)</f>
        <v>0</v>
      </c>
      <c r="W107" s="857">
        <f>SUMIFS('YTD Sales'!$N:$N,'YTD Sales'!$B:$B,Brokerage!$B107,'YTD Sales'!$M:$M,Brokerage!W$4)+SUMIFS('YTD Purchases'!$H:$H,'YTD Purchases'!$C:$C,Brokerage!$B107,'YTD Purchases'!$G:$G,Brokerage!W$4)</f>
        <v>0</v>
      </c>
      <c r="X107" s="857">
        <f>SUMIFS('YTD Sales'!$N:$N,'YTD Sales'!$B:$B,Brokerage!$B107,'YTD Sales'!$M:$M,Brokerage!X$4)+SUMIFS('YTD Purchases'!$H:$H,'YTD Purchases'!$C:$C,Brokerage!$B107,'YTD Purchases'!$G:$G,Brokerage!X$4)</f>
        <v>0</v>
      </c>
      <c r="Y107" s="857">
        <f>SUMIFS('YTD Sales'!$N:$N,'YTD Sales'!$B:$B,Brokerage!$B107,'YTD Sales'!$M:$M,Brokerage!Y$4)+SUMIFS('YTD Purchases'!$H:$H,'YTD Purchases'!$C:$C,Brokerage!$B107,'YTD Purchases'!$G:$G,Brokerage!Y$4)</f>
        <v>0</v>
      </c>
      <c r="Z107" s="857">
        <f>SUMIFS('YTD Sales'!$N:$N,'YTD Sales'!$B:$B,Brokerage!$B107,'YTD Sales'!$M:$M,Brokerage!Z$4)+SUMIFS('YTD Purchases'!$H:$H,'YTD Purchases'!$C:$C,Brokerage!$B107,'YTD Purchases'!$G:$G,Brokerage!Z$4)</f>
        <v>0</v>
      </c>
      <c r="AA107" s="857">
        <f>SUMIFS('YTD Sales'!$N:$N,'YTD Sales'!$B:$B,Brokerage!$B107,'YTD Sales'!$M:$M,Brokerage!AA$4)+SUMIFS('YTD Purchases'!$H:$H,'YTD Purchases'!$C:$C,Brokerage!$B107,'YTD Purchases'!$G:$G,Brokerage!AA$4)</f>
        <v>0</v>
      </c>
      <c r="AB107" s="857">
        <f>SUMIFS('YTD Sales'!$N:$N,'YTD Sales'!$B:$B,Brokerage!$B107,'YTD Sales'!$M:$M,Brokerage!AB$4)+SUMIFS('YTD Purchases'!$H:$H,'YTD Purchases'!$C:$C,Brokerage!$B107,'YTD Purchases'!$G:$G,Brokerage!AB$4)</f>
        <v>0</v>
      </c>
      <c r="AC107" s="857">
        <f>SUMIFS('YTD Sales'!$N:$N,'YTD Sales'!$B:$B,Brokerage!$B107,'YTD Sales'!$M:$M,Brokerage!AC$4)+SUMIFS('YTD Purchases'!$H:$H,'YTD Purchases'!$C:$C,Brokerage!$B107,'YTD Purchases'!$G:$G,Brokerage!AC$4)</f>
        <v>0</v>
      </c>
      <c r="AD107" s="857">
        <f>+SUMIFS(PIB!AG:AG,PIB!AF:AF,Brokerage!AD$4,PIB!AA:AA,Brokerage!$B107)+SUMIFS('T-Bills'!AB:AB,'T-Bills'!AA:AA,Brokerage!AD$4,'T-Bills'!V:V,Brokerage!$B107)</f>
        <v>0</v>
      </c>
      <c r="AE107" s="857">
        <f>+SUMIFS(PIB!AH:AH,PIB!AG:AG,Brokerage!AE$4,PIB!AB:AB,Brokerage!$B107)+SUMIFS('T-Bills'!AC:AC,'T-Bills'!AB:AB,Brokerage!AE$4,'T-Bills'!W:W,Brokerage!$B107)</f>
        <v>0</v>
      </c>
      <c r="AF107" s="857">
        <f>+SUMIFS(PIB!AI:AI,PIB!AH:AH,Brokerage!AF$4,PIB!AC:AC,Brokerage!$B107)+SUMIFS('T-Bills'!AD:AD,'T-Bills'!AC:AC,Brokerage!AF$4,'T-Bills'!X:X,Brokerage!$B107)</f>
        <v>0</v>
      </c>
      <c r="AG107" s="857">
        <f t="shared" si="10"/>
        <v>13092.161666666669</v>
      </c>
      <c r="AH107" s="858">
        <f t="shared" si="17"/>
        <v>1</v>
      </c>
    </row>
    <row r="108" spans="2:34" x14ac:dyDescent="0.15">
      <c r="B108" s="661">
        <f t="shared" si="9"/>
        <v>44664</v>
      </c>
      <c r="C108" s="857">
        <f>SUMIFS('YTD Sales'!$N:$N,'YTD Sales'!$B:$B,Brokerage!$B108,'YTD Sales'!$M:$M,Brokerage!C$4)+SUMIFS('YTD Purchases'!$H:$H,'YTD Purchases'!$C:$C,Brokerage!$B108,'YTD Purchases'!$G:$G,Brokerage!C$4)</f>
        <v>0</v>
      </c>
      <c r="D108" s="857">
        <f>SUMIFS('YTD Sales'!$N:$N,'YTD Sales'!$B:$B,Brokerage!$B108,'YTD Sales'!$M:$M,Brokerage!D$4)+SUMIFS('YTD Purchases'!$H:$H,'YTD Purchases'!$C:$C,Brokerage!$B108,'YTD Purchases'!$G:$G,Brokerage!D$4)</f>
        <v>0</v>
      </c>
      <c r="E108" s="857">
        <f>SUMIFS('YTD Sales'!$N:$N,'YTD Sales'!$B:$B,Brokerage!$B108,'YTD Sales'!$M:$M,Brokerage!E$4)+SUMIFS('YTD Purchases'!$H:$H,'YTD Purchases'!$C:$C,Brokerage!$B108,'YTD Purchases'!$G:$G,Brokerage!E$4)</f>
        <v>0</v>
      </c>
      <c r="F108" s="857">
        <f>SUMIFS('YTD Sales'!$N:$N,'YTD Sales'!$B:$B,Brokerage!$B108,'YTD Sales'!$M:$M,Brokerage!F$4)+SUMIFS('YTD Purchases'!$H:$H,'YTD Purchases'!$C:$C,Brokerage!$B108,'YTD Purchases'!$G:$G,Brokerage!F$4)</f>
        <v>0</v>
      </c>
      <c r="G108" s="857">
        <f>SUMIFS('YTD Sales'!$N:$N,'YTD Sales'!$B:$B,Brokerage!$B108,'YTD Sales'!$M:$M,Brokerage!G$4)+SUMIFS('YTD Purchases'!$H:$H,'YTD Purchases'!$C:$C,Brokerage!$B108,'YTD Purchases'!$G:$G,Brokerage!G$4)</f>
        <v>0</v>
      </c>
      <c r="H108" s="857">
        <f>SUMIFS('YTD Sales'!$N:$N,'YTD Sales'!$B:$B,Brokerage!$B108,'YTD Sales'!$M:$M,Brokerage!H$4)+SUMIFS('YTD Purchases'!$H:$H,'YTD Purchases'!$C:$C,Brokerage!$B108,'YTD Purchases'!$G:$G,Brokerage!H$4)</f>
        <v>0</v>
      </c>
      <c r="I108" s="857">
        <f>SUMIFS('YTD Sales'!$N:$N,'YTD Sales'!$B:$B,Brokerage!$B108,'YTD Sales'!$M:$M,Brokerage!I$4)+SUMIFS('YTD Purchases'!$H:$H,'YTD Purchases'!$C:$C,Brokerage!$B108,'YTD Purchases'!$G:$G,Brokerage!I$4)</f>
        <v>0</v>
      </c>
      <c r="J108" s="857">
        <f>SUMIFS('YTD Sales'!$N:$N,'YTD Sales'!$B:$B,Brokerage!$B108,'YTD Sales'!$M:$M,Brokerage!J$4)+SUMIFS('YTD Purchases'!$H:$H,'YTD Purchases'!$C:$C,Brokerage!$B108,'YTD Purchases'!$G:$G,Brokerage!J$4)</f>
        <v>0</v>
      </c>
      <c r="K108" s="857">
        <f>SUMIFS('YTD Sales'!$N:$N,'YTD Sales'!$B:$B,Brokerage!$B108,'YTD Sales'!$M:$M,Brokerage!K$4)+SUMIFS('YTD Purchases'!$H:$H,'YTD Purchases'!$C:$C,Brokerage!$B108,'YTD Purchases'!$G:$G,Brokerage!K$4)</f>
        <v>0</v>
      </c>
      <c r="L108" s="857">
        <f>SUMIFS('YTD Sales'!$N:$N,'YTD Sales'!$B:$B,Brokerage!$B108,'YTD Sales'!$M:$M,Brokerage!L$4)+SUMIFS('YTD Purchases'!$H:$H,'YTD Purchases'!$C:$C,Brokerage!$B108,'YTD Purchases'!$G:$G,Brokerage!L$4)</f>
        <v>0</v>
      </c>
      <c r="M108" s="857">
        <f>SUMIFS('YTD Sales'!$N:$N,'YTD Sales'!$B:$B,Brokerage!$B108,'YTD Sales'!$M:$M,Brokerage!M$4)+SUMIFS('YTD Purchases'!$H:$H,'YTD Purchases'!$C:$C,Brokerage!$B108,'YTD Purchases'!$G:$G,Brokerage!M$4)</f>
        <v>2705.7699999999995</v>
      </c>
      <c r="N108" s="857">
        <f>SUMIFS('YTD Sales'!$N:$N,'YTD Sales'!$B:$B,Brokerage!$B108,'YTD Sales'!$M:$M,Brokerage!N$4)+SUMIFS('YTD Purchases'!$H:$H,'YTD Purchases'!$C:$C,Brokerage!$B108,'YTD Purchases'!$G:$G,Brokerage!N$4)</f>
        <v>0</v>
      </c>
      <c r="O108" s="857">
        <f>SUMIFS('YTD Sales'!$N:$N,'YTD Sales'!$B:$B,Brokerage!$B108,'YTD Sales'!$M:$M,Brokerage!O$4)+SUMIFS('YTD Purchases'!$H:$H,'YTD Purchases'!$C:$C,Brokerage!$B108,'YTD Purchases'!$G:$G,Brokerage!O$4)</f>
        <v>0</v>
      </c>
      <c r="P108" s="857">
        <f>SUMIFS('YTD Sales'!$N:$N,'YTD Sales'!$B:$B,Brokerage!$B108,'YTD Sales'!$M:$M,Brokerage!P$4)+SUMIFS('YTD Purchases'!$H:$H,'YTD Purchases'!$C:$C,Brokerage!$B108,'YTD Purchases'!$G:$G,Brokerage!P$4)</f>
        <v>0</v>
      </c>
      <c r="Q108" s="857">
        <f>SUMIFS('YTD Sales'!$N:$N,'YTD Sales'!$B:$B,Brokerage!$B108,'YTD Sales'!$M:$M,Brokerage!Q$4)+SUMIFS('YTD Purchases'!$H:$H,'YTD Purchases'!$C:$C,Brokerage!$B108,'YTD Purchases'!$G:$G,Brokerage!Q$4)</f>
        <v>0</v>
      </c>
      <c r="R108" s="857">
        <f>SUMIFS('YTD Sales'!$N:$N,'YTD Sales'!$B:$B,Brokerage!$B108,'YTD Sales'!$M:$M,Brokerage!R$4)+SUMIFS('YTD Purchases'!$H:$H,'YTD Purchases'!$C:$C,Brokerage!$B108,'YTD Purchases'!$G:$G,Brokerage!R$4)</f>
        <v>0</v>
      </c>
      <c r="S108" s="857">
        <f>SUMIFS('YTD Sales'!$N:$N,'YTD Sales'!$B:$B,Brokerage!$B108,'YTD Sales'!$M:$M,Brokerage!S$4)+SUMIFS('YTD Purchases'!$H:$H,'YTD Purchases'!$C:$C,Brokerage!$B108,'YTD Purchases'!$G:$G,Brokerage!S$4)</f>
        <v>0</v>
      </c>
      <c r="T108" s="857">
        <f>SUMIFS('YTD Sales'!$N:$N,'YTD Sales'!$B:$B,Brokerage!$B108,'YTD Sales'!$M:$M,Brokerage!T$4)+SUMIFS('YTD Purchases'!$H:$H,'YTD Purchases'!$C:$C,Brokerage!$B108,'YTD Purchases'!$G:$G,Brokerage!T$4)</f>
        <v>0</v>
      </c>
      <c r="U108" s="857">
        <f>SUMIFS('YTD Sales'!$N:$N,'YTD Sales'!$B:$B,Brokerage!$B108,'YTD Sales'!$M:$M,Brokerage!U$4)+SUMIFS('YTD Purchases'!$H:$H,'YTD Purchases'!$C:$C,Brokerage!$B108,'YTD Purchases'!$G:$G,Brokerage!U$4)</f>
        <v>0</v>
      </c>
      <c r="V108" s="857">
        <f>SUMIFS('YTD Sales'!$N:$N,'YTD Sales'!$B:$B,Brokerage!$B108,'YTD Sales'!$M:$M,Brokerage!V$4)+SUMIFS('YTD Purchases'!$H:$H,'YTD Purchases'!$C:$C,Brokerage!$B108,'YTD Purchases'!$G:$G,Brokerage!V$4)</f>
        <v>0</v>
      </c>
      <c r="W108" s="857">
        <f>SUMIFS('YTD Sales'!$N:$N,'YTD Sales'!$B:$B,Brokerage!$B108,'YTD Sales'!$M:$M,Brokerage!W$4)+SUMIFS('YTD Purchases'!$H:$H,'YTD Purchases'!$C:$C,Brokerage!$B108,'YTD Purchases'!$G:$G,Brokerage!W$4)</f>
        <v>0</v>
      </c>
      <c r="X108" s="857">
        <f>SUMIFS('YTD Sales'!$N:$N,'YTD Sales'!$B:$B,Brokerage!$B108,'YTD Sales'!$M:$M,Brokerage!X$4)+SUMIFS('YTD Purchases'!$H:$H,'YTD Purchases'!$C:$C,Brokerage!$B108,'YTD Purchases'!$G:$G,Brokerage!X$4)</f>
        <v>0</v>
      </c>
      <c r="Y108" s="857">
        <f>SUMIFS('YTD Sales'!$N:$N,'YTD Sales'!$B:$B,Brokerage!$B108,'YTD Sales'!$M:$M,Brokerage!Y$4)+SUMIFS('YTD Purchases'!$H:$H,'YTD Purchases'!$C:$C,Brokerage!$B108,'YTD Purchases'!$G:$G,Brokerage!Y$4)</f>
        <v>0</v>
      </c>
      <c r="Z108" s="857">
        <f>SUMIFS('YTD Sales'!$N:$N,'YTD Sales'!$B:$B,Brokerage!$B108,'YTD Sales'!$M:$M,Brokerage!Z$4)+SUMIFS('YTD Purchases'!$H:$H,'YTD Purchases'!$C:$C,Brokerage!$B108,'YTD Purchases'!$G:$G,Brokerage!Z$4)</f>
        <v>0</v>
      </c>
      <c r="AA108" s="857">
        <f>SUMIFS('YTD Sales'!$N:$N,'YTD Sales'!$B:$B,Brokerage!$B108,'YTD Sales'!$M:$M,Brokerage!AA$4)+SUMIFS('YTD Purchases'!$H:$H,'YTD Purchases'!$C:$C,Brokerage!$B108,'YTD Purchases'!$G:$G,Brokerage!AA$4)</f>
        <v>0</v>
      </c>
      <c r="AB108" s="857">
        <f>SUMIFS('YTD Sales'!$N:$N,'YTD Sales'!$B:$B,Brokerage!$B108,'YTD Sales'!$M:$M,Brokerage!AB$4)+SUMIFS('YTD Purchases'!$H:$H,'YTD Purchases'!$C:$C,Brokerage!$B108,'YTD Purchases'!$G:$G,Brokerage!AB$4)</f>
        <v>0</v>
      </c>
      <c r="AC108" s="857">
        <f>SUMIFS('YTD Sales'!$N:$N,'YTD Sales'!$B:$B,Brokerage!$B108,'YTD Sales'!$M:$M,Brokerage!AC$4)+SUMIFS('YTD Purchases'!$H:$H,'YTD Purchases'!$C:$C,Brokerage!$B108,'YTD Purchases'!$G:$G,Brokerage!AC$4)</f>
        <v>0</v>
      </c>
      <c r="AD108" s="857">
        <f>+SUMIFS(PIB!AG:AG,PIB!AF:AF,Brokerage!AD$4,PIB!AA:AA,Brokerage!$B108)+SUMIFS('T-Bills'!AB:AB,'T-Bills'!AA:AA,Brokerage!AD$4,'T-Bills'!V:V,Brokerage!$B108)</f>
        <v>0</v>
      </c>
      <c r="AE108" s="857">
        <f>+SUMIFS(PIB!AH:AH,PIB!AG:AG,Brokerage!AE$4,PIB!AB:AB,Brokerage!$B108)+SUMIFS('T-Bills'!AC:AC,'T-Bills'!AB:AB,Brokerage!AE$4,'T-Bills'!W:W,Brokerage!$B108)</f>
        <v>0</v>
      </c>
      <c r="AF108" s="857">
        <f>+SUMIFS(PIB!AI:AI,PIB!AH:AH,Brokerage!AF$4,PIB!AC:AC,Brokerage!$B108)+SUMIFS('T-Bills'!AD:AD,'T-Bills'!AC:AC,Brokerage!AF$4,'T-Bills'!X:X,Brokerage!$B108)</f>
        <v>0</v>
      </c>
      <c r="AG108" s="857">
        <f t="shared" si="10"/>
        <v>2705.7699999999995</v>
      </c>
      <c r="AH108" s="858">
        <f t="shared" si="17"/>
        <v>0</v>
      </c>
    </row>
    <row r="109" spans="2:34" x14ac:dyDescent="0.15">
      <c r="B109" s="661">
        <f t="shared" si="9"/>
        <v>44665</v>
      </c>
      <c r="C109" s="857">
        <f>SUMIFS('YTD Sales'!$N:$N,'YTD Sales'!$B:$B,Brokerage!$B109,'YTD Sales'!$M:$M,Brokerage!C$4)+SUMIFS('YTD Purchases'!$H:$H,'YTD Purchases'!$C:$C,Brokerage!$B109,'YTD Purchases'!$G:$G,Brokerage!C$4)</f>
        <v>0</v>
      </c>
      <c r="D109" s="857">
        <f>SUMIFS('YTD Sales'!$N:$N,'YTD Sales'!$B:$B,Brokerage!$B109,'YTD Sales'!$M:$M,Brokerage!D$4)+SUMIFS('YTD Purchases'!$H:$H,'YTD Purchases'!$C:$C,Brokerage!$B109,'YTD Purchases'!$G:$G,Brokerage!D$4)</f>
        <v>13121.41</v>
      </c>
      <c r="E109" s="857">
        <f>SUMIFS('YTD Sales'!$N:$N,'YTD Sales'!$B:$B,Brokerage!$B109,'YTD Sales'!$M:$M,Brokerage!E$4)+SUMIFS('YTD Purchases'!$H:$H,'YTD Purchases'!$C:$C,Brokerage!$B109,'YTD Purchases'!$G:$G,Brokerage!E$4)</f>
        <v>0</v>
      </c>
      <c r="F109" s="857">
        <f>SUMIFS('YTD Sales'!$N:$N,'YTD Sales'!$B:$B,Brokerage!$B109,'YTD Sales'!$M:$M,Brokerage!F$4)+SUMIFS('YTD Purchases'!$H:$H,'YTD Purchases'!$C:$C,Brokerage!$B109,'YTD Purchases'!$G:$G,Brokerage!F$4)</f>
        <v>0</v>
      </c>
      <c r="G109" s="857">
        <f>SUMIFS('YTD Sales'!$N:$N,'YTD Sales'!$B:$B,Brokerage!$B109,'YTD Sales'!$M:$M,Brokerage!G$4)+SUMIFS('YTD Purchases'!$H:$H,'YTD Purchases'!$C:$C,Brokerage!$B109,'YTD Purchases'!$G:$G,Brokerage!G$4)</f>
        <v>0</v>
      </c>
      <c r="H109" s="857">
        <f>SUMIFS('YTD Sales'!$N:$N,'YTD Sales'!$B:$B,Brokerage!$B109,'YTD Sales'!$M:$M,Brokerage!H$4)+SUMIFS('YTD Purchases'!$H:$H,'YTD Purchases'!$C:$C,Brokerage!$B109,'YTD Purchases'!$G:$G,Brokerage!H$4)</f>
        <v>0</v>
      </c>
      <c r="I109" s="857">
        <f>SUMIFS('YTD Sales'!$N:$N,'YTD Sales'!$B:$B,Brokerage!$B109,'YTD Sales'!$M:$M,Brokerage!I$4)+SUMIFS('YTD Purchases'!$H:$H,'YTD Purchases'!$C:$C,Brokerage!$B109,'YTD Purchases'!$G:$G,Brokerage!I$4)</f>
        <v>0</v>
      </c>
      <c r="J109" s="857">
        <f>SUMIFS('YTD Sales'!$N:$N,'YTD Sales'!$B:$B,Brokerage!$B109,'YTD Sales'!$M:$M,Brokerage!J$4)+SUMIFS('YTD Purchases'!$H:$H,'YTD Purchases'!$C:$C,Brokerage!$B109,'YTD Purchases'!$G:$G,Brokerage!J$4)</f>
        <v>0</v>
      </c>
      <c r="K109" s="857">
        <f>SUMIFS('YTD Sales'!$N:$N,'YTD Sales'!$B:$B,Brokerage!$B109,'YTD Sales'!$M:$M,Brokerage!K$4)+SUMIFS('YTD Purchases'!$H:$H,'YTD Purchases'!$C:$C,Brokerage!$B109,'YTD Purchases'!$G:$G,Brokerage!K$4)</f>
        <v>0</v>
      </c>
      <c r="L109" s="857">
        <f>SUMIFS('YTD Sales'!$N:$N,'YTD Sales'!$B:$B,Brokerage!$B109,'YTD Sales'!$M:$M,Brokerage!L$4)+SUMIFS('YTD Purchases'!$H:$H,'YTD Purchases'!$C:$C,Brokerage!$B109,'YTD Purchases'!$G:$G,Brokerage!L$4)</f>
        <v>0</v>
      </c>
      <c r="M109" s="857">
        <f>SUMIFS('YTD Sales'!$N:$N,'YTD Sales'!$B:$B,Brokerage!$B109,'YTD Sales'!$M:$M,Brokerage!M$4)+SUMIFS('YTD Purchases'!$H:$H,'YTD Purchases'!$C:$C,Brokerage!$B109,'YTD Purchases'!$G:$G,Brokerage!M$4)</f>
        <v>2707.48</v>
      </c>
      <c r="N109" s="857">
        <f>SUMIFS('YTD Sales'!$N:$N,'YTD Sales'!$B:$B,Brokerage!$B109,'YTD Sales'!$M:$M,Brokerage!N$4)+SUMIFS('YTD Purchases'!$H:$H,'YTD Purchases'!$C:$C,Brokerage!$B109,'YTD Purchases'!$G:$G,Brokerage!N$4)</f>
        <v>0</v>
      </c>
      <c r="O109" s="857">
        <f>SUMIFS('YTD Sales'!$N:$N,'YTD Sales'!$B:$B,Brokerage!$B109,'YTD Sales'!$M:$M,Brokerage!O$4)+SUMIFS('YTD Purchases'!$H:$H,'YTD Purchases'!$C:$C,Brokerage!$B109,'YTD Purchases'!$G:$G,Brokerage!O$4)</f>
        <v>0</v>
      </c>
      <c r="P109" s="857">
        <f>SUMIFS('YTD Sales'!$N:$N,'YTD Sales'!$B:$B,Brokerage!$B109,'YTD Sales'!$M:$M,Brokerage!P$4)+SUMIFS('YTD Purchases'!$H:$H,'YTD Purchases'!$C:$C,Brokerage!$B109,'YTD Purchases'!$G:$G,Brokerage!P$4)</f>
        <v>0</v>
      </c>
      <c r="Q109" s="857">
        <f>SUMIFS('YTD Sales'!$N:$N,'YTD Sales'!$B:$B,Brokerage!$B109,'YTD Sales'!$M:$M,Brokerage!Q$4)+SUMIFS('YTD Purchases'!$H:$H,'YTD Purchases'!$C:$C,Brokerage!$B109,'YTD Purchases'!$G:$G,Brokerage!Q$4)</f>
        <v>0</v>
      </c>
      <c r="R109" s="857">
        <f>SUMIFS('YTD Sales'!$N:$N,'YTD Sales'!$B:$B,Brokerage!$B109,'YTD Sales'!$M:$M,Brokerage!R$4)+SUMIFS('YTD Purchases'!$H:$H,'YTD Purchases'!$C:$C,Brokerage!$B109,'YTD Purchases'!$G:$G,Brokerage!R$4)</f>
        <v>0</v>
      </c>
      <c r="S109" s="857">
        <f>SUMIFS('YTD Sales'!$N:$N,'YTD Sales'!$B:$B,Brokerage!$B109,'YTD Sales'!$M:$M,Brokerage!S$4)+SUMIFS('YTD Purchases'!$H:$H,'YTD Purchases'!$C:$C,Brokerage!$B109,'YTD Purchases'!$G:$G,Brokerage!S$4)</f>
        <v>0</v>
      </c>
      <c r="T109" s="857">
        <f>SUMIFS('YTD Sales'!$N:$N,'YTD Sales'!$B:$B,Brokerage!$B109,'YTD Sales'!$M:$M,Brokerage!T$4)+SUMIFS('YTD Purchases'!$H:$H,'YTD Purchases'!$C:$C,Brokerage!$B109,'YTD Purchases'!$G:$G,Brokerage!T$4)</f>
        <v>0</v>
      </c>
      <c r="U109" s="857">
        <f>SUMIFS('YTD Sales'!$N:$N,'YTD Sales'!$B:$B,Brokerage!$B109,'YTD Sales'!$M:$M,Brokerage!U$4)+SUMIFS('YTD Purchases'!$H:$H,'YTD Purchases'!$C:$C,Brokerage!$B109,'YTD Purchases'!$G:$G,Brokerage!U$4)</f>
        <v>0</v>
      </c>
      <c r="V109" s="857">
        <f>SUMIFS('YTD Sales'!$N:$N,'YTD Sales'!$B:$B,Brokerage!$B109,'YTD Sales'!$M:$M,Brokerage!V$4)+SUMIFS('YTD Purchases'!$H:$H,'YTD Purchases'!$C:$C,Brokerage!$B109,'YTD Purchases'!$G:$G,Brokerage!V$4)</f>
        <v>0</v>
      </c>
      <c r="W109" s="857">
        <f>SUMIFS('YTD Sales'!$N:$N,'YTD Sales'!$B:$B,Brokerage!$B109,'YTD Sales'!$M:$M,Brokerage!W$4)+SUMIFS('YTD Purchases'!$H:$H,'YTD Purchases'!$C:$C,Brokerage!$B109,'YTD Purchases'!$G:$G,Brokerage!W$4)</f>
        <v>0</v>
      </c>
      <c r="X109" s="857">
        <f>SUMIFS('YTD Sales'!$N:$N,'YTD Sales'!$B:$B,Brokerage!$B109,'YTD Sales'!$M:$M,Brokerage!X$4)+SUMIFS('YTD Purchases'!$H:$H,'YTD Purchases'!$C:$C,Brokerage!$B109,'YTD Purchases'!$G:$G,Brokerage!X$4)</f>
        <v>0</v>
      </c>
      <c r="Y109" s="857">
        <f>SUMIFS('YTD Sales'!$N:$N,'YTD Sales'!$B:$B,Brokerage!$B109,'YTD Sales'!$M:$M,Brokerage!Y$4)+SUMIFS('YTD Purchases'!$H:$H,'YTD Purchases'!$C:$C,Brokerage!$B109,'YTD Purchases'!$G:$G,Brokerage!Y$4)</f>
        <v>0</v>
      </c>
      <c r="Z109" s="857">
        <f>SUMIFS('YTD Sales'!$N:$N,'YTD Sales'!$B:$B,Brokerage!$B109,'YTD Sales'!$M:$M,Brokerage!Z$4)+SUMIFS('YTD Purchases'!$H:$H,'YTD Purchases'!$C:$C,Brokerage!$B109,'YTD Purchases'!$G:$G,Brokerage!Z$4)</f>
        <v>0</v>
      </c>
      <c r="AA109" s="857">
        <f>SUMIFS('YTD Sales'!$N:$N,'YTD Sales'!$B:$B,Brokerage!$B109,'YTD Sales'!$M:$M,Brokerage!AA$4)+SUMIFS('YTD Purchases'!$H:$H,'YTD Purchases'!$C:$C,Brokerage!$B109,'YTD Purchases'!$G:$G,Brokerage!AA$4)</f>
        <v>0</v>
      </c>
      <c r="AB109" s="857">
        <f>SUMIFS('YTD Sales'!$N:$N,'YTD Sales'!$B:$B,Brokerage!$B109,'YTD Sales'!$M:$M,Brokerage!AB$4)+SUMIFS('YTD Purchases'!$H:$H,'YTD Purchases'!$C:$C,Brokerage!$B109,'YTD Purchases'!$G:$G,Brokerage!AB$4)</f>
        <v>31886.34</v>
      </c>
      <c r="AC109" s="857">
        <f>SUMIFS('YTD Sales'!$N:$N,'YTD Sales'!$B:$B,Brokerage!$B109,'YTD Sales'!$M:$M,Brokerage!AC$4)+SUMIFS('YTD Purchases'!$H:$H,'YTD Purchases'!$C:$C,Brokerage!$B109,'YTD Purchases'!$G:$G,Brokerage!AC$4)</f>
        <v>0</v>
      </c>
      <c r="AD109" s="857">
        <f>+SUMIFS(PIB!AG:AG,PIB!AF:AF,Brokerage!AD$4,PIB!AA:AA,Brokerage!$B109)+SUMIFS('T-Bills'!AB:AB,'T-Bills'!AA:AA,Brokerage!AD$4,'T-Bills'!V:V,Brokerage!$B109)</f>
        <v>0</v>
      </c>
      <c r="AE109" s="857">
        <f>+SUMIFS(PIB!AH:AH,PIB!AG:AG,Brokerage!AE$4,PIB!AB:AB,Brokerage!$B109)+SUMIFS('T-Bills'!AC:AC,'T-Bills'!AB:AB,Brokerage!AE$4,'T-Bills'!W:W,Brokerage!$B109)</f>
        <v>0</v>
      </c>
      <c r="AF109" s="857">
        <f>+SUMIFS(PIB!AI:AI,PIB!AH:AH,Brokerage!AF$4,PIB!AC:AC,Brokerage!$B109)+SUMIFS('T-Bills'!AD:AD,'T-Bills'!AC:AC,Brokerage!AF$4,'T-Bills'!X:X,Brokerage!$B109)</f>
        <v>0</v>
      </c>
      <c r="AG109" s="857">
        <f t="shared" si="10"/>
        <v>47715.229999999996</v>
      </c>
      <c r="AH109" s="858">
        <f t="shared" si="17"/>
        <v>2</v>
      </c>
    </row>
    <row r="110" spans="2:34" x14ac:dyDescent="0.15">
      <c r="B110" s="661">
        <f t="shared" si="9"/>
        <v>44666</v>
      </c>
      <c r="C110" s="857">
        <f>SUMIFS('YTD Sales'!$N:$N,'YTD Sales'!$B:$B,Brokerage!$B110,'YTD Sales'!$M:$M,Brokerage!C$4)+SUMIFS('YTD Purchases'!$H:$H,'YTD Purchases'!$C:$C,Brokerage!$B110,'YTD Purchases'!$G:$G,Brokerage!C$4)</f>
        <v>0</v>
      </c>
      <c r="D110" s="857">
        <f>SUMIFS('YTD Sales'!$N:$N,'YTD Sales'!$B:$B,Brokerage!$B110,'YTD Sales'!$M:$M,Brokerage!D$4)+SUMIFS('YTD Purchases'!$H:$H,'YTD Purchases'!$C:$C,Brokerage!$B110,'YTD Purchases'!$G:$G,Brokerage!D$4)</f>
        <v>1173.79</v>
      </c>
      <c r="E110" s="857">
        <f>SUMIFS('YTD Sales'!$N:$N,'YTD Sales'!$B:$B,Brokerage!$B110,'YTD Sales'!$M:$M,Brokerage!E$4)+SUMIFS('YTD Purchases'!$H:$H,'YTD Purchases'!$C:$C,Brokerage!$B110,'YTD Purchases'!$G:$G,Brokerage!E$4)</f>
        <v>0</v>
      </c>
      <c r="F110" s="857">
        <f>SUMIFS('YTD Sales'!$N:$N,'YTD Sales'!$B:$B,Brokerage!$B110,'YTD Sales'!$M:$M,Brokerage!F$4)+SUMIFS('YTD Purchases'!$H:$H,'YTD Purchases'!$C:$C,Brokerage!$B110,'YTD Purchases'!$G:$G,Brokerage!F$4)</f>
        <v>0</v>
      </c>
      <c r="G110" s="857">
        <f>SUMIFS('YTD Sales'!$N:$N,'YTD Sales'!$B:$B,Brokerage!$B110,'YTD Sales'!$M:$M,Brokerage!G$4)+SUMIFS('YTD Purchases'!$H:$H,'YTD Purchases'!$C:$C,Brokerage!$B110,'YTD Purchases'!$G:$G,Brokerage!G$4)</f>
        <v>0</v>
      </c>
      <c r="H110" s="857">
        <f>SUMIFS('YTD Sales'!$N:$N,'YTD Sales'!$B:$B,Brokerage!$B110,'YTD Sales'!$M:$M,Brokerage!H$4)+SUMIFS('YTD Purchases'!$H:$H,'YTD Purchases'!$C:$C,Brokerage!$B110,'YTD Purchases'!$G:$G,Brokerage!H$4)</f>
        <v>0</v>
      </c>
      <c r="I110" s="857">
        <f>SUMIFS('YTD Sales'!$N:$N,'YTD Sales'!$B:$B,Brokerage!$B110,'YTD Sales'!$M:$M,Brokerage!I$4)+SUMIFS('YTD Purchases'!$H:$H,'YTD Purchases'!$C:$C,Brokerage!$B110,'YTD Purchases'!$G:$G,Brokerage!I$4)</f>
        <v>0</v>
      </c>
      <c r="J110" s="857">
        <f>SUMIFS('YTD Sales'!$N:$N,'YTD Sales'!$B:$B,Brokerage!$B110,'YTD Sales'!$M:$M,Brokerage!J$4)+SUMIFS('YTD Purchases'!$H:$H,'YTD Purchases'!$C:$C,Brokerage!$B110,'YTD Purchases'!$G:$G,Brokerage!J$4)</f>
        <v>0</v>
      </c>
      <c r="K110" s="857">
        <f>SUMIFS('YTD Sales'!$N:$N,'YTD Sales'!$B:$B,Brokerage!$B110,'YTD Sales'!$M:$M,Brokerage!K$4)+SUMIFS('YTD Purchases'!$H:$H,'YTD Purchases'!$C:$C,Brokerage!$B110,'YTD Purchases'!$G:$G,Brokerage!K$4)</f>
        <v>0</v>
      </c>
      <c r="L110" s="857">
        <f>SUMIFS('YTD Sales'!$N:$N,'YTD Sales'!$B:$B,Brokerage!$B110,'YTD Sales'!$M:$M,Brokerage!L$4)+SUMIFS('YTD Purchases'!$H:$H,'YTD Purchases'!$C:$C,Brokerage!$B110,'YTD Purchases'!$G:$G,Brokerage!L$4)</f>
        <v>0</v>
      </c>
      <c r="M110" s="857">
        <f>SUMIFS('YTD Sales'!$N:$N,'YTD Sales'!$B:$B,Brokerage!$B110,'YTD Sales'!$M:$M,Brokerage!M$4)+SUMIFS('YTD Purchases'!$H:$H,'YTD Purchases'!$C:$C,Brokerage!$B110,'YTD Purchases'!$G:$G,Brokerage!M$4)</f>
        <v>819.43</v>
      </c>
      <c r="N110" s="857">
        <f>SUMIFS('YTD Sales'!$N:$N,'YTD Sales'!$B:$B,Brokerage!$B110,'YTD Sales'!$M:$M,Brokerage!N$4)+SUMIFS('YTD Purchases'!$H:$H,'YTD Purchases'!$C:$C,Brokerage!$B110,'YTD Purchases'!$G:$G,Brokerage!N$4)</f>
        <v>0</v>
      </c>
      <c r="O110" s="857">
        <f>SUMIFS('YTD Sales'!$N:$N,'YTD Sales'!$B:$B,Brokerage!$B110,'YTD Sales'!$M:$M,Brokerage!O$4)+SUMIFS('YTD Purchases'!$H:$H,'YTD Purchases'!$C:$C,Brokerage!$B110,'YTD Purchases'!$G:$G,Brokerage!O$4)</f>
        <v>0</v>
      </c>
      <c r="P110" s="857">
        <f>SUMIFS('YTD Sales'!$N:$N,'YTD Sales'!$B:$B,Brokerage!$B110,'YTD Sales'!$M:$M,Brokerage!P$4)+SUMIFS('YTD Purchases'!$H:$H,'YTD Purchases'!$C:$C,Brokerage!$B110,'YTD Purchases'!$G:$G,Brokerage!P$4)</f>
        <v>0</v>
      </c>
      <c r="Q110" s="857">
        <f>SUMIFS('YTD Sales'!$N:$N,'YTD Sales'!$B:$B,Brokerage!$B110,'YTD Sales'!$M:$M,Brokerage!Q$4)+SUMIFS('YTD Purchases'!$H:$H,'YTD Purchases'!$C:$C,Brokerage!$B110,'YTD Purchases'!$G:$G,Brokerage!Q$4)</f>
        <v>0</v>
      </c>
      <c r="R110" s="857">
        <f>SUMIFS('YTD Sales'!$N:$N,'YTD Sales'!$B:$B,Brokerage!$B110,'YTD Sales'!$M:$M,Brokerage!R$4)+SUMIFS('YTD Purchases'!$H:$H,'YTD Purchases'!$C:$C,Brokerage!$B110,'YTD Purchases'!$G:$G,Brokerage!R$4)</f>
        <v>25815</v>
      </c>
      <c r="S110" s="857">
        <f>SUMIFS('YTD Sales'!$N:$N,'YTD Sales'!$B:$B,Brokerage!$B110,'YTD Sales'!$M:$M,Brokerage!S$4)+SUMIFS('YTD Purchases'!$H:$H,'YTD Purchases'!$C:$C,Brokerage!$B110,'YTD Purchases'!$G:$G,Brokerage!S$4)</f>
        <v>0</v>
      </c>
      <c r="T110" s="857">
        <f>SUMIFS('YTD Sales'!$N:$N,'YTD Sales'!$B:$B,Brokerage!$B110,'YTD Sales'!$M:$M,Brokerage!T$4)+SUMIFS('YTD Purchases'!$H:$H,'YTD Purchases'!$C:$C,Brokerage!$B110,'YTD Purchases'!$G:$G,Brokerage!T$4)</f>
        <v>0</v>
      </c>
      <c r="U110" s="857">
        <f>SUMIFS('YTD Sales'!$N:$N,'YTD Sales'!$B:$B,Brokerage!$B110,'YTD Sales'!$M:$M,Brokerage!U$4)+SUMIFS('YTD Purchases'!$H:$H,'YTD Purchases'!$C:$C,Brokerage!$B110,'YTD Purchases'!$G:$G,Brokerage!U$4)</f>
        <v>0</v>
      </c>
      <c r="V110" s="857">
        <f>SUMIFS('YTD Sales'!$N:$N,'YTD Sales'!$B:$B,Brokerage!$B110,'YTD Sales'!$M:$M,Brokerage!V$4)+SUMIFS('YTD Purchases'!$H:$H,'YTD Purchases'!$C:$C,Brokerage!$B110,'YTD Purchases'!$G:$G,Brokerage!V$4)</f>
        <v>0</v>
      </c>
      <c r="W110" s="857">
        <f>SUMIFS('YTD Sales'!$N:$N,'YTD Sales'!$B:$B,Brokerage!$B110,'YTD Sales'!$M:$M,Brokerage!W$4)+SUMIFS('YTD Purchases'!$H:$H,'YTD Purchases'!$C:$C,Brokerage!$B110,'YTD Purchases'!$G:$G,Brokerage!W$4)</f>
        <v>0</v>
      </c>
      <c r="X110" s="857">
        <f>SUMIFS('YTD Sales'!$N:$N,'YTD Sales'!$B:$B,Brokerage!$B110,'YTD Sales'!$M:$M,Brokerage!X$4)+SUMIFS('YTD Purchases'!$H:$H,'YTD Purchases'!$C:$C,Brokerage!$B110,'YTD Purchases'!$G:$G,Brokerage!X$4)</f>
        <v>7005.21</v>
      </c>
      <c r="Y110" s="857">
        <f>SUMIFS('YTD Sales'!$N:$N,'YTD Sales'!$B:$B,Brokerage!$B110,'YTD Sales'!$M:$M,Brokerage!Y$4)+SUMIFS('YTD Purchases'!$H:$H,'YTD Purchases'!$C:$C,Brokerage!$B110,'YTD Purchases'!$G:$G,Brokerage!Y$4)</f>
        <v>0</v>
      </c>
      <c r="Z110" s="857">
        <f>SUMIFS('YTD Sales'!$N:$N,'YTD Sales'!$B:$B,Brokerage!$B110,'YTD Sales'!$M:$M,Brokerage!Z$4)+SUMIFS('YTD Purchases'!$H:$H,'YTD Purchases'!$C:$C,Brokerage!$B110,'YTD Purchases'!$G:$G,Brokerage!Z$4)</f>
        <v>0</v>
      </c>
      <c r="AA110" s="857">
        <f>SUMIFS('YTD Sales'!$N:$N,'YTD Sales'!$B:$B,Brokerage!$B110,'YTD Sales'!$M:$M,Brokerage!AA$4)+SUMIFS('YTD Purchases'!$H:$H,'YTD Purchases'!$C:$C,Brokerage!$B110,'YTD Purchases'!$G:$G,Brokerage!AA$4)</f>
        <v>0</v>
      </c>
      <c r="AB110" s="857">
        <f>SUMIFS('YTD Sales'!$N:$N,'YTD Sales'!$B:$B,Brokerage!$B110,'YTD Sales'!$M:$M,Brokerage!AB$4)+SUMIFS('YTD Purchases'!$H:$H,'YTD Purchases'!$C:$C,Brokerage!$B110,'YTD Purchases'!$G:$G,Brokerage!AB$4)</f>
        <v>0</v>
      </c>
      <c r="AC110" s="857">
        <f>SUMIFS('YTD Sales'!$N:$N,'YTD Sales'!$B:$B,Brokerage!$B110,'YTD Sales'!$M:$M,Brokerage!AC$4)+SUMIFS('YTD Purchases'!$H:$H,'YTD Purchases'!$C:$C,Brokerage!$B110,'YTD Purchases'!$G:$G,Brokerage!AC$4)</f>
        <v>0</v>
      </c>
      <c r="AD110" s="857">
        <f>+SUMIFS(PIB!AG:AG,PIB!AF:AF,Brokerage!AD$4,PIB!AA:AA,Brokerage!$B110)+SUMIFS('T-Bills'!AB:AB,'T-Bills'!AA:AA,Brokerage!AD$4,'T-Bills'!V:V,Brokerage!$B110)</f>
        <v>0</v>
      </c>
      <c r="AE110" s="857">
        <f>+SUMIFS(PIB!AH:AH,PIB!AG:AG,Brokerage!AE$4,PIB!AB:AB,Brokerage!$B110)+SUMIFS('T-Bills'!AC:AC,'T-Bills'!AB:AB,Brokerage!AE$4,'T-Bills'!W:W,Brokerage!$B110)</f>
        <v>0</v>
      </c>
      <c r="AF110" s="857">
        <f>+SUMIFS(PIB!AI:AI,PIB!AH:AH,Brokerage!AF$4,PIB!AC:AC,Brokerage!$B110)+SUMIFS('T-Bills'!AD:AD,'T-Bills'!AC:AC,Brokerage!AF$4,'T-Bills'!X:X,Brokerage!$B110)</f>
        <v>0</v>
      </c>
      <c r="AG110" s="857">
        <f t="shared" si="10"/>
        <v>34813.43</v>
      </c>
      <c r="AH110" s="858">
        <f t="shared" si="17"/>
        <v>1</v>
      </c>
    </row>
    <row r="111" spans="2:34" x14ac:dyDescent="0.15">
      <c r="B111" s="661">
        <f t="shared" si="9"/>
        <v>44667</v>
      </c>
      <c r="C111" s="857">
        <f>SUMIFS('YTD Sales'!$N:$N,'YTD Sales'!$B:$B,Brokerage!$B111,'YTD Sales'!$M:$M,Brokerage!C$4)+SUMIFS('YTD Purchases'!$H:$H,'YTD Purchases'!$C:$C,Brokerage!$B111,'YTD Purchases'!$G:$G,Brokerage!C$4)</f>
        <v>0</v>
      </c>
      <c r="D111" s="857">
        <f>SUMIFS('YTD Sales'!$N:$N,'YTD Sales'!$B:$B,Brokerage!$B111,'YTD Sales'!$M:$M,Brokerage!D$4)+SUMIFS('YTD Purchases'!$H:$H,'YTD Purchases'!$C:$C,Brokerage!$B111,'YTD Purchases'!$G:$G,Brokerage!D$4)</f>
        <v>0</v>
      </c>
      <c r="E111" s="857">
        <f>SUMIFS('YTD Sales'!$N:$N,'YTD Sales'!$B:$B,Brokerage!$B111,'YTD Sales'!$M:$M,Brokerage!E$4)+SUMIFS('YTD Purchases'!$H:$H,'YTD Purchases'!$C:$C,Brokerage!$B111,'YTD Purchases'!$G:$G,Brokerage!E$4)</f>
        <v>0</v>
      </c>
      <c r="F111" s="857">
        <f>SUMIFS('YTD Sales'!$N:$N,'YTD Sales'!$B:$B,Brokerage!$B111,'YTD Sales'!$M:$M,Brokerage!F$4)+SUMIFS('YTD Purchases'!$H:$H,'YTD Purchases'!$C:$C,Brokerage!$B111,'YTD Purchases'!$G:$G,Brokerage!F$4)</f>
        <v>0</v>
      </c>
      <c r="G111" s="857">
        <f>SUMIFS('YTD Sales'!$N:$N,'YTD Sales'!$B:$B,Brokerage!$B111,'YTD Sales'!$M:$M,Brokerage!G$4)+SUMIFS('YTD Purchases'!$H:$H,'YTD Purchases'!$C:$C,Brokerage!$B111,'YTD Purchases'!$G:$G,Brokerage!G$4)</f>
        <v>0</v>
      </c>
      <c r="H111" s="857">
        <f>SUMIFS('YTD Sales'!$N:$N,'YTD Sales'!$B:$B,Brokerage!$B111,'YTD Sales'!$M:$M,Brokerage!H$4)+SUMIFS('YTD Purchases'!$H:$H,'YTD Purchases'!$C:$C,Brokerage!$B111,'YTD Purchases'!$G:$G,Brokerage!H$4)</f>
        <v>0</v>
      </c>
      <c r="I111" s="857">
        <f>SUMIFS('YTD Sales'!$N:$N,'YTD Sales'!$B:$B,Brokerage!$B111,'YTD Sales'!$M:$M,Brokerage!I$4)+SUMIFS('YTD Purchases'!$H:$H,'YTD Purchases'!$C:$C,Brokerage!$B111,'YTD Purchases'!$G:$G,Brokerage!I$4)</f>
        <v>0</v>
      </c>
      <c r="J111" s="857">
        <f>SUMIFS('YTD Sales'!$N:$N,'YTD Sales'!$B:$B,Brokerage!$B111,'YTD Sales'!$M:$M,Brokerage!J$4)+SUMIFS('YTD Purchases'!$H:$H,'YTD Purchases'!$C:$C,Brokerage!$B111,'YTD Purchases'!$G:$G,Brokerage!J$4)</f>
        <v>0</v>
      </c>
      <c r="K111" s="857">
        <f>SUMIFS('YTD Sales'!$N:$N,'YTD Sales'!$B:$B,Brokerage!$B111,'YTD Sales'!$M:$M,Brokerage!K$4)+SUMIFS('YTD Purchases'!$H:$H,'YTD Purchases'!$C:$C,Brokerage!$B111,'YTD Purchases'!$G:$G,Brokerage!K$4)</f>
        <v>0</v>
      </c>
      <c r="L111" s="857">
        <f>SUMIFS('YTD Sales'!$N:$N,'YTD Sales'!$B:$B,Brokerage!$B111,'YTD Sales'!$M:$M,Brokerage!L$4)+SUMIFS('YTD Purchases'!$H:$H,'YTD Purchases'!$C:$C,Brokerage!$B111,'YTD Purchases'!$G:$G,Brokerage!L$4)</f>
        <v>0</v>
      </c>
      <c r="M111" s="857">
        <f>SUMIFS('YTD Sales'!$N:$N,'YTD Sales'!$B:$B,Brokerage!$B111,'YTD Sales'!$M:$M,Brokerage!M$4)+SUMIFS('YTD Purchases'!$H:$H,'YTD Purchases'!$C:$C,Brokerage!$B111,'YTD Purchases'!$G:$G,Brokerage!M$4)</f>
        <v>0</v>
      </c>
      <c r="N111" s="857">
        <f>SUMIFS('YTD Sales'!$N:$N,'YTD Sales'!$B:$B,Brokerage!$B111,'YTD Sales'!$M:$M,Brokerage!N$4)+SUMIFS('YTD Purchases'!$H:$H,'YTD Purchases'!$C:$C,Brokerage!$B111,'YTD Purchases'!$G:$G,Brokerage!N$4)</f>
        <v>0</v>
      </c>
      <c r="O111" s="857">
        <f>SUMIFS('YTD Sales'!$N:$N,'YTD Sales'!$B:$B,Brokerage!$B111,'YTD Sales'!$M:$M,Brokerage!O$4)+SUMIFS('YTD Purchases'!$H:$H,'YTD Purchases'!$C:$C,Brokerage!$B111,'YTD Purchases'!$G:$G,Brokerage!O$4)</f>
        <v>0</v>
      </c>
      <c r="P111" s="857">
        <f>SUMIFS('YTD Sales'!$N:$N,'YTD Sales'!$B:$B,Brokerage!$B111,'YTD Sales'!$M:$M,Brokerage!P$4)+SUMIFS('YTD Purchases'!$H:$H,'YTD Purchases'!$C:$C,Brokerage!$B111,'YTD Purchases'!$G:$G,Brokerage!P$4)</f>
        <v>0</v>
      </c>
      <c r="Q111" s="857">
        <f>SUMIFS('YTD Sales'!$N:$N,'YTD Sales'!$B:$B,Brokerage!$B111,'YTD Sales'!$M:$M,Brokerage!Q$4)+SUMIFS('YTD Purchases'!$H:$H,'YTD Purchases'!$C:$C,Brokerage!$B111,'YTD Purchases'!$G:$G,Brokerage!Q$4)</f>
        <v>0</v>
      </c>
      <c r="R111" s="857">
        <f>SUMIFS('YTD Sales'!$N:$N,'YTD Sales'!$B:$B,Brokerage!$B111,'YTD Sales'!$M:$M,Brokerage!R$4)+SUMIFS('YTD Purchases'!$H:$H,'YTD Purchases'!$C:$C,Brokerage!$B111,'YTD Purchases'!$G:$G,Brokerage!R$4)</f>
        <v>0</v>
      </c>
      <c r="S111" s="857">
        <f>SUMIFS('YTD Sales'!$N:$N,'YTD Sales'!$B:$B,Brokerage!$B111,'YTD Sales'!$M:$M,Brokerage!S$4)+SUMIFS('YTD Purchases'!$H:$H,'YTD Purchases'!$C:$C,Brokerage!$B111,'YTD Purchases'!$G:$G,Brokerage!S$4)</f>
        <v>0</v>
      </c>
      <c r="T111" s="857">
        <f>SUMIFS('YTD Sales'!$N:$N,'YTD Sales'!$B:$B,Brokerage!$B111,'YTD Sales'!$M:$M,Brokerage!T$4)+SUMIFS('YTD Purchases'!$H:$H,'YTD Purchases'!$C:$C,Brokerage!$B111,'YTD Purchases'!$G:$G,Brokerage!T$4)</f>
        <v>0</v>
      </c>
      <c r="U111" s="857">
        <f>SUMIFS('YTD Sales'!$N:$N,'YTD Sales'!$B:$B,Brokerage!$B111,'YTD Sales'!$M:$M,Brokerage!U$4)+SUMIFS('YTD Purchases'!$H:$H,'YTD Purchases'!$C:$C,Brokerage!$B111,'YTD Purchases'!$G:$G,Brokerage!U$4)</f>
        <v>0</v>
      </c>
      <c r="V111" s="857">
        <f>SUMIFS('YTD Sales'!$N:$N,'YTD Sales'!$B:$B,Brokerage!$B111,'YTD Sales'!$M:$M,Brokerage!V$4)+SUMIFS('YTD Purchases'!$H:$H,'YTD Purchases'!$C:$C,Brokerage!$B111,'YTD Purchases'!$G:$G,Brokerage!V$4)</f>
        <v>0</v>
      </c>
      <c r="W111" s="857">
        <f>SUMIFS('YTD Sales'!$N:$N,'YTD Sales'!$B:$B,Brokerage!$B111,'YTD Sales'!$M:$M,Brokerage!W$4)+SUMIFS('YTD Purchases'!$H:$H,'YTD Purchases'!$C:$C,Brokerage!$B111,'YTD Purchases'!$G:$G,Brokerage!W$4)</f>
        <v>0</v>
      </c>
      <c r="X111" s="857">
        <f>SUMIFS('YTD Sales'!$N:$N,'YTD Sales'!$B:$B,Brokerage!$B111,'YTD Sales'!$M:$M,Brokerage!X$4)+SUMIFS('YTD Purchases'!$H:$H,'YTD Purchases'!$C:$C,Brokerage!$B111,'YTD Purchases'!$G:$G,Brokerage!X$4)</f>
        <v>0</v>
      </c>
      <c r="Y111" s="857">
        <f>SUMIFS('YTD Sales'!$N:$N,'YTD Sales'!$B:$B,Brokerage!$B111,'YTD Sales'!$M:$M,Brokerage!Y$4)+SUMIFS('YTD Purchases'!$H:$H,'YTD Purchases'!$C:$C,Brokerage!$B111,'YTD Purchases'!$G:$G,Brokerage!Y$4)</f>
        <v>0</v>
      </c>
      <c r="Z111" s="857">
        <f>SUMIFS('YTD Sales'!$N:$N,'YTD Sales'!$B:$B,Brokerage!$B111,'YTD Sales'!$M:$M,Brokerage!Z$4)+SUMIFS('YTD Purchases'!$H:$H,'YTD Purchases'!$C:$C,Brokerage!$B111,'YTD Purchases'!$G:$G,Brokerage!Z$4)</f>
        <v>0</v>
      </c>
      <c r="AA111" s="857">
        <f>SUMIFS('YTD Sales'!$N:$N,'YTD Sales'!$B:$B,Brokerage!$B111,'YTD Sales'!$M:$M,Brokerage!AA$4)+SUMIFS('YTD Purchases'!$H:$H,'YTD Purchases'!$C:$C,Brokerage!$B111,'YTD Purchases'!$G:$G,Brokerage!AA$4)</f>
        <v>0</v>
      </c>
      <c r="AB111" s="857">
        <f>SUMIFS('YTD Sales'!$N:$N,'YTD Sales'!$B:$B,Brokerage!$B111,'YTD Sales'!$M:$M,Brokerage!AB$4)+SUMIFS('YTD Purchases'!$H:$H,'YTD Purchases'!$C:$C,Brokerage!$B111,'YTD Purchases'!$G:$G,Brokerage!AB$4)</f>
        <v>0</v>
      </c>
      <c r="AC111" s="857">
        <f>SUMIFS('YTD Sales'!$N:$N,'YTD Sales'!$B:$B,Brokerage!$B111,'YTD Sales'!$M:$M,Brokerage!AC$4)+SUMIFS('YTD Purchases'!$H:$H,'YTD Purchases'!$C:$C,Brokerage!$B111,'YTD Purchases'!$G:$G,Brokerage!AC$4)</f>
        <v>0</v>
      </c>
      <c r="AD111" s="857">
        <f>+SUMIFS(PIB!AG:AG,PIB!AF:AF,Brokerage!AD$4,PIB!AA:AA,Brokerage!$B111)+SUMIFS('T-Bills'!AB:AB,'T-Bills'!AA:AA,Brokerage!AD$4,'T-Bills'!V:V,Brokerage!$B111)</f>
        <v>0</v>
      </c>
      <c r="AE111" s="857">
        <f>+SUMIFS(PIB!AH:AH,PIB!AG:AG,Brokerage!AE$4,PIB!AB:AB,Brokerage!$B111)+SUMIFS('T-Bills'!AC:AC,'T-Bills'!AB:AB,Brokerage!AE$4,'T-Bills'!W:W,Brokerage!$B111)</f>
        <v>0</v>
      </c>
      <c r="AF111" s="857">
        <f>+SUMIFS(PIB!AI:AI,PIB!AH:AH,Brokerage!AF$4,PIB!AC:AC,Brokerage!$B111)+SUMIFS('T-Bills'!AD:AD,'T-Bills'!AC:AC,Brokerage!AF$4,'T-Bills'!X:X,Brokerage!$B111)</f>
        <v>0</v>
      </c>
      <c r="AG111" s="857">
        <f t="shared" si="10"/>
        <v>0</v>
      </c>
      <c r="AH111" s="858">
        <f t="shared" si="17"/>
        <v>0</v>
      </c>
    </row>
    <row r="112" spans="2:34" x14ac:dyDescent="0.15">
      <c r="B112" s="661">
        <f t="shared" si="9"/>
        <v>44668</v>
      </c>
      <c r="C112" s="857">
        <f>SUMIFS('YTD Sales'!$N:$N,'YTD Sales'!$B:$B,Brokerage!$B112,'YTD Sales'!$M:$M,Brokerage!C$4)+SUMIFS('YTD Purchases'!$H:$H,'YTD Purchases'!$C:$C,Brokerage!$B112,'YTD Purchases'!$G:$G,Brokerage!C$4)</f>
        <v>0</v>
      </c>
      <c r="D112" s="857">
        <f>SUMIFS('YTD Sales'!$N:$N,'YTD Sales'!$B:$B,Brokerage!$B112,'YTD Sales'!$M:$M,Brokerage!D$4)+SUMIFS('YTD Purchases'!$H:$H,'YTD Purchases'!$C:$C,Brokerage!$B112,'YTD Purchases'!$G:$G,Brokerage!D$4)</f>
        <v>0</v>
      </c>
      <c r="E112" s="857">
        <f>SUMIFS('YTD Sales'!$N:$N,'YTD Sales'!$B:$B,Brokerage!$B112,'YTD Sales'!$M:$M,Brokerage!E$4)+SUMIFS('YTD Purchases'!$H:$H,'YTD Purchases'!$C:$C,Brokerage!$B112,'YTD Purchases'!$G:$G,Brokerage!E$4)</f>
        <v>0</v>
      </c>
      <c r="F112" s="857">
        <f>SUMIFS('YTD Sales'!$N:$N,'YTD Sales'!$B:$B,Brokerage!$B112,'YTD Sales'!$M:$M,Brokerage!F$4)+SUMIFS('YTD Purchases'!$H:$H,'YTD Purchases'!$C:$C,Brokerage!$B112,'YTD Purchases'!$G:$G,Brokerage!F$4)</f>
        <v>0</v>
      </c>
      <c r="G112" s="857">
        <f>SUMIFS('YTD Sales'!$N:$N,'YTD Sales'!$B:$B,Brokerage!$B112,'YTD Sales'!$M:$M,Brokerage!G$4)+SUMIFS('YTD Purchases'!$H:$H,'YTD Purchases'!$C:$C,Brokerage!$B112,'YTD Purchases'!$G:$G,Brokerage!G$4)</f>
        <v>0</v>
      </c>
      <c r="H112" s="857">
        <f>SUMIFS('YTD Sales'!$N:$N,'YTD Sales'!$B:$B,Brokerage!$B112,'YTD Sales'!$M:$M,Brokerage!H$4)+SUMIFS('YTD Purchases'!$H:$H,'YTD Purchases'!$C:$C,Brokerage!$B112,'YTD Purchases'!$G:$G,Brokerage!H$4)</f>
        <v>0</v>
      </c>
      <c r="I112" s="857">
        <f>SUMIFS('YTD Sales'!$N:$N,'YTD Sales'!$B:$B,Brokerage!$B112,'YTD Sales'!$M:$M,Brokerage!I$4)+SUMIFS('YTD Purchases'!$H:$H,'YTD Purchases'!$C:$C,Brokerage!$B112,'YTD Purchases'!$G:$G,Brokerage!I$4)</f>
        <v>0</v>
      </c>
      <c r="J112" s="857">
        <f>SUMIFS('YTD Sales'!$N:$N,'YTD Sales'!$B:$B,Brokerage!$B112,'YTD Sales'!$M:$M,Brokerage!J$4)+SUMIFS('YTD Purchases'!$H:$H,'YTD Purchases'!$C:$C,Brokerage!$B112,'YTD Purchases'!$G:$G,Brokerage!J$4)</f>
        <v>0</v>
      </c>
      <c r="K112" s="857">
        <f>SUMIFS('YTD Sales'!$N:$N,'YTD Sales'!$B:$B,Brokerage!$B112,'YTD Sales'!$M:$M,Brokerage!K$4)+SUMIFS('YTD Purchases'!$H:$H,'YTD Purchases'!$C:$C,Brokerage!$B112,'YTD Purchases'!$G:$G,Brokerage!K$4)</f>
        <v>0</v>
      </c>
      <c r="L112" s="857">
        <f>SUMIFS('YTD Sales'!$N:$N,'YTD Sales'!$B:$B,Brokerage!$B112,'YTD Sales'!$M:$M,Brokerage!L$4)+SUMIFS('YTD Purchases'!$H:$H,'YTD Purchases'!$C:$C,Brokerage!$B112,'YTD Purchases'!$G:$G,Brokerage!L$4)</f>
        <v>0</v>
      </c>
      <c r="M112" s="857">
        <f>SUMIFS('YTD Sales'!$N:$N,'YTD Sales'!$B:$B,Brokerage!$B112,'YTD Sales'!$M:$M,Brokerage!M$4)+SUMIFS('YTD Purchases'!$H:$H,'YTD Purchases'!$C:$C,Brokerage!$B112,'YTD Purchases'!$G:$G,Brokerage!M$4)</f>
        <v>0</v>
      </c>
      <c r="N112" s="857">
        <f>SUMIFS('YTD Sales'!$N:$N,'YTD Sales'!$B:$B,Brokerage!$B112,'YTD Sales'!$M:$M,Brokerage!N$4)+SUMIFS('YTD Purchases'!$H:$H,'YTD Purchases'!$C:$C,Brokerage!$B112,'YTD Purchases'!$G:$G,Brokerage!N$4)</f>
        <v>0</v>
      </c>
      <c r="O112" s="857">
        <f>SUMIFS('YTD Sales'!$N:$N,'YTD Sales'!$B:$B,Brokerage!$B112,'YTD Sales'!$M:$M,Brokerage!O$4)+SUMIFS('YTD Purchases'!$H:$H,'YTD Purchases'!$C:$C,Brokerage!$B112,'YTD Purchases'!$G:$G,Brokerage!O$4)</f>
        <v>0</v>
      </c>
      <c r="P112" s="857">
        <f>SUMIFS('YTD Sales'!$N:$N,'YTD Sales'!$B:$B,Brokerage!$B112,'YTD Sales'!$M:$M,Brokerage!P$4)+SUMIFS('YTD Purchases'!$H:$H,'YTD Purchases'!$C:$C,Brokerage!$B112,'YTD Purchases'!$G:$G,Brokerage!P$4)</f>
        <v>0</v>
      </c>
      <c r="Q112" s="857">
        <f>SUMIFS('YTD Sales'!$N:$N,'YTD Sales'!$B:$B,Brokerage!$B112,'YTD Sales'!$M:$M,Brokerage!Q$4)+SUMIFS('YTD Purchases'!$H:$H,'YTD Purchases'!$C:$C,Brokerage!$B112,'YTD Purchases'!$G:$G,Brokerage!Q$4)</f>
        <v>0</v>
      </c>
      <c r="R112" s="857">
        <f>SUMIFS('YTD Sales'!$N:$N,'YTD Sales'!$B:$B,Brokerage!$B112,'YTD Sales'!$M:$M,Brokerage!R$4)+SUMIFS('YTD Purchases'!$H:$H,'YTD Purchases'!$C:$C,Brokerage!$B112,'YTD Purchases'!$G:$G,Brokerage!R$4)</f>
        <v>0</v>
      </c>
      <c r="S112" s="857">
        <f>SUMIFS('YTD Sales'!$N:$N,'YTD Sales'!$B:$B,Brokerage!$B112,'YTD Sales'!$M:$M,Brokerage!S$4)+SUMIFS('YTD Purchases'!$H:$H,'YTD Purchases'!$C:$C,Brokerage!$B112,'YTD Purchases'!$G:$G,Brokerage!S$4)</f>
        <v>0</v>
      </c>
      <c r="T112" s="857">
        <f>SUMIFS('YTD Sales'!$N:$N,'YTD Sales'!$B:$B,Brokerage!$B112,'YTD Sales'!$M:$M,Brokerage!T$4)+SUMIFS('YTD Purchases'!$H:$H,'YTD Purchases'!$C:$C,Brokerage!$B112,'YTD Purchases'!$G:$G,Brokerage!T$4)</f>
        <v>0</v>
      </c>
      <c r="U112" s="857">
        <f>SUMIFS('YTD Sales'!$N:$N,'YTD Sales'!$B:$B,Brokerage!$B112,'YTD Sales'!$M:$M,Brokerage!U$4)+SUMIFS('YTD Purchases'!$H:$H,'YTD Purchases'!$C:$C,Brokerage!$B112,'YTD Purchases'!$G:$G,Brokerage!U$4)</f>
        <v>0</v>
      </c>
      <c r="V112" s="857">
        <f>SUMIFS('YTD Sales'!$N:$N,'YTD Sales'!$B:$B,Brokerage!$B112,'YTD Sales'!$M:$M,Brokerage!V$4)+SUMIFS('YTD Purchases'!$H:$H,'YTD Purchases'!$C:$C,Brokerage!$B112,'YTD Purchases'!$G:$G,Brokerage!V$4)</f>
        <v>0</v>
      </c>
      <c r="W112" s="857">
        <f>SUMIFS('YTD Sales'!$N:$N,'YTD Sales'!$B:$B,Brokerage!$B112,'YTD Sales'!$M:$M,Brokerage!W$4)+SUMIFS('YTD Purchases'!$H:$H,'YTD Purchases'!$C:$C,Brokerage!$B112,'YTD Purchases'!$G:$G,Brokerage!W$4)</f>
        <v>0</v>
      </c>
      <c r="X112" s="857">
        <f>SUMIFS('YTD Sales'!$N:$N,'YTD Sales'!$B:$B,Brokerage!$B112,'YTD Sales'!$M:$M,Brokerage!X$4)+SUMIFS('YTD Purchases'!$H:$H,'YTD Purchases'!$C:$C,Brokerage!$B112,'YTD Purchases'!$G:$G,Brokerage!X$4)</f>
        <v>0</v>
      </c>
      <c r="Y112" s="857">
        <f>SUMIFS('YTD Sales'!$N:$N,'YTD Sales'!$B:$B,Brokerage!$B112,'YTD Sales'!$M:$M,Brokerage!Y$4)+SUMIFS('YTD Purchases'!$H:$H,'YTD Purchases'!$C:$C,Brokerage!$B112,'YTD Purchases'!$G:$G,Brokerage!Y$4)</f>
        <v>0</v>
      </c>
      <c r="Z112" s="857">
        <f>SUMIFS('YTD Sales'!$N:$N,'YTD Sales'!$B:$B,Brokerage!$B112,'YTD Sales'!$M:$M,Brokerage!Z$4)+SUMIFS('YTD Purchases'!$H:$H,'YTD Purchases'!$C:$C,Brokerage!$B112,'YTD Purchases'!$G:$G,Brokerage!Z$4)</f>
        <v>0</v>
      </c>
      <c r="AA112" s="857">
        <f>SUMIFS('YTD Sales'!$N:$N,'YTD Sales'!$B:$B,Brokerage!$B112,'YTD Sales'!$M:$M,Brokerage!AA$4)+SUMIFS('YTD Purchases'!$H:$H,'YTD Purchases'!$C:$C,Brokerage!$B112,'YTD Purchases'!$G:$G,Brokerage!AA$4)</f>
        <v>0</v>
      </c>
      <c r="AB112" s="857">
        <f>SUMIFS('YTD Sales'!$N:$N,'YTD Sales'!$B:$B,Brokerage!$B112,'YTD Sales'!$M:$M,Brokerage!AB$4)+SUMIFS('YTD Purchases'!$H:$H,'YTD Purchases'!$C:$C,Brokerage!$B112,'YTD Purchases'!$G:$G,Brokerage!AB$4)</f>
        <v>0</v>
      </c>
      <c r="AC112" s="857">
        <f>SUMIFS('YTD Sales'!$N:$N,'YTD Sales'!$B:$B,Brokerage!$B112,'YTD Sales'!$M:$M,Brokerage!AC$4)+SUMIFS('YTD Purchases'!$H:$H,'YTD Purchases'!$C:$C,Brokerage!$B112,'YTD Purchases'!$G:$G,Brokerage!AC$4)</f>
        <v>0</v>
      </c>
      <c r="AD112" s="857">
        <f>+SUMIFS(PIB!AG:AG,PIB!AF:AF,Brokerage!AD$4,PIB!AA:AA,Brokerage!$B112)+SUMIFS('T-Bills'!AB:AB,'T-Bills'!AA:AA,Brokerage!AD$4,'T-Bills'!V:V,Brokerage!$B112)</f>
        <v>0</v>
      </c>
      <c r="AE112" s="857">
        <f>+SUMIFS(PIB!AH:AH,PIB!AG:AG,Brokerage!AE$4,PIB!AB:AB,Brokerage!$B112)+SUMIFS('T-Bills'!AC:AC,'T-Bills'!AB:AB,Brokerage!AE$4,'T-Bills'!W:W,Brokerage!$B112)</f>
        <v>0</v>
      </c>
      <c r="AF112" s="857">
        <f>+SUMIFS(PIB!AI:AI,PIB!AH:AH,Brokerage!AF$4,PIB!AC:AC,Brokerage!$B112)+SUMIFS('T-Bills'!AD:AD,'T-Bills'!AC:AC,Brokerage!AF$4,'T-Bills'!X:X,Brokerage!$B112)</f>
        <v>0</v>
      </c>
      <c r="AG112" s="857">
        <f t="shared" si="10"/>
        <v>0</v>
      </c>
      <c r="AH112" s="858">
        <f t="shared" si="17"/>
        <v>0</v>
      </c>
    </row>
    <row r="113" spans="2:34" x14ac:dyDescent="0.15">
      <c r="B113" s="661">
        <f t="shared" si="9"/>
        <v>44669</v>
      </c>
      <c r="C113" s="857">
        <f>SUMIFS('YTD Sales'!$N:$N,'YTD Sales'!$B:$B,Brokerage!$B113,'YTD Sales'!$M:$M,Brokerage!C$4)+SUMIFS('YTD Purchases'!$H:$H,'YTD Purchases'!$C:$C,Brokerage!$B113,'YTD Purchases'!$G:$G,Brokerage!C$4)</f>
        <v>0</v>
      </c>
      <c r="D113" s="857">
        <f>SUMIFS('YTD Sales'!$N:$N,'YTD Sales'!$B:$B,Brokerage!$B113,'YTD Sales'!$M:$M,Brokerage!D$4)+SUMIFS('YTD Purchases'!$H:$H,'YTD Purchases'!$C:$C,Brokerage!$B113,'YTD Purchases'!$G:$G,Brokerage!D$4)</f>
        <v>4510.91</v>
      </c>
      <c r="E113" s="857">
        <f>SUMIFS('YTD Sales'!$N:$N,'YTD Sales'!$B:$B,Brokerage!$B113,'YTD Sales'!$M:$M,Brokerage!E$4)+SUMIFS('YTD Purchases'!$H:$H,'YTD Purchases'!$C:$C,Brokerage!$B113,'YTD Purchases'!$G:$G,Brokerage!E$4)</f>
        <v>0</v>
      </c>
      <c r="F113" s="857">
        <f>SUMIFS('YTD Sales'!$N:$N,'YTD Sales'!$B:$B,Brokerage!$B113,'YTD Sales'!$M:$M,Brokerage!F$4)+SUMIFS('YTD Purchases'!$H:$H,'YTD Purchases'!$C:$C,Brokerage!$B113,'YTD Purchases'!$G:$G,Brokerage!F$4)</f>
        <v>0</v>
      </c>
      <c r="G113" s="857">
        <f>SUMIFS('YTD Sales'!$N:$N,'YTD Sales'!$B:$B,Brokerage!$B113,'YTD Sales'!$M:$M,Brokerage!G$4)+SUMIFS('YTD Purchases'!$H:$H,'YTD Purchases'!$C:$C,Brokerage!$B113,'YTD Purchases'!$G:$G,Brokerage!G$4)</f>
        <v>0</v>
      </c>
      <c r="H113" s="857">
        <f>SUMIFS('YTD Sales'!$N:$N,'YTD Sales'!$B:$B,Brokerage!$B113,'YTD Sales'!$M:$M,Brokerage!H$4)+SUMIFS('YTD Purchases'!$H:$H,'YTD Purchases'!$C:$C,Brokerage!$B113,'YTD Purchases'!$G:$G,Brokerage!H$4)</f>
        <v>0</v>
      </c>
      <c r="I113" s="857">
        <f>SUMIFS('YTD Sales'!$N:$N,'YTD Sales'!$B:$B,Brokerage!$B113,'YTD Sales'!$M:$M,Brokerage!I$4)+SUMIFS('YTD Purchases'!$H:$H,'YTD Purchases'!$C:$C,Brokerage!$B113,'YTD Purchases'!$G:$G,Brokerage!I$4)</f>
        <v>0</v>
      </c>
      <c r="J113" s="857">
        <f>SUMIFS('YTD Sales'!$N:$N,'YTD Sales'!$B:$B,Brokerage!$B113,'YTD Sales'!$M:$M,Brokerage!J$4)+SUMIFS('YTD Purchases'!$H:$H,'YTD Purchases'!$C:$C,Brokerage!$B113,'YTD Purchases'!$G:$G,Brokerage!J$4)</f>
        <v>0</v>
      </c>
      <c r="K113" s="857">
        <f>SUMIFS('YTD Sales'!$N:$N,'YTD Sales'!$B:$B,Brokerage!$B113,'YTD Sales'!$M:$M,Brokerage!K$4)+SUMIFS('YTD Purchases'!$H:$H,'YTD Purchases'!$C:$C,Brokerage!$B113,'YTD Purchases'!$G:$G,Brokerage!K$4)</f>
        <v>0</v>
      </c>
      <c r="L113" s="857">
        <f>SUMIFS('YTD Sales'!$N:$N,'YTD Sales'!$B:$B,Brokerage!$B113,'YTD Sales'!$M:$M,Brokerage!L$4)+SUMIFS('YTD Purchases'!$H:$H,'YTD Purchases'!$C:$C,Brokerage!$B113,'YTD Purchases'!$G:$G,Brokerage!L$4)</f>
        <v>0</v>
      </c>
      <c r="M113" s="857">
        <f>SUMIFS('YTD Sales'!$N:$N,'YTD Sales'!$B:$B,Brokerage!$B113,'YTD Sales'!$M:$M,Brokerage!M$4)+SUMIFS('YTD Purchases'!$H:$H,'YTD Purchases'!$C:$C,Brokerage!$B113,'YTD Purchases'!$G:$G,Brokerage!M$4)</f>
        <v>83957.13</v>
      </c>
      <c r="N113" s="857">
        <f>SUMIFS('YTD Sales'!$N:$N,'YTD Sales'!$B:$B,Brokerage!$B113,'YTD Sales'!$M:$M,Brokerage!N$4)+SUMIFS('YTD Purchases'!$H:$H,'YTD Purchases'!$C:$C,Brokerage!$B113,'YTD Purchases'!$G:$G,Brokerage!N$4)</f>
        <v>0</v>
      </c>
      <c r="O113" s="857">
        <f>SUMIFS('YTD Sales'!$N:$N,'YTD Sales'!$B:$B,Brokerage!$B113,'YTD Sales'!$M:$M,Brokerage!O$4)+SUMIFS('YTD Purchases'!$H:$H,'YTD Purchases'!$C:$C,Brokerage!$B113,'YTD Purchases'!$G:$G,Brokerage!O$4)</f>
        <v>0</v>
      </c>
      <c r="P113" s="857">
        <f>SUMIFS('YTD Sales'!$N:$N,'YTD Sales'!$B:$B,Brokerage!$B113,'YTD Sales'!$M:$M,Brokerage!P$4)+SUMIFS('YTD Purchases'!$H:$H,'YTD Purchases'!$C:$C,Brokerage!$B113,'YTD Purchases'!$G:$G,Brokerage!P$4)</f>
        <v>0</v>
      </c>
      <c r="Q113" s="857">
        <f>SUMIFS('YTD Sales'!$N:$N,'YTD Sales'!$B:$B,Brokerage!$B113,'YTD Sales'!$M:$M,Brokerage!Q$4)+SUMIFS('YTD Purchases'!$H:$H,'YTD Purchases'!$C:$C,Brokerage!$B113,'YTD Purchases'!$G:$G,Brokerage!Q$4)</f>
        <v>0</v>
      </c>
      <c r="R113" s="857">
        <f>SUMIFS('YTD Sales'!$N:$N,'YTD Sales'!$B:$B,Brokerage!$B113,'YTD Sales'!$M:$M,Brokerage!R$4)+SUMIFS('YTD Purchases'!$H:$H,'YTD Purchases'!$C:$C,Brokerage!$B113,'YTD Purchases'!$G:$G,Brokerage!R$4)</f>
        <v>0</v>
      </c>
      <c r="S113" s="857">
        <f>SUMIFS('YTD Sales'!$N:$N,'YTD Sales'!$B:$B,Brokerage!$B113,'YTD Sales'!$M:$M,Brokerage!S$4)+SUMIFS('YTD Purchases'!$H:$H,'YTD Purchases'!$C:$C,Brokerage!$B113,'YTD Purchases'!$G:$G,Brokerage!S$4)</f>
        <v>0</v>
      </c>
      <c r="T113" s="857">
        <f>SUMIFS('YTD Sales'!$N:$N,'YTD Sales'!$B:$B,Brokerage!$B113,'YTD Sales'!$M:$M,Brokerage!T$4)+SUMIFS('YTD Purchases'!$H:$H,'YTD Purchases'!$C:$C,Brokerage!$B113,'YTD Purchases'!$G:$G,Brokerage!T$4)</f>
        <v>0</v>
      </c>
      <c r="U113" s="857">
        <f>SUMIFS('YTD Sales'!$N:$N,'YTD Sales'!$B:$B,Brokerage!$B113,'YTD Sales'!$M:$M,Brokerage!U$4)+SUMIFS('YTD Purchases'!$H:$H,'YTD Purchases'!$C:$C,Brokerage!$B113,'YTD Purchases'!$G:$G,Brokerage!U$4)</f>
        <v>0</v>
      </c>
      <c r="V113" s="857">
        <f>SUMIFS('YTD Sales'!$N:$N,'YTD Sales'!$B:$B,Brokerage!$B113,'YTD Sales'!$M:$M,Brokerage!V$4)+SUMIFS('YTD Purchases'!$H:$H,'YTD Purchases'!$C:$C,Brokerage!$B113,'YTD Purchases'!$G:$G,Brokerage!V$4)</f>
        <v>0</v>
      </c>
      <c r="W113" s="857">
        <f>SUMIFS('YTD Sales'!$N:$N,'YTD Sales'!$B:$B,Brokerage!$B113,'YTD Sales'!$M:$M,Brokerage!W$4)+SUMIFS('YTD Purchases'!$H:$H,'YTD Purchases'!$C:$C,Brokerage!$B113,'YTD Purchases'!$G:$G,Brokerage!W$4)</f>
        <v>0</v>
      </c>
      <c r="X113" s="857">
        <f>SUMIFS('YTD Sales'!$N:$N,'YTD Sales'!$B:$B,Brokerage!$B113,'YTD Sales'!$M:$M,Brokerage!X$4)+SUMIFS('YTD Purchases'!$H:$H,'YTD Purchases'!$C:$C,Brokerage!$B113,'YTD Purchases'!$G:$G,Brokerage!X$4)</f>
        <v>0</v>
      </c>
      <c r="Y113" s="857">
        <f>SUMIFS('YTD Sales'!$N:$N,'YTD Sales'!$B:$B,Brokerage!$B113,'YTD Sales'!$M:$M,Brokerage!Y$4)+SUMIFS('YTD Purchases'!$H:$H,'YTD Purchases'!$C:$C,Brokerage!$B113,'YTD Purchases'!$G:$G,Brokerage!Y$4)</f>
        <v>0</v>
      </c>
      <c r="Z113" s="857">
        <f>SUMIFS('YTD Sales'!$N:$N,'YTD Sales'!$B:$B,Brokerage!$B113,'YTD Sales'!$M:$M,Brokerage!Z$4)+SUMIFS('YTD Purchases'!$H:$H,'YTD Purchases'!$C:$C,Brokerage!$B113,'YTD Purchases'!$G:$G,Brokerage!Z$4)</f>
        <v>0</v>
      </c>
      <c r="AA113" s="857">
        <f>SUMIFS('YTD Sales'!$N:$N,'YTD Sales'!$B:$B,Brokerage!$B113,'YTD Sales'!$M:$M,Brokerage!AA$4)+SUMIFS('YTD Purchases'!$H:$H,'YTD Purchases'!$C:$C,Brokerage!$B113,'YTD Purchases'!$G:$G,Brokerage!AA$4)</f>
        <v>0</v>
      </c>
      <c r="AB113" s="857">
        <f>SUMIFS('YTD Sales'!$N:$N,'YTD Sales'!$B:$B,Brokerage!$B113,'YTD Sales'!$M:$M,Brokerage!AB$4)+SUMIFS('YTD Purchases'!$H:$H,'YTD Purchases'!$C:$C,Brokerage!$B113,'YTD Purchases'!$G:$G,Brokerage!AB$4)</f>
        <v>0</v>
      </c>
      <c r="AC113" s="857">
        <f>SUMIFS('YTD Sales'!$N:$N,'YTD Sales'!$B:$B,Brokerage!$B113,'YTD Sales'!$M:$M,Brokerage!AC$4)+SUMIFS('YTD Purchases'!$H:$H,'YTD Purchases'!$C:$C,Brokerage!$B113,'YTD Purchases'!$G:$G,Brokerage!AC$4)</f>
        <v>0</v>
      </c>
      <c r="AD113" s="857">
        <f>+SUMIFS(PIB!AG:AG,PIB!AF:AF,Brokerage!AD$4,PIB!AA:AA,Brokerage!$B113)+SUMIFS('T-Bills'!AB:AB,'T-Bills'!AA:AA,Brokerage!AD$4,'T-Bills'!V:V,Brokerage!$B113)</f>
        <v>0</v>
      </c>
      <c r="AE113" s="857">
        <f>+SUMIFS(PIB!AH:AH,PIB!AG:AG,Brokerage!AE$4,PIB!AB:AB,Brokerage!$B113)+SUMIFS('T-Bills'!AC:AC,'T-Bills'!AB:AB,Brokerage!AE$4,'T-Bills'!W:W,Brokerage!$B113)</f>
        <v>0</v>
      </c>
      <c r="AF113" s="857">
        <f>+SUMIFS(PIB!AI:AI,PIB!AH:AH,Brokerage!AF$4,PIB!AC:AC,Brokerage!$B113)+SUMIFS('T-Bills'!AD:AD,'T-Bills'!AC:AC,Brokerage!AF$4,'T-Bills'!X:X,Brokerage!$B113)</f>
        <v>0</v>
      </c>
      <c r="AG113" s="857">
        <f t="shared" si="10"/>
        <v>88468.040000000008</v>
      </c>
      <c r="AH113" s="858">
        <f t="shared" si="17"/>
        <v>4</v>
      </c>
    </row>
    <row r="114" spans="2:34" x14ac:dyDescent="0.15">
      <c r="B114" s="661">
        <f t="shared" si="9"/>
        <v>44670</v>
      </c>
      <c r="C114" s="857">
        <f>SUMIFS('YTD Sales'!$N:$N,'YTD Sales'!$B:$B,Brokerage!$B114,'YTD Sales'!$M:$M,Brokerage!C$4)+SUMIFS('YTD Purchases'!$H:$H,'YTD Purchases'!$C:$C,Brokerage!$B114,'YTD Purchases'!$G:$G,Brokerage!C$4)</f>
        <v>0</v>
      </c>
      <c r="D114" s="857">
        <f>SUMIFS('YTD Sales'!$N:$N,'YTD Sales'!$B:$B,Brokerage!$B114,'YTD Sales'!$M:$M,Brokerage!D$4)+SUMIFS('YTD Purchases'!$H:$H,'YTD Purchases'!$C:$C,Brokerage!$B114,'YTD Purchases'!$G:$G,Brokerage!D$4)</f>
        <v>0</v>
      </c>
      <c r="E114" s="857">
        <f>SUMIFS('YTD Sales'!$N:$N,'YTD Sales'!$B:$B,Brokerage!$B114,'YTD Sales'!$M:$M,Brokerage!E$4)+SUMIFS('YTD Purchases'!$H:$H,'YTD Purchases'!$C:$C,Brokerage!$B114,'YTD Purchases'!$G:$G,Brokerage!E$4)</f>
        <v>0</v>
      </c>
      <c r="F114" s="857">
        <f>SUMIFS('YTD Sales'!$N:$N,'YTD Sales'!$B:$B,Brokerage!$B114,'YTD Sales'!$M:$M,Brokerage!F$4)+SUMIFS('YTD Purchases'!$H:$H,'YTD Purchases'!$C:$C,Brokerage!$B114,'YTD Purchases'!$G:$G,Brokerage!F$4)</f>
        <v>0</v>
      </c>
      <c r="G114" s="857">
        <f>SUMIFS('YTD Sales'!$N:$N,'YTD Sales'!$B:$B,Brokerage!$B114,'YTD Sales'!$M:$M,Brokerage!G$4)+SUMIFS('YTD Purchases'!$H:$H,'YTD Purchases'!$C:$C,Brokerage!$B114,'YTD Purchases'!$G:$G,Brokerage!G$4)</f>
        <v>0</v>
      </c>
      <c r="H114" s="857">
        <f>SUMIFS('YTD Sales'!$N:$N,'YTD Sales'!$B:$B,Brokerage!$B114,'YTD Sales'!$M:$M,Brokerage!H$4)+SUMIFS('YTD Purchases'!$H:$H,'YTD Purchases'!$C:$C,Brokerage!$B114,'YTD Purchases'!$G:$G,Brokerage!H$4)</f>
        <v>0</v>
      </c>
      <c r="I114" s="857">
        <f>SUMIFS('YTD Sales'!$N:$N,'YTD Sales'!$B:$B,Brokerage!$B114,'YTD Sales'!$M:$M,Brokerage!I$4)+SUMIFS('YTD Purchases'!$H:$H,'YTD Purchases'!$C:$C,Brokerage!$B114,'YTD Purchases'!$G:$G,Brokerage!I$4)</f>
        <v>7752.329999999999</v>
      </c>
      <c r="J114" s="857">
        <f>SUMIFS('YTD Sales'!$N:$N,'YTD Sales'!$B:$B,Brokerage!$B114,'YTD Sales'!$M:$M,Brokerage!J$4)+SUMIFS('YTD Purchases'!$H:$H,'YTD Purchases'!$C:$C,Brokerage!$B114,'YTD Purchases'!$G:$G,Brokerage!J$4)</f>
        <v>0</v>
      </c>
      <c r="K114" s="857">
        <f>SUMIFS('YTD Sales'!$N:$N,'YTD Sales'!$B:$B,Brokerage!$B114,'YTD Sales'!$M:$M,Brokerage!K$4)+SUMIFS('YTD Purchases'!$H:$H,'YTD Purchases'!$C:$C,Brokerage!$B114,'YTD Purchases'!$G:$G,Brokerage!K$4)</f>
        <v>0</v>
      </c>
      <c r="L114" s="857">
        <f>SUMIFS('YTD Sales'!$N:$N,'YTD Sales'!$B:$B,Brokerage!$B114,'YTD Sales'!$M:$M,Brokerage!L$4)+SUMIFS('YTD Purchases'!$H:$H,'YTD Purchases'!$C:$C,Brokerage!$B114,'YTD Purchases'!$G:$G,Brokerage!L$4)</f>
        <v>0</v>
      </c>
      <c r="M114" s="857">
        <f>SUMIFS('YTD Sales'!$N:$N,'YTD Sales'!$B:$B,Brokerage!$B114,'YTD Sales'!$M:$M,Brokerage!M$4)+SUMIFS('YTD Purchases'!$H:$H,'YTD Purchases'!$C:$C,Brokerage!$B114,'YTD Purchases'!$G:$G,Brokerage!M$4)</f>
        <v>0</v>
      </c>
      <c r="N114" s="857">
        <f>SUMIFS('YTD Sales'!$N:$N,'YTD Sales'!$B:$B,Brokerage!$B114,'YTD Sales'!$M:$M,Brokerage!N$4)+SUMIFS('YTD Purchases'!$H:$H,'YTD Purchases'!$C:$C,Brokerage!$B114,'YTD Purchases'!$G:$G,Brokerage!N$4)</f>
        <v>0</v>
      </c>
      <c r="O114" s="857">
        <f>SUMIFS('YTD Sales'!$N:$N,'YTD Sales'!$B:$B,Brokerage!$B114,'YTD Sales'!$M:$M,Brokerage!O$4)+SUMIFS('YTD Purchases'!$H:$H,'YTD Purchases'!$C:$C,Brokerage!$B114,'YTD Purchases'!$G:$G,Brokerage!O$4)</f>
        <v>0</v>
      </c>
      <c r="P114" s="857">
        <f>SUMIFS('YTD Sales'!$N:$N,'YTD Sales'!$B:$B,Brokerage!$B114,'YTD Sales'!$M:$M,Brokerage!P$4)+SUMIFS('YTD Purchases'!$H:$H,'YTD Purchases'!$C:$C,Brokerage!$B114,'YTD Purchases'!$G:$G,Brokerage!P$4)</f>
        <v>0</v>
      </c>
      <c r="Q114" s="857">
        <f>SUMIFS('YTD Sales'!$N:$N,'YTD Sales'!$B:$B,Brokerage!$B114,'YTD Sales'!$M:$M,Brokerage!Q$4)+SUMIFS('YTD Purchases'!$H:$H,'YTD Purchases'!$C:$C,Brokerage!$B114,'YTD Purchases'!$G:$G,Brokerage!Q$4)</f>
        <v>0</v>
      </c>
      <c r="R114" s="857">
        <f>SUMIFS('YTD Sales'!$N:$N,'YTD Sales'!$B:$B,Brokerage!$B114,'YTD Sales'!$M:$M,Brokerage!R$4)+SUMIFS('YTD Purchases'!$H:$H,'YTD Purchases'!$C:$C,Brokerage!$B114,'YTD Purchases'!$G:$G,Brokerage!R$4)</f>
        <v>0</v>
      </c>
      <c r="S114" s="857">
        <f>SUMIFS('YTD Sales'!$N:$N,'YTD Sales'!$B:$B,Brokerage!$B114,'YTD Sales'!$M:$M,Brokerage!S$4)+SUMIFS('YTD Purchases'!$H:$H,'YTD Purchases'!$C:$C,Brokerage!$B114,'YTD Purchases'!$G:$G,Brokerage!S$4)</f>
        <v>0</v>
      </c>
      <c r="T114" s="857">
        <f>SUMIFS('YTD Sales'!$N:$N,'YTD Sales'!$B:$B,Brokerage!$B114,'YTD Sales'!$M:$M,Brokerage!T$4)+SUMIFS('YTD Purchases'!$H:$H,'YTD Purchases'!$C:$C,Brokerage!$B114,'YTD Purchases'!$G:$G,Brokerage!T$4)</f>
        <v>0</v>
      </c>
      <c r="U114" s="857">
        <f>SUMIFS('YTD Sales'!$N:$N,'YTD Sales'!$B:$B,Brokerage!$B114,'YTD Sales'!$M:$M,Brokerage!U$4)+SUMIFS('YTD Purchases'!$H:$H,'YTD Purchases'!$C:$C,Brokerage!$B114,'YTD Purchases'!$G:$G,Brokerage!U$4)</f>
        <v>0</v>
      </c>
      <c r="V114" s="857">
        <f>SUMIFS('YTD Sales'!$N:$N,'YTD Sales'!$B:$B,Brokerage!$B114,'YTD Sales'!$M:$M,Brokerage!V$4)+SUMIFS('YTD Purchases'!$H:$H,'YTD Purchases'!$C:$C,Brokerage!$B114,'YTD Purchases'!$G:$G,Brokerage!V$4)</f>
        <v>0</v>
      </c>
      <c r="W114" s="857">
        <f>SUMIFS('YTD Sales'!$N:$N,'YTD Sales'!$B:$B,Brokerage!$B114,'YTD Sales'!$M:$M,Brokerage!W$4)+SUMIFS('YTD Purchases'!$H:$H,'YTD Purchases'!$C:$C,Brokerage!$B114,'YTD Purchases'!$G:$G,Brokerage!W$4)</f>
        <v>0</v>
      </c>
      <c r="X114" s="857">
        <f>SUMIFS('YTD Sales'!$N:$N,'YTD Sales'!$B:$B,Brokerage!$B114,'YTD Sales'!$M:$M,Brokerage!X$4)+SUMIFS('YTD Purchases'!$H:$H,'YTD Purchases'!$C:$C,Brokerage!$B114,'YTD Purchases'!$G:$G,Brokerage!X$4)</f>
        <v>0</v>
      </c>
      <c r="Y114" s="857">
        <f>SUMIFS('YTD Sales'!$N:$N,'YTD Sales'!$B:$B,Brokerage!$B114,'YTD Sales'!$M:$M,Brokerage!Y$4)+SUMIFS('YTD Purchases'!$H:$H,'YTD Purchases'!$C:$C,Brokerage!$B114,'YTD Purchases'!$G:$G,Brokerage!Y$4)</f>
        <v>0</v>
      </c>
      <c r="Z114" s="857">
        <f>SUMIFS('YTD Sales'!$N:$N,'YTD Sales'!$B:$B,Brokerage!$B114,'YTD Sales'!$M:$M,Brokerage!Z$4)+SUMIFS('YTD Purchases'!$H:$H,'YTD Purchases'!$C:$C,Brokerage!$B114,'YTD Purchases'!$G:$G,Brokerage!Z$4)</f>
        <v>0</v>
      </c>
      <c r="AA114" s="857">
        <f>SUMIFS('YTD Sales'!$N:$N,'YTD Sales'!$B:$B,Brokerage!$B114,'YTD Sales'!$M:$M,Brokerage!AA$4)+SUMIFS('YTD Purchases'!$H:$H,'YTD Purchases'!$C:$C,Brokerage!$B114,'YTD Purchases'!$G:$G,Brokerage!AA$4)</f>
        <v>0</v>
      </c>
      <c r="AB114" s="857">
        <f>SUMIFS('YTD Sales'!$N:$N,'YTD Sales'!$B:$B,Brokerage!$B114,'YTD Sales'!$M:$M,Brokerage!AB$4)+SUMIFS('YTD Purchases'!$H:$H,'YTD Purchases'!$C:$C,Brokerage!$B114,'YTD Purchases'!$G:$G,Brokerage!AB$4)</f>
        <v>0</v>
      </c>
      <c r="AC114" s="857">
        <f>SUMIFS('YTD Sales'!$N:$N,'YTD Sales'!$B:$B,Brokerage!$B114,'YTD Sales'!$M:$M,Brokerage!AC$4)+SUMIFS('YTD Purchases'!$H:$H,'YTD Purchases'!$C:$C,Brokerage!$B114,'YTD Purchases'!$G:$G,Brokerage!AC$4)</f>
        <v>0</v>
      </c>
      <c r="AD114" s="857">
        <f>+SUMIFS(PIB!AG:AG,PIB!AF:AF,Brokerage!AD$4,PIB!AA:AA,Brokerage!$B114)+SUMIFS('T-Bills'!AB:AB,'T-Bills'!AA:AA,Brokerage!AD$4,'T-Bills'!V:V,Brokerage!$B114)</f>
        <v>0</v>
      </c>
      <c r="AE114" s="857">
        <f>+SUMIFS(PIB!AH:AH,PIB!AG:AG,Brokerage!AE$4,PIB!AB:AB,Brokerage!$B114)+SUMIFS('T-Bills'!AC:AC,'T-Bills'!AB:AB,Brokerage!AE$4,'T-Bills'!W:W,Brokerage!$B114)</f>
        <v>0</v>
      </c>
      <c r="AF114" s="857">
        <f>+SUMIFS(PIB!AI:AI,PIB!AH:AH,Brokerage!AF$4,PIB!AC:AC,Brokerage!$B114)+SUMIFS('T-Bills'!AD:AD,'T-Bills'!AC:AC,Brokerage!AF$4,'T-Bills'!X:X,Brokerage!$B114)</f>
        <v>0</v>
      </c>
      <c r="AG114" s="857">
        <f t="shared" si="10"/>
        <v>7752.329999999999</v>
      </c>
      <c r="AH114" s="858">
        <f t="shared" si="17"/>
        <v>0</v>
      </c>
    </row>
    <row r="115" spans="2:34" x14ac:dyDescent="0.15">
      <c r="B115" s="661">
        <f t="shared" si="9"/>
        <v>44671</v>
      </c>
      <c r="C115" s="857">
        <f>SUMIFS('YTD Sales'!$N:$N,'YTD Sales'!$B:$B,Brokerage!$B115,'YTD Sales'!$M:$M,Brokerage!C$4)+SUMIFS('YTD Purchases'!$H:$H,'YTD Purchases'!$C:$C,Brokerage!$B115,'YTD Purchases'!$G:$G,Brokerage!C$4)</f>
        <v>0</v>
      </c>
      <c r="D115" s="857">
        <f>SUMIFS('YTD Sales'!$N:$N,'YTD Sales'!$B:$B,Brokerage!$B115,'YTD Sales'!$M:$M,Brokerage!D$4)+SUMIFS('YTD Purchases'!$H:$H,'YTD Purchases'!$C:$C,Brokerage!$B115,'YTD Purchases'!$G:$G,Brokerage!D$4)</f>
        <v>0</v>
      </c>
      <c r="E115" s="857">
        <f>SUMIFS('YTD Sales'!$N:$N,'YTD Sales'!$B:$B,Brokerage!$B115,'YTD Sales'!$M:$M,Brokerage!E$4)+SUMIFS('YTD Purchases'!$H:$H,'YTD Purchases'!$C:$C,Brokerage!$B115,'YTD Purchases'!$G:$G,Brokerage!E$4)</f>
        <v>0</v>
      </c>
      <c r="F115" s="857">
        <f>SUMIFS('YTD Sales'!$N:$N,'YTD Sales'!$B:$B,Brokerage!$B115,'YTD Sales'!$M:$M,Brokerage!F$4)+SUMIFS('YTD Purchases'!$H:$H,'YTD Purchases'!$C:$C,Brokerage!$B115,'YTD Purchases'!$G:$G,Brokerage!F$4)</f>
        <v>0</v>
      </c>
      <c r="G115" s="857">
        <f>SUMIFS('YTD Sales'!$N:$N,'YTD Sales'!$B:$B,Brokerage!$B115,'YTD Sales'!$M:$M,Brokerage!G$4)+SUMIFS('YTD Purchases'!$H:$H,'YTD Purchases'!$C:$C,Brokerage!$B115,'YTD Purchases'!$G:$G,Brokerage!G$4)</f>
        <v>0</v>
      </c>
      <c r="H115" s="857">
        <f>SUMIFS('YTD Sales'!$N:$N,'YTD Sales'!$B:$B,Brokerage!$B115,'YTD Sales'!$M:$M,Brokerage!H$4)+SUMIFS('YTD Purchases'!$H:$H,'YTD Purchases'!$C:$C,Brokerage!$B115,'YTD Purchases'!$G:$G,Brokerage!H$4)</f>
        <v>0</v>
      </c>
      <c r="I115" s="857">
        <f>SUMIFS('YTD Sales'!$N:$N,'YTD Sales'!$B:$B,Brokerage!$B115,'YTD Sales'!$M:$M,Brokerage!I$4)+SUMIFS('YTD Purchases'!$H:$H,'YTD Purchases'!$C:$C,Brokerage!$B115,'YTD Purchases'!$G:$G,Brokerage!I$4)</f>
        <v>0</v>
      </c>
      <c r="J115" s="857">
        <f>SUMIFS('YTD Sales'!$N:$N,'YTD Sales'!$B:$B,Brokerage!$B115,'YTD Sales'!$M:$M,Brokerage!J$4)+SUMIFS('YTD Purchases'!$H:$H,'YTD Purchases'!$C:$C,Brokerage!$B115,'YTD Purchases'!$G:$G,Brokerage!J$4)</f>
        <v>0</v>
      </c>
      <c r="K115" s="857">
        <f>SUMIFS('YTD Sales'!$N:$N,'YTD Sales'!$B:$B,Brokerage!$B115,'YTD Sales'!$M:$M,Brokerage!K$4)+SUMIFS('YTD Purchases'!$H:$H,'YTD Purchases'!$C:$C,Brokerage!$B115,'YTD Purchases'!$G:$G,Brokerage!K$4)</f>
        <v>0</v>
      </c>
      <c r="L115" s="857">
        <f>SUMIFS('YTD Sales'!$N:$N,'YTD Sales'!$B:$B,Brokerage!$B115,'YTD Sales'!$M:$M,Brokerage!L$4)+SUMIFS('YTD Purchases'!$H:$H,'YTD Purchases'!$C:$C,Brokerage!$B115,'YTD Purchases'!$G:$G,Brokerage!L$4)</f>
        <v>0</v>
      </c>
      <c r="M115" s="857">
        <f>SUMIFS('YTD Sales'!$N:$N,'YTD Sales'!$B:$B,Brokerage!$B115,'YTD Sales'!$M:$M,Brokerage!M$4)+SUMIFS('YTD Purchases'!$H:$H,'YTD Purchases'!$C:$C,Brokerage!$B115,'YTD Purchases'!$G:$G,Brokerage!M$4)</f>
        <v>0</v>
      </c>
      <c r="N115" s="857">
        <f>SUMIFS('YTD Sales'!$N:$N,'YTD Sales'!$B:$B,Brokerage!$B115,'YTD Sales'!$M:$M,Brokerage!N$4)+SUMIFS('YTD Purchases'!$H:$H,'YTD Purchases'!$C:$C,Brokerage!$B115,'YTD Purchases'!$G:$G,Brokerage!N$4)</f>
        <v>18808.100000000002</v>
      </c>
      <c r="O115" s="857">
        <f>SUMIFS('YTD Sales'!$N:$N,'YTD Sales'!$B:$B,Brokerage!$B115,'YTD Sales'!$M:$M,Brokerage!O$4)+SUMIFS('YTD Purchases'!$H:$H,'YTD Purchases'!$C:$C,Brokerage!$B115,'YTD Purchases'!$G:$G,Brokerage!O$4)</f>
        <v>0</v>
      </c>
      <c r="P115" s="857">
        <f>SUMIFS('YTD Sales'!$N:$N,'YTD Sales'!$B:$B,Brokerage!$B115,'YTD Sales'!$M:$M,Brokerage!P$4)+SUMIFS('YTD Purchases'!$H:$H,'YTD Purchases'!$C:$C,Brokerage!$B115,'YTD Purchases'!$G:$G,Brokerage!P$4)</f>
        <v>0</v>
      </c>
      <c r="Q115" s="857">
        <f>SUMIFS('YTD Sales'!$N:$N,'YTD Sales'!$B:$B,Brokerage!$B115,'YTD Sales'!$M:$M,Brokerage!Q$4)+SUMIFS('YTD Purchases'!$H:$H,'YTD Purchases'!$C:$C,Brokerage!$B115,'YTD Purchases'!$G:$G,Brokerage!Q$4)</f>
        <v>0</v>
      </c>
      <c r="R115" s="857">
        <f>SUMIFS('YTD Sales'!$N:$N,'YTD Sales'!$B:$B,Brokerage!$B115,'YTD Sales'!$M:$M,Brokerage!R$4)+SUMIFS('YTD Purchases'!$H:$H,'YTD Purchases'!$C:$C,Brokerage!$B115,'YTD Purchases'!$G:$G,Brokerage!R$4)</f>
        <v>0</v>
      </c>
      <c r="S115" s="857">
        <f>SUMIFS('YTD Sales'!$N:$N,'YTD Sales'!$B:$B,Brokerage!$B115,'YTD Sales'!$M:$M,Brokerage!S$4)+SUMIFS('YTD Purchases'!$H:$H,'YTD Purchases'!$C:$C,Brokerage!$B115,'YTD Purchases'!$G:$G,Brokerage!S$4)</f>
        <v>2611.71</v>
      </c>
      <c r="T115" s="857">
        <f>SUMIFS('YTD Sales'!$N:$N,'YTD Sales'!$B:$B,Brokerage!$B115,'YTD Sales'!$M:$M,Brokerage!T$4)+SUMIFS('YTD Purchases'!$H:$H,'YTD Purchases'!$C:$C,Brokerage!$B115,'YTD Purchases'!$G:$G,Brokerage!T$4)</f>
        <v>0</v>
      </c>
      <c r="U115" s="857">
        <f>SUMIFS('YTD Sales'!$N:$N,'YTD Sales'!$B:$B,Brokerage!$B115,'YTD Sales'!$M:$M,Brokerage!U$4)+SUMIFS('YTD Purchases'!$H:$H,'YTD Purchases'!$C:$C,Brokerage!$B115,'YTD Purchases'!$G:$G,Brokerage!U$4)</f>
        <v>0</v>
      </c>
      <c r="V115" s="857">
        <f>SUMIFS('YTD Sales'!$N:$N,'YTD Sales'!$B:$B,Brokerage!$B115,'YTD Sales'!$M:$M,Brokerage!V$4)+SUMIFS('YTD Purchases'!$H:$H,'YTD Purchases'!$C:$C,Brokerage!$B115,'YTD Purchases'!$G:$G,Brokerage!V$4)</f>
        <v>0</v>
      </c>
      <c r="W115" s="857">
        <f>SUMIFS('YTD Sales'!$N:$N,'YTD Sales'!$B:$B,Brokerage!$B115,'YTD Sales'!$M:$M,Brokerage!W$4)+SUMIFS('YTD Purchases'!$H:$H,'YTD Purchases'!$C:$C,Brokerage!$B115,'YTD Purchases'!$G:$G,Brokerage!W$4)</f>
        <v>0</v>
      </c>
      <c r="X115" s="857">
        <f>SUMIFS('YTD Sales'!$N:$N,'YTD Sales'!$B:$B,Brokerage!$B115,'YTD Sales'!$M:$M,Brokerage!X$4)+SUMIFS('YTD Purchases'!$H:$H,'YTD Purchases'!$C:$C,Brokerage!$B115,'YTD Purchases'!$G:$G,Brokerage!X$4)</f>
        <v>0</v>
      </c>
      <c r="Y115" s="857">
        <f>SUMIFS('YTD Sales'!$N:$N,'YTD Sales'!$B:$B,Brokerage!$B115,'YTD Sales'!$M:$M,Brokerage!Y$4)+SUMIFS('YTD Purchases'!$H:$H,'YTD Purchases'!$C:$C,Brokerage!$B115,'YTD Purchases'!$G:$G,Brokerage!Y$4)</f>
        <v>0</v>
      </c>
      <c r="Z115" s="857">
        <f>SUMIFS('YTD Sales'!$N:$N,'YTD Sales'!$B:$B,Brokerage!$B115,'YTD Sales'!$M:$M,Brokerage!Z$4)+SUMIFS('YTD Purchases'!$H:$H,'YTD Purchases'!$C:$C,Brokerage!$B115,'YTD Purchases'!$G:$G,Brokerage!Z$4)</f>
        <v>0</v>
      </c>
      <c r="AA115" s="857">
        <f>SUMIFS('YTD Sales'!$N:$N,'YTD Sales'!$B:$B,Brokerage!$B115,'YTD Sales'!$M:$M,Brokerage!AA$4)+SUMIFS('YTD Purchases'!$H:$H,'YTD Purchases'!$C:$C,Brokerage!$B115,'YTD Purchases'!$G:$G,Brokerage!AA$4)</f>
        <v>0</v>
      </c>
      <c r="AB115" s="857">
        <f>SUMIFS('YTD Sales'!$N:$N,'YTD Sales'!$B:$B,Brokerage!$B115,'YTD Sales'!$M:$M,Brokerage!AB$4)+SUMIFS('YTD Purchases'!$H:$H,'YTD Purchases'!$C:$C,Brokerage!$B115,'YTD Purchases'!$G:$G,Brokerage!AB$4)</f>
        <v>0</v>
      </c>
      <c r="AC115" s="857">
        <f>SUMIFS('YTD Sales'!$N:$N,'YTD Sales'!$B:$B,Brokerage!$B115,'YTD Sales'!$M:$M,Brokerage!AC$4)+SUMIFS('YTD Purchases'!$H:$H,'YTD Purchases'!$C:$C,Brokerage!$B115,'YTD Purchases'!$G:$G,Brokerage!AC$4)</f>
        <v>0</v>
      </c>
      <c r="AD115" s="857">
        <f>+SUMIFS(PIB!AG:AG,PIB!AF:AF,Brokerage!AD$4,PIB!AA:AA,Brokerage!$B115)+SUMIFS('T-Bills'!AB:AB,'T-Bills'!AA:AA,Brokerage!AD$4,'T-Bills'!V:V,Brokerage!$B115)</f>
        <v>0</v>
      </c>
      <c r="AE115" s="857">
        <f>+SUMIFS(PIB!AH:AH,PIB!AG:AG,Brokerage!AE$4,PIB!AB:AB,Brokerage!$B115)+SUMIFS('T-Bills'!AC:AC,'T-Bills'!AB:AB,Brokerage!AE$4,'T-Bills'!W:W,Brokerage!$B115)</f>
        <v>0</v>
      </c>
      <c r="AF115" s="857">
        <f>+SUMIFS(PIB!AI:AI,PIB!AH:AH,Brokerage!AF$4,PIB!AC:AC,Brokerage!$B115)+SUMIFS('T-Bills'!AD:AD,'T-Bills'!AC:AC,Brokerage!AF$4,'T-Bills'!X:X,Brokerage!$B115)</f>
        <v>0</v>
      </c>
      <c r="AG115" s="857">
        <f t="shared" si="10"/>
        <v>21419.81</v>
      </c>
      <c r="AH115" s="858">
        <f t="shared" si="17"/>
        <v>1</v>
      </c>
    </row>
    <row r="116" spans="2:34" x14ac:dyDescent="0.15">
      <c r="B116" s="661">
        <f t="shared" si="9"/>
        <v>44672</v>
      </c>
      <c r="C116" s="857">
        <f>SUMIFS('YTD Sales'!$N:$N,'YTD Sales'!$B:$B,Brokerage!$B116,'YTD Sales'!$M:$M,Brokerage!C$4)+SUMIFS('YTD Purchases'!$H:$H,'YTD Purchases'!$C:$C,Brokerage!$B116,'YTD Purchases'!$G:$G,Brokerage!C$4)</f>
        <v>0</v>
      </c>
      <c r="D116" s="857">
        <f>SUMIFS('YTD Sales'!$N:$N,'YTD Sales'!$B:$B,Brokerage!$B116,'YTD Sales'!$M:$M,Brokerage!D$4)+SUMIFS('YTD Purchases'!$H:$H,'YTD Purchases'!$C:$C,Brokerage!$B116,'YTD Purchases'!$G:$G,Brokerage!D$4)</f>
        <v>0</v>
      </c>
      <c r="E116" s="857">
        <f>SUMIFS('YTD Sales'!$N:$N,'YTD Sales'!$B:$B,Brokerage!$B116,'YTD Sales'!$M:$M,Brokerage!E$4)+SUMIFS('YTD Purchases'!$H:$H,'YTD Purchases'!$C:$C,Brokerage!$B116,'YTD Purchases'!$G:$G,Brokerage!E$4)</f>
        <v>0</v>
      </c>
      <c r="F116" s="857">
        <f>SUMIFS('YTD Sales'!$N:$N,'YTD Sales'!$B:$B,Brokerage!$B116,'YTD Sales'!$M:$M,Brokerage!F$4)+SUMIFS('YTD Purchases'!$H:$H,'YTD Purchases'!$C:$C,Brokerage!$B116,'YTD Purchases'!$G:$G,Brokerage!F$4)</f>
        <v>0</v>
      </c>
      <c r="G116" s="857">
        <f>SUMIFS('YTD Sales'!$N:$N,'YTD Sales'!$B:$B,Brokerage!$B116,'YTD Sales'!$M:$M,Brokerage!G$4)+SUMIFS('YTD Purchases'!$H:$H,'YTD Purchases'!$C:$C,Brokerage!$B116,'YTD Purchases'!$G:$G,Brokerage!G$4)</f>
        <v>0</v>
      </c>
      <c r="H116" s="857">
        <f>SUMIFS('YTD Sales'!$N:$N,'YTD Sales'!$B:$B,Brokerage!$B116,'YTD Sales'!$M:$M,Brokerage!H$4)+SUMIFS('YTD Purchases'!$H:$H,'YTD Purchases'!$C:$C,Brokerage!$B116,'YTD Purchases'!$G:$G,Brokerage!H$4)</f>
        <v>0</v>
      </c>
      <c r="I116" s="857">
        <f>SUMIFS('YTD Sales'!$N:$N,'YTD Sales'!$B:$B,Brokerage!$B116,'YTD Sales'!$M:$M,Brokerage!I$4)+SUMIFS('YTD Purchases'!$H:$H,'YTD Purchases'!$C:$C,Brokerage!$B116,'YTD Purchases'!$G:$G,Brokerage!I$4)</f>
        <v>0</v>
      </c>
      <c r="J116" s="857">
        <f>SUMIFS('YTD Sales'!$N:$N,'YTD Sales'!$B:$B,Brokerage!$B116,'YTD Sales'!$M:$M,Brokerage!J$4)+SUMIFS('YTD Purchases'!$H:$H,'YTD Purchases'!$C:$C,Brokerage!$B116,'YTD Purchases'!$G:$G,Brokerage!J$4)</f>
        <v>0</v>
      </c>
      <c r="K116" s="857">
        <f>SUMIFS('YTD Sales'!$N:$N,'YTD Sales'!$B:$B,Brokerage!$B116,'YTD Sales'!$M:$M,Brokerage!K$4)+SUMIFS('YTD Purchases'!$H:$H,'YTD Purchases'!$C:$C,Brokerage!$B116,'YTD Purchases'!$G:$G,Brokerage!K$4)</f>
        <v>0</v>
      </c>
      <c r="L116" s="857">
        <f>SUMIFS('YTD Sales'!$N:$N,'YTD Sales'!$B:$B,Brokerage!$B116,'YTD Sales'!$M:$M,Brokerage!L$4)+SUMIFS('YTD Purchases'!$H:$H,'YTD Purchases'!$C:$C,Brokerage!$B116,'YTD Purchases'!$G:$G,Brokerage!L$4)</f>
        <v>0</v>
      </c>
      <c r="M116" s="857">
        <f>SUMIFS('YTD Sales'!$N:$N,'YTD Sales'!$B:$B,Brokerage!$B116,'YTD Sales'!$M:$M,Brokerage!M$4)+SUMIFS('YTD Purchases'!$H:$H,'YTD Purchases'!$C:$C,Brokerage!$B116,'YTD Purchases'!$G:$G,Brokerage!M$4)</f>
        <v>0</v>
      </c>
      <c r="N116" s="857">
        <f>SUMIFS('YTD Sales'!$N:$N,'YTD Sales'!$B:$B,Brokerage!$B116,'YTD Sales'!$M:$M,Brokerage!N$4)+SUMIFS('YTD Purchases'!$H:$H,'YTD Purchases'!$C:$C,Brokerage!$B116,'YTD Purchases'!$G:$G,Brokerage!N$4)</f>
        <v>0</v>
      </c>
      <c r="O116" s="857">
        <f>SUMIFS('YTD Sales'!$N:$N,'YTD Sales'!$B:$B,Brokerage!$B116,'YTD Sales'!$M:$M,Brokerage!O$4)+SUMIFS('YTD Purchases'!$H:$H,'YTD Purchases'!$C:$C,Brokerage!$B116,'YTD Purchases'!$G:$G,Brokerage!O$4)</f>
        <v>0</v>
      </c>
      <c r="P116" s="857">
        <f>SUMIFS('YTD Sales'!$N:$N,'YTD Sales'!$B:$B,Brokerage!$B116,'YTD Sales'!$M:$M,Brokerage!P$4)+SUMIFS('YTD Purchases'!$H:$H,'YTD Purchases'!$C:$C,Brokerage!$B116,'YTD Purchases'!$G:$G,Brokerage!P$4)</f>
        <v>0</v>
      </c>
      <c r="Q116" s="857">
        <f>SUMIFS('YTD Sales'!$N:$N,'YTD Sales'!$B:$B,Brokerage!$B116,'YTD Sales'!$M:$M,Brokerage!Q$4)+SUMIFS('YTD Purchases'!$H:$H,'YTD Purchases'!$C:$C,Brokerage!$B116,'YTD Purchases'!$G:$G,Brokerage!Q$4)</f>
        <v>0</v>
      </c>
      <c r="R116" s="857">
        <f>SUMIFS('YTD Sales'!$N:$N,'YTD Sales'!$B:$B,Brokerage!$B116,'YTD Sales'!$M:$M,Brokerage!R$4)+SUMIFS('YTD Purchases'!$H:$H,'YTD Purchases'!$C:$C,Brokerage!$B116,'YTD Purchases'!$G:$G,Brokerage!R$4)</f>
        <v>96564.549999999988</v>
      </c>
      <c r="S116" s="857">
        <f>SUMIFS('YTD Sales'!$N:$N,'YTD Sales'!$B:$B,Brokerage!$B116,'YTD Sales'!$M:$M,Brokerage!S$4)+SUMIFS('YTD Purchases'!$H:$H,'YTD Purchases'!$C:$C,Brokerage!$B116,'YTD Purchases'!$G:$G,Brokerage!S$4)</f>
        <v>0</v>
      </c>
      <c r="T116" s="857">
        <f>SUMIFS('YTD Sales'!$N:$N,'YTD Sales'!$B:$B,Brokerage!$B116,'YTD Sales'!$M:$M,Brokerage!T$4)+SUMIFS('YTD Purchases'!$H:$H,'YTD Purchases'!$C:$C,Brokerage!$B116,'YTD Purchases'!$G:$G,Brokerage!T$4)</f>
        <v>0</v>
      </c>
      <c r="U116" s="857">
        <f>SUMIFS('YTD Sales'!$N:$N,'YTD Sales'!$B:$B,Brokerage!$B116,'YTD Sales'!$M:$M,Brokerage!U$4)+SUMIFS('YTD Purchases'!$H:$H,'YTD Purchases'!$C:$C,Brokerage!$B116,'YTD Purchases'!$G:$G,Brokerage!U$4)</f>
        <v>0</v>
      </c>
      <c r="V116" s="857">
        <f>SUMIFS('YTD Sales'!$N:$N,'YTD Sales'!$B:$B,Brokerage!$B116,'YTD Sales'!$M:$M,Brokerage!V$4)+SUMIFS('YTD Purchases'!$H:$H,'YTD Purchases'!$C:$C,Brokerage!$B116,'YTD Purchases'!$G:$G,Brokerage!V$4)</f>
        <v>0</v>
      </c>
      <c r="W116" s="857">
        <f>SUMIFS('YTD Sales'!$N:$N,'YTD Sales'!$B:$B,Brokerage!$B116,'YTD Sales'!$M:$M,Brokerage!W$4)+SUMIFS('YTD Purchases'!$H:$H,'YTD Purchases'!$C:$C,Brokerage!$B116,'YTD Purchases'!$G:$G,Brokerage!W$4)</f>
        <v>0</v>
      </c>
      <c r="X116" s="857">
        <f>SUMIFS('YTD Sales'!$N:$N,'YTD Sales'!$B:$B,Brokerage!$B116,'YTD Sales'!$M:$M,Brokerage!X$4)+SUMIFS('YTD Purchases'!$H:$H,'YTD Purchases'!$C:$C,Brokerage!$B116,'YTD Purchases'!$G:$G,Brokerage!X$4)</f>
        <v>67.8</v>
      </c>
      <c r="Y116" s="857">
        <f>SUMIFS('YTD Sales'!$N:$N,'YTD Sales'!$B:$B,Brokerage!$B116,'YTD Sales'!$M:$M,Brokerage!Y$4)+SUMIFS('YTD Purchases'!$H:$H,'YTD Purchases'!$C:$C,Brokerage!$B116,'YTD Purchases'!$G:$G,Brokerage!Y$4)</f>
        <v>0</v>
      </c>
      <c r="Z116" s="857">
        <f>SUMIFS('YTD Sales'!$N:$N,'YTD Sales'!$B:$B,Brokerage!$B116,'YTD Sales'!$M:$M,Brokerage!Z$4)+SUMIFS('YTD Purchases'!$H:$H,'YTD Purchases'!$C:$C,Brokerage!$B116,'YTD Purchases'!$G:$G,Brokerage!Z$4)</f>
        <v>0</v>
      </c>
      <c r="AA116" s="857">
        <f>SUMIFS('YTD Sales'!$N:$N,'YTD Sales'!$B:$B,Brokerage!$B116,'YTD Sales'!$M:$M,Brokerage!AA$4)+SUMIFS('YTD Purchases'!$H:$H,'YTD Purchases'!$C:$C,Brokerage!$B116,'YTD Purchases'!$G:$G,Brokerage!AA$4)</f>
        <v>0</v>
      </c>
      <c r="AB116" s="857">
        <f>SUMIFS('YTD Sales'!$N:$N,'YTD Sales'!$B:$B,Brokerage!$B116,'YTD Sales'!$M:$M,Brokerage!AB$4)+SUMIFS('YTD Purchases'!$H:$H,'YTD Purchases'!$C:$C,Brokerage!$B116,'YTD Purchases'!$G:$G,Brokerage!AB$4)</f>
        <v>0</v>
      </c>
      <c r="AC116" s="857">
        <f>SUMIFS('YTD Sales'!$N:$N,'YTD Sales'!$B:$B,Brokerage!$B116,'YTD Sales'!$M:$M,Brokerage!AC$4)+SUMIFS('YTD Purchases'!$H:$H,'YTD Purchases'!$C:$C,Brokerage!$B116,'YTD Purchases'!$G:$G,Brokerage!AC$4)</f>
        <v>0</v>
      </c>
      <c r="AD116" s="857">
        <f>+SUMIFS(PIB!AG:AG,PIB!AF:AF,Brokerage!AD$4,PIB!AA:AA,Brokerage!$B116)+SUMIFS('T-Bills'!AB:AB,'T-Bills'!AA:AA,Brokerage!AD$4,'T-Bills'!V:V,Brokerage!$B116)</f>
        <v>0</v>
      </c>
      <c r="AE116" s="857">
        <f>+SUMIFS(PIB!AH:AH,PIB!AG:AG,Brokerage!AE$4,PIB!AB:AB,Brokerage!$B116)+SUMIFS('T-Bills'!AC:AC,'T-Bills'!AB:AB,Brokerage!AE$4,'T-Bills'!W:W,Brokerage!$B116)</f>
        <v>0</v>
      </c>
      <c r="AF116" s="857">
        <f>+SUMIFS(PIB!AI:AI,PIB!AH:AH,Brokerage!AF$4,PIB!AC:AC,Brokerage!$B116)+SUMIFS('T-Bills'!AD:AD,'T-Bills'!AC:AC,Brokerage!AF$4,'T-Bills'!X:X,Brokerage!$B116)</f>
        <v>0</v>
      </c>
      <c r="AG116" s="857">
        <f t="shared" si="10"/>
        <v>96632.349999999991</v>
      </c>
      <c r="AH116" s="858">
        <f t="shared" si="17"/>
        <v>4</v>
      </c>
    </row>
    <row r="117" spans="2:34" x14ac:dyDescent="0.15">
      <c r="B117" s="661">
        <f t="shared" si="9"/>
        <v>44673</v>
      </c>
      <c r="C117" s="857">
        <f>SUMIFS('YTD Sales'!$N:$N,'YTD Sales'!$B:$B,Brokerage!$B117,'YTD Sales'!$M:$M,Brokerage!C$4)+SUMIFS('YTD Purchases'!$H:$H,'YTD Purchases'!$C:$C,Brokerage!$B117,'YTD Purchases'!$G:$G,Brokerage!C$4)</f>
        <v>0</v>
      </c>
      <c r="D117" s="857">
        <f>SUMIFS('YTD Sales'!$N:$N,'YTD Sales'!$B:$B,Brokerage!$B117,'YTD Sales'!$M:$M,Brokerage!D$4)+SUMIFS('YTD Purchases'!$H:$H,'YTD Purchases'!$C:$C,Brokerage!$B117,'YTD Purchases'!$G:$G,Brokerage!D$4)</f>
        <v>0</v>
      </c>
      <c r="E117" s="857">
        <f>SUMIFS('YTD Sales'!$N:$N,'YTD Sales'!$B:$B,Brokerage!$B117,'YTD Sales'!$M:$M,Brokerage!E$4)+SUMIFS('YTD Purchases'!$H:$H,'YTD Purchases'!$C:$C,Brokerage!$B117,'YTD Purchases'!$G:$G,Brokerage!E$4)</f>
        <v>11423.97</v>
      </c>
      <c r="F117" s="857">
        <f>SUMIFS('YTD Sales'!$N:$N,'YTD Sales'!$B:$B,Brokerage!$B117,'YTD Sales'!$M:$M,Brokerage!F$4)+SUMIFS('YTD Purchases'!$H:$H,'YTD Purchases'!$C:$C,Brokerage!$B117,'YTD Purchases'!$G:$G,Brokerage!F$4)</f>
        <v>0</v>
      </c>
      <c r="G117" s="857">
        <f>SUMIFS('YTD Sales'!$N:$N,'YTD Sales'!$B:$B,Brokerage!$B117,'YTD Sales'!$M:$M,Brokerage!G$4)+SUMIFS('YTD Purchases'!$H:$H,'YTD Purchases'!$C:$C,Brokerage!$B117,'YTD Purchases'!$G:$G,Brokerage!G$4)</f>
        <v>0</v>
      </c>
      <c r="H117" s="857">
        <f>SUMIFS('YTD Sales'!$N:$N,'YTD Sales'!$B:$B,Brokerage!$B117,'YTD Sales'!$M:$M,Brokerage!H$4)+SUMIFS('YTD Purchases'!$H:$H,'YTD Purchases'!$C:$C,Brokerage!$B117,'YTD Purchases'!$G:$G,Brokerage!H$4)</f>
        <v>0</v>
      </c>
      <c r="I117" s="857">
        <f>SUMIFS('YTD Sales'!$N:$N,'YTD Sales'!$B:$B,Brokerage!$B117,'YTD Sales'!$M:$M,Brokerage!I$4)+SUMIFS('YTD Purchases'!$H:$H,'YTD Purchases'!$C:$C,Brokerage!$B117,'YTD Purchases'!$G:$G,Brokerage!I$4)</f>
        <v>8637.3799999999992</v>
      </c>
      <c r="J117" s="857">
        <f>SUMIFS('YTD Sales'!$N:$N,'YTD Sales'!$B:$B,Brokerage!$B117,'YTD Sales'!$M:$M,Brokerage!J$4)+SUMIFS('YTD Purchases'!$H:$H,'YTD Purchases'!$C:$C,Brokerage!$B117,'YTD Purchases'!$G:$G,Brokerage!J$4)</f>
        <v>0</v>
      </c>
      <c r="K117" s="857">
        <f>SUMIFS('YTD Sales'!$N:$N,'YTD Sales'!$B:$B,Brokerage!$B117,'YTD Sales'!$M:$M,Brokerage!K$4)+SUMIFS('YTD Purchases'!$H:$H,'YTD Purchases'!$C:$C,Brokerage!$B117,'YTD Purchases'!$G:$G,Brokerage!K$4)</f>
        <v>0</v>
      </c>
      <c r="L117" s="857">
        <f>SUMIFS('YTD Sales'!$N:$N,'YTD Sales'!$B:$B,Brokerage!$B117,'YTD Sales'!$M:$M,Brokerage!L$4)+SUMIFS('YTD Purchases'!$H:$H,'YTD Purchases'!$C:$C,Brokerage!$B117,'YTD Purchases'!$G:$G,Brokerage!L$4)</f>
        <v>0</v>
      </c>
      <c r="M117" s="857">
        <f>SUMIFS('YTD Sales'!$N:$N,'YTD Sales'!$B:$B,Brokerage!$B117,'YTD Sales'!$M:$M,Brokerage!M$4)+SUMIFS('YTD Purchases'!$H:$H,'YTD Purchases'!$C:$C,Brokerage!$B117,'YTD Purchases'!$G:$G,Brokerage!M$4)</f>
        <v>0</v>
      </c>
      <c r="N117" s="857">
        <f>SUMIFS('YTD Sales'!$N:$N,'YTD Sales'!$B:$B,Brokerage!$B117,'YTD Sales'!$M:$M,Brokerage!N$4)+SUMIFS('YTD Purchases'!$H:$H,'YTD Purchases'!$C:$C,Brokerage!$B117,'YTD Purchases'!$G:$G,Brokerage!N$4)</f>
        <v>0</v>
      </c>
      <c r="O117" s="857">
        <f>SUMIFS('YTD Sales'!$N:$N,'YTD Sales'!$B:$B,Brokerage!$B117,'YTD Sales'!$M:$M,Brokerage!O$4)+SUMIFS('YTD Purchases'!$H:$H,'YTD Purchases'!$C:$C,Brokerage!$B117,'YTD Purchases'!$G:$G,Brokerage!O$4)</f>
        <v>19506.16</v>
      </c>
      <c r="P117" s="857">
        <f>SUMIFS('YTD Sales'!$N:$N,'YTD Sales'!$B:$B,Brokerage!$B117,'YTD Sales'!$M:$M,Brokerage!P$4)+SUMIFS('YTD Purchases'!$H:$H,'YTD Purchases'!$C:$C,Brokerage!$B117,'YTD Purchases'!$G:$G,Brokerage!P$4)</f>
        <v>0</v>
      </c>
      <c r="Q117" s="857">
        <f>SUMIFS('YTD Sales'!$N:$N,'YTD Sales'!$B:$B,Brokerage!$B117,'YTD Sales'!$M:$M,Brokerage!Q$4)+SUMIFS('YTD Purchases'!$H:$H,'YTD Purchases'!$C:$C,Brokerage!$B117,'YTD Purchases'!$G:$G,Brokerage!Q$4)</f>
        <v>0</v>
      </c>
      <c r="R117" s="857">
        <f>SUMIFS('YTD Sales'!$N:$N,'YTD Sales'!$B:$B,Brokerage!$B117,'YTD Sales'!$M:$M,Brokerage!R$4)+SUMIFS('YTD Purchases'!$H:$H,'YTD Purchases'!$C:$C,Brokerage!$B117,'YTD Purchases'!$G:$G,Brokerage!R$4)</f>
        <v>0</v>
      </c>
      <c r="S117" s="857">
        <f>SUMIFS('YTD Sales'!$N:$N,'YTD Sales'!$B:$B,Brokerage!$B117,'YTD Sales'!$M:$M,Brokerage!S$4)+SUMIFS('YTD Purchases'!$H:$H,'YTD Purchases'!$C:$C,Brokerage!$B117,'YTD Purchases'!$G:$G,Brokerage!S$4)</f>
        <v>0</v>
      </c>
      <c r="T117" s="857">
        <f>SUMIFS('YTD Sales'!$N:$N,'YTD Sales'!$B:$B,Brokerage!$B117,'YTD Sales'!$M:$M,Brokerage!T$4)+SUMIFS('YTD Purchases'!$H:$H,'YTD Purchases'!$C:$C,Brokerage!$B117,'YTD Purchases'!$G:$G,Brokerage!T$4)</f>
        <v>0</v>
      </c>
      <c r="U117" s="857">
        <f>SUMIFS('YTD Sales'!$N:$N,'YTD Sales'!$B:$B,Brokerage!$B117,'YTD Sales'!$M:$M,Brokerage!U$4)+SUMIFS('YTD Purchases'!$H:$H,'YTD Purchases'!$C:$C,Brokerage!$B117,'YTD Purchases'!$G:$G,Brokerage!U$4)</f>
        <v>0</v>
      </c>
      <c r="V117" s="857">
        <f>SUMIFS('YTD Sales'!$N:$N,'YTD Sales'!$B:$B,Brokerage!$B117,'YTD Sales'!$M:$M,Brokerage!V$4)+SUMIFS('YTD Purchases'!$H:$H,'YTD Purchases'!$C:$C,Brokerage!$B117,'YTD Purchases'!$G:$G,Brokerage!V$4)</f>
        <v>0</v>
      </c>
      <c r="W117" s="857">
        <f>SUMIFS('YTD Sales'!$N:$N,'YTD Sales'!$B:$B,Brokerage!$B117,'YTD Sales'!$M:$M,Brokerage!W$4)+SUMIFS('YTD Purchases'!$H:$H,'YTD Purchases'!$C:$C,Brokerage!$B117,'YTD Purchases'!$G:$G,Brokerage!W$4)</f>
        <v>0</v>
      </c>
      <c r="X117" s="857">
        <f>SUMIFS('YTD Sales'!$N:$N,'YTD Sales'!$B:$B,Brokerage!$B117,'YTD Sales'!$M:$M,Brokerage!X$4)+SUMIFS('YTD Purchases'!$H:$H,'YTD Purchases'!$C:$C,Brokerage!$B117,'YTD Purchases'!$G:$G,Brokerage!X$4)</f>
        <v>58057.240000000005</v>
      </c>
      <c r="Y117" s="857">
        <f>SUMIFS('YTD Sales'!$N:$N,'YTD Sales'!$B:$B,Brokerage!$B117,'YTD Sales'!$M:$M,Brokerage!Y$4)+SUMIFS('YTD Purchases'!$H:$H,'YTD Purchases'!$C:$C,Brokerage!$B117,'YTD Purchases'!$G:$G,Brokerage!Y$4)</f>
        <v>0</v>
      </c>
      <c r="Z117" s="857">
        <f>SUMIFS('YTD Sales'!$N:$N,'YTD Sales'!$B:$B,Brokerage!$B117,'YTD Sales'!$M:$M,Brokerage!Z$4)+SUMIFS('YTD Purchases'!$H:$H,'YTD Purchases'!$C:$C,Brokerage!$B117,'YTD Purchases'!$G:$G,Brokerage!Z$4)</f>
        <v>0</v>
      </c>
      <c r="AA117" s="857">
        <f>SUMIFS('YTD Sales'!$N:$N,'YTD Sales'!$B:$B,Brokerage!$B117,'YTD Sales'!$M:$M,Brokerage!AA$4)+SUMIFS('YTD Purchases'!$H:$H,'YTD Purchases'!$C:$C,Brokerage!$B117,'YTD Purchases'!$G:$G,Brokerage!AA$4)</f>
        <v>0</v>
      </c>
      <c r="AB117" s="857">
        <f>SUMIFS('YTD Sales'!$N:$N,'YTD Sales'!$B:$B,Brokerage!$B117,'YTD Sales'!$M:$M,Brokerage!AB$4)+SUMIFS('YTD Purchases'!$H:$H,'YTD Purchases'!$C:$C,Brokerage!$B117,'YTD Purchases'!$G:$G,Brokerage!AB$4)</f>
        <v>0</v>
      </c>
      <c r="AC117" s="857">
        <f>SUMIFS('YTD Sales'!$N:$N,'YTD Sales'!$B:$B,Brokerage!$B117,'YTD Sales'!$M:$M,Brokerage!AC$4)+SUMIFS('YTD Purchases'!$H:$H,'YTD Purchases'!$C:$C,Brokerage!$B117,'YTD Purchases'!$G:$G,Brokerage!AC$4)</f>
        <v>0</v>
      </c>
      <c r="AD117" s="857">
        <f>+SUMIFS(PIB!AG:AG,PIB!AF:AF,Brokerage!AD$4,PIB!AA:AA,Brokerage!$B117)+SUMIFS('T-Bills'!AB:AB,'T-Bills'!AA:AA,Brokerage!AD$4,'T-Bills'!V:V,Brokerage!$B117)</f>
        <v>0</v>
      </c>
      <c r="AE117" s="857">
        <f>+SUMIFS(PIB!AH:AH,PIB!AG:AG,Brokerage!AE$4,PIB!AB:AB,Brokerage!$B117)+SUMIFS('T-Bills'!AC:AC,'T-Bills'!AB:AB,Brokerage!AE$4,'T-Bills'!W:W,Brokerage!$B117)+122410</f>
        <v>122410</v>
      </c>
      <c r="AF117" s="857">
        <f>+SUMIFS(PIB!AI:AI,PIB!AH:AH,Brokerage!AF$4,PIB!AC:AC,Brokerage!$B117)+SUMIFS('T-Bills'!AD:AD,'T-Bills'!AC:AC,Brokerage!AF$4,'T-Bills'!X:X,Brokerage!$B117)</f>
        <v>0</v>
      </c>
      <c r="AG117" s="857">
        <f t="shared" si="10"/>
        <v>220034.75</v>
      </c>
      <c r="AH117" s="858">
        <f t="shared" si="17"/>
        <v>9</v>
      </c>
    </row>
    <row r="118" spans="2:34" s="1008" customFormat="1" x14ac:dyDescent="0.15">
      <c r="B118" s="1168">
        <f t="shared" si="9"/>
        <v>44674</v>
      </c>
      <c r="C118" s="1010">
        <f>SUMIFS('YTD Sales'!$N:$N,'YTD Sales'!$B:$B,Brokerage!$B118,'YTD Sales'!$M:$M,Brokerage!C$4)+SUMIFS('YTD Purchases'!$H:$H,'YTD Purchases'!$C:$C,Brokerage!$B118,'YTD Purchases'!$G:$G,Brokerage!C$4)</f>
        <v>0</v>
      </c>
      <c r="D118" s="1010">
        <f>SUMIFS('YTD Sales'!$N:$N,'YTD Sales'!$B:$B,Brokerage!$B118,'YTD Sales'!$M:$M,Brokerage!D$4)+SUMIFS('YTD Purchases'!$H:$H,'YTD Purchases'!$C:$C,Brokerage!$B118,'YTD Purchases'!$G:$G,Brokerage!D$4)</f>
        <v>0</v>
      </c>
      <c r="E118" s="1010">
        <f>SUMIFS('YTD Sales'!$N:$N,'YTD Sales'!$B:$B,Brokerage!$B118,'YTD Sales'!$M:$M,Brokerage!E$4)+SUMIFS('YTD Purchases'!$H:$H,'YTD Purchases'!$C:$C,Brokerage!$B118,'YTD Purchases'!$G:$G,Brokerage!E$4)</f>
        <v>0</v>
      </c>
      <c r="F118" s="1010">
        <f>SUMIFS('YTD Sales'!$N:$N,'YTD Sales'!$B:$B,Brokerage!$B118,'YTD Sales'!$M:$M,Brokerage!F$4)+SUMIFS('YTD Purchases'!$H:$H,'YTD Purchases'!$C:$C,Brokerage!$B118,'YTD Purchases'!$G:$G,Brokerage!F$4)</f>
        <v>0</v>
      </c>
      <c r="G118" s="1010">
        <f>SUMIFS('YTD Sales'!$N:$N,'YTD Sales'!$B:$B,Brokerage!$B118,'YTD Sales'!$M:$M,Brokerage!G$4)+SUMIFS('YTD Purchases'!$H:$H,'YTD Purchases'!$C:$C,Brokerage!$B118,'YTD Purchases'!$G:$G,Brokerage!G$4)</f>
        <v>0</v>
      </c>
      <c r="H118" s="1010">
        <f>SUMIFS('YTD Sales'!$N:$N,'YTD Sales'!$B:$B,Brokerage!$B118,'YTD Sales'!$M:$M,Brokerage!H$4)+SUMIFS('YTD Purchases'!$H:$H,'YTD Purchases'!$C:$C,Brokerage!$B118,'YTD Purchases'!$G:$G,Brokerage!H$4)</f>
        <v>0</v>
      </c>
      <c r="I118" s="1010">
        <f>SUMIFS('YTD Sales'!$N:$N,'YTD Sales'!$B:$B,Brokerage!$B118,'YTD Sales'!$M:$M,Brokerage!I$4)+SUMIFS('YTD Purchases'!$H:$H,'YTD Purchases'!$C:$C,Brokerage!$B118,'YTD Purchases'!$G:$G,Brokerage!I$4)</f>
        <v>0</v>
      </c>
      <c r="J118" s="1010">
        <f>SUMIFS('YTD Sales'!$N:$N,'YTD Sales'!$B:$B,Brokerage!$B118,'YTD Sales'!$M:$M,Brokerage!J$4)+SUMIFS('YTD Purchases'!$H:$H,'YTD Purchases'!$C:$C,Brokerage!$B118,'YTD Purchases'!$G:$G,Brokerage!J$4)</f>
        <v>0</v>
      </c>
      <c r="K118" s="1010">
        <f>SUMIFS('YTD Sales'!$N:$N,'YTD Sales'!$B:$B,Brokerage!$B118,'YTD Sales'!$M:$M,Brokerage!K$4)+SUMIFS('YTD Purchases'!$H:$H,'YTD Purchases'!$C:$C,Brokerage!$B118,'YTD Purchases'!$G:$G,Brokerage!K$4)</f>
        <v>0</v>
      </c>
      <c r="L118" s="1010">
        <f>SUMIFS('YTD Sales'!$N:$N,'YTD Sales'!$B:$B,Brokerage!$B118,'YTD Sales'!$M:$M,Brokerage!L$4)+SUMIFS('YTD Purchases'!$H:$H,'YTD Purchases'!$C:$C,Brokerage!$B118,'YTD Purchases'!$G:$G,Brokerage!L$4)</f>
        <v>0</v>
      </c>
      <c r="M118" s="1010">
        <f>SUMIFS('YTD Sales'!$N:$N,'YTD Sales'!$B:$B,Brokerage!$B118,'YTD Sales'!$M:$M,Brokerage!M$4)+SUMIFS('YTD Purchases'!$H:$H,'YTD Purchases'!$C:$C,Brokerage!$B118,'YTD Purchases'!$G:$G,Brokerage!M$4)</f>
        <v>0</v>
      </c>
      <c r="N118" s="1010">
        <f>SUMIFS('YTD Sales'!$N:$N,'YTD Sales'!$B:$B,Brokerage!$B118,'YTD Sales'!$M:$M,Brokerage!N$4)+SUMIFS('YTD Purchases'!$H:$H,'YTD Purchases'!$C:$C,Brokerage!$B118,'YTD Purchases'!$G:$G,Brokerage!N$4)</f>
        <v>0</v>
      </c>
      <c r="O118" s="1010">
        <f>SUMIFS('YTD Sales'!$N:$N,'YTD Sales'!$B:$B,Brokerage!$B118,'YTD Sales'!$M:$M,Brokerage!O$4)+SUMIFS('YTD Purchases'!$H:$H,'YTD Purchases'!$C:$C,Brokerage!$B118,'YTD Purchases'!$G:$G,Brokerage!O$4)</f>
        <v>0</v>
      </c>
      <c r="P118" s="1010">
        <f>SUMIFS('YTD Sales'!$N:$N,'YTD Sales'!$B:$B,Brokerage!$B118,'YTD Sales'!$M:$M,Brokerage!P$4)+SUMIFS('YTD Purchases'!$H:$H,'YTD Purchases'!$C:$C,Brokerage!$B118,'YTD Purchases'!$G:$G,Brokerage!P$4)</f>
        <v>0</v>
      </c>
      <c r="Q118" s="1010">
        <f>SUMIFS('YTD Sales'!$N:$N,'YTD Sales'!$B:$B,Brokerage!$B118,'YTD Sales'!$M:$M,Brokerage!Q$4)+SUMIFS('YTD Purchases'!$H:$H,'YTD Purchases'!$C:$C,Brokerage!$B118,'YTD Purchases'!$G:$G,Brokerage!Q$4)</f>
        <v>0</v>
      </c>
      <c r="R118" s="1010">
        <f>SUMIFS('YTD Sales'!$N:$N,'YTD Sales'!$B:$B,Brokerage!$B118,'YTD Sales'!$M:$M,Brokerage!R$4)+SUMIFS('YTD Purchases'!$H:$H,'YTD Purchases'!$C:$C,Brokerage!$B118,'YTD Purchases'!$G:$G,Brokerage!R$4)</f>
        <v>0</v>
      </c>
      <c r="S118" s="1010">
        <f>SUMIFS('YTD Sales'!$N:$N,'YTD Sales'!$B:$B,Brokerage!$B118,'YTD Sales'!$M:$M,Brokerage!S$4)+SUMIFS('YTD Purchases'!$H:$H,'YTD Purchases'!$C:$C,Brokerage!$B118,'YTD Purchases'!$G:$G,Brokerage!S$4)</f>
        <v>0</v>
      </c>
      <c r="T118" s="1010">
        <f>SUMIFS('YTD Sales'!$N:$N,'YTD Sales'!$B:$B,Brokerage!$B118,'YTD Sales'!$M:$M,Brokerage!T$4)+SUMIFS('YTD Purchases'!$H:$H,'YTD Purchases'!$C:$C,Brokerage!$B118,'YTD Purchases'!$G:$G,Brokerage!T$4)</f>
        <v>0</v>
      </c>
      <c r="U118" s="1010">
        <f>SUMIFS('YTD Sales'!$N:$N,'YTD Sales'!$B:$B,Brokerage!$B118,'YTD Sales'!$M:$M,Brokerage!U$4)+SUMIFS('YTD Purchases'!$H:$H,'YTD Purchases'!$C:$C,Brokerage!$B118,'YTD Purchases'!$G:$G,Brokerage!U$4)</f>
        <v>0</v>
      </c>
      <c r="V118" s="1010">
        <f>SUMIFS('YTD Sales'!$N:$N,'YTD Sales'!$B:$B,Brokerage!$B118,'YTD Sales'!$M:$M,Brokerage!V$4)+SUMIFS('YTD Purchases'!$H:$H,'YTD Purchases'!$C:$C,Brokerage!$B118,'YTD Purchases'!$G:$G,Brokerage!V$4)</f>
        <v>0</v>
      </c>
      <c r="W118" s="1010">
        <f>SUMIFS('YTD Sales'!$N:$N,'YTD Sales'!$B:$B,Brokerage!$B118,'YTD Sales'!$M:$M,Brokerage!W$4)+SUMIFS('YTD Purchases'!$H:$H,'YTD Purchases'!$C:$C,Brokerage!$B118,'YTD Purchases'!$G:$G,Brokerage!W$4)</f>
        <v>0</v>
      </c>
      <c r="X118" s="1010">
        <f>SUMIFS('YTD Sales'!$N:$N,'YTD Sales'!$B:$B,Brokerage!$B118,'YTD Sales'!$M:$M,Brokerage!X$4)+SUMIFS('YTD Purchases'!$H:$H,'YTD Purchases'!$C:$C,Brokerage!$B118,'YTD Purchases'!$G:$G,Brokerage!X$4)</f>
        <v>0</v>
      </c>
      <c r="Y118" s="1010">
        <f>SUMIFS('YTD Sales'!$N:$N,'YTD Sales'!$B:$B,Brokerage!$B118,'YTD Sales'!$M:$M,Brokerage!Y$4)+SUMIFS('YTD Purchases'!$H:$H,'YTD Purchases'!$C:$C,Brokerage!$B118,'YTD Purchases'!$G:$G,Brokerage!Y$4)</f>
        <v>0</v>
      </c>
      <c r="Z118" s="1010">
        <f>SUMIFS('YTD Sales'!$N:$N,'YTD Sales'!$B:$B,Brokerage!$B118,'YTD Sales'!$M:$M,Brokerage!Z$4)+SUMIFS('YTD Purchases'!$H:$H,'YTD Purchases'!$C:$C,Brokerage!$B118,'YTD Purchases'!$G:$G,Brokerage!Z$4)</f>
        <v>0</v>
      </c>
      <c r="AA118" s="1010">
        <f>SUMIFS('YTD Sales'!$N:$N,'YTD Sales'!$B:$B,Brokerage!$B118,'YTD Sales'!$M:$M,Brokerage!AA$4)+SUMIFS('YTD Purchases'!$H:$H,'YTD Purchases'!$C:$C,Brokerage!$B118,'YTD Purchases'!$G:$G,Brokerage!AA$4)</f>
        <v>0</v>
      </c>
      <c r="AB118" s="1010">
        <f>SUMIFS('YTD Sales'!$N:$N,'YTD Sales'!$B:$B,Brokerage!$B118,'YTD Sales'!$M:$M,Brokerage!AB$4)+SUMIFS('YTD Purchases'!$H:$H,'YTD Purchases'!$C:$C,Brokerage!$B118,'YTD Purchases'!$G:$G,Brokerage!AB$4)</f>
        <v>0</v>
      </c>
      <c r="AC118" s="1010">
        <f>SUMIFS('YTD Sales'!$N:$N,'YTD Sales'!$B:$B,Brokerage!$B118,'YTD Sales'!$M:$M,Brokerage!AC$4)+SUMIFS('YTD Purchases'!$H:$H,'YTD Purchases'!$C:$C,Brokerage!$B118,'YTD Purchases'!$G:$G,Brokerage!AC$4)</f>
        <v>0</v>
      </c>
      <c r="AD118" s="857">
        <f>+SUMIFS(PIB!AG:AG,PIB!AF:AF,Brokerage!AD$4,PIB!AA:AA,Brokerage!$B118)+SUMIFS('T-Bills'!AB:AB,'T-Bills'!AA:AA,Brokerage!AD$4,'T-Bills'!V:V,Brokerage!$B118)</f>
        <v>0</v>
      </c>
      <c r="AE118" s="857">
        <f>+SUMIFS(PIB!AH:AH,PIB!AG:AG,Brokerage!AE$4,PIB!AB:AB,Brokerage!$B118)+SUMIFS('T-Bills'!AC:AC,'T-Bills'!AB:AB,Brokerage!AE$4,'T-Bills'!W:W,Brokerage!$B118)</f>
        <v>0</v>
      </c>
      <c r="AF118" s="857">
        <f>+SUMIFS(PIB!AI:AI,PIB!AH:AH,Brokerage!AF$4,PIB!AC:AC,Brokerage!$B118)+SUMIFS('T-Bills'!AD:AD,'T-Bills'!AC:AC,Brokerage!AF$4,'T-Bills'!X:X,Brokerage!$B118)</f>
        <v>0</v>
      </c>
      <c r="AG118" s="857">
        <f t="shared" si="10"/>
        <v>0</v>
      </c>
      <c r="AH118" s="1011">
        <f t="shared" si="17"/>
        <v>0</v>
      </c>
    </row>
    <row r="119" spans="2:34" x14ac:dyDescent="0.15">
      <c r="B119" s="661">
        <f t="shared" si="9"/>
        <v>44675</v>
      </c>
      <c r="C119" s="857">
        <f>SUMIFS('YTD Sales'!$N:$N,'YTD Sales'!$B:$B,Brokerage!$B119,'YTD Sales'!$M:$M,Brokerage!C$4)+SUMIFS('YTD Purchases'!$H:$H,'YTD Purchases'!$C:$C,Brokerage!$B119,'YTD Purchases'!$G:$G,Brokerage!C$4)</f>
        <v>0</v>
      </c>
      <c r="D119" s="857">
        <f>SUMIFS('YTD Sales'!$N:$N,'YTD Sales'!$B:$B,Brokerage!$B119,'YTD Sales'!$M:$M,Brokerage!D$4)+SUMIFS('YTD Purchases'!$H:$H,'YTD Purchases'!$C:$C,Brokerage!$B119,'YTD Purchases'!$G:$G,Brokerage!D$4)</f>
        <v>0</v>
      </c>
      <c r="E119" s="857">
        <f>SUMIFS('YTD Sales'!$N:$N,'YTD Sales'!$B:$B,Brokerage!$B119,'YTD Sales'!$M:$M,Brokerage!E$4)+SUMIFS('YTD Purchases'!$H:$H,'YTD Purchases'!$C:$C,Brokerage!$B119,'YTD Purchases'!$G:$G,Brokerage!E$4)</f>
        <v>0</v>
      </c>
      <c r="F119" s="857">
        <f>SUMIFS('YTD Sales'!$N:$N,'YTD Sales'!$B:$B,Brokerage!$B119,'YTD Sales'!$M:$M,Brokerage!F$4)+SUMIFS('YTD Purchases'!$H:$H,'YTD Purchases'!$C:$C,Brokerage!$B119,'YTD Purchases'!$G:$G,Brokerage!F$4)</f>
        <v>0</v>
      </c>
      <c r="G119" s="857">
        <f>SUMIFS('YTD Sales'!$N:$N,'YTD Sales'!$B:$B,Brokerage!$B119,'YTD Sales'!$M:$M,Brokerage!G$4)+SUMIFS('YTD Purchases'!$H:$H,'YTD Purchases'!$C:$C,Brokerage!$B119,'YTD Purchases'!$G:$G,Brokerage!G$4)</f>
        <v>0</v>
      </c>
      <c r="H119" s="857">
        <f>SUMIFS('YTD Sales'!$N:$N,'YTD Sales'!$B:$B,Brokerage!$B119,'YTD Sales'!$M:$M,Brokerage!H$4)+SUMIFS('YTD Purchases'!$H:$H,'YTD Purchases'!$C:$C,Brokerage!$B119,'YTD Purchases'!$G:$G,Brokerage!H$4)</f>
        <v>0</v>
      </c>
      <c r="I119" s="857">
        <f>SUMIFS('YTD Sales'!$N:$N,'YTD Sales'!$B:$B,Brokerage!$B119,'YTD Sales'!$M:$M,Brokerage!I$4)+SUMIFS('YTD Purchases'!$H:$H,'YTD Purchases'!$C:$C,Brokerage!$B119,'YTD Purchases'!$G:$G,Brokerage!I$4)</f>
        <v>0</v>
      </c>
      <c r="J119" s="857">
        <f>SUMIFS('YTD Sales'!$N:$N,'YTD Sales'!$B:$B,Brokerage!$B119,'YTD Sales'!$M:$M,Brokerage!J$4)+SUMIFS('YTD Purchases'!$H:$H,'YTD Purchases'!$C:$C,Brokerage!$B119,'YTD Purchases'!$G:$G,Brokerage!J$4)</f>
        <v>0</v>
      </c>
      <c r="K119" s="857">
        <f>SUMIFS('YTD Sales'!$N:$N,'YTD Sales'!$B:$B,Brokerage!$B119,'YTD Sales'!$M:$M,Brokerage!K$4)+SUMIFS('YTD Purchases'!$H:$H,'YTD Purchases'!$C:$C,Brokerage!$B119,'YTD Purchases'!$G:$G,Brokerage!K$4)</f>
        <v>0</v>
      </c>
      <c r="L119" s="857">
        <f>SUMIFS('YTD Sales'!$N:$N,'YTD Sales'!$B:$B,Brokerage!$B119,'YTD Sales'!$M:$M,Brokerage!L$4)+SUMIFS('YTD Purchases'!$H:$H,'YTD Purchases'!$C:$C,Brokerage!$B119,'YTD Purchases'!$G:$G,Brokerage!L$4)</f>
        <v>0</v>
      </c>
      <c r="M119" s="857">
        <f>SUMIFS('YTD Sales'!$N:$N,'YTD Sales'!$B:$B,Brokerage!$B119,'YTD Sales'!$M:$M,Brokerage!M$4)+SUMIFS('YTD Purchases'!$H:$H,'YTD Purchases'!$C:$C,Brokerage!$B119,'YTD Purchases'!$G:$G,Brokerage!M$4)</f>
        <v>0</v>
      </c>
      <c r="N119" s="857">
        <f>SUMIFS('YTD Sales'!$N:$N,'YTD Sales'!$B:$B,Brokerage!$B119,'YTD Sales'!$M:$M,Brokerage!N$4)+SUMIFS('YTD Purchases'!$H:$H,'YTD Purchases'!$C:$C,Brokerage!$B119,'YTD Purchases'!$G:$G,Brokerage!N$4)</f>
        <v>0</v>
      </c>
      <c r="O119" s="857">
        <f>SUMIFS('YTD Sales'!$N:$N,'YTD Sales'!$B:$B,Brokerage!$B119,'YTD Sales'!$M:$M,Brokerage!O$4)+SUMIFS('YTD Purchases'!$H:$H,'YTD Purchases'!$C:$C,Brokerage!$B119,'YTD Purchases'!$G:$G,Brokerage!O$4)</f>
        <v>0</v>
      </c>
      <c r="P119" s="857">
        <f>SUMIFS('YTD Sales'!$N:$N,'YTD Sales'!$B:$B,Brokerage!$B119,'YTD Sales'!$M:$M,Brokerage!P$4)+SUMIFS('YTD Purchases'!$H:$H,'YTD Purchases'!$C:$C,Brokerage!$B119,'YTD Purchases'!$G:$G,Brokerage!P$4)</f>
        <v>0</v>
      </c>
      <c r="Q119" s="857">
        <f>SUMIFS('YTD Sales'!$N:$N,'YTD Sales'!$B:$B,Brokerage!$B119,'YTD Sales'!$M:$M,Brokerage!Q$4)+SUMIFS('YTD Purchases'!$H:$H,'YTD Purchases'!$C:$C,Brokerage!$B119,'YTD Purchases'!$G:$G,Brokerage!Q$4)</f>
        <v>0</v>
      </c>
      <c r="R119" s="857">
        <f>SUMIFS('YTD Sales'!$N:$N,'YTD Sales'!$B:$B,Brokerage!$B119,'YTD Sales'!$M:$M,Brokerage!R$4)+SUMIFS('YTD Purchases'!$H:$H,'YTD Purchases'!$C:$C,Brokerage!$B119,'YTD Purchases'!$G:$G,Brokerage!R$4)</f>
        <v>0</v>
      </c>
      <c r="S119" s="857">
        <f>SUMIFS('YTD Sales'!$N:$N,'YTD Sales'!$B:$B,Brokerage!$B119,'YTD Sales'!$M:$M,Brokerage!S$4)+SUMIFS('YTD Purchases'!$H:$H,'YTD Purchases'!$C:$C,Brokerage!$B119,'YTD Purchases'!$G:$G,Brokerage!S$4)</f>
        <v>0</v>
      </c>
      <c r="T119" s="857">
        <f>SUMIFS('YTD Sales'!$N:$N,'YTD Sales'!$B:$B,Brokerage!$B119,'YTD Sales'!$M:$M,Brokerage!T$4)+SUMIFS('YTD Purchases'!$H:$H,'YTD Purchases'!$C:$C,Brokerage!$B119,'YTD Purchases'!$G:$G,Brokerage!T$4)</f>
        <v>0</v>
      </c>
      <c r="U119" s="857">
        <f>SUMIFS('YTD Sales'!$N:$N,'YTD Sales'!$B:$B,Brokerage!$B119,'YTD Sales'!$M:$M,Brokerage!U$4)+SUMIFS('YTD Purchases'!$H:$H,'YTD Purchases'!$C:$C,Brokerage!$B119,'YTD Purchases'!$G:$G,Brokerage!U$4)</f>
        <v>0</v>
      </c>
      <c r="V119" s="857">
        <f>SUMIFS('YTD Sales'!$N:$N,'YTD Sales'!$B:$B,Brokerage!$B119,'YTD Sales'!$M:$M,Brokerage!V$4)+SUMIFS('YTD Purchases'!$H:$H,'YTD Purchases'!$C:$C,Brokerage!$B119,'YTD Purchases'!$G:$G,Brokerage!V$4)</f>
        <v>0</v>
      </c>
      <c r="W119" s="857">
        <f>SUMIFS('YTD Sales'!$N:$N,'YTD Sales'!$B:$B,Brokerage!$B119,'YTD Sales'!$M:$M,Brokerage!W$4)+SUMIFS('YTD Purchases'!$H:$H,'YTD Purchases'!$C:$C,Brokerage!$B119,'YTD Purchases'!$G:$G,Brokerage!W$4)</f>
        <v>0</v>
      </c>
      <c r="X119" s="857">
        <f>SUMIFS('YTD Sales'!$N:$N,'YTD Sales'!$B:$B,Brokerage!$B119,'YTD Sales'!$M:$M,Brokerage!X$4)+SUMIFS('YTD Purchases'!$H:$H,'YTD Purchases'!$C:$C,Brokerage!$B119,'YTD Purchases'!$G:$G,Brokerage!X$4)</f>
        <v>0</v>
      </c>
      <c r="Y119" s="857">
        <f>SUMIFS('YTD Sales'!$N:$N,'YTD Sales'!$B:$B,Brokerage!$B119,'YTD Sales'!$M:$M,Brokerage!Y$4)+SUMIFS('YTD Purchases'!$H:$H,'YTD Purchases'!$C:$C,Brokerage!$B119,'YTD Purchases'!$G:$G,Brokerage!Y$4)</f>
        <v>0</v>
      </c>
      <c r="Z119" s="857">
        <f>SUMIFS('YTD Sales'!$N:$N,'YTD Sales'!$B:$B,Brokerage!$B119,'YTD Sales'!$M:$M,Brokerage!Z$4)+SUMIFS('YTD Purchases'!$H:$H,'YTD Purchases'!$C:$C,Brokerage!$B119,'YTD Purchases'!$G:$G,Brokerage!Z$4)</f>
        <v>0</v>
      </c>
      <c r="AA119" s="857">
        <f>SUMIFS('YTD Sales'!$N:$N,'YTD Sales'!$B:$B,Brokerage!$B119,'YTD Sales'!$M:$M,Brokerage!AA$4)+SUMIFS('YTD Purchases'!$H:$H,'YTD Purchases'!$C:$C,Brokerage!$B119,'YTD Purchases'!$G:$G,Brokerage!AA$4)</f>
        <v>0</v>
      </c>
      <c r="AB119" s="857">
        <f>SUMIFS('YTD Sales'!$N:$N,'YTD Sales'!$B:$B,Brokerage!$B119,'YTD Sales'!$M:$M,Brokerage!AB$4)+SUMIFS('YTD Purchases'!$H:$H,'YTD Purchases'!$C:$C,Brokerage!$B119,'YTD Purchases'!$G:$G,Brokerage!AB$4)</f>
        <v>0</v>
      </c>
      <c r="AC119" s="857">
        <f>SUMIFS('YTD Sales'!$N:$N,'YTD Sales'!$B:$B,Brokerage!$B119,'YTD Sales'!$M:$M,Brokerage!AC$4)+SUMIFS('YTD Purchases'!$H:$H,'YTD Purchases'!$C:$C,Brokerage!$B119,'YTD Purchases'!$G:$G,Brokerage!AC$4)</f>
        <v>0</v>
      </c>
      <c r="AD119" s="857">
        <f>+SUMIFS(PIB!AG:AG,PIB!AF:AF,Brokerage!AD$4,PIB!AA:AA,Brokerage!$B119)+SUMIFS('T-Bills'!AB:AB,'T-Bills'!AA:AA,Brokerage!AD$4,'T-Bills'!V:V,Brokerage!$B119)</f>
        <v>0</v>
      </c>
      <c r="AE119" s="857">
        <f>+SUMIFS(PIB!AH:AH,PIB!AG:AG,Brokerage!AE$4,PIB!AB:AB,Brokerage!$B119)+SUMIFS('T-Bills'!AC:AC,'T-Bills'!AB:AB,Brokerage!AE$4,'T-Bills'!W:W,Brokerage!$B119)</f>
        <v>0</v>
      </c>
      <c r="AF119" s="857">
        <f>+SUMIFS(PIB!AI:AI,PIB!AH:AH,Brokerage!AF$4,PIB!AC:AC,Brokerage!$B119)+SUMIFS('T-Bills'!AD:AD,'T-Bills'!AC:AC,Brokerage!AF$4,'T-Bills'!X:X,Brokerage!$B119)</f>
        <v>0</v>
      </c>
      <c r="AG119" s="857">
        <f t="shared" si="10"/>
        <v>0</v>
      </c>
      <c r="AH119" s="858">
        <f t="shared" si="17"/>
        <v>0</v>
      </c>
    </row>
    <row r="120" spans="2:34" x14ac:dyDescent="0.15">
      <c r="B120" s="661">
        <f t="shared" si="9"/>
        <v>44676</v>
      </c>
      <c r="C120" s="857">
        <f>SUMIFS('YTD Sales'!$N:$N,'YTD Sales'!$B:$B,Brokerage!$B120,'YTD Sales'!$M:$M,Brokerage!C$4)+SUMIFS('YTD Purchases'!$H:$H,'YTD Purchases'!$C:$C,Brokerage!$B120,'YTD Purchases'!$G:$G,Brokerage!C$4)</f>
        <v>126787.15000000001</v>
      </c>
      <c r="D120" s="857">
        <f>SUMIFS('YTD Sales'!$N:$N,'YTD Sales'!$B:$B,Brokerage!$B120,'YTD Sales'!$M:$M,Brokerage!D$4)+SUMIFS('YTD Purchases'!$H:$H,'YTD Purchases'!$C:$C,Brokerage!$B120,'YTD Purchases'!$G:$G,Brokerage!D$4)</f>
        <v>0</v>
      </c>
      <c r="E120" s="857">
        <f>SUMIFS('YTD Sales'!$N:$N,'YTD Sales'!$B:$B,Brokerage!$B120,'YTD Sales'!$M:$M,Brokerage!E$4)+SUMIFS('YTD Purchases'!$H:$H,'YTD Purchases'!$C:$C,Brokerage!$B120,'YTD Purchases'!$G:$G,Brokerage!E$4)</f>
        <v>29818.870000000003</v>
      </c>
      <c r="F120" s="857">
        <f>SUMIFS('YTD Sales'!$N:$N,'YTD Sales'!$B:$B,Brokerage!$B120,'YTD Sales'!$M:$M,Brokerage!F$4)+SUMIFS('YTD Purchases'!$H:$H,'YTD Purchases'!$C:$C,Brokerage!$B120,'YTD Purchases'!$G:$G,Brokerage!F$4)</f>
        <v>0</v>
      </c>
      <c r="G120" s="857">
        <f>SUMIFS('YTD Sales'!$N:$N,'YTD Sales'!$B:$B,Brokerage!$B120,'YTD Sales'!$M:$M,Brokerage!G$4)+SUMIFS('YTD Purchases'!$H:$H,'YTD Purchases'!$C:$C,Brokerage!$B120,'YTD Purchases'!$G:$G,Brokerage!G$4)</f>
        <v>120862.48000000001</v>
      </c>
      <c r="H120" s="857">
        <f>SUMIFS('YTD Sales'!$N:$N,'YTD Sales'!$B:$B,Brokerage!$B120,'YTD Sales'!$M:$M,Brokerage!H$4)+SUMIFS('YTD Purchases'!$H:$H,'YTD Purchases'!$C:$C,Brokerage!$B120,'YTD Purchases'!$G:$G,Brokerage!H$4)</f>
        <v>0</v>
      </c>
      <c r="I120" s="857">
        <f>SUMIFS('YTD Sales'!$N:$N,'YTD Sales'!$B:$B,Brokerage!$B120,'YTD Sales'!$M:$M,Brokerage!I$4)+SUMIFS('YTD Purchases'!$H:$H,'YTD Purchases'!$C:$C,Brokerage!$B120,'YTD Purchases'!$G:$G,Brokerage!I$4)</f>
        <v>0</v>
      </c>
      <c r="J120" s="857">
        <f>SUMIFS('YTD Sales'!$N:$N,'YTD Sales'!$B:$B,Brokerage!$B120,'YTD Sales'!$M:$M,Brokerage!J$4)+SUMIFS('YTD Purchases'!$H:$H,'YTD Purchases'!$C:$C,Brokerage!$B120,'YTD Purchases'!$G:$G,Brokerage!J$4)</f>
        <v>0</v>
      </c>
      <c r="K120" s="857">
        <f>SUMIFS('YTD Sales'!$N:$N,'YTD Sales'!$B:$B,Brokerage!$B120,'YTD Sales'!$M:$M,Brokerage!K$4)+SUMIFS('YTD Purchases'!$H:$H,'YTD Purchases'!$C:$C,Brokerage!$B120,'YTD Purchases'!$G:$G,Brokerage!K$4)</f>
        <v>0</v>
      </c>
      <c r="L120" s="857">
        <f>SUMIFS('YTD Sales'!$N:$N,'YTD Sales'!$B:$B,Brokerage!$B120,'YTD Sales'!$M:$M,Brokerage!L$4)+SUMIFS('YTD Purchases'!$H:$H,'YTD Purchases'!$C:$C,Brokerage!$B120,'YTD Purchases'!$G:$G,Brokerage!L$4)</f>
        <v>0</v>
      </c>
      <c r="M120" s="857">
        <f>SUMIFS('YTD Sales'!$N:$N,'YTD Sales'!$B:$B,Brokerage!$B120,'YTD Sales'!$M:$M,Brokerage!M$4)+SUMIFS('YTD Purchases'!$H:$H,'YTD Purchases'!$C:$C,Brokerage!$B120,'YTD Purchases'!$G:$G,Brokerage!M$4)</f>
        <v>0</v>
      </c>
      <c r="N120" s="857">
        <f>SUMIFS('YTD Sales'!$N:$N,'YTD Sales'!$B:$B,Brokerage!$B120,'YTD Sales'!$M:$M,Brokerage!N$4)+SUMIFS('YTD Purchases'!$H:$H,'YTD Purchases'!$C:$C,Brokerage!$B120,'YTD Purchases'!$G:$G,Brokerage!N$4)</f>
        <v>0</v>
      </c>
      <c r="O120" s="857">
        <f>SUMIFS('YTD Sales'!$N:$N,'YTD Sales'!$B:$B,Brokerage!$B120,'YTD Sales'!$M:$M,Brokerage!O$4)+SUMIFS('YTD Purchases'!$H:$H,'YTD Purchases'!$C:$C,Brokerage!$B120,'YTD Purchases'!$G:$G,Brokerage!O$4)</f>
        <v>0</v>
      </c>
      <c r="P120" s="857">
        <f>SUMIFS('YTD Sales'!$N:$N,'YTD Sales'!$B:$B,Brokerage!$B120,'YTD Sales'!$M:$M,Brokerage!P$4)+SUMIFS('YTD Purchases'!$H:$H,'YTD Purchases'!$C:$C,Brokerage!$B120,'YTD Purchases'!$G:$G,Brokerage!P$4)</f>
        <v>31696.500000000004</v>
      </c>
      <c r="Q120" s="857">
        <f>SUMIFS('YTD Sales'!$N:$N,'YTD Sales'!$B:$B,Brokerage!$B120,'YTD Sales'!$M:$M,Brokerage!Q$4)+SUMIFS('YTD Purchases'!$H:$H,'YTD Purchases'!$C:$C,Brokerage!$B120,'YTD Purchases'!$G:$G,Brokerage!Q$4)</f>
        <v>0</v>
      </c>
      <c r="R120" s="857">
        <f>SUMIFS('YTD Sales'!$N:$N,'YTD Sales'!$B:$B,Brokerage!$B120,'YTD Sales'!$M:$M,Brokerage!R$4)+SUMIFS('YTD Purchases'!$H:$H,'YTD Purchases'!$C:$C,Brokerage!$B120,'YTD Purchases'!$G:$G,Brokerage!R$4)</f>
        <v>0</v>
      </c>
      <c r="S120" s="857">
        <f>SUMIFS('YTD Sales'!$N:$N,'YTD Sales'!$B:$B,Brokerage!$B120,'YTD Sales'!$M:$M,Brokerage!S$4)+SUMIFS('YTD Purchases'!$H:$H,'YTD Purchases'!$C:$C,Brokerage!$B120,'YTD Purchases'!$G:$G,Brokerage!S$4)</f>
        <v>0</v>
      </c>
      <c r="T120" s="857">
        <f>SUMIFS('YTD Sales'!$N:$N,'YTD Sales'!$B:$B,Brokerage!$B120,'YTD Sales'!$M:$M,Brokerage!T$4)+SUMIFS('YTD Purchases'!$H:$H,'YTD Purchases'!$C:$C,Brokerage!$B120,'YTD Purchases'!$G:$G,Brokerage!T$4)</f>
        <v>4146.37</v>
      </c>
      <c r="U120" s="857">
        <f>SUMIFS('YTD Sales'!$N:$N,'YTD Sales'!$B:$B,Brokerage!$B120,'YTD Sales'!$M:$M,Brokerage!U$4)+SUMIFS('YTD Purchases'!$H:$H,'YTD Purchases'!$C:$C,Brokerage!$B120,'YTD Purchases'!$G:$G,Brokerage!U$4)</f>
        <v>0</v>
      </c>
      <c r="V120" s="857">
        <f>SUMIFS('YTD Sales'!$N:$N,'YTD Sales'!$B:$B,Brokerage!$B120,'YTD Sales'!$M:$M,Brokerage!V$4)+SUMIFS('YTD Purchases'!$H:$H,'YTD Purchases'!$C:$C,Brokerage!$B120,'YTD Purchases'!$G:$G,Brokerage!V$4)</f>
        <v>14997.57</v>
      </c>
      <c r="W120" s="857">
        <f>SUMIFS('YTD Sales'!$N:$N,'YTD Sales'!$B:$B,Brokerage!$B120,'YTD Sales'!$M:$M,Brokerage!W$4)+SUMIFS('YTD Purchases'!$H:$H,'YTD Purchases'!$C:$C,Brokerage!$B120,'YTD Purchases'!$G:$G,Brokerage!W$4)</f>
        <v>0</v>
      </c>
      <c r="X120" s="857">
        <f>SUMIFS('YTD Sales'!$N:$N,'YTD Sales'!$B:$B,Brokerage!$B120,'YTD Sales'!$M:$M,Brokerage!X$4)+SUMIFS('YTD Purchases'!$H:$H,'YTD Purchases'!$C:$C,Brokerage!$B120,'YTD Purchases'!$G:$G,Brokerage!X$4)</f>
        <v>21492.6</v>
      </c>
      <c r="Y120" s="857">
        <f>SUMIFS('YTD Sales'!$N:$N,'YTD Sales'!$B:$B,Brokerage!$B120,'YTD Sales'!$M:$M,Brokerage!Y$4)+SUMIFS('YTD Purchases'!$H:$H,'YTD Purchases'!$C:$C,Brokerage!$B120,'YTD Purchases'!$G:$G,Brokerage!Y$4)</f>
        <v>0</v>
      </c>
      <c r="Z120" s="857">
        <f>SUMIFS('YTD Sales'!$N:$N,'YTD Sales'!$B:$B,Brokerage!$B120,'YTD Sales'!$M:$M,Brokerage!Z$4)+SUMIFS('YTD Purchases'!$H:$H,'YTD Purchases'!$C:$C,Brokerage!$B120,'YTD Purchases'!$G:$G,Brokerage!Z$4)</f>
        <v>0</v>
      </c>
      <c r="AA120" s="857">
        <f>SUMIFS('YTD Sales'!$N:$N,'YTD Sales'!$B:$B,Brokerage!$B120,'YTD Sales'!$M:$M,Brokerage!AA$4)+SUMIFS('YTD Purchases'!$H:$H,'YTD Purchases'!$C:$C,Brokerage!$B120,'YTD Purchases'!$G:$G,Brokerage!AA$4)</f>
        <v>0</v>
      </c>
      <c r="AB120" s="857">
        <f>SUMIFS('YTD Sales'!$N:$N,'YTD Sales'!$B:$B,Brokerage!$B120,'YTD Sales'!$M:$M,Brokerage!AB$4)+SUMIFS('YTD Purchases'!$H:$H,'YTD Purchases'!$C:$C,Brokerage!$B120,'YTD Purchases'!$G:$G,Brokerage!AB$4)</f>
        <v>458.02</v>
      </c>
      <c r="AC120" s="857">
        <f>SUMIFS('YTD Sales'!$N:$N,'YTD Sales'!$B:$B,Brokerage!$B120,'YTD Sales'!$M:$M,Brokerage!AC$4)+SUMIFS('YTD Purchases'!$H:$H,'YTD Purchases'!$C:$C,Brokerage!$B120,'YTD Purchases'!$G:$G,Brokerage!AC$4)</f>
        <v>0</v>
      </c>
      <c r="AD120" s="857">
        <f>+SUMIFS(PIB!AG:AG,PIB!AF:AF,Brokerage!AD$4,PIB!AA:AA,Brokerage!$B120)+SUMIFS('T-Bills'!AB:AB,'T-Bills'!AA:AA,Brokerage!AD$4,'T-Bills'!V:V,Brokerage!$B120)</f>
        <v>0</v>
      </c>
      <c r="AE120" s="857">
        <f>+SUMIFS(PIB!AH:AH,PIB!AG:AG,Brokerage!AE$4,PIB!AB:AB,Brokerage!$B120)+SUMIFS('T-Bills'!AC:AC,'T-Bills'!AB:AB,Brokerage!AE$4,'T-Bills'!W:W,Brokerage!$B120)</f>
        <v>0</v>
      </c>
      <c r="AF120" s="857">
        <f>+SUMIFS(PIB!AI:AI,PIB!AH:AH,Brokerage!AF$4,PIB!AC:AC,Brokerage!$B120)+SUMIFS('T-Bills'!AD:AD,'T-Bills'!AC:AC,Brokerage!AF$4,'T-Bills'!X:X,Brokerage!$B120)</f>
        <v>0</v>
      </c>
      <c r="AG120" s="857">
        <f t="shared" si="10"/>
        <v>350259.56</v>
      </c>
      <c r="AH120" s="858">
        <f t="shared" si="17"/>
        <v>14</v>
      </c>
    </row>
    <row r="121" spans="2:34" x14ac:dyDescent="0.15">
      <c r="B121" s="661">
        <f t="shared" si="9"/>
        <v>44677</v>
      </c>
      <c r="C121" s="857">
        <f>SUMIFS('YTD Sales'!$N:$N,'YTD Sales'!$B:$B,Brokerage!$B121,'YTD Sales'!$M:$M,Brokerage!C$4)+SUMIFS('YTD Purchases'!$H:$H,'YTD Purchases'!$C:$C,Brokerage!$B121,'YTD Purchases'!$G:$G,Brokerage!C$4)</f>
        <v>0</v>
      </c>
      <c r="D121" s="857">
        <f>SUMIFS('YTD Sales'!$N:$N,'YTD Sales'!$B:$B,Brokerage!$B121,'YTD Sales'!$M:$M,Brokerage!D$4)+SUMIFS('YTD Purchases'!$H:$H,'YTD Purchases'!$C:$C,Brokerage!$B121,'YTD Purchases'!$G:$G,Brokerage!D$4)</f>
        <v>0</v>
      </c>
      <c r="E121" s="857">
        <f>SUMIFS('YTD Sales'!$N:$N,'YTD Sales'!$B:$B,Brokerage!$B121,'YTD Sales'!$M:$M,Brokerage!E$4)+SUMIFS('YTD Purchases'!$H:$H,'YTD Purchases'!$C:$C,Brokerage!$B121,'YTD Purchases'!$G:$G,Brokerage!E$4)</f>
        <v>0</v>
      </c>
      <c r="F121" s="857">
        <f>SUMIFS('YTD Sales'!$N:$N,'YTD Sales'!$B:$B,Brokerage!$B121,'YTD Sales'!$M:$M,Brokerage!F$4)+SUMIFS('YTD Purchases'!$H:$H,'YTD Purchases'!$C:$C,Brokerage!$B121,'YTD Purchases'!$G:$G,Brokerage!F$4)</f>
        <v>0</v>
      </c>
      <c r="G121" s="857">
        <f>SUMIFS('YTD Sales'!$N:$N,'YTD Sales'!$B:$B,Brokerage!$B121,'YTD Sales'!$M:$M,Brokerage!G$4)+SUMIFS('YTD Purchases'!$H:$H,'YTD Purchases'!$C:$C,Brokerage!$B121,'YTD Purchases'!$G:$G,Brokerage!G$4)</f>
        <v>0</v>
      </c>
      <c r="H121" s="857">
        <f>SUMIFS('YTD Sales'!$N:$N,'YTD Sales'!$B:$B,Brokerage!$B121,'YTD Sales'!$M:$M,Brokerage!H$4)+SUMIFS('YTD Purchases'!$H:$H,'YTD Purchases'!$C:$C,Brokerage!$B121,'YTD Purchases'!$G:$G,Brokerage!H$4)</f>
        <v>0</v>
      </c>
      <c r="I121" s="857">
        <f>SUMIFS('YTD Sales'!$N:$N,'YTD Sales'!$B:$B,Brokerage!$B121,'YTD Sales'!$M:$M,Brokerage!I$4)+SUMIFS('YTD Purchases'!$H:$H,'YTD Purchases'!$C:$C,Brokerage!$B121,'YTD Purchases'!$G:$G,Brokerage!I$4)</f>
        <v>0</v>
      </c>
      <c r="J121" s="857">
        <f>SUMIFS('YTD Sales'!$N:$N,'YTD Sales'!$B:$B,Brokerage!$B121,'YTD Sales'!$M:$M,Brokerage!J$4)+SUMIFS('YTD Purchases'!$H:$H,'YTD Purchases'!$C:$C,Brokerage!$B121,'YTD Purchases'!$G:$G,Brokerage!J$4)</f>
        <v>0</v>
      </c>
      <c r="K121" s="857">
        <f>SUMIFS('YTD Sales'!$N:$N,'YTD Sales'!$B:$B,Brokerage!$B121,'YTD Sales'!$M:$M,Brokerage!K$4)+SUMIFS('YTD Purchases'!$H:$H,'YTD Purchases'!$C:$C,Brokerage!$B121,'YTD Purchases'!$G:$G,Brokerage!K$4)</f>
        <v>0</v>
      </c>
      <c r="L121" s="857">
        <f>SUMIFS('YTD Sales'!$N:$N,'YTD Sales'!$B:$B,Brokerage!$B121,'YTD Sales'!$M:$M,Brokerage!L$4)+SUMIFS('YTD Purchases'!$H:$H,'YTD Purchases'!$C:$C,Brokerage!$B121,'YTD Purchases'!$G:$G,Brokerage!L$4)</f>
        <v>0</v>
      </c>
      <c r="M121" s="857">
        <f>SUMIFS('YTD Sales'!$N:$N,'YTD Sales'!$B:$B,Brokerage!$B121,'YTD Sales'!$M:$M,Brokerage!M$4)+SUMIFS('YTD Purchases'!$H:$H,'YTD Purchases'!$C:$C,Brokerage!$B121,'YTD Purchases'!$G:$G,Brokerage!M$4)</f>
        <v>0</v>
      </c>
      <c r="N121" s="857">
        <f>SUMIFS('YTD Sales'!$N:$N,'YTD Sales'!$B:$B,Brokerage!$B121,'YTD Sales'!$M:$M,Brokerage!N$4)+SUMIFS('YTD Purchases'!$H:$H,'YTD Purchases'!$C:$C,Brokerage!$B121,'YTD Purchases'!$G:$G,Brokerage!N$4)</f>
        <v>0</v>
      </c>
      <c r="O121" s="857">
        <f>SUMIFS('YTD Sales'!$N:$N,'YTD Sales'!$B:$B,Brokerage!$B121,'YTD Sales'!$M:$M,Brokerage!O$4)+SUMIFS('YTD Purchases'!$H:$H,'YTD Purchases'!$C:$C,Brokerage!$B121,'YTD Purchases'!$G:$G,Brokerage!O$4)</f>
        <v>0</v>
      </c>
      <c r="P121" s="857">
        <f>SUMIFS('YTD Sales'!$N:$N,'YTD Sales'!$B:$B,Brokerage!$B121,'YTD Sales'!$M:$M,Brokerage!P$4)+SUMIFS('YTD Purchases'!$H:$H,'YTD Purchases'!$C:$C,Brokerage!$B121,'YTD Purchases'!$G:$G,Brokerage!P$4)</f>
        <v>0</v>
      </c>
      <c r="Q121" s="857">
        <f>SUMIFS('YTD Sales'!$N:$N,'YTD Sales'!$B:$B,Brokerage!$B121,'YTD Sales'!$M:$M,Brokerage!Q$4)+SUMIFS('YTD Purchases'!$H:$H,'YTD Purchases'!$C:$C,Brokerage!$B121,'YTD Purchases'!$G:$G,Brokerage!Q$4)</f>
        <v>0</v>
      </c>
      <c r="R121" s="857">
        <f>SUMIFS('YTD Sales'!$N:$N,'YTD Sales'!$B:$B,Brokerage!$B121,'YTD Sales'!$M:$M,Brokerage!R$4)+SUMIFS('YTD Purchases'!$H:$H,'YTD Purchases'!$C:$C,Brokerage!$B121,'YTD Purchases'!$G:$G,Brokerage!R$4)</f>
        <v>0</v>
      </c>
      <c r="S121" s="857">
        <f>SUMIFS('YTD Sales'!$N:$N,'YTD Sales'!$B:$B,Brokerage!$B121,'YTD Sales'!$M:$M,Brokerage!S$4)+SUMIFS('YTD Purchases'!$H:$H,'YTD Purchases'!$C:$C,Brokerage!$B121,'YTD Purchases'!$G:$G,Brokerage!S$4)</f>
        <v>0</v>
      </c>
      <c r="T121" s="857">
        <f>SUMIFS('YTD Sales'!$N:$N,'YTD Sales'!$B:$B,Brokerage!$B121,'YTD Sales'!$M:$M,Brokerage!T$4)+SUMIFS('YTD Purchases'!$H:$H,'YTD Purchases'!$C:$C,Brokerage!$B121,'YTD Purchases'!$G:$G,Brokerage!T$4)</f>
        <v>0</v>
      </c>
      <c r="U121" s="857">
        <f>SUMIFS('YTD Sales'!$N:$N,'YTD Sales'!$B:$B,Brokerage!$B121,'YTD Sales'!$M:$M,Brokerage!U$4)+SUMIFS('YTD Purchases'!$H:$H,'YTD Purchases'!$C:$C,Brokerage!$B121,'YTD Purchases'!$G:$G,Brokerage!U$4)</f>
        <v>0</v>
      </c>
      <c r="V121" s="857">
        <f>SUMIFS('YTD Sales'!$N:$N,'YTD Sales'!$B:$B,Brokerage!$B121,'YTD Sales'!$M:$M,Brokerage!V$4)+SUMIFS('YTD Purchases'!$H:$H,'YTD Purchases'!$C:$C,Brokerage!$B121,'YTD Purchases'!$G:$G,Brokerage!V$4)</f>
        <v>0</v>
      </c>
      <c r="W121" s="857">
        <f>SUMIFS('YTD Sales'!$N:$N,'YTD Sales'!$B:$B,Brokerage!$B121,'YTD Sales'!$M:$M,Brokerage!W$4)+SUMIFS('YTD Purchases'!$H:$H,'YTD Purchases'!$C:$C,Brokerage!$B121,'YTD Purchases'!$G:$G,Brokerage!W$4)</f>
        <v>0</v>
      </c>
      <c r="X121" s="857">
        <f>SUMIFS('YTD Sales'!$N:$N,'YTD Sales'!$B:$B,Brokerage!$B121,'YTD Sales'!$M:$M,Brokerage!X$4)+SUMIFS('YTD Purchases'!$H:$H,'YTD Purchases'!$C:$C,Brokerage!$B121,'YTD Purchases'!$G:$G,Brokerage!X$4)</f>
        <v>0</v>
      </c>
      <c r="Y121" s="857">
        <f>SUMIFS('YTD Sales'!$N:$N,'YTD Sales'!$B:$B,Brokerage!$B121,'YTD Sales'!$M:$M,Brokerage!Y$4)+SUMIFS('YTD Purchases'!$H:$H,'YTD Purchases'!$C:$C,Brokerage!$B121,'YTD Purchases'!$G:$G,Brokerage!Y$4)</f>
        <v>0</v>
      </c>
      <c r="Z121" s="857">
        <f>SUMIFS('YTD Sales'!$N:$N,'YTD Sales'!$B:$B,Brokerage!$B121,'YTD Sales'!$M:$M,Brokerage!Z$4)+SUMIFS('YTD Purchases'!$H:$H,'YTD Purchases'!$C:$C,Brokerage!$B121,'YTD Purchases'!$G:$G,Brokerage!Z$4)</f>
        <v>0</v>
      </c>
      <c r="AA121" s="857">
        <f>SUMIFS('YTD Sales'!$N:$N,'YTD Sales'!$B:$B,Brokerage!$B121,'YTD Sales'!$M:$M,Brokerage!AA$4)+SUMIFS('YTD Purchases'!$H:$H,'YTD Purchases'!$C:$C,Brokerage!$B121,'YTD Purchases'!$G:$G,Brokerage!AA$4)</f>
        <v>0</v>
      </c>
      <c r="AB121" s="857">
        <f>SUMIFS('YTD Sales'!$N:$N,'YTD Sales'!$B:$B,Brokerage!$B121,'YTD Sales'!$M:$M,Brokerage!AB$4)+SUMIFS('YTD Purchases'!$H:$H,'YTD Purchases'!$C:$C,Brokerage!$B121,'YTD Purchases'!$G:$G,Brokerage!AB$4)</f>
        <v>0</v>
      </c>
      <c r="AC121" s="857">
        <f>SUMIFS('YTD Sales'!$N:$N,'YTD Sales'!$B:$B,Brokerage!$B121,'YTD Sales'!$M:$M,Brokerage!AC$4)+SUMIFS('YTD Purchases'!$H:$H,'YTD Purchases'!$C:$C,Brokerage!$B121,'YTD Purchases'!$G:$G,Brokerage!AC$4)</f>
        <v>0</v>
      </c>
      <c r="AD121" s="857">
        <f>+SUMIFS(PIB!AG:AG,PIB!AF:AF,Brokerage!AD$4,PIB!AA:AA,Brokerage!$B121)+SUMIFS('T-Bills'!AB:AB,'T-Bills'!AA:AA,Brokerage!AD$4,'T-Bills'!V:V,Brokerage!$B121)</f>
        <v>0</v>
      </c>
      <c r="AE121" s="857">
        <f>+SUMIFS(PIB!AH:AH,PIB!AG:AG,Brokerage!AE$4,PIB!AB:AB,Brokerage!$B121)+SUMIFS('T-Bills'!AC:AC,'T-Bills'!AB:AB,Brokerage!AE$4,'T-Bills'!W:W,Brokerage!$B121)</f>
        <v>0</v>
      </c>
      <c r="AF121" s="857">
        <f>+SUMIFS(PIB!AI:AI,PIB!AH:AH,Brokerage!AF$4,PIB!AC:AC,Brokerage!$B121)+SUMIFS('T-Bills'!AD:AD,'T-Bills'!AC:AC,Brokerage!AF$4,'T-Bills'!X:X,Brokerage!$B121)</f>
        <v>0</v>
      </c>
      <c r="AG121" s="857">
        <f t="shared" si="10"/>
        <v>0</v>
      </c>
      <c r="AH121" s="858">
        <f t="shared" si="17"/>
        <v>0</v>
      </c>
    </row>
    <row r="122" spans="2:34" x14ac:dyDescent="0.15">
      <c r="B122" s="661">
        <f t="shared" si="9"/>
        <v>44678</v>
      </c>
      <c r="C122" s="857">
        <f>SUMIFS('YTD Sales'!$N:$N,'YTD Sales'!$B:$B,Brokerage!$B122,'YTD Sales'!$M:$M,Brokerage!C$4)+SUMIFS('YTD Purchases'!$H:$H,'YTD Purchases'!$C:$C,Brokerage!$B122,'YTD Purchases'!$G:$G,Brokerage!C$4)</f>
        <v>0</v>
      </c>
      <c r="D122" s="857">
        <f>SUMIFS('YTD Sales'!$N:$N,'YTD Sales'!$B:$B,Brokerage!$B122,'YTD Sales'!$M:$M,Brokerage!D$4)+SUMIFS('YTD Purchases'!$H:$H,'YTD Purchases'!$C:$C,Brokerage!$B122,'YTD Purchases'!$G:$G,Brokerage!D$4)</f>
        <v>0</v>
      </c>
      <c r="E122" s="857">
        <f>SUMIFS('YTD Sales'!$N:$N,'YTD Sales'!$B:$B,Brokerage!$B122,'YTD Sales'!$M:$M,Brokerage!E$4)+SUMIFS('YTD Purchases'!$H:$H,'YTD Purchases'!$C:$C,Brokerage!$B122,'YTD Purchases'!$G:$G,Brokerage!E$4)</f>
        <v>0</v>
      </c>
      <c r="F122" s="857">
        <f>SUMIFS('YTD Sales'!$N:$N,'YTD Sales'!$B:$B,Brokerage!$B122,'YTD Sales'!$M:$M,Brokerage!F$4)+SUMIFS('YTD Purchases'!$H:$H,'YTD Purchases'!$C:$C,Brokerage!$B122,'YTD Purchases'!$G:$G,Brokerage!F$4)</f>
        <v>0</v>
      </c>
      <c r="G122" s="857">
        <f>SUMIFS('YTD Sales'!$N:$N,'YTD Sales'!$B:$B,Brokerage!$B122,'YTD Sales'!$M:$M,Brokerage!G$4)+SUMIFS('YTD Purchases'!$H:$H,'YTD Purchases'!$C:$C,Brokerage!$B122,'YTD Purchases'!$G:$G,Brokerage!G$4)</f>
        <v>0</v>
      </c>
      <c r="H122" s="857">
        <f>SUMIFS('YTD Sales'!$N:$N,'YTD Sales'!$B:$B,Brokerage!$B122,'YTD Sales'!$M:$M,Brokerage!H$4)+SUMIFS('YTD Purchases'!$H:$H,'YTD Purchases'!$C:$C,Brokerage!$B122,'YTD Purchases'!$G:$G,Brokerage!H$4)</f>
        <v>0</v>
      </c>
      <c r="I122" s="857">
        <f>SUMIFS('YTD Sales'!$N:$N,'YTD Sales'!$B:$B,Brokerage!$B122,'YTD Sales'!$M:$M,Brokerage!I$4)+SUMIFS('YTD Purchases'!$H:$H,'YTD Purchases'!$C:$C,Brokerage!$B122,'YTD Purchases'!$G:$G,Brokerage!I$4)</f>
        <v>0</v>
      </c>
      <c r="J122" s="857">
        <f>SUMIFS('YTD Sales'!$N:$N,'YTD Sales'!$B:$B,Brokerage!$B122,'YTD Sales'!$M:$M,Brokerage!J$4)+SUMIFS('YTD Purchases'!$H:$H,'YTD Purchases'!$C:$C,Brokerage!$B122,'YTD Purchases'!$G:$G,Brokerage!J$4)</f>
        <v>0</v>
      </c>
      <c r="K122" s="857">
        <f>SUMIFS('YTD Sales'!$N:$N,'YTD Sales'!$B:$B,Brokerage!$B122,'YTD Sales'!$M:$M,Brokerage!K$4)+SUMIFS('YTD Purchases'!$H:$H,'YTD Purchases'!$C:$C,Brokerage!$B122,'YTD Purchases'!$G:$G,Brokerage!K$4)</f>
        <v>0</v>
      </c>
      <c r="L122" s="857">
        <f>SUMIFS('YTD Sales'!$N:$N,'YTD Sales'!$B:$B,Brokerage!$B122,'YTD Sales'!$M:$M,Brokerage!L$4)+SUMIFS('YTD Purchases'!$H:$H,'YTD Purchases'!$C:$C,Brokerage!$B122,'YTD Purchases'!$G:$G,Brokerage!L$4)</f>
        <v>0</v>
      </c>
      <c r="M122" s="857">
        <f>SUMIFS('YTD Sales'!$N:$N,'YTD Sales'!$B:$B,Brokerage!$B122,'YTD Sales'!$M:$M,Brokerage!M$4)+SUMIFS('YTD Purchases'!$H:$H,'YTD Purchases'!$C:$C,Brokerage!$B122,'YTD Purchases'!$G:$G,Brokerage!M$4)</f>
        <v>0</v>
      </c>
      <c r="N122" s="857">
        <f>SUMIFS('YTD Sales'!$N:$N,'YTD Sales'!$B:$B,Brokerage!$B122,'YTD Sales'!$M:$M,Brokerage!N$4)+SUMIFS('YTD Purchases'!$H:$H,'YTD Purchases'!$C:$C,Brokerage!$B122,'YTD Purchases'!$G:$G,Brokerage!N$4)</f>
        <v>0</v>
      </c>
      <c r="O122" s="857">
        <f>SUMIFS('YTD Sales'!$N:$N,'YTD Sales'!$B:$B,Brokerage!$B122,'YTD Sales'!$M:$M,Brokerage!O$4)+SUMIFS('YTD Purchases'!$H:$H,'YTD Purchases'!$C:$C,Brokerage!$B122,'YTD Purchases'!$G:$G,Brokerage!O$4)</f>
        <v>0</v>
      </c>
      <c r="P122" s="857">
        <f>SUMIFS('YTD Sales'!$N:$N,'YTD Sales'!$B:$B,Brokerage!$B122,'YTD Sales'!$M:$M,Brokerage!P$4)+SUMIFS('YTD Purchases'!$H:$H,'YTD Purchases'!$C:$C,Brokerage!$B122,'YTD Purchases'!$G:$G,Brokerage!P$4)</f>
        <v>0</v>
      </c>
      <c r="Q122" s="857">
        <f>SUMIFS('YTD Sales'!$N:$N,'YTD Sales'!$B:$B,Brokerage!$B122,'YTD Sales'!$M:$M,Brokerage!Q$4)+SUMIFS('YTD Purchases'!$H:$H,'YTD Purchases'!$C:$C,Brokerage!$B122,'YTD Purchases'!$G:$G,Brokerage!Q$4)</f>
        <v>0</v>
      </c>
      <c r="R122" s="857">
        <f>SUMIFS('YTD Sales'!$N:$N,'YTD Sales'!$B:$B,Brokerage!$B122,'YTD Sales'!$M:$M,Brokerage!R$4)+SUMIFS('YTD Purchases'!$H:$H,'YTD Purchases'!$C:$C,Brokerage!$B122,'YTD Purchases'!$G:$G,Brokerage!R$4)</f>
        <v>0</v>
      </c>
      <c r="S122" s="857">
        <f>SUMIFS('YTD Sales'!$N:$N,'YTD Sales'!$B:$B,Brokerage!$B122,'YTD Sales'!$M:$M,Brokerage!S$4)+SUMIFS('YTD Purchases'!$H:$H,'YTD Purchases'!$C:$C,Brokerage!$B122,'YTD Purchases'!$G:$G,Brokerage!S$4)</f>
        <v>54683.64</v>
      </c>
      <c r="T122" s="857">
        <f>SUMIFS('YTD Sales'!$N:$N,'YTD Sales'!$B:$B,Brokerage!$B122,'YTD Sales'!$M:$M,Brokerage!T$4)+SUMIFS('YTD Purchases'!$H:$H,'YTD Purchases'!$C:$C,Brokerage!$B122,'YTD Purchases'!$G:$G,Brokerage!T$4)</f>
        <v>0</v>
      </c>
      <c r="U122" s="857">
        <f>SUMIFS('YTD Sales'!$N:$N,'YTD Sales'!$B:$B,Brokerage!$B122,'YTD Sales'!$M:$M,Brokerage!U$4)+SUMIFS('YTD Purchases'!$H:$H,'YTD Purchases'!$C:$C,Brokerage!$B122,'YTD Purchases'!$G:$G,Brokerage!U$4)</f>
        <v>0</v>
      </c>
      <c r="V122" s="857">
        <f>SUMIFS('YTD Sales'!$N:$N,'YTD Sales'!$B:$B,Brokerage!$B122,'YTD Sales'!$M:$M,Brokerage!V$4)+SUMIFS('YTD Purchases'!$H:$H,'YTD Purchases'!$C:$C,Brokerage!$B122,'YTD Purchases'!$G:$G,Brokerage!V$4)</f>
        <v>0</v>
      </c>
      <c r="W122" s="857">
        <f>SUMIFS('YTD Sales'!$N:$N,'YTD Sales'!$B:$B,Brokerage!$B122,'YTD Sales'!$M:$M,Brokerage!W$4)+SUMIFS('YTD Purchases'!$H:$H,'YTD Purchases'!$C:$C,Brokerage!$B122,'YTD Purchases'!$G:$G,Brokerage!W$4)</f>
        <v>0</v>
      </c>
      <c r="X122" s="857">
        <f>SUMIFS('YTD Sales'!$N:$N,'YTD Sales'!$B:$B,Brokerage!$B122,'YTD Sales'!$M:$M,Brokerage!X$4)+SUMIFS('YTD Purchases'!$H:$H,'YTD Purchases'!$C:$C,Brokerage!$B122,'YTD Purchases'!$G:$G,Brokerage!X$4)</f>
        <v>0</v>
      </c>
      <c r="Y122" s="857">
        <f>SUMIFS('YTD Sales'!$N:$N,'YTD Sales'!$B:$B,Brokerage!$B122,'YTD Sales'!$M:$M,Brokerage!Y$4)+SUMIFS('YTD Purchases'!$H:$H,'YTD Purchases'!$C:$C,Brokerage!$B122,'YTD Purchases'!$G:$G,Brokerage!Y$4)</f>
        <v>0</v>
      </c>
      <c r="Z122" s="857">
        <f>SUMIFS('YTD Sales'!$N:$N,'YTD Sales'!$B:$B,Brokerage!$B122,'YTD Sales'!$M:$M,Brokerage!Z$4)+SUMIFS('YTD Purchases'!$H:$H,'YTD Purchases'!$C:$C,Brokerage!$B122,'YTD Purchases'!$G:$G,Brokerage!Z$4)</f>
        <v>0</v>
      </c>
      <c r="AA122" s="857">
        <f>SUMIFS('YTD Sales'!$N:$N,'YTD Sales'!$B:$B,Brokerage!$B122,'YTD Sales'!$M:$M,Brokerage!AA$4)+SUMIFS('YTD Purchases'!$H:$H,'YTD Purchases'!$C:$C,Brokerage!$B122,'YTD Purchases'!$G:$G,Brokerage!AA$4)</f>
        <v>0</v>
      </c>
      <c r="AB122" s="857">
        <f>SUMIFS('YTD Sales'!$N:$N,'YTD Sales'!$B:$B,Brokerage!$B122,'YTD Sales'!$M:$M,Brokerage!AB$4)+SUMIFS('YTD Purchases'!$H:$H,'YTD Purchases'!$C:$C,Brokerage!$B122,'YTD Purchases'!$G:$G,Brokerage!AB$4)</f>
        <v>0</v>
      </c>
      <c r="AC122" s="857">
        <f>SUMIFS('YTD Sales'!$N:$N,'YTD Sales'!$B:$B,Brokerage!$B122,'YTD Sales'!$M:$M,Brokerage!AC$4)+SUMIFS('YTD Purchases'!$H:$H,'YTD Purchases'!$C:$C,Brokerage!$B122,'YTD Purchases'!$G:$G,Brokerage!AC$4)</f>
        <v>0</v>
      </c>
      <c r="AD122" s="857">
        <f>+SUMIFS(PIB!AG:AG,PIB!AF:AF,Brokerage!AD$4,PIB!AA:AA,Brokerage!$B122)+SUMIFS('T-Bills'!AB:AB,'T-Bills'!AA:AA,Brokerage!AD$4,'T-Bills'!V:V,Brokerage!$B122)</f>
        <v>0</v>
      </c>
      <c r="AE122" s="857">
        <f>+SUMIFS(PIB!AH:AH,PIB!AG:AG,Brokerage!AE$4,PIB!AB:AB,Brokerage!$B122)+SUMIFS('T-Bills'!AC:AC,'T-Bills'!AB:AB,Brokerage!AE$4,'T-Bills'!W:W,Brokerage!$B122)</f>
        <v>0</v>
      </c>
      <c r="AF122" s="857">
        <f>+SUMIFS(PIB!AI:AI,PIB!AH:AH,Brokerage!AF$4,PIB!AC:AC,Brokerage!$B122)+SUMIFS('T-Bills'!AD:AD,'T-Bills'!AC:AC,Brokerage!AF$4,'T-Bills'!X:X,Brokerage!$B122)</f>
        <v>0</v>
      </c>
      <c r="AG122" s="857">
        <f t="shared" si="10"/>
        <v>54683.64</v>
      </c>
      <c r="AH122" s="858">
        <f t="shared" si="17"/>
        <v>2</v>
      </c>
    </row>
    <row r="123" spans="2:34" x14ac:dyDescent="0.15">
      <c r="B123" s="661">
        <f t="shared" si="9"/>
        <v>44679</v>
      </c>
      <c r="C123" s="857">
        <f>SUMIFS('YTD Sales'!$N:$N,'YTD Sales'!$B:$B,Brokerage!$B123,'YTD Sales'!$M:$M,Brokerage!C$4)+SUMIFS('YTD Purchases'!$H:$H,'YTD Purchases'!$C:$C,Brokerage!$B123,'YTD Purchases'!$G:$G,Brokerage!C$4)</f>
        <v>0</v>
      </c>
      <c r="D123" s="857">
        <f>SUMIFS('YTD Sales'!$N:$N,'YTD Sales'!$B:$B,Brokerage!$B123,'YTD Sales'!$M:$M,Brokerage!D$4)+SUMIFS('YTD Purchases'!$H:$H,'YTD Purchases'!$C:$C,Brokerage!$B123,'YTD Purchases'!$G:$G,Brokerage!D$4)</f>
        <v>219618.80000000002</v>
      </c>
      <c r="E123" s="857">
        <f>SUMIFS('YTD Sales'!$N:$N,'YTD Sales'!$B:$B,Brokerage!$B123,'YTD Sales'!$M:$M,Brokerage!E$4)+SUMIFS('YTD Purchases'!$H:$H,'YTD Purchases'!$C:$C,Brokerage!$B123,'YTD Purchases'!$G:$G,Brokerage!E$4)</f>
        <v>0</v>
      </c>
      <c r="F123" s="857">
        <f>SUMIFS('YTD Sales'!$N:$N,'YTD Sales'!$B:$B,Brokerage!$B123,'YTD Sales'!$M:$M,Brokerage!F$4)+SUMIFS('YTD Purchases'!$H:$H,'YTD Purchases'!$C:$C,Brokerage!$B123,'YTD Purchases'!$G:$G,Brokerage!F$4)</f>
        <v>0</v>
      </c>
      <c r="G123" s="857">
        <f>SUMIFS('YTD Sales'!$N:$N,'YTD Sales'!$B:$B,Brokerage!$B123,'YTD Sales'!$M:$M,Brokerage!G$4)+SUMIFS('YTD Purchases'!$H:$H,'YTD Purchases'!$C:$C,Brokerage!$B123,'YTD Purchases'!$G:$G,Brokerage!G$4)</f>
        <v>0</v>
      </c>
      <c r="H123" s="857">
        <f>SUMIFS('YTD Sales'!$N:$N,'YTD Sales'!$B:$B,Brokerage!$B123,'YTD Sales'!$M:$M,Brokerage!H$4)+SUMIFS('YTD Purchases'!$H:$H,'YTD Purchases'!$C:$C,Brokerage!$B123,'YTD Purchases'!$G:$G,Brokerage!H$4)</f>
        <v>0</v>
      </c>
      <c r="I123" s="857">
        <f>SUMIFS('YTD Sales'!$N:$N,'YTD Sales'!$B:$B,Brokerage!$B123,'YTD Sales'!$M:$M,Brokerage!I$4)+SUMIFS('YTD Purchases'!$H:$H,'YTD Purchases'!$C:$C,Brokerage!$B123,'YTD Purchases'!$G:$G,Brokerage!I$4)</f>
        <v>0</v>
      </c>
      <c r="J123" s="857">
        <f>SUMIFS('YTD Sales'!$N:$N,'YTD Sales'!$B:$B,Brokerage!$B123,'YTD Sales'!$M:$M,Brokerage!J$4)+SUMIFS('YTD Purchases'!$H:$H,'YTD Purchases'!$C:$C,Brokerage!$B123,'YTD Purchases'!$G:$G,Brokerage!J$4)</f>
        <v>0</v>
      </c>
      <c r="K123" s="857">
        <f>SUMIFS('YTD Sales'!$N:$N,'YTD Sales'!$B:$B,Brokerage!$B123,'YTD Sales'!$M:$M,Brokerage!K$4)+SUMIFS('YTD Purchases'!$H:$H,'YTD Purchases'!$C:$C,Brokerage!$B123,'YTD Purchases'!$G:$G,Brokerage!K$4)</f>
        <v>0</v>
      </c>
      <c r="L123" s="857">
        <f>SUMIFS('YTD Sales'!$N:$N,'YTD Sales'!$B:$B,Brokerage!$B123,'YTD Sales'!$M:$M,Brokerage!L$4)+SUMIFS('YTD Purchases'!$H:$H,'YTD Purchases'!$C:$C,Brokerage!$B123,'YTD Purchases'!$G:$G,Brokerage!L$4)</f>
        <v>54240</v>
      </c>
      <c r="M123" s="857">
        <f>SUMIFS('YTD Sales'!$N:$N,'YTD Sales'!$B:$B,Brokerage!$B123,'YTD Sales'!$M:$M,Brokerage!M$4)+SUMIFS('YTD Purchases'!$H:$H,'YTD Purchases'!$C:$C,Brokerage!$B123,'YTD Purchases'!$G:$G,Brokerage!M$4)</f>
        <v>0</v>
      </c>
      <c r="N123" s="857">
        <f>SUMIFS('YTD Sales'!$N:$N,'YTD Sales'!$B:$B,Brokerage!$B123,'YTD Sales'!$M:$M,Brokerage!N$4)+SUMIFS('YTD Purchases'!$H:$H,'YTD Purchases'!$C:$C,Brokerage!$B123,'YTD Purchases'!$G:$G,Brokerage!N$4)</f>
        <v>0</v>
      </c>
      <c r="O123" s="857">
        <f>SUMIFS('YTD Sales'!$N:$N,'YTD Sales'!$B:$B,Brokerage!$B123,'YTD Sales'!$M:$M,Brokerage!O$4)+SUMIFS('YTD Purchases'!$H:$H,'YTD Purchases'!$C:$C,Brokerage!$B123,'YTD Purchases'!$G:$G,Brokerage!O$4)</f>
        <v>0</v>
      </c>
      <c r="P123" s="857">
        <f>SUMIFS('YTD Sales'!$N:$N,'YTD Sales'!$B:$B,Brokerage!$B123,'YTD Sales'!$M:$M,Brokerage!P$4)+SUMIFS('YTD Purchases'!$H:$H,'YTD Purchases'!$C:$C,Brokerage!$B123,'YTD Purchases'!$G:$G,Brokerage!P$4)</f>
        <v>0</v>
      </c>
      <c r="Q123" s="857">
        <f>SUMIFS('YTD Sales'!$N:$N,'YTD Sales'!$B:$B,Brokerage!$B123,'YTD Sales'!$M:$M,Brokerage!Q$4)+SUMIFS('YTD Purchases'!$H:$H,'YTD Purchases'!$C:$C,Brokerage!$B123,'YTD Purchases'!$G:$G,Brokerage!Q$4)</f>
        <v>0</v>
      </c>
      <c r="R123" s="857">
        <f>SUMIFS('YTD Sales'!$N:$N,'YTD Sales'!$B:$B,Brokerage!$B123,'YTD Sales'!$M:$M,Brokerage!R$4)+SUMIFS('YTD Purchases'!$H:$H,'YTD Purchases'!$C:$C,Brokerage!$B123,'YTD Purchases'!$G:$G,Brokerage!R$4)</f>
        <v>0</v>
      </c>
      <c r="S123" s="857">
        <f>SUMIFS('YTD Sales'!$N:$N,'YTD Sales'!$B:$B,Brokerage!$B123,'YTD Sales'!$M:$M,Brokerage!S$4)+SUMIFS('YTD Purchases'!$H:$H,'YTD Purchases'!$C:$C,Brokerage!$B123,'YTD Purchases'!$G:$G,Brokerage!S$4)</f>
        <v>0</v>
      </c>
      <c r="T123" s="857">
        <f>SUMIFS('YTD Sales'!$N:$N,'YTD Sales'!$B:$B,Brokerage!$B123,'YTD Sales'!$M:$M,Brokerage!T$4)+SUMIFS('YTD Purchases'!$H:$H,'YTD Purchases'!$C:$C,Brokerage!$B123,'YTD Purchases'!$G:$G,Brokerage!T$4)</f>
        <v>0</v>
      </c>
      <c r="U123" s="857">
        <f>SUMIFS('YTD Sales'!$N:$N,'YTD Sales'!$B:$B,Brokerage!$B123,'YTD Sales'!$M:$M,Brokerage!U$4)+SUMIFS('YTD Purchases'!$H:$H,'YTD Purchases'!$C:$C,Brokerage!$B123,'YTD Purchases'!$G:$G,Brokerage!U$4)</f>
        <v>0</v>
      </c>
      <c r="V123" s="857">
        <f>SUMIFS('YTD Sales'!$N:$N,'YTD Sales'!$B:$B,Brokerage!$B123,'YTD Sales'!$M:$M,Brokerage!V$4)+SUMIFS('YTD Purchases'!$H:$H,'YTD Purchases'!$C:$C,Brokerage!$B123,'YTD Purchases'!$G:$G,Brokerage!V$4)</f>
        <v>0</v>
      </c>
      <c r="W123" s="857">
        <f>SUMIFS('YTD Sales'!$N:$N,'YTD Sales'!$B:$B,Brokerage!$B123,'YTD Sales'!$M:$M,Brokerage!W$4)+SUMIFS('YTD Purchases'!$H:$H,'YTD Purchases'!$C:$C,Brokerage!$B123,'YTD Purchases'!$G:$G,Brokerage!W$4)</f>
        <v>0</v>
      </c>
      <c r="X123" s="857">
        <f>SUMIFS('YTD Sales'!$N:$N,'YTD Sales'!$B:$B,Brokerage!$B123,'YTD Sales'!$M:$M,Brokerage!X$4)+SUMIFS('YTD Purchases'!$H:$H,'YTD Purchases'!$C:$C,Brokerage!$B123,'YTD Purchases'!$G:$G,Brokerage!X$4)</f>
        <v>0</v>
      </c>
      <c r="Y123" s="857">
        <f>SUMIFS('YTD Sales'!$N:$N,'YTD Sales'!$B:$B,Brokerage!$B123,'YTD Sales'!$M:$M,Brokerage!Y$4)+SUMIFS('YTD Purchases'!$H:$H,'YTD Purchases'!$C:$C,Brokerage!$B123,'YTD Purchases'!$G:$G,Brokerage!Y$4)</f>
        <v>0</v>
      </c>
      <c r="Z123" s="857">
        <f>SUMIFS('YTD Sales'!$N:$N,'YTD Sales'!$B:$B,Brokerage!$B123,'YTD Sales'!$M:$M,Brokerage!Z$4)+SUMIFS('YTD Purchases'!$H:$H,'YTD Purchases'!$C:$C,Brokerage!$B123,'YTD Purchases'!$G:$G,Brokerage!Z$4)</f>
        <v>3261.8999999999996</v>
      </c>
      <c r="AA123" s="857">
        <f>SUMIFS('YTD Sales'!$N:$N,'YTD Sales'!$B:$B,Brokerage!$B123,'YTD Sales'!$M:$M,Brokerage!AA$4)+SUMIFS('YTD Purchases'!$H:$H,'YTD Purchases'!$C:$C,Brokerage!$B123,'YTD Purchases'!$G:$G,Brokerage!AA$4)</f>
        <v>0</v>
      </c>
      <c r="AB123" s="857">
        <f>SUMIFS('YTD Sales'!$N:$N,'YTD Sales'!$B:$B,Brokerage!$B123,'YTD Sales'!$M:$M,Brokerage!AB$4)+SUMIFS('YTD Purchases'!$H:$H,'YTD Purchases'!$C:$C,Brokerage!$B123,'YTD Purchases'!$G:$G,Brokerage!AB$4)</f>
        <v>85748.27881322871</v>
      </c>
      <c r="AC123" s="857">
        <f>SUMIFS('YTD Sales'!$N:$N,'YTD Sales'!$B:$B,Brokerage!$B123,'YTD Sales'!$M:$M,Brokerage!AC$4)+SUMIFS('YTD Purchases'!$H:$H,'YTD Purchases'!$C:$C,Brokerage!$B123,'YTD Purchases'!$G:$G,Brokerage!AC$4)</f>
        <v>0</v>
      </c>
      <c r="AD123" s="857">
        <f>+SUMIFS(PIB!AG:AG,PIB!AF:AF,Brokerage!AD$4,PIB!AA:AA,Brokerage!$B123)+SUMIFS('T-Bills'!AB:AB,'T-Bills'!AA:AA,Brokerage!AD$4,'T-Bills'!V:V,Brokerage!$B123)</f>
        <v>0</v>
      </c>
      <c r="AE123" s="857">
        <f>+SUMIFS(PIB!AH:AH,PIB!AG:AG,Brokerage!AE$4,PIB!AB:AB,Brokerage!$B123)+SUMIFS('T-Bills'!AC:AC,'T-Bills'!AB:AB,Brokerage!AE$4,'T-Bills'!W:W,Brokerage!$B123)</f>
        <v>0</v>
      </c>
      <c r="AF123" s="857">
        <f>+SUMIFS(PIB!AI:AI,PIB!AH:AH,Brokerage!AF$4,PIB!AC:AC,Brokerage!$B123)+SUMIFS('T-Bills'!AD:AD,'T-Bills'!AC:AC,Brokerage!AF$4,'T-Bills'!X:X,Brokerage!$B123)</f>
        <v>0</v>
      </c>
      <c r="AG123" s="857">
        <f t="shared" si="10"/>
        <v>362868.97881322878</v>
      </c>
      <c r="AH123" s="858">
        <f t="shared" si="17"/>
        <v>15</v>
      </c>
    </row>
    <row r="124" spans="2:34" x14ac:dyDescent="0.15">
      <c r="B124" s="661">
        <f t="shared" si="9"/>
        <v>44680</v>
      </c>
      <c r="C124" s="857">
        <f>SUMIFS('YTD Sales'!$N:$N,'YTD Sales'!$B:$B,Brokerage!$B124,'YTD Sales'!$M:$M,Brokerage!C$4)+SUMIFS('YTD Purchases'!$H:$H,'YTD Purchases'!$C:$C,Brokerage!$B124,'YTD Purchases'!$G:$G,Brokerage!C$4)</f>
        <v>0</v>
      </c>
      <c r="D124" s="857">
        <f>SUMIFS('YTD Sales'!$N:$N,'YTD Sales'!$B:$B,Brokerage!$B124,'YTD Sales'!$M:$M,Brokerage!D$4)+SUMIFS('YTD Purchases'!$H:$H,'YTD Purchases'!$C:$C,Brokerage!$B124,'YTD Purchases'!$G:$G,Brokerage!D$4)</f>
        <v>0</v>
      </c>
      <c r="E124" s="857">
        <f>SUMIFS('YTD Sales'!$N:$N,'YTD Sales'!$B:$B,Brokerage!$B124,'YTD Sales'!$M:$M,Brokerage!E$4)+SUMIFS('YTD Purchases'!$H:$H,'YTD Purchases'!$C:$C,Brokerage!$B124,'YTD Purchases'!$G:$G,Brokerage!E$4)</f>
        <v>0</v>
      </c>
      <c r="F124" s="857">
        <f>SUMIFS('YTD Sales'!$N:$N,'YTD Sales'!$B:$B,Brokerage!$B124,'YTD Sales'!$M:$M,Brokerage!F$4)+SUMIFS('YTD Purchases'!$H:$H,'YTD Purchases'!$C:$C,Brokerage!$B124,'YTD Purchases'!$G:$G,Brokerage!F$4)</f>
        <v>0</v>
      </c>
      <c r="G124" s="857">
        <f>SUMIFS('YTD Sales'!$N:$N,'YTD Sales'!$B:$B,Brokerage!$B124,'YTD Sales'!$M:$M,Brokerage!G$4)+SUMIFS('YTD Purchases'!$H:$H,'YTD Purchases'!$C:$C,Brokerage!$B124,'YTD Purchases'!$G:$G,Brokerage!G$4)</f>
        <v>0</v>
      </c>
      <c r="H124" s="857">
        <f>SUMIFS('YTD Sales'!$N:$N,'YTD Sales'!$B:$B,Brokerage!$B124,'YTD Sales'!$M:$M,Brokerage!H$4)+SUMIFS('YTD Purchases'!$H:$H,'YTD Purchases'!$C:$C,Brokerage!$B124,'YTD Purchases'!$G:$G,Brokerage!H$4)</f>
        <v>0</v>
      </c>
      <c r="I124" s="857">
        <f>SUMIFS('YTD Sales'!$N:$N,'YTD Sales'!$B:$B,Brokerage!$B124,'YTD Sales'!$M:$M,Brokerage!I$4)+SUMIFS('YTD Purchases'!$H:$H,'YTD Purchases'!$C:$C,Brokerage!$B124,'YTD Purchases'!$G:$G,Brokerage!I$4)</f>
        <v>0</v>
      </c>
      <c r="J124" s="857">
        <f>SUMIFS('YTD Sales'!$N:$N,'YTD Sales'!$B:$B,Brokerage!$B124,'YTD Sales'!$M:$M,Brokerage!J$4)+SUMIFS('YTD Purchases'!$H:$H,'YTD Purchases'!$C:$C,Brokerage!$B124,'YTD Purchases'!$G:$G,Brokerage!J$4)</f>
        <v>0</v>
      </c>
      <c r="K124" s="857">
        <f>SUMIFS('YTD Sales'!$N:$N,'YTD Sales'!$B:$B,Brokerage!$B124,'YTD Sales'!$M:$M,Brokerage!K$4)+SUMIFS('YTD Purchases'!$H:$H,'YTD Purchases'!$C:$C,Brokerage!$B124,'YTD Purchases'!$G:$G,Brokerage!K$4)</f>
        <v>0</v>
      </c>
      <c r="L124" s="857">
        <f>SUMIFS('YTD Sales'!$N:$N,'YTD Sales'!$B:$B,Brokerage!$B124,'YTD Sales'!$M:$M,Brokerage!L$4)+SUMIFS('YTD Purchases'!$H:$H,'YTD Purchases'!$C:$C,Brokerage!$B124,'YTD Purchases'!$G:$G,Brokerage!L$4)</f>
        <v>0</v>
      </c>
      <c r="M124" s="857">
        <f>SUMIFS('YTD Sales'!$N:$N,'YTD Sales'!$B:$B,Brokerage!$B124,'YTD Sales'!$M:$M,Brokerage!M$4)+SUMIFS('YTD Purchases'!$H:$H,'YTD Purchases'!$C:$C,Brokerage!$B124,'YTD Purchases'!$G:$G,Brokerage!M$4)</f>
        <v>0</v>
      </c>
      <c r="N124" s="857">
        <f>SUMIFS('YTD Sales'!$N:$N,'YTD Sales'!$B:$B,Brokerage!$B124,'YTD Sales'!$M:$M,Brokerage!N$4)+SUMIFS('YTD Purchases'!$H:$H,'YTD Purchases'!$C:$C,Brokerage!$B124,'YTD Purchases'!$G:$G,Brokerage!N$4)</f>
        <v>0</v>
      </c>
      <c r="O124" s="857">
        <f>SUMIFS('YTD Sales'!$N:$N,'YTD Sales'!$B:$B,Brokerage!$B124,'YTD Sales'!$M:$M,Brokerage!O$4)+SUMIFS('YTD Purchases'!$H:$H,'YTD Purchases'!$C:$C,Brokerage!$B124,'YTD Purchases'!$G:$G,Brokerage!O$4)</f>
        <v>0</v>
      </c>
      <c r="P124" s="857">
        <f>SUMIFS('YTD Sales'!$N:$N,'YTD Sales'!$B:$B,Brokerage!$B124,'YTD Sales'!$M:$M,Brokerage!P$4)+SUMIFS('YTD Purchases'!$H:$H,'YTD Purchases'!$C:$C,Brokerage!$B124,'YTD Purchases'!$G:$G,Brokerage!P$4)</f>
        <v>0</v>
      </c>
      <c r="Q124" s="857">
        <f>SUMIFS('YTD Sales'!$N:$N,'YTD Sales'!$B:$B,Brokerage!$B124,'YTD Sales'!$M:$M,Brokerage!Q$4)+SUMIFS('YTD Purchases'!$H:$H,'YTD Purchases'!$C:$C,Brokerage!$B124,'YTD Purchases'!$G:$G,Brokerage!Q$4)</f>
        <v>0</v>
      </c>
      <c r="R124" s="857">
        <f>SUMIFS('YTD Sales'!$N:$N,'YTD Sales'!$B:$B,Brokerage!$B124,'YTD Sales'!$M:$M,Brokerage!R$4)+SUMIFS('YTD Purchases'!$H:$H,'YTD Purchases'!$C:$C,Brokerage!$B124,'YTD Purchases'!$G:$G,Brokerage!R$4)</f>
        <v>0</v>
      </c>
      <c r="S124" s="857">
        <f>SUMIFS('YTD Sales'!$N:$N,'YTD Sales'!$B:$B,Brokerage!$B124,'YTD Sales'!$M:$M,Brokerage!S$4)+SUMIFS('YTD Purchases'!$H:$H,'YTD Purchases'!$C:$C,Brokerage!$B124,'YTD Purchases'!$G:$G,Brokerage!S$4)</f>
        <v>0</v>
      </c>
      <c r="T124" s="857">
        <f>SUMIFS('YTD Sales'!$N:$N,'YTD Sales'!$B:$B,Brokerage!$B124,'YTD Sales'!$M:$M,Brokerage!T$4)+SUMIFS('YTD Purchases'!$H:$H,'YTD Purchases'!$C:$C,Brokerage!$B124,'YTD Purchases'!$G:$G,Brokerage!T$4)</f>
        <v>0</v>
      </c>
      <c r="U124" s="857">
        <f>SUMIFS('YTD Sales'!$N:$N,'YTD Sales'!$B:$B,Brokerage!$B124,'YTD Sales'!$M:$M,Brokerage!U$4)+SUMIFS('YTD Purchases'!$H:$H,'YTD Purchases'!$C:$C,Brokerage!$B124,'YTD Purchases'!$G:$G,Brokerage!U$4)</f>
        <v>0</v>
      </c>
      <c r="V124" s="857">
        <f>SUMIFS('YTD Sales'!$N:$N,'YTD Sales'!$B:$B,Brokerage!$B124,'YTD Sales'!$M:$M,Brokerage!V$4)+SUMIFS('YTD Purchases'!$H:$H,'YTD Purchases'!$C:$C,Brokerage!$B124,'YTD Purchases'!$G:$G,Brokerage!V$4)</f>
        <v>0</v>
      </c>
      <c r="W124" s="857">
        <f>SUMIFS('YTD Sales'!$N:$N,'YTD Sales'!$B:$B,Brokerage!$B124,'YTD Sales'!$M:$M,Brokerage!W$4)+SUMIFS('YTD Purchases'!$H:$H,'YTD Purchases'!$C:$C,Brokerage!$B124,'YTD Purchases'!$G:$G,Brokerage!W$4)</f>
        <v>0</v>
      </c>
      <c r="X124" s="857">
        <f>SUMIFS('YTD Sales'!$N:$N,'YTD Sales'!$B:$B,Brokerage!$B124,'YTD Sales'!$M:$M,Brokerage!X$4)+SUMIFS('YTD Purchases'!$H:$H,'YTD Purchases'!$C:$C,Brokerage!$B124,'YTD Purchases'!$G:$G,Brokerage!X$4)</f>
        <v>0</v>
      </c>
      <c r="Y124" s="857">
        <f>SUMIFS('YTD Sales'!$N:$N,'YTD Sales'!$B:$B,Brokerage!$B124,'YTD Sales'!$M:$M,Brokerage!Y$4)+SUMIFS('YTD Purchases'!$H:$H,'YTD Purchases'!$C:$C,Brokerage!$B124,'YTD Purchases'!$G:$G,Brokerage!Y$4)</f>
        <v>0</v>
      </c>
      <c r="Z124" s="857">
        <f>SUMIFS('YTD Sales'!$N:$N,'YTD Sales'!$B:$B,Brokerage!$B124,'YTD Sales'!$M:$M,Brokerage!Z$4)+SUMIFS('YTD Purchases'!$H:$H,'YTD Purchases'!$C:$C,Brokerage!$B124,'YTD Purchases'!$G:$G,Brokerage!Z$4)</f>
        <v>0</v>
      </c>
      <c r="AA124" s="857">
        <f>SUMIFS('YTD Sales'!$N:$N,'YTD Sales'!$B:$B,Brokerage!$B124,'YTD Sales'!$M:$M,Brokerage!AA$4)+SUMIFS('YTD Purchases'!$H:$H,'YTD Purchases'!$C:$C,Brokerage!$B124,'YTD Purchases'!$G:$G,Brokerage!AA$4)</f>
        <v>0</v>
      </c>
      <c r="AB124" s="857">
        <f>SUMIFS('YTD Sales'!$N:$N,'YTD Sales'!$B:$B,Brokerage!$B124,'YTD Sales'!$M:$M,Brokerage!AB$4)+SUMIFS('YTD Purchases'!$H:$H,'YTD Purchases'!$C:$C,Brokerage!$B124,'YTD Purchases'!$G:$G,Brokerage!AB$4)</f>
        <v>0</v>
      </c>
      <c r="AC124" s="857">
        <f>SUMIFS('YTD Sales'!$N:$N,'YTD Sales'!$B:$B,Brokerage!$B124,'YTD Sales'!$M:$M,Brokerage!AC$4)+SUMIFS('YTD Purchases'!$H:$H,'YTD Purchases'!$C:$C,Brokerage!$B124,'YTD Purchases'!$G:$G,Brokerage!AC$4)</f>
        <v>0</v>
      </c>
      <c r="AD124" s="857">
        <f>+SUMIFS(PIB!AG:AG,PIB!AF:AF,Brokerage!AD$4,PIB!AA:AA,Brokerage!$B124)+SUMIFS('T-Bills'!AB:AB,'T-Bills'!AA:AA,Brokerage!AD$4,'T-Bills'!V:V,Brokerage!$B124)</f>
        <v>0</v>
      </c>
      <c r="AE124" s="857">
        <f>+SUMIFS(PIB!AH:AH,PIB!AG:AG,Brokerage!AE$4,PIB!AB:AB,Brokerage!$B124)+SUMIFS('T-Bills'!AC:AC,'T-Bills'!AB:AB,Brokerage!AE$4,'T-Bills'!W:W,Brokerage!$B124)</f>
        <v>0</v>
      </c>
      <c r="AF124" s="857">
        <f>+SUMIFS(PIB!AI:AI,PIB!AH:AH,Brokerage!AF$4,PIB!AC:AC,Brokerage!$B124)+SUMIFS('T-Bills'!AD:AD,'T-Bills'!AC:AC,Brokerage!AF$4,'T-Bills'!X:X,Brokerage!$B124)</f>
        <v>0</v>
      </c>
      <c r="AG124" s="857">
        <f t="shared" si="10"/>
        <v>0</v>
      </c>
      <c r="AH124" s="858">
        <f t="shared" si="17"/>
        <v>0</v>
      </c>
    </row>
    <row r="125" spans="2:34" x14ac:dyDescent="0.15">
      <c r="B125" s="661">
        <f t="shared" si="9"/>
        <v>44681</v>
      </c>
      <c r="C125" s="857">
        <f>SUMIFS('YTD Sales'!$N:$N,'YTD Sales'!$B:$B,Brokerage!$B125,'YTD Sales'!$M:$M,Brokerage!C$4)+SUMIFS('YTD Purchases'!$H:$H,'YTD Purchases'!$C:$C,Brokerage!$B125,'YTD Purchases'!$G:$G,Brokerage!C$4)</f>
        <v>0</v>
      </c>
      <c r="D125" s="857">
        <f>SUMIFS('YTD Sales'!$N:$N,'YTD Sales'!$B:$B,Brokerage!$B125,'YTD Sales'!$M:$M,Brokerage!D$4)+SUMIFS('YTD Purchases'!$H:$H,'YTD Purchases'!$C:$C,Brokerage!$B125,'YTD Purchases'!$G:$G,Brokerage!D$4)</f>
        <v>0</v>
      </c>
      <c r="E125" s="857">
        <f>SUMIFS('YTD Sales'!$N:$N,'YTD Sales'!$B:$B,Brokerage!$B125,'YTD Sales'!$M:$M,Brokerage!E$4)+SUMIFS('YTD Purchases'!$H:$H,'YTD Purchases'!$C:$C,Brokerage!$B125,'YTD Purchases'!$G:$G,Brokerage!E$4)</f>
        <v>0</v>
      </c>
      <c r="F125" s="857">
        <f>SUMIFS('YTD Sales'!$N:$N,'YTD Sales'!$B:$B,Brokerage!$B125,'YTD Sales'!$M:$M,Brokerage!F$4)+SUMIFS('YTD Purchases'!$H:$H,'YTD Purchases'!$C:$C,Brokerage!$B125,'YTD Purchases'!$G:$G,Brokerage!F$4)</f>
        <v>0</v>
      </c>
      <c r="G125" s="857">
        <f>SUMIFS('YTD Sales'!$N:$N,'YTD Sales'!$B:$B,Brokerage!$B125,'YTD Sales'!$M:$M,Brokerage!G$4)+SUMIFS('YTD Purchases'!$H:$H,'YTD Purchases'!$C:$C,Brokerage!$B125,'YTD Purchases'!$G:$G,Brokerage!G$4)</f>
        <v>0</v>
      </c>
      <c r="H125" s="857">
        <f>SUMIFS('YTD Sales'!$N:$N,'YTD Sales'!$B:$B,Brokerage!$B125,'YTD Sales'!$M:$M,Brokerage!H$4)+SUMIFS('YTD Purchases'!$H:$H,'YTD Purchases'!$C:$C,Brokerage!$B125,'YTD Purchases'!$G:$G,Brokerage!H$4)</f>
        <v>0</v>
      </c>
      <c r="I125" s="857">
        <f>SUMIFS('YTD Sales'!$N:$N,'YTD Sales'!$B:$B,Brokerage!$B125,'YTD Sales'!$M:$M,Brokerage!I$4)+SUMIFS('YTD Purchases'!$H:$H,'YTD Purchases'!$C:$C,Brokerage!$B125,'YTD Purchases'!$G:$G,Brokerage!I$4)</f>
        <v>0</v>
      </c>
      <c r="J125" s="857">
        <f>SUMIFS('YTD Sales'!$N:$N,'YTD Sales'!$B:$B,Brokerage!$B125,'YTD Sales'!$M:$M,Brokerage!J$4)+SUMIFS('YTD Purchases'!$H:$H,'YTD Purchases'!$C:$C,Brokerage!$B125,'YTD Purchases'!$G:$G,Brokerage!J$4)</f>
        <v>0</v>
      </c>
      <c r="K125" s="857">
        <f>SUMIFS('YTD Sales'!$N:$N,'YTD Sales'!$B:$B,Brokerage!$B125,'YTD Sales'!$M:$M,Brokerage!K$4)+SUMIFS('YTD Purchases'!$H:$H,'YTD Purchases'!$C:$C,Brokerage!$B125,'YTD Purchases'!$G:$G,Brokerage!K$4)</f>
        <v>0</v>
      </c>
      <c r="L125" s="857">
        <f>SUMIFS('YTD Sales'!$N:$N,'YTD Sales'!$B:$B,Brokerage!$B125,'YTD Sales'!$M:$M,Brokerage!L$4)+SUMIFS('YTD Purchases'!$H:$H,'YTD Purchases'!$C:$C,Brokerage!$B125,'YTD Purchases'!$G:$G,Brokerage!L$4)</f>
        <v>0</v>
      </c>
      <c r="M125" s="857">
        <f>SUMIFS('YTD Sales'!$N:$N,'YTD Sales'!$B:$B,Brokerage!$B125,'YTD Sales'!$M:$M,Brokerage!M$4)+SUMIFS('YTD Purchases'!$H:$H,'YTD Purchases'!$C:$C,Brokerage!$B125,'YTD Purchases'!$G:$G,Brokerage!M$4)</f>
        <v>0</v>
      </c>
      <c r="N125" s="857">
        <f>SUMIFS('YTD Sales'!$N:$N,'YTD Sales'!$B:$B,Brokerage!$B125,'YTD Sales'!$M:$M,Brokerage!N$4)+SUMIFS('YTD Purchases'!$H:$H,'YTD Purchases'!$C:$C,Brokerage!$B125,'YTD Purchases'!$G:$G,Brokerage!N$4)</f>
        <v>0</v>
      </c>
      <c r="O125" s="857">
        <f>SUMIFS('YTD Sales'!$N:$N,'YTD Sales'!$B:$B,Brokerage!$B125,'YTD Sales'!$M:$M,Brokerage!O$4)+SUMIFS('YTD Purchases'!$H:$H,'YTD Purchases'!$C:$C,Brokerage!$B125,'YTD Purchases'!$G:$G,Brokerage!O$4)</f>
        <v>0</v>
      </c>
      <c r="P125" s="857">
        <f>SUMIFS('YTD Sales'!$N:$N,'YTD Sales'!$B:$B,Brokerage!$B125,'YTD Sales'!$M:$M,Brokerage!P$4)+SUMIFS('YTD Purchases'!$H:$H,'YTD Purchases'!$C:$C,Brokerage!$B125,'YTD Purchases'!$G:$G,Brokerage!P$4)</f>
        <v>0</v>
      </c>
      <c r="Q125" s="857">
        <f>SUMIFS('YTD Sales'!$N:$N,'YTD Sales'!$B:$B,Brokerage!$B125,'YTD Sales'!$M:$M,Brokerage!Q$4)+SUMIFS('YTD Purchases'!$H:$H,'YTD Purchases'!$C:$C,Brokerage!$B125,'YTD Purchases'!$G:$G,Brokerage!Q$4)</f>
        <v>0</v>
      </c>
      <c r="R125" s="857">
        <f>SUMIFS('YTD Sales'!$N:$N,'YTD Sales'!$B:$B,Brokerage!$B125,'YTD Sales'!$M:$M,Brokerage!R$4)+SUMIFS('YTD Purchases'!$H:$H,'YTD Purchases'!$C:$C,Brokerage!$B125,'YTD Purchases'!$G:$G,Brokerage!R$4)</f>
        <v>0</v>
      </c>
      <c r="S125" s="857">
        <f>SUMIFS('YTD Sales'!$N:$N,'YTD Sales'!$B:$B,Brokerage!$B125,'YTD Sales'!$M:$M,Brokerage!S$4)+SUMIFS('YTD Purchases'!$H:$H,'YTD Purchases'!$C:$C,Brokerage!$B125,'YTD Purchases'!$G:$G,Brokerage!S$4)</f>
        <v>0</v>
      </c>
      <c r="T125" s="857">
        <f>SUMIFS('YTD Sales'!$N:$N,'YTD Sales'!$B:$B,Brokerage!$B125,'YTD Sales'!$M:$M,Brokerage!T$4)+SUMIFS('YTD Purchases'!$H:$H,'YTD Purchases'!$C:$C,Brokerage!$B125,'YTD Purchases'!$G:$G,Brokerage!T$4)</f>
        <v>0</v>
      </c>
      <c r="U125" s="857">
        <f>SUMIFS('YTD Sales'!$N:$N,'YTD Sales'!$B:$B,Brokerage!$B125,'YTD Sales'!$M:$M,Brokerage!U$4)+SUMIFS('YTD Purchases'!$H:$H,'YTD Purchases'!$C:$C,Brokerage!$B125,'YTD Purchases'!$G:$G,Brokerage!U$4)</f>
        <v>0</v>
      </c>
      <c r="V125" s="857">
        <f>SUMIFS('YTD Sales'!$N:$N,'YTD Sales'!$B:$B,Brokerage!$B125,'YTD Sales'!$M:$M,Brokerage!V$4)+SUMIFS('YTD Purchases'!$H:$H,'YTD Purchases'!$C:$C,Brokerage!$B125,'YTD Purchases'!$G:$G,Brokerage!V$4)</f>
        <v>0</v>
      </c>
      <c r="W125" s="857">
        <f>SUMIFS('YTD Sales'!$N:$N,'YTD Sales'!$B:$B,Brokerage!$B125,'YTD Sales'!$M:$M,Brokerage!W$4)+SUMIFS('YTD Purchases'!$H:$H,'YTD Purchases'!$C:$C,Brokerage!$B125,'YTD Purchases'!$G:$G,Brokerage!W$4)</f>
        <v>0</v>
      </c>
      <c r="X125" s="857">
        <f>SUMIFS('YTD Sales'!$N:$N,'YTD Sales'!$B:$B,Brokerage!$B125,'YTD Sales'!$M:$M,Brokerage!X$4)+SUMIFS('YTD Purchases'!$H:$H,'YTD Purchases'!$C:$C,Brokerage!$B125,'YTD Purchases'!$G:$G,Brokerage!X$4)</f>
        <v>0</v>
      </c>
      <c r="Y125" s="857">
        <f>SUMIFS('YTD Sales'!$N:$N,'YTD Sales'!$B:$B,Brokerage!$B125,'YTD Sales'!$M:$M,Brokerage!Y$4)+SUMIFS('YTD Purchases'!$H:$H,'YTD Purchases'!$C:$C,Brokerage!$B125,'YTD Purchases'!$G:$G,Brokerage!Y$4)</f>
        <v>0</v>
      </c>
      <c r="Z125" s="857">
        <f>SUMIFS('YTD Sales'!$N:$N,'YTD Sales'!$B:$B,Brokerage!$B125,'YTD Sales'!$M:$M,Brokerage!Z$4)+SUMIFS('YTD Purchases'!$H:$H,'YTD Purchases'!$C:$C,Brokerage!$B125,'YTD Purchases'!$G:$G,Brokerage!Z$4)</f>
        <v>0</v>
      </c>
      <c r="AA125" s="857">
        <f>SUMIFS('YTD Sales'!$N:$N,'YTD Sales'!$B:$B,Brokerage!$B125,'YTD Sales'!$M:$M,Brokerage!AA$4)+SUMIFS('YTD Purchases'!$H:$H,'YTD Purchases'!$C:$C,Brokerage!$B125,'YTD Purchases'!$G:$G,Brokerage!AA$4)</f>
        <v>0</v>
      </c>
      <c r="AB125" s="857">
        <f>SUMIFS('YTD Sales'!$N:$N,'YTD Sales'!$B:$B,Brokerage!$B125,'YTD Sales'!$M:$M,Brokerage!AB$4)+SUMIFS('YTD Purchases'!$H:$H,'YTD Purchases'!$C:$C,Brokerage!$B125,'YTD Purchases'!$G:$G,Brokerage!AB$4)</f>
        <v>0</v>
      </c>
      <c r="AC125" s="857">
        <f>SUMIFS('YTD Sales'!$N:$N,'YTD Sales'!$B:$B,Brokerage!$B125,'YTD Sales'!$M:$M,Brokerage!AC$4)+SUMIFS('YTD Purchases'!$H:$H,'YTD Purchases'!$C:$C,Brokerage!$B125,'YTD Purchases'!$G:$G,Brokerage!AC$4)</f>
        <v>0</v>
      </c>
      <c r="AD125" s="857">
        <f>+SUMIFS(PIB!AG:AG,PIB!AF:AF,Brokerage!AD$4,PIB!AA:AA,Brokerage!$B125)+SUMIFS('T-Bills'!AB:AB,'T-Bills'!AA:AA,Brokerage!AD$4,'T-Bills'!V:V,Brokerage!$B125)</f>
        <v>0</v>
      </c>
      <c r="AE125" s="857">
        <f>+SUMIFS(PIB!AH:AH,PIB!AG:AG,Brokerage!AE$4,PIB!AB:AB,Brokerage!$B125)+SUMIFS('T-Bills'!AC:AC,'T-Bills'!AB:AB,Brokerage!AE$4,'T-Bills'!W:W,Brokerage!$B125)</f>
        <v>0</v>
      </c>
      <c r="AF125" s="857">
        <f>+SUMIFS(PIB!AI:AI,PIB!AH:AH,Brokerage!AF$4,PIB!AC:AC,Brokerage!$B125)+SUMIFS('T-Bills'!AD:AD,'T-Bills'!AC:AC,Brokerage!AF$4,'T-Bills'!X:X,Brokerage!$B125)</f>
        <v>0</v>
      </c>
      <c r="AG125" s="857">
        <f t="shared" si="10"/>
        <v>0</v>
      </c>
      <c r="AH125" s="858">
        <f t="shared" si="17"/>
        <v>0</v>
      </c>
    </row>
    <row r="126" spans="2:34" x14ac:dyDescent="0.15">
      <c r="B126" s="661">
        <f t="shared" si="9"/>
        <v>44682</v>
      </c>
      <c r="C126" s="857">
        <f>SUMIFS('YTD Sales'!$N:$N,'YTD Sales'!$B:$B,Brokerage!$B126,'YTD Sales'!$M:$M,Brokerage!C$4)+SUMIFS('YTD Purchases'!$H:$H,'YTD Purchases'!$C:$C,Brokerage!$B126,'YTD Purchases'!$G:$G,Brokerage!C$4)</f>
        <v>0</v>
      </c>
      <c r="D126" s="857">
        <f>SUMIFS('YTD Sales'!$N:$N,'YTD Sales'!$B:$B,Brokerage!$B126,'YTD Sales'!$M:$M,Brokerage!D$4)+SUMIFS('YTD Purchases'!$H:$H,'YTD Purchases'!$C:$C,Brokerage!$B126,'YTD Purchases'!$G:$G,Brokerage!D$4)</f>
        <v>0</v>
      </c>
      <c r="E126" s="857">
        <f>SUMIFS('YTD Sales'!$N:$N,'YTD Sales'!$B:$B,Brokerage!$B126,'YTD Sales'!$M:$M,Brokerage!E$4)+SUMIFS('YTD Purchases'!$H:$H,'YTD Purchases'!$C:$C,Brokerage!$B126,'YTD Purchases'!$G:$G,Brokerage!E$4)</f>
        <v>0</v>
      </c>
      <c r="F126" s="857">
        <f>SUMIFS('YTD Sales'!$N:$N,'YTD Sales'!$B:$B,Brokerage!$B126,'YTD Sales'!$M:$M,Brokerage!F$4)+SUMIFS('YTD Purchases'!$H:$H,'YTD Purchases'!$C:$C,Brokerage!$B126,'YTD Purchases'!$G:$G,Brokerage!F$4)</f>
        <v>0</v>
      </c>
      <c r="G126" s="857">
        <f>SUMIFS('YTD Sales'!$N:$N,'YTD Sales'!$B:$B,Brokerage!$B126,'YTD Sales'!$M:$M,Brokerage!G$4)+SUMIFS('YTD Purchases'!$H:$H,'YTD Purchases'!$C:$C,Brokerage!$B126,'YTD Purchases'!$G:$G,Brokerage!G$4)</f>
        <v>0</v>
      </c>
      <c r="H126" s="857">
        <f>SUMIFS('YTD Sales'!$N:$N,'YTD Sales'!$B:$B,Brokerage!$B126,'YTD Sales'!$M:$M,Brokerage!H$4)+SUMIFS('YTD Purchases'!$H:$H,'YTD Purchases'!$C:$C,Brokerage!$B126,'YTD Purchases'!$G:$G,Brokerage!H$4)</f>
        <v>0</v>
      </c>
      <c r="I126" s="857">
        <f>SUMIFS('YTD Sales'!$N:$N,'YTD Sales'!$B:$B,Brokerage!$B126,'YTD Sales'!$M:$M,Brokerage!I$4)+SUMIFS('YTD Purchases'!$H:$H,'YTD Purchases'!$C:$C,Brokerage!$B126,'YTD Purchases'!$G:$G,Brokerage!I$4)</f>
        <v>0</v>
      </c>
      <c r="J126" s="857">
        <f>SUMIFS('YTD Sales'!$N:$N,'YTD Sales'!$B:$B,Brokerage!$B126,'YTD Sales'!$M:$M,Brokerage!J$4)+SUMIFS('YTD Purchases'!$H:$H,'YTD Purchases'!$C:$C,Brokerage!$B126,'YTD Purchases'!$G:$G,Brokerage!J$4)</f>
        <v>0</v>
      </c>
      <c r="K126" s="857">
        <f>SUMIFS('YTD Sales'!$N:$N,'YTD Sales'!$B:$B,Brokerage!$B126,'YTD Sales'!$M:$M,Brokerage!K$4)+SUMIFS('YTD Purchases'!$H:$H,'YTD Purchases'!$C:$C,Brokerage!$B126,'YTD Purchases'!$G:$G,Brokerage!K$4)</f>
        <v>0</v>
      </c>
      <c r="L126" s="857">
        <f>SUMIFS('YTD Sales'!$N:$N,'YTD Sales'!$B:$B,Brokerage!$B126,'YTD Sales'!$M:$M,Brokerage!L$4)+SUMIFS('YTD Purchases'!$H:$H,'YTD Purchases'!$C:$C,Brokerage!$B126,'YTD Purchases'!$G:$G,Brokerage!L$4)</f>
        <v>0</v>
      </c>
      <c r="M126" s="857">
        <f>SUMIFS('YTD Sales'!$N:$N,'YTD Sales'!$B:$B,Brokerage!$B126,'YTD Sales'!$M:$M,Brokerage!M$4)+SUMIFS('YTD Purchases'!$H:$H,'YTD Purchases'!$C:$C,Brokerage!$B126,'YTD Purchases'!$G:$G,Brokerage!M$4)</f>
        <v>0</v>
      </c>
      <c r="N126" s="857">
        <f>SUMIFS('YTD Sales'!$N:$N,'YTD Sales'!$B:$B,Brokerage!$B126,'YTD Sales'!$M:$M,Brokerage!N$4)+SUMIFS('YTD Purchases'!$H:$H,'YTD Purchases'!$C:$C,Brokerage!$B126,'YTD Purchases'!$G:$G,Brokerage!N$4)</f>
        <v>0</v>
      </c>
      <c r="O126" s="857">
        <f>SUMIFS('YTD Sales'!$N:$N,'YTD Sales'!$B:$B,Brokerage!$B126,'YTD Sales'!$M:$M,Brokerage!O$4)+SUMIFS('YTD Purchases'!$H:$H,'YTD Purchases'!$C:$C,Brokerage!$B126,'YTD Purchases'!$G:$G,Brokerage!O$4)</f>
        <v>0</v>
      </c>
      <c r="P126" s="857">
        <f>SUMIFS('YTD Sales'!$N:$N,'YTD Sales'!$B:$B,Brokerage!$B126,'YTD Sales'!$M:$M,Brokerage!P$4)+SUMIFS('YTD Purchases'!$H:$H,'YTD Purchases'!$C:$C,Brokerage!$B126,'YTD Purchases'!$G:$G,Brokerage!P$4)</f>
        <v>0</v>
      </c>
      <c r="Q126" s="857">
        <f>SUMIFS('YTD Sales'!$N:$N,'YTD Sales'!$B:$B,Brokerage!$B126,'YTD Sales'!$M:$M,Brokerage!Q$4)+SUMIFS('YTD Purchases'!$H:$H,'YTD Purchases'!$C:$C,Brokerage!$B126,'YTD Purchases'!$G:$G,Brokerage!Q$4)</f>
        <v>0</v>
      </c>
      <c r="R126" s="857">
        <f>SUMIFS('YTD Sales'!$N:$N,'YTD Sales'!$B:$B,Brokerage!$B126,'YTD Sales'!$M:$M,Brokerage!R$4)+SUMIFS('YTD Purchases'!$H:$H,'YTD Purchases'!$C:$C,Brokerage!$B126,'YTD Purchases'!$G:$G,Brokerage!R$4)</f>
        <v>0</v>
      </c>
      <c r="S126" s="857">
        <f>SUMIFS('YTD Sales'!$N:$N,'YTD Sales'!$B:$B,Brokerage!$B126,'YTD Sales'!$M:$M,Brokerage!S$4)+SUMIFS('YTD Purchases'!$H:$H,'YTD Purchases'!$C:$C,Brokerage!$B126,'YTD Purchases'!$G:$G,Brokerage!S$4)</f>
        <v>0</v>
      </c>
      <c r="T126" s="857">
        <f>SUMIFS('YTD Sales'!$N:$N,'YTD Sales'!$B:$B,Brokerage!$B126,'YTD Sales'!$M:$M,Brokerage!T$4)+SUMIFS('YTD Purchases'!$H:$H,'YTD Purchases'!$C:$C,Brokerage!$B126,'YTD Purchases'!$G:$G,Brokerage!T$4)</f>
        <v>0</v>
      </c>
      <c r="U126" s="857">
        <f>SUMIFS('YTD Sales'!$N:$N,'YTD Sales'!$B:$B,Brokerage!$B126,'YTD Sales'!$M:$M,Brokerage!U$4)+SUMIFS('YTD Purchases'!$H:$H,'YTD Purchases'!$C:$C,Brokerage!$B126,'YTD Purchases'!$G:$G,Brokerage!U$4)</f>
        <v>0</v>
      </c>
      <c r="V126" s="857">
        <f>SUMIFS('YTD Sales'!$N:$N,'YTD Sales'!$B:$B,Brokerage!$B126,'YTD Sales'!$M:$M,Brokerage!V$4)+SUMIFS('YTD Purchases'!$H:$H,'YTD Purchases'!$C:$C,Brokerage!$B126,'YTD Purchases'!$G:$G,Brokerage!V$4)</f>
        <v>0</v>
      </c>
      <c r="W126" s="857">
        <f>SUMIFS('YTD Sales'!$N:$N,'YTD Sales'!$B:$B,Brokerage!$B126,'YTD Sales'!$M:$M,Brokerage!W$4)+SUMIFS('YTD Purchases'!$H:$H,'YTD Purchases'!$C:$C,Brokerage!$B126,'YTD Purchases'!$G:$G,Brokerage!W$4)</f>
        <v>0</v>
      </c>
      <c r="X126" s="857">
        <f>SUMIFS('YTD Sales'!$N:$N,'YTD Sales'!$B:$B,Brokerage!$B126,'YTD Sales'!$M:$M,Brokerage!X$4)+SUMIFS('YTD Purchases'!$H:$H,'YTD Purchases'!$C:$C,Brokerage!$B126,'YTD Purchases'!$G:$G,Brokerage!X$4)</f>
        <v>0</v>
      </c>
      <c r="Y126" s="857">
        <f>SUMIFS('YTD Sales'!$N:$N,'YTD Sales'!$B:$B,Brokerage!$B126,'YTD Sales'!$M:$M,Brokerage!Y$4)+SUMIFS('YTD Purchases'!$H:$H,'YTD Purchases'!$C:$C,Brokerage!$B126,'YTD Purchases'!$G:$G,Brokerage!Y$4)</f>
        <v>0</v>
      </c>
      <c r="Z126" s="857">
        <f>SUMIFS('YTD Sales'!$N:$N,'YTD Sales'!$B:$B,Brokerage!$B126,'YTD Sales'!$M:$M,Brokerage!Z$4)+SUMIFS('YTD Purchases'!$H:$H,'YTD Purchases'!$C:$C,Brokerage!$B126,'YTD Purchases'!$G:$G,Brokerage!Z$4)</f>
        <v>0</v>
      </c>
      <c r="AA126" s="857">
        <f>SUMIFS('YTD Sales'!$N:$N,'YTD Sales'!$B:$B,Brokerage!$B126,'YTD Sales'!$M:$M,Brokerage!AA$4)+SUMIFS('YTD Purchases'!$H:$H,'YTD Purchases'!$C:$C,Brokerage!$B126,'YTD Purchases'!$G:$G,Brokerage!AA$4)</f>
        <v>0</v>
      </c>
      <c r="AB126" s="857">
        <f>SUMIFS('YTD Sales'!$N:$N,'YTD Sales'!$B:$B,Brokerage!$B126,'YTD Sales'!$M:$M,Brokerage!AB$4)+SUMIFS('YTD Purchases'!$H:$H,'YTD Purchases'!$C:$C,Brokerage!$B126,'YTD Purchases'!$G:$G,Brokerage!AB$4)</f>
        <v>0</v>
      </c>
      <c r="AC126" s="857">
        <f>SUMIFS('YTD Sales'!$N:$N,'YTD Sales'!$B:$B,Brokerage!$B126,'YTD Sales'!$M:$M,Brokerage!AC$4)+SUMIFS('YTD Purchases'!$H:$H,'YTD Purchases'!$C:$C,Brokerage!$B126,'YTD Purchases'!$G:$G,Brokerage!AC$4)</f>
        <v>0</v>
      </c>
      <c r="AD126" s="857">
        <f>+SUMIFS(PIB!AG:AG,PIB!AF:AF,Brokerage!AD$4,PIB!AA:AA,Brokerage!$B126)+SUMIFS('T-Bills'!AB:AB,'T-Bills'!AA:AA,Brokerage!AD$4,'T-Bills'!V:V,Brokerage!$B126)</f>
        <v>0</v>
      </c>
      <c r="AE126" s="857">
        <f>+SUMIFS(PIB!AH:AH,PIB!AG:AG,Brokerage!AE$4,PIB!AB:AB,Brokerage!$B126)+SUMIFS('T-Bills'!AC:AC,'T-Bills'!AB:AB,Brokerage!AE$4,'T-Bills'!W:W,Brokerage!$B126)</f>
        <v>0</v>
      </c>
      <c r="AF126" s="857">
        <f>+SUMIFS(PIB!AI:AI,PIB!AH:AH,Brokerage!AF$4,PIB!AC:AC,Brokerage!$B126)+SUMIFS('T-Bills'!AD:AD,'T-Bills'!AC:AC,Brokerage!AF$4,'T-Bills'!X:X,Brokerage!$B126)</f>
        <v>0</v>
      </c>
      <c r="AG126" s="857">
        <f t="shared" si="10"/>
        <v>0</v>
      </c>
      <c r="AH126" s="858">
        <f t="shared" si="17"/>
        <v>0</v>
      </c>
    </row>
    <row r="127" spans="2:34" x14ac:dyDescent="0.15">
      <c r="B127" s="661">
        <f t="shared" si="9"/>
        <v>44683</v>
      </c>
      <c r="C127" s="857">
        <f>SUMIFS('YTD Sales'!$N:$N,'YTD Sales'!$B:$B,Brokerage!$B127,'YTD Sales'!$M:$M,Brokerage!C$4)+SUMIFS('YTD Purchases'!$H:$H,'YTD Purchases'!$C:$C,Brokerage!$B127,'YTD Purchases'!$G:$G,Brokerage!C$4)</f>
        <v>0</v>
      </c>
      <c r="D127" s="857">
        <f>SUMIFS('YTD Sales'!$N:$N,'YTD Sales'!$B:$B,Brokerage!$B127,'YTD Sales'!$M:$M,Brokerage!D$4)+SUMIFS('YTD Purchases'!$H:$H,'YTD Purchases'!$C:$C,Brokerage!$B127,'YTD Purchases'!$G:$G,Brokerage!D$4)</f>
        <v>0</v>
      </c>
      <c r="E127" s="857">
        <f>SUMIFS('YTD Sales'!$N:$N,'YTD Sales'!$B:$B,Brokerage!$B127,'YTD Sales'!$M:$M,Brokerage!E$4)+SUMIFS('YTD Purchases'!$H:$H,'YTD Purchases'!$C:$C,Brokerage!$B127,'YTD Purchases'!$G:$G,Brokerage!E$4)</f>
        <v>0</v>
      </c>
      <c r="F127" s="857">
        <f>SUMIFS('YTD Sales'!$N:$N,'YTD Sales'!$B:$B,Brokerage!$B127,'YTD Sales'!$M:$M,Brokerage!F$4)+SUMIFS('YTD Purchases'!$H:$H,'YTD Purchases'!$C:$C,Brokerage!$B127,'YTD Purchases'!$G:$G,Brokerage!F$4)</f>
        <v>0</v>
      </c>
      <c r="G127" s="857">
        <f>SUMIFS('YTD Sales'!$N:$N,'YTD Sales'!$B:$B,Brokerage!$B127,'YTD Sales'!$M:$M,Brokerage!G$4)+SUMIFS('YTD Purchases'!$H:$H,'YTD Purchases'!$C:$C,Brokerage!$B127,'YTD Purchases'!$G:$G,Brokerage!G$4)</f>
        <v>0</v>
      </c>
      <c r="H127" s="857">
        <f>SUMIFS('YTD Sales'!$N:$N,'YTD Sales'!$B:$B,Brokerage!$B127,'YTD Sales'!$M:$M,Brokerage!H$4)+SUMIFS('YTD Purchases'!$H:$H,'YTD Purchases'!$C:$C,Brokerage!$B127,'YTD Purchases'!$G:$G,Brokerage!H$4)</f>
        <v>0</v>
      </c>
      <c r="I127" s="857">
        <f>SUMIFS('YTD Sales'!$N:$N,'YTD Sales'!$B:$B,Brokerage!$B127,'YTD Sales'!$M:$M,Brokerage!I$4)+SUMIFS('YTD Purchases'!$H:$H,'YTD Purchases'!$C:$C,Brokerage!$B127,'YTD Purchases'!$G:$G,Brokerage!I$4)</f>
        <v>0</v>
      </c>
      <c r="J127" s="857">
        <f>SUMIFS('YTD Sales'!$N:$N,'YTD Sales'!$B:$B,Brokerage!$B127,'YTD Sales'!$M:$M,Brokerage!J$4)+SUMIFS('YTD Purchases'!$H:$H,'YTD Purchases'!$C:$C,Brokerage!$B127,'YTD Purchases'!$G:$G,Brokerage!J$4)</f>
        <v>0</v>
      </c>
      <c r="K127" s="857">
        <f>SUMIFS('YTD Sales'!$N:$N,'YTD Sales'!$B:$B,Brokerage!$B127,'YTD Sales'!$M:$M,Brokerage!K$4)+SUMIFS('YTD Purchases'!$H:$H,'YTD Purchases'!$C:$C,Brokerage!$B127,'YTD Purchases'!$G:$G,Brokerage!K$4)</f>
        <v>0</v>
      </c>
      <c r="L127" s="857">
        <f>SUMIFS('YTD Sales'!$N:$N,'YTD Sales'!$B:$B,Brokerage!$B127,'YTD Sales'!$M:$M,Brokerage!L$4)+SUMIFS('YTD Purchases'!$H:$H,'YTD Purchases'!$C:$C,Brokerage!$B127,'YTD Purchases'!$G:$G,Brokerage!L$4)</f>
        <v>0</v>
      </c>
      <c r="M127" s="857">
        <f>SUMIFS('YTD Sales'!$N:$N,'YTD Sales'!$B:$B,Brokerage!$B127,'YTD Sales'!$M:$M,Brokerage!M$4)+SUMIFS('YTD Purchases'!$H:$H,'YTD Purchases'!$C:$C,Brokerage!$B127,'YTD Purchases'!$G:$G,Brokerage!M$4)</f>
        <v>0</v>
      </c>
      <c r="N127" s="857">
        <f>SUMIFS('YTD Sales'!$N:$N,'YTD Sales'!$B:$B,Brokerage!$B127,'YTD Sales'!$M:$M,Brokerage!N$4)+SUMIFS('YTD Purchases'!$H:$H,'YTD Purchases'!$C:$C,Brokerage!$B127,'YTD Purchases'!$G:$G,Brokerage!N$4)</f>
        <v>0</v>
      </c>
      <c r="O127" s="857">
        <f>SUMIFS('YTD Sales'!$N:$N,'YTD Sales'!$B:$B,Brokerage!$B127,'YTD Sales'!$M:$M,Brokerage!O$4)+SUMIFS('YTD Purchases'!$H:$H,'YTD Purchases'!$C:$C,Brokerage!$B127,'YTD Purchases'!$G:$G,Brokerage!O$4)</f>
        <v>0</v>
      </c>
      <c r="P127" s="857">
        <f>SUMIFS('YTD Sales'!$N:$N,'YTD Sales'!$B:$B,Brokerage!$B127,'YTD Sales'!$M:$M,Brokerage!P$4)+SUMIFS('YTD Purchases'!$H:$H,'YTD Purchases'!$C:$C,Brokerage!$B127,'YTD Purchases'!$G:$G,Brokerage!P$4)</f>
        <v>0</v>
      </c>
      <c r="Q127" s="857">
        <f>SUMIFS('YTD Sales'!$N:$N,'YTD Sales'!$B:$B,Brokerage!$B127,'YTD Sales'!$M:$M,Brokerage!Q$4)+SUMIFS('YTD Purchases'!$H:$H,'YTD Purchases'!$C:$C,Brokerage!$B127,'YTD Purchases'!$G:$G,Brokerage!Q$4)</f>
        <v>0</v>
      </c>
      <c r="R127" s="857">
        <f>SUMIFS('YTD Sales'!$N:$N,'YTD Sales'!$B:$B,Brokerage!$B127,'YTD Sales'!$M:$M,Brokerage!R$4)+SUMIFS('YTD Purchases'!$H:$H,'YTD Purchases'!$C:$C,Brokerage!$B127,'YTD Purchases'!$G:$G,Brokerage!R$4)</f>
        <v>0</v>
      </c>
      <c r="S127" s="857">
        <f>SUMIFS('YTD Sales'!$N:$N,'YTD Sales'!$B:$B,Brokerage!$B127,'YTD Sales'!$M:$M,Brokerage!S$4)+SUMIFS('YTD Purchases'!$H:$H,'YTD Purchases'!$C:$C,Brokerage!$B127,'YTD Purchases'!$G:$G,Brokerage!S$4)</f>
        <v>0</v>
      </c>
      <c r="T127" s="857">
        <f>SUMIFS('YTD Sales'!$N:$N,'YTD Sales'!$B:$B,Brokerage!$B127,'YTD Sales'!$M:$M,Brokerage!T$4)+SUMIFS('YTD Purchases'!$H:$H,'YTD Purchases'!$C:$C,Brokerage!$B127,'YTD Purchases'!$G:$G,Brokerage!T$4)</f>
        <v>0</v>
      </c>
      <c r="U127" s="857">
        <f>SUMIFS('YTD Sales'!$N:$N,'YTD Sales'!$B:$B,Brokerage!$B127,'YTD Sales'!$M:$M,Brokerage!U$4)+SUMIFS('YTD Purchases'!$H:$H,'YTD Purchases'!$C:$C,Brokerage!$B127,'YTD Purchases'!$G:$G,Brokerage!U$4)</f>
        <v>0</v>
      </c>
      <c r="V127" s="857">
        <f>SUMIFS('YTD Sales'!$N:$N,'YTD Sales'!$B:$B,Brokerage!$B127,'YTD Sales'!$M:$M,Brokerage!V$4)+SUMIFS('YTD Purchases'!$H:$H,'YTD Purchases'!$C:$C,Brokerage!$B127,'YTD Purchases'!$G:$G,Brokerage!V$4)</f>
        <v>0</v>
      </c>
      <c r="W127" s="857">
        <f>SUMIFS('YTD Sales'!$N:$N,'YTD Sales'!$B:$B,Brokerage!$B127,'YTD Sales'!$M:$M,Brokerage!W$4)+SUMIFS('YTD Purchases'!$H:$H,'YTD Purchases'!$C:$C,Brokerage!$B127,'YTD Purchases'!$G:$G,Brokerage!W$4)</f>
        <v>0</v>
      </c>
      <c r="X127" s="857">
        <f>SUMIFS('YTD Sales'!$N:$N,'YTD Sales'!$B:$B,Brokerage!$B127,'YTD Sales'!$M:$M,Brokerage!X$4)+SUMIFS('YTD Purchases'!$H:$H,'YTD Purchases'!$C:$C,Brokerage!$B127,'YTD Purchases'!$G:$G,Brokerage!X$4)</f>
        <v>0</v>
      </c>
      <c r="Y127" s="857">
        <f>SUMIFS('YTD Sales'!$N:$N,'YTD Sales'!$B:$B,Brokerage!$B127,'YTD Sales'!$M:$M,Brokerage!Y$4)+SUMIFS('YTD Purchases'!$H:$H,'YTD Purchases'!$C:$C,Brokerage!$B127,'YTD Purchases'!$G:$G,Brokerage!Y$4)</f>
        <v>0</v>
      </c>
      <c r="Z127" s="857">
        <f>SUMIFS('YTD Sales'!$N:$N,'YTD Sales'!$B:$B,Brokerage!$B127,'YTD Sales'!$M:$M,Brokerage!Z$4)+SUMIFS('YTD Purchases'!$H:$H,'YTD Purchases'!$C:$C,Brokerage!$B127,'YTD Purchases'!$G:$G,Brokerage!Z$4)</f>
        <v>0</v>
      </c>
      <c r="AA127" s="857">
        <f>SUMIFS('YTD Sales'!$N:$N,'YTD Sales'!$B:$B,Brokerage!$B127,'YTD Sales'!$M:$M,Brokerage!AA$4)+SUMIFS('YTD Purchases'!$H:$H,'YTD Purchases'!$C:$C,Brokerage!$B127,'YTD Purchases'!$G:$G,Brokerage!AA$4)</f>
        <v>0</v>
      </c>
      <c r="AB127" s="857">
        <f>SUMIFS('YTD Sales'!$N:$N,'YTD Sales'!$B:$B,Brokerage!$B127,'YTD Sales'!$M:$M,Brokerage!AB$4)+SUMIFS('YTD Purchases'!$H:$H,'YTD Purchases'!$C:$C,Brokerage!$B127,'YTD Purchases'!$G:$G,Brokerage!AB$4)</f>
        <v>0</v>
      </c>
      <c r="AC127" s="857">
        <f>SUMIFS('YTD Sales'!$N:$N,'YTD Sales'!$B:$B,Brokerage!$B127,'YTD Sales'!$M:$M,Brokerage!AC$4)+SUMIFS('YTD Purchases'!$H:$H,'YTD Purchases'!$C:$C,Brokerage!$B127,'YTD Purchases'!$G:$G,Brokerage!AC$4)</f>
        <v>0</v>
      </c>
      <c r="AD127" s="857">
        <f>+SUMIFS(PIB!AG:AG,PIB!AF:AF,Brokerage!AD$4,PIB!AA:AA,Brokerage!$B127)+SUMIFS('T-Bills'!AB:AB,'T-Bills'!AA:AA,Brokerage!AD$4,'T-Bills'!V:V,Brokerage!$B127)</f>
        <v>0</v>
      </c>
      <c r="AE127" s="857">
        <f>+SUMIFS(PIB!AH:AH,PIB!AG:AG,Brokerage!AE$4,PIB!AB:AB,Brokerage!$B127)+SUMIFS('T-Bills'!AC:AC,'T-Bills'!AB:AB,Brokerage!AE$4,'T-Bills'!W:W,Brokerage!$B127)</f>
        <v>0</v>
      </c>
      <c r="AF127" s="857">
        <f>+SUMIFS(PIB!AI:AI,PIB!AH:AH,Brokerage!AF$4,PIB!AC:AC,Brokerage!$B127)+SUMIFS('T-Bills'!AD:AD,'T-Bills'!AC:AC,Brokerage!AF$4,'T-Bills'!X:X,Brokerage!$B127)</f>
        <v>0</v>
      </c>
      <c r="AG127" s="857">
        <f t="shared" si="10"/>
        <v>0</v>
      </c>
      <c r="AH127" s="858">
        <f t="shared" si="17"/>
        <v>0</v>
      </c>
    </row>
    <row r="128" spans="2:34" x14ac:dyDescent="0.15">
      <c r="B128" s="661">
        <f t="shared" si="9"/>
        <v>44684</v>
      </c>
      <c r="C128" s="857">
        <f>SUMIFS('YTD Sales'!$N:$N,'YTD Sales'!$B:$B,Brokerage!$B128,'YTD Sales'!$M:$M,Brokerage!C$4)+SUMIFS('YTD Purchases'!$H:$H,'YTD Purchases'!$C:$C,Brokerage!$B128,'YTD Purchases'!$G:$G,Brokerage!C$4)</f>
        <v>0</v>
      </c>
      <c r="D128" s="857">
        <f>SUMIFS('YTD Sales'!$N:$N,'YTD Sales'!$B:$B,Brokerage!$B128,'YTD Sales'!$M:$M,Brokerage!D$4)+SUMIFS('YTD Purchases'!$H:$H,'YTD Purchases'!$C:$C,Brokerage!$B128,'YTD Purchases'!$G:$G,Brokerage!D$4)</f>
        <v>0</v>
      </c>
      <c r="E128" s="857">
        <f>SUMIFS('YTD Sales'!$N:$N,'YTD Sales'!$B:$B,Brokerage!$B128,'YTD Sales'!$M:$M,Brokerage!E$4)+SUMIFS('YTD Purchases'!$H:$H,'YTD Purchases'!$C:$C,Brokerage!$B128,'YTD Purchases'!$G:$G,Brokerage!E$4)</f>
        <v>0</v>
      </c>
      <c r="F128" s="857">
        <f>SUMIFS('YTD Sales'!$N:$N,'YTD Sales'!$B:$B,Brokerage!$B128,'YTD Sales'!$M:$M,Brokerage!F$4)+SUMIFS('YTD Purchases'!$H:$H,'YTD Purchases'!$C:$C,Brokerage!$B128,'YTD Purchases'!$G:$G,Brokerage!F$4)</f>
        <v>0</v>
      </c>
      <c r="G128" s="857">
        <f>SUMIFS('YTD Sales'!$N:$N,'YTD Sales'!$B:$B,Brokerage!$B128,'YTD Sales'!$M:$M,Brokerage!G$4)+SUMIFS('YTD Purchases'!$H:$H,'YTD Purchases'!$C:$C,Brokerage!$B128,'YTD Purchases'!$G:$G,Brokerage!G$4)</f>
        <v>0</v>
      </c>
      <c r="H128" s="857">
        <f>SUMIFS('YTD Sales'!$N:$N,'YTD Sales'!$B:$B,Brokerage!$B128,'YTD Sales'!$M:$M,Brokerage!H$4)+SUMIFS('YTD Purchases'!$H:$H,'YTD Purchases'!$C:$C,Brokerage!$B128,'YTD Purchases'!$G:$G,Brokerage!H$4)</f>
        <v>0</v>
      </c>
      <c r="I128" s="857">
        <f>SUMIFS('YTD Sales'!$N:$N,'YTD Sales'!$B:$B,Brokerage!$B128,'YTD Sales'!$M:$M,Brokerage!I$4)+SUMIFS('YTD Purchases'!$H:$H,'YTD Purchases'!$C:$C,Brokerage!$B128,'YTD Purchases'!$G:$G,Brokerage!I$4)</f>
        <v>0</v>
      </c>
      <c r="J128" s="857">
        <f>SUMIFS('YTD Sales'!$N:$N,'YTD Sales'!$B:$B,Brokerage!$B128,'YTD Sales'!$M:$M,Brokerage!J$4)+SUMIFS('YTD Purchases'!$H:$H,'YTD Purchases'!$C:$C,Brokerage!$B128,'YTD Purchases'!$G:$G,Brokerage!J$4)</f>
        <v>0</v>
      </c>
      <c r="K128" s="857">
        <f>SUMIFS('YTD Sales'!$N:$N,'YTD Sales'!$B:$B,Brokerage!$B128,'YTD Sales'!$M:$M,Brokerage!K$4)+SUMIFS('YTD Purchases'!$H:$H,'YTD Purchases'!$C:$C,Brokerage!$B128,'YTD Purchases'!$G:$G,Brokerage!K$4)</f>
        <v>0</v>
      </c>
      <c r="L128" s="857">
        <f>SUMIFS('YTD Sales'!$N:$N,'YTD Sales'!$B:$B,Brokerage!$B128,'YTD Sales'!$M:$M,Brokerage!L$4)+SUMIFS('YTD Purchases'!$H:$H,'YTD Purchases'!$C:$C,Brokerage!$B128,'YTD Purchases'!$G:$G,Brokerage!L$4)</f>
        <v>0</v>
      </c>
      <c r="M128" s="857">
        <f>SUMIFS('YTD Sales'!$N:$N,'YTD Sales'!$B:$B,Brokerage!$B128,'YTD Sales'!$M:$M,Brokerage!M$4)+SUMIFS('YTD Purchases'!$H:$H,'YTD Purchases'!$C:$C,Brokerage!$B128,'YTD Purchases'!$G:$G,Brokerage!M$4)</f>
        <v>0</v>
      </c>
      <c r="N128" s="857">
        <f>SUMIFS('YTD Sales'!$N:$N,'YTD Sales'!$B:$B,Brokerage!$B128,'YTD Sales'!$M:$M,Brokerage!N$4)+SUMIFS('YTD Purchases'!$H:$H,'YTD Purchases'!$C:$C,Brokerage!$B128,'YTD Purchases'!$G:$G,Brokerage!N$4)</f>
        <v>0</v>
      </c>
      <c r="O128" s="857">
        <f>SUMIFS('YTD Sales'!$N:$N,'YTD Sales'!$B:$B,Brokerage!$B128,'YTD Sales'!$M:$M,Brokerage!O$4)+SUMIFS('YTD Purchases'!$H:$H,'YTD Purchases'!$C:$C,Brokerage!$B128,'YTD Purchases'!$G:$G,Brokerage!O$4)</f>
        <v>0</v>
      </c>
      <c r="P128" s="857">
        <f>SUMIFS('YTD Sales'!$N:$N,'YTD Sales'!$B:$B,Brokerage!$B128,'YTD Sales'!$M:$M,Brokerage!P$4)+SUMIFS('YTD Purchases'!$H:$H,'YTD Purchases'!$C:$C,Brokerage!$B128,'YTD Purchases'!$G:$G,Brokerage!P$4)</f>
        <v>0</v>
      </c>
      <c r="Q128" s="857">
        <f>SUMIFS('YTD Sales'!$N:$N,'YTD Sales'!$B:$B,Brokerage!$B128,'YTD Sales'!$M:$M,Brokerage!Q$4)+SUMIFS('YTD Purchases'!$H:$H,'YTD Purchases'!$C:$C,Brokerage!$B128,'YTD Purchases'!$G:$G,Brokerage!Q$4)</f>
        <v>0</v>
      </c>
      <c r="R128" s="857">
        <f>SUMIFS('YTD Sales'!$N:$N,'YTD Sales'!$B:$B,Brokerage!$B128,'YTD Sales'!$M:$M,Brokerage!R$4)+SUMIFS('YTD Purchases'!$H:$H,'YTD Purchases'!$C:$C,Brokerage!$B128,'YTD Purchases'!$G:$G,Brokerage!R$4)</f>
        <v>0</v>
      </c>
      <c r="S128" s="857">
        <f>SUMIFS('YTD Sales'!$N:$N,'YTD Sales'!$B:$B,Brokerage!$B128,'YTD Sales'!$M:$M,Brokerage!S$4)+SUMIFS('YTD Purchases'!$H:$H,'YTD Purchases'!$C:$C,Brokerage!$B128,'YTD Purchases'!$G:$G,Brokerage!S$4)</f>
        <v>0</v>
      </c>
      <c r="T128" s="857">
        <f>SUMIFS('YTD Sales'!$N:$N,'YTD Sales'!$B:$B,Brokerage!$B128,'YTD Sales'!$M:$M,Brokerage!T$4)+SUMIFS('YTD Purchases'!$H:$H,'YTD Purchases'!$C:$C,Brokerage!$B128,'YTD Purchases'!$G:$G,Brokerage!T$4)</f>
        <v>0</v>
      </c>
      <c r="U128" s="857">
        <f>SUMIFS('YTD Sales'!$N:$N,'YTD Sales'!$B:$B,Brokerage!$B128,'YTD Sales'!$M:$M,Brokerage!U$4)+SUMIFS('YTD Purchases'!$H:$H,'YTD Purchases'!$C:$C,Brokerage!$B128,'YTD Purchases'!$G:$G,Brokerage!U$4)</f>
        <v>0</v>
      </c>
      <c r="V128" s="857">
        <f>SUMIFS('YTD Sales'!$N:$N,'YTD Sales'!$B:$B,Brokerage!$B128,'YTD Sales'!$M:$M,Brokerage!V$4)+SUMIFS('YTD Purchases'!$H:$H,'YTD Purchases'!$C:$C,Brokerage!$B128,'YTD Purchases'!$G:$G,Brokerage!V$4)</f>
        <v>0</v>
      </c>
      <c r="W128" s="857">
        <f>SUMIFS('YTD Sales'!$N:$N,'YTD Sales'!$B:$B,Brokerage!$B128,'YTD Sales'!$M:$M,Brokerage!W$4)+SUMIFS('YTD Purchases'!$H:$H,'YTD Purchases'!$C:$C,Brokerage!$B128,'YTD Purchases'!$G:$G,Brokerage!W$4)</f>
        <v>0</v>
      </c>
      <c r="X128" s="857">
        <f>SUMIFS('YTD Sales'!$N:$N,'YTD Sales'!$B:$B,Brokerage!$B128,'YTD Sales'!$M:$M,Brokerage!X$4)+SUMIFS('YTD Purchases'!$H:$H,'YTD Purchases'!$C:$C,Brokerage!$B128,'YTD Purchases'!$G:$G,Brokerage!X$4)</f>
        <v>0</v>
      </c>
      <c r="Y128" s="857">
        <f>SUMIFS('YTD Sales'!$N:$N,'YTD Sales'!$B:$B,Brokerage!$B128,'YTD Sales'!$M:$M,Brokerage!Y$4)+SUMIFS('YTD Purchases'!$H:$H,'YTD Purchases'!$C:$C,Brokerage!$B128,'YTD Purchases'!$G:$G,Brokerage!Y$4)</f>
        <v>0</v>
      </c>
      <c r="Z128" s="857">
        <f>SUMIFS('YTD Sales'!$N:$N,'YTD Sales'!$B:$B,Brokerage!$B128,'YTD Sales'!$M:$M,Brokerage!Z$4)+SUMIFS('YTD Purchases'!$H:$H,'YTD Purchases'!$C:$C,Brokerage!$B128,'YTD Purchases'!$G:$G,Brokerage!Z$4)</f>
        <v>0</v>
      </c>
      <c r="AA128" s="857">
        <f>SUMIFS('YTD Sales'!$N:$N,'YTD Sales'!$B:$B,Brokerage!$B128,'YTD Sales'!$M:$M,Brokerage!AA$4)+SUMIFS('YTD Purchases'!$H:$H,'YTD Purchases'!$C:$C,Brokerage!$B128,'YTD Purchases'!$G:$G,Brokerage!AA$4)</f>
        <v>0</v>
      </c>
      <c r="AB128" s="857">
        <f>SUMIFS('YTD Sales'!$N:$N,'YTD Sales'!$B:$B,Brokerage!$B128,'YTD Sales'!$M:$M,Brokerage!AB$4)+SUMIFS('YTD Purchases'!$H:$H,'YTD Purchases'!$C:$C,Brokerage!$B128,'YTD Purchases'!$G:$G,Brokerage!AB$4)</f>
        <v>0</v>
      </c>
      <c r="AC128" s="857">
        <f>SUMIFS('YTD Sales'!$N:$N,'YTD Sales'!$B:$B,Brokerage!$B128,'YTD Sales'!$M:$M,Brokerage!AC$4)+SUMIFS('YTD Purchases'!$H:$H,'YTD Purchases'!$C:$C,Brokerage!$B128,'YTD Purchases'!$G:$G,Brokerage!AC$4)</f>
        <v>0</v>
      </c>
      <c r="AD128" s="857">
        <f>+SUMIFS(PIB!AG:AG,PIB!AF:AF,Brokerage!AD$4,PIB!AA:AA,Brokerage!$B128)+SUMIFS('T-Bills'!AB:AB,'T-Bills'!AA:AA,Brokerage!AD$4,'T-Bills'!V:V,Brokerage!$B128)</f>
        <v>0</v>
      </c>
      <c r="AE128" s="857">
        <f>+SUMIFS(PIB!AH:AH,PIB!AG:AG,Brokerage!AE$4,PIB!AB:AB,Brokerage!$B128)+SUMIFS('T-Bills'!AC:AC,'T-Bills'!AB:AB,Brokerage!AE$4,'T-Bills'!W:W,Brokerage!$B128)</f>
        <v>0</v>
      </c>
      <c r="AF128" s="857">
        <f>+SUMIFS(PIB!AI:AI,PIB!AH:AH,Brokerage!AF$4,PIB!AC:AC,Brokerage!$B128)+SUMIFS('T-Bills'!AD:AD,'T-Bills'!AC:AC,Brokerage!AF$4,'T-Bills'!X:X,Brokerage!$B128)</f>
        <v>0</v>
      </c>
      <c r="AG128" s="857">
        <f t="shared" si="10"/>
        <v>0</v>
      </c>
      <c r="AH128" s="858">
        <f t="shared" si="17"/>
        <v>0</v>
      </c>
    </row>
    <row r="129" spans="2:34" x14ac:dyDescent="0.15">
      <c r="B129" s="661">
        <f t="shared" si="9"/>
        <v>44685</v>
      </c>
      <c r="C129" s="857">
        <f>SUMIFS('YTD Sales'!$N:$N,'YTD Sales'!$B:$B,Brokerage!$B129,'YTD Sales'!$M:$M,Brokerage!C$4)+SUMIFS('YTD Purchases'!$H:$H,'YTD Purchases'!$C:$C,Brokerage!$B129,'YTD Purchases'!$G:$G,Brokerage!C$4)</f>
        <v>0</v>
      </c>
      <c r="D129" s="857">
        <f>SUMIFS('YTD Sales'!$N:$N,'YTD Sales'!$B:$B,Brokerage!$B129,'YTD Sales'!$M:$M,Brokerage!D$4)+SUMIFS('YTD Purchases'!$H:$H,'YTD Purchases'!$C:$C,Brokerage!$B129,'YTD Purchases'!$G:$G,Brokerage!D$4)</f>
        <v>0</v>
      </c>
      <c r="E129" s="857">
        <f>SUMIFS('YTD Sales'!$N:$N,'YTD Sales'!$B:$B,Brokerage!$B129,'YTD Sales'!$M:$M,Brokerage!E$4)+SUMIFS('YTD Purchases'!$H:$H,'YTD Purchases'!$C:$C,Brokerage!$B129,'YTD Purchases'!$G:$G,Brokerage!E$4)</f>
        <v>0</v>
      </c>
      <c r="F129" s="857">
        <f>SUMIFS('YTD Sales'!$N:$N,'YTD Sales'!$B:$B,Brokerage!$B129,'YTD Sales'!$M:$M,Brokerage!F$4)+SUMIFS('YTD Purchases'!$H:$H,'YTD Purchases'!$C:$C,Brokerage!$B129,'YTD Purchases'!$G:$G,Brokerage!F$4)</f>
        <v>0</v>
      </c>
      <c r="G129" s="857">
        <f>SUMIFS('YTD Sales'!$N:$N,'YTD Sales'!$B:$B,Brokerage!$B129,'YTD Sales'!$M:$M,Brokerage!G$4)+SUMIFS('YTD Purchases'!$H:$H,'YTD Purchases'!$C:$C,Brokerage!$B129,'YTD Purchases'!$G:$G,Brokerage!G$4)</f>
        <v>0</v>
      </c>
      <c r="H129" s="857">
        <f>SUMIFS('YTD Sales'!$N:$N,'YTD Sales'!$B:$B,Brokerage!$B129,'YTD Sales'!$M:$M,Brokerage!H$4)+SUMIFS('YTD Purchases'!$H:$H,'YTD Purchases'!$C:$C,Brokerage!$B129,'YTD Purchases'!$G:$G,Brokerage!H$4)</f>
        <v>0</v>
      </c>
      <c r="I129" s="857">
        <f>SUMIFS('YTD Sales'!$N:$N,'YTD Sales'!$B:$B,Brokerage!$B129,'YTD Sales'!$M:$M,Brokerage!I$4)+SUMIFS('YTD Purchases'!$H:$H,'YTD Purchases'!$C:$C,Brokerage!$B129,'YTD Purchases'!$G:$G,Brokerage!I$4)</f>
        <v>0</v>
      </c>
      <c r="J129" s="857">
        <f>SUMIFS('YTD Sales'!$N:$N,'YTD Sales'!$B:$B,Brokerage!$B129,'YTD Sales'!$M:$M,Brokerage!J$4)+SUMIFS('YTD Purchases'!$H:$H,'YTD Purchases'!$C:$C,Brokerage!$B129,'YTD Purchases'!$G:$G,Brokerage!J$4)</f>
        <v>0</v>
      </c>
      <c r="K129" s="857">
        <f>SUMIFS('YTD Sales'!$N:$N,'YTD Sales'!$B:$B,Brokerage!$B129,'YTD Sales'!$M:$M,Brokerage!K$4)+SUMIFS('YTD Purchases'!$H:$H,'YTD Purchases'!$C:$C,Brokerage!$B129,'YTD Purchases'!$G:$G,Brokerage!K$4)</f>
        <v>0</v>
      </c>
      <c r="L129" s="857">
        <f>SUMIFS('YTD Sales'!$N:$N,'YTD Sales'!$B:$B,Brokerage!$B129,'YTD Sales'!$M:$M,Brokerage!L$4)+SUMIFS('YTD Purchases'!$H:$H,'YTD Purchases'!$C:$C,Brokerage!$B129,'YTD Purchases'!$G:$G,Brokerage!L$4)</f>
        <v>0</v>
      </c>
      <c r="M129" s="857">
        <f>SUMIFS('YTD Sales'!$N:$N,'YTD Sales'!$B:$B,Brokerage!$B129,'YTD Sales'!$M:$M,Brokerage!M$4)+SUMIFS('YTD Purchases'!$H:$H,'YTD Purchases'!$C:$C,Brokerage!$B129,'YTD Purchases'!$G:$G,Brokerage!M$4)</f>
        <v>0</v>
      </c>
      <c r="N129" s="857">
        <f>SUMIFS('YTD Sales'!$N:$N,'YTD Sales'!$B:$B,Brokerage!$B129,'YTD Sales'!$M:$M,Brokerage!N$4)+SUMIFS('YTD Purchases'!$H:$H,'YTD Purchases'!$C:$C,Brokerage!$B129,'YTD Purchases'!$G:$G,Brokerage!N$4)</f>
        <v>0</v>
      </c>
      <c r="O129" s="857">
        <f>SUMIFS('YTD Sales'!$N:$N,'YTD Sales'!$B:$B,Brokerage!$B129,'YTD Sales'!$M:$M,Brokerage!O$4)+SUMIFS('YTD Purchases'!$H:$H,'YTD Purchases'!$C:$C,Brokerage!$B129,'YTD Purchases'!$G:$G,Brokerage!O$4)</f>
        <v>0</v>
      </c>
      <c r="P129" s="857">
        <f>SUMIFS('YTD Sales'!$N:$N,'YTD Sales'!$B:$B,Brokerage!$B129,'YTD Sales'!$M:$M,Brokerage!P$4)+SUMIFS('YTD Purchases'!$H:$H,'YTD Purchases'!$C:$C,Brokerage!$B129,'YTD Purchases'!$G:$G,Brokerage!P$4)</f>
        <v>0</v>
      </c>
      <c r="Q129" s="857">
        <f>SUMIFS('YTD Sales'!$N:$N,'YTD Sales'!$B:$B,Brokerage!$B129,'YTD Sales'!$M:$M,Brokerage!Q$4)+SUMIFS('YTD Purchases'!$H:$H,'YTD Purchases'!$C:$C,Brokerage!$B129,'YTD Purchases'!$G:$G,Brokerage!Q$4)</f>
        <v>0</v>
      </c>
      <c r="R129" s="857">
        <f>SUMIFS('YTD Sales'!$N:$N,'YTD Sales'!$B:$B,Brokerage!$B129,'YTD Sales'!$M:$M,Brokerage!R$4)+SUMIFS('YTD Purchases'!$H:$H,'YTD Purchases'!$C:$C,Brokerage!$B129,'YTD Purchases'!$G:$G,Brokerage!R$4)</f>
        <v>0</v>
      </c>
      <c r="S129" s="857">
        <f>SUMIFS('YTD Sales'!$N:$N,'YTD Sales'!$B:$B,Brokerage!$B129,'YTD Sales'!$M:$M,Brokerage!S$4)+SUMIFS('YTD Purchases'!$H:$H,'YTD Purchases'!$C:$C,Brokerage!$B129,'YTD Purchases'!$G:$G,Brokerage!S$4)</f>
        <v>0</v>
      </c>
      <c r="T129" s="857">
        <f>SUMIFS('YTD Sales'!$N:$N,'YTD Sales'!$B:$B,Brokerage!$B129,'YTD Sales'!$M:$M,Brokerage!T$4)+SUMIFS('YTD Purchases'!$H:$H,'YTD Purchases'!$C:$C,Brokerage!$B129,'YTD Purchases'!$G:$G,Brokerage!T$4)</f>
        <v>0</v>
      </c>
      <c r="U129" s="857">
        <f>SUMIFS('YTD Sales'!$N:$N,'YTD Sales'!$B:$B,Brokerage!$B129,'YTD Sales'!$M:$M,Brokerage!U$4)+SUMIFS('YTD Purchases'!$H:$H,'YTD Purchases'!$C:$C,Brokerage!$B129,'YTD Purchases'!$G:$G,Brokerage!U$4)</f>
        <v>0</v>
      </c>
      <c r="V129" s="857">
        <f>SUMIFS('YTD Sales'!$N:$N,'YTD Sales'!$B:$B,Brokerage!$B129,'YTD Sales'!$M:$M,Brokerage!V$4)+SUMIFS('YTD Purchases'!$H:$H,'YTD Purchases'!$C:$C,Brokerage!$B129,'YTD Purchases'!$G:$G,Brokerage!V$4)</f>
        <v>0</v>
      </c>
      <c r="W129" s="857">
        <f>SUMIFS('YTD Sales'!$N:$N,'YTD Sales'!$B:$B,Brokerage!$B129,'YTD Sales'!$M:$M,Brokerage!W$4)+SUMIFS('YTD Purchases'!$H:$H,'YTD Purchases'!$C:$C,Brokerage!$B129,'YTD Purchases'!$G:$G,Brokerage!W$4)</f>
        <v>0</v>
      </c>
      <c r="X129" s="857">
        <f>SUMIFS('YTD Sales'!$N:$N,'YTD Sales'!$B:$B,Brokerage!$B129,'YTD Sales'!$M:$M,Brokerage!X$4)+SUMIFS('YTD Purchases'!$H:$H,'YTD Purchases'!$C:$C,Brokerage!$B129,'YTD Purchases'!$G:$G,Brokerage!X$4)</f>
        <v>0</v>
      </c>
      <c r="Y129" s="857">
        <f>SUMIFS('YTD Sales'!$N:$N,'YTD Sales'!$B:$B,Brokerage!$B129,'YTD Sales'!$M:$M,Brokerage!Y$4)+SUMIFS('YTD Purchases'!$H:$H,'YTD Purchases'!$C:$C,Brokerage!$B129,'YTD Purchases'!$G:$G,Brokerage!Y$4)</f>
        <v>0</v>
      </c>
      <c r="Z129" s="857">
        <f>SUMIFS('YTD Sales'!$N:$N,'YTD Sales'!$B:$B,Brokerage!$B129,'YTD Sales'!$M:$M,Brokerage!Z$4)+SUMIFS('YTD Purchases'!$H:$H,'YTD Purchases'!$C:$C,Brokerage!$B129,'YTD Purchases'!$G:$G,Brokerage!Z$4)</f>
        <v>0</v>
      </c>
      <c r="AA129" s="857">
        <f>SUMIFS('YTD Sales'!$N:$N,'YTD Sales'!$B:$B,Brokerage!$B129,'YTD Sales'!$M:$M,Brokerage!AA$4)+SUMIFS('YTD Purchases'!$H:$H,'YTD Purchases'!$C:$C,Brokerage!$B129,'YTD Purchases'!$G:$G,Brokerage!AA$4)</f>
        <v>0</v>
      </c>
      <c r="AB129" s="857">
        <f>SUMIFS('YTD Sales'!$N:$N,'YTD Sales'!$B:$B,Brokerage!$B129,'YTD Sales'!$M:$M,Brokerage!AB$4)+SUMIFS('YTD Purchases'!$H:$H,'YTD Purchases'!$C:$C,Brokerage!$B129,'YTD Purchases'!$G:$G,Brokerage!AB$4)</f>
        <v>0</v>
      </c>
      <c r="AC129" s="857">
        <f>SUMIFS('YTD Sales'!$N:$N,'YTD Sales'!$B:$B,Brokerage!$B129,'YTD Sales'!$M:$M,Brokerage!AC$4)+SUMIFS('YTD Purchases'!$H:$H,'YTD Purchases'!$C:$C,Brokerage!$B129,'YTD Purchases'!$G:$G,Brokerage!AC$4)</f>
        <v>0</v>
      </c>
      <c r="AD129" s="857">
        <f>+SUMIFS(PIB!AG:AG,PIB!AF:AF,Brokerage!AD$4,PIB!AA:AA,Brokerage!$B129)+SUMIFS('T-Bills'!AB:AB,'T-Bills'!AA:AA,Brokerage!AD$4,'T-Bills'!V:V,Brokerage!$B129)</f>
        <v>0</v>
      </c>
      <c r="AE129" s="857">
        <f>+SUMIFS(PIB!AH:AH,PIB!AG:AG,Brokerage!AE$4,PIB!AB:AB,Brokerage!$B129)+SUMIFS('T-Bills'!AC:AC,'T-Bills'!AB:AB,Brokerage!AE$4,'T-Bills'!W:W,Brokerage!$B129)</f>
        <v>0</v>
      </c>
      <c r="AF129" s="857">
        <f>+SUMIFS(PIB!AI:AI,PIB!AH:AH,Brokerage!AF$4,PIB!AC:AC,Brokerage!$B129)+SUMIFS('T-Bills'!AD:AD,'T-Bills'!AC:AC,Brokerage!AF$4,'T-Bills'!X:X,Brokerage!$B129)</f>
        <v>0</v>
      </c>
      <c r="AG129" s="857">
        <f t="shared" si="10"/>
        <v>0</v>
      </c>
      <c r="AH129" s="858">
        <f t="shared" si="17"/>
        <v>0</v>
      </c>
    </row>
    <row r="130" spans="2:34" x14ac:dyDescent="0.15">
      <c r="B130" s="661">
        <f t="shared" si="9"/>
        <v>44686</v>
      </c>
      <c r="C130" s="857">
        <f>SUMIFS('YTD Sales'!$N:$N,'YTD Sales'!$B:$B,Brokerage!$B130,'YTD Sales'!$M:$M,Brokerage!C$4)+SUMIFS('YTD Purchases'!$H:$H,'YTD Purchases'!$C:$C,Brokerage!$B130,'YTD Purchases'!$G:$G,Brokerage!C$4)</f>
        <v>0</v>
      </c>
      <c r="D130" s="857">
        <f>SUMIFS('YTD Sales'!$N:$N,'YTD Sales'!$B:$B,Brokerage!$B130,'YTD Sales'!$M:$M,Brokerage!D$4)+SUMIFS('YTD Purchases'!$H:$H,'YTD Purchases'!$C:$C,Brokerage!$B130,'YTD Purchases'!$G:$G,Brokerage!D$4)</f>
        <v>0</v>
      </c>
      <c r="E130" s="857">
        <f>SUMIFS('YTD Sales'!$N:$N,'YTD Sales'!$B:$B,Brokerage!$B130,'YTD Sales'!$M:$M,Brokerage!E$4)+SUMIFS('YTD Purchases'!$H:$H,'YTD Purchases'!$C:$C,Brokerage!$B130,'YTD Purchases'!$G:$G,Brokerage!E$4)</f>
        <v>0</v>
      </c>
      <c r="F130" s="857">
        <f>SUMIFS('YTD Sales'!$N:$N,'YTD Sales'!$B:$B,Brokerage!$B130,'YTD Sales'!$M:$M,Brokerage!F$4)+SUMIFS('YTD Purchases'!$H:$H,'YTD Purchases'!$C:$C,Brokerage!$B130,'YTD Purchases'!$G:$G,Brokerage!F$4)</f>
        <v>0</v>
      </c>
      <c r="G130" s="857">
        <f>SUMIFS('YTD Sales'!$N:$N,'YTD Sales'!$B:$B,Brokerage!$B130,'YTD Sales'!$M:$M,Brokerage!G$4)+SUMIFS('YTD Purchases'!$H:$H,'YTD Purchases'!$C:$C,Brokerage!$B130,'YTD Purchases'!$G:$G,Brokerage!G$4)</f>
        <v>0</v>
      </c>
      <c r="H130" s="857">
        <f>SUMIFS('YTD Sales'!$N:$N,'YTD Sales'!$B:$B,Brokerage!$B130,'YTD Sales'!$M:$M,Brokerage!H$4)+SUMIFS('YTD Purchases'!$H:$H,'YTD Purchases'!$C:$C,Brokerage!$B130,'YTD Purchases'!$G:$G,Brokerage!H$4)</f>
        <v>0</v>
      </c>
      <c r="I130" s="857">
        <f>SUMIFS('YTD Sales'!$N:$N,'YTD Sales'!$B:$B,Brokerage!$B130,'YTD Sales'!$M:$M,Brokerage!I$4)+SUMIFS('YTD Purchases'!$H:$H,'YTD Purchases'!$C:$C,Brokerage!$B130,'YTD Purchases'!$G:$G,Brokerage!I$4)</f>
        <v>0</v>
      </c>
      <c r="J130" s="857">
        <f>SUMIFS('YTD Sales'!$N:$N,'YTD Sales'!$B:$B,Brokerage!$B130,'YTD Sales'!$M:$M,Brokerage!J$4)+SUMIFS('YTD Purchases'!$H:$H,'YTD Purchases'!$C:$C,Brokerage!$B130,'YTD Purchases'!$G:$G,Brokerage!J$4)</f>
        <v>0</v>
      </c>
      <c r="K130" s="857">
        <f>SUMIFS('YTD Sales'!$N:$N,'YTD Sales'!$B:$B,Brokerage!$B130,'YTD Sales'!$M:$M,Brokerage!K$4)+SUMIFS('YTD Purchases'!$H:$H,'YTD Purchases'!$C:$C,Brokerage!$B130,'YTD Purchases'!$G:$G,Brokerage!K$4)</f>
        <v>0</v>
      </c>
      <c r="L130" s="857">
        <f>SUMIFS('YTD Sales'!$N:$N,'YTD Sales'!$B:$B,Brokerage!$B130,'YTD Sales'!$M:$M,Brokerage!L$4)+SUMIFS('YTD Purchases'!$H:$H,'YTD Purchases'!$C:$C,Brokerage!$B130,'YTD Purchases'!$G:$G,Brokerage!L$4)</f>
        <v>0</v>
      </c>
      <c r="M130" s="857">
        <f>SUMIFS('YTD Sales'!$N:$N,'YTD Sales'!$B:$B,Brokerage!$B130,'YTD Sales'!$M:$M,Brokerage!M$4)+SUMIFS('YTD Purchases'!$H:$H,'YTD Purchases'!$C:$C,Brokerage!$B130,'YTD Purchases'!$G:$G,Brokerage!M$4)</f>
        <v>0</v>
      </c>
      <c r="N130" s="857">
        <f>SUMIFS('YTD Sales'!$N:$N,'YTD Sales'!$B:$B,Brokerage!$B130,'YTD Sales'!$M:$M,Brokerage!N$4)+SUMIFS('YTD Purchases'!$H:$H,'YTD Purchases'!$C:$C,Brokerage!$B130,'YTD Purchases'!$G:$G,Brokerage!N$4)</f>
        <v>0</v>
      </c>
      <c r="O130" s="857">
        <f>SUMIFS('YTD Sales'!$N:$N,'YTD Sales'!$B:$B,Brokerage!$B130,'YTD Sales'!$M:$M,Brokerage!O$4)+SUMIFS('YTD Purchases'!$H:$H,'YTD Purchases'!$C:$C,Brokerage!$B130,'YTD Purchases'!$G:$G,Brokerage!O$4)</f>
        <v>0</v>
      </c>
      <c r="P130" s="857">
        <f>SUMIFS('YTD Sales'!$N:$N,'YTD Sales'!$B:$B,Brokerage!$B130,'YTD Sales'!$M:$M,Brokerage!P$4)+SUMIFS('YTD Purchases'!$H:$H,'YTD Purchases'!$C:$C,Brokerage!$B130,'YTD Purchases'!$G:$G,Brokerage!P$4)</f>
        <v>0</v>
      </c>
      <c r="Q130" s="857">
        <f>SUMIFS('YTD Sales'!$N:$N,'YTD Sales'!$B:$B,Brokerage!$B130,'YTD Sales'!$M:$M,Brokerage!Q$4)+SUMIFS('YTD Purchases'!$H:$H,'YTD Purchases'!$C:$C,Brokerage!$B130,'YTD Purchases'!$G:$G,Brokerage!Q$4)</f>
        <v>0</v>
      </c>
      <c r="R130" s="857">
        <f>SUMIFS('YTD Sales'!$N:$N,'YTD Sales'!$B:$B,Brokerage!$B130,'YTD Sales'!$M:$M,Brokerage!R$4)+SUMIFS('YTD Purchases'!$H:$H,'YTD Purchases'!$C:$C,Brokerage!$B130,'YTD Purchases'!$G:$G,Brokerage!R$4)</f>
        <v>0</v>
      </c>
      <c r="S130" s="857">
        <f>SUMIFS('YTD Sales'!$N:$N,'YTD Sales'!$B:$B,Brokerage!$B130,'YTD Sales'!$M:$M,Brokerage!S$4)+SUMIFS('YTD Purchases'!$H:$H,'YTD Purchases'!$C:$C,Brokerage!$B130,'YTD Purchases'!$G:$G,Brokerage!S$4)</f>
        <v>0</v>
      </c>
      <c r="T130" s="857">
        <f>SUMIFS('YTD Sales'!$N:$N,'YTD Sales'!$B:$B,Brokerage!$B130,'YTD Sales'!$M:$M,Brokerage!T$4)+SUMIFS('YTD Purchases'!$H:$H,'YTD Purchases'!$C:$C,Brokerage!$B130,'YTD Purchases'!$G:$G,Brokerage!T$4)</f>
        <v>0</v>
      </c>
      <c r="U130" s="857">
        <f>SUMIFS('YTD Sales'!$N:$N,'YTD Sales'!$B:$B,Brokerage!$B130,'YTD Sales'!$M:$M,Brokerage!U$4)+SUMIFS('YTD Purchases'!$H:$H,'YTD Purchases'!$C:$C,Brokerage!$B130,'YTD Purchases'!$G:$G,Brokerage!U$4)</f>
        <v>0</v>
      </c>
      <c r="V130" s="857">
        <f>SUMIFS('YTD Sales'!$N:$N,'YTD Sales'!$B:$B,Brokerage!$B130,'YTD Sales'!$M:$M,Brokerage!V$4)+SUMIFS('YTD Purchases'!$H:$H,'YTD Purchases'!$C:$C,Brokerage!$B130,'YTD Purchases'!$G:$G,Brokerage!V$4)</f>
        <v>0</v>
      </c>
      <c r="W130" s="857">
        <f>SUMIFS('YTD Sales'!$N:$N,'YTD Sales'!$B:$B,Brokerage!$B130,'YTD Sales'!$M:$M,Brokerage!W$4)+SUMIFS('YTD Purchases'!$H:$H,'YTD Purchases'!$C:$C,Brokerage!$B130,'YTD Purchases'!$G:$G,Brokerage!W$4)</f>
        <v>0</v>
      </c>
      <c r="X130" s="857">
        <f>SUMIFS('YTD Sales'!$N:$N,'YTD Sales'!$B:$B,Brokerage!$B130,'YTD Sales'!$M:$M,Brokerage!X$4)+SUMIFS('YTD Purchases'!$H:$H,'YTD Purchases'!$C:$C,Brokerage!$B130,'YTD Purchases'!$G:$G,Brokerage!X$4)</f>
        <v>0</v>
      </c>
      <c r="Y130" s="857">
        <f>SUMIFS('YTD Sales'!$N:$N,'YTD Sales'!$B:$B,Brokerage!$B130,'YTD Sales'!$M:$M,Brokerage!Y$4)+SUMIFS('YTD Purchases'!$H:$H,'YTD Purchases'!$C:$C,Brokerage!$B130,'YTD Purchases'!$G:$G,Brokerage!Y$4)</f>
        <v>0</v>
      </c>
      <c r="Z130" s="857">
        <f>SUMIFS('YTD Sales'!$N:$N,'YTD Sales'!$B:$B,Brokerage!$B130,'YTD Sales'!$M:$M,Brokerage!Z$4)+SUMIFS('YTD Purchases'!$H:$H,'YTD Purchases'!$C:$C,Brokerage!$B130,'YTD Purchases'!$G:$G,Brokerage!Z$4)</f>
        <v>0</v>
      </c>
      <c r="AA130" s="857">
        <f>SUMIFS('YTD Sales'!$N:$N,'YTD Sales'!$B:$B,Brokerage!$B130,'YTD Sales'!$M:$M,Brokerage!AA$4)+SUMIFS('YTD Purchases'!$H:$H,'YTD Purchases'!$C:$C,Brokerage!$B130,'YTD Purchases'!$G:$G,Brokerage!AA$4)</f>
        <v>0</v>
      </c>
      <c r="AB130" s="857">
        <f>SUMIFS('YTD Sales'!$N:$N,'YTD Sales'!$B:$B,Brokerage!$B130,'YTD Sales'!$M:$M,Brokerage!AB$4)+SUMIFS('YTD Purchases'!$H:$H,'YTD Purchases'!$C:$C,Brokerage!$B130,'YTD Purchases'!$G:$G,Brokerage!AB$4)</f>
        <v>0</v>
      </c>
      <c r="AC130" s="857">
        <f>SUMIFS('YTD Sales'!$N:$N,'YTD Sales'!$B:$B,Brokerage!$B130,'YTD Sales'!$M:$M,Brokerage!AC$4)+SUMIFS('YTD Purchases'!$H:$H,'YTD Purchases'!$C:$C,Brokerage!$B130,'YTD Purchases'!$G:$G,Brokerage!AC$4)</f>
        <v>0</v>
      </c>
      <c r="AD130" s="857">
        <f>+SUMIFS(PIB!AG:AG,PIB!AF:AF,Brokerage!AD$4,PIB!AA:AA,Brokerage!$B130)+SUMIFS('T-Bills'!AB:AB,'T-Bills'!AA:AA,Brokerage!AD$4,'T-Bills'!V:V,Brokerage!$B130)</f>
        <v>0</v>
      </c>
      <c r="AE130" s="857">
        <f>+SUMIFS(PIB!AH:AH,PIB!AG:AG,Brokerage!AE$4,PIB!AB:AB,Brokerage!$B130)+SUMIFS('T-Bills'!AC:AC,'T-Bills'!AB:AB,Brokerage!AE$4,'T-Bills'!W:W,Brokerage!$B130)</f>
        <v>0</v>
      </c>
      <c r="AF130" s="857">
        <f>+SUMIFS(PIB!AI:AI,PIB!AH:AH,Brokerage!AF$4,PIB!AC:AC,Brokerage!$B130)+SUMIFS('T-Bills'!AD:AD,'T-Bills'!AC:AC,Brokerage!AF$4,'T-Bills'!X:X,Brokerage!$B130)</f>
        <v>0</v>
      </c>
      <c r="AG130" s="857">
        <f t="shared" si="10"/>
        <v>0</v>
      </c>
      <c r="AH130" s="858">
        <f t="shared" si="17"/>
        <v>0</v>
      </c>
    </row>
    <row r="131" spans="2:34" x14ac:dyDescent="0.15">
      <c r="B131" s="661">
        <f t="shared" si="9"/>
        <v>44687</v>
      </c>
      <c r="C131" s="857">
        <f>SUMIFS('YTD Sales'!$N:$N,'YTD Sales'!$B:$B,Brokerage!$B131,'YTD Sales'!$M:$M,Brokerage!C$4)+SUMIFS('YTD Purchases'!$H:$H,'YTD Purchases'!$C:$C,Brokerage!$B131,'YTD Purchases'!$G:$G,Brokerage!C$4)</f>
        <v>0</v>
      </c>
      <c r="D131" s="857">
        <f>SUMIFS('YTD Sales'!$N:$N,'YTD Sales'!$B:$B,Brokerage!$B131,'YTD Sales'!$M:$M,Brokerage!D$4)+SUMIFS('YTD Purchases'!$H:$H,'YTD Purchases'!$C:$C,Brokerage!$B131,'YTD Purchases'!$G:$G,Brokerage!D$4)</f>
        <v>0</v>
      </c>
      <c r="E131" s="857">
        <f>SUMIFS('YTD Sales'!$N:$N,'YTD Sales'!$B:$B,Brokerage!$B131,'YTD Sales'!$M:$M,Brokerage!E$4)+SUMIFS('YTD Purchases'!$H:$H,'YTD Purchases'!$C:$C,Brokerage!$B131,'YTD Purchases'!$G:$G,Brokerage!E$4)</f>
        <v>0</v>
      </c>
      <c r="F131" s="857">
        <f>SUMIFS('YTD Sales'!$N:$N,'YTD Sales'!$B:$B,Brokerage!$B131,'YTD Sales'!$M:$M,Brokerage!F$4)+SUMIFS('YTD Purchases'!$H:$H,'YTD Purchases'!$C:$C,Brokerage!$B131,'YTD Purchases'!$G:$G,Brokerage!F$4)</f>
        <v>0</v>
      </c>
      <c r="G131" s="857">
        <f>SUMIFS('YTD Sales'!$N:$N,'YTD Sales'!$B:$B,Brokerage!$B131,'YTD Sales'!$M:$M,Brokerage!G$4)+SUMIFS('YTD Purchases'!$H:$H,'YTD Purchases'!$C:$C,Brokerage!$B131,'YTD Purchases'!$G:$G,Brokerage!G$4)</f>
        <v>0</v>
      </c>
      <c r="H131" s="857">
        <f>SUMIFS('YTD Sales'!$N:$N,'YTD Sales'!$B:$B,Brokerage!$B131,'YTD Sales'!$M:$M,Brokerage!H$4)+SUMIFS('YTD Purchases'!$H:$H,'YTD Purchases'!$C:$C,Brokerage!$B131,'YTD Purchases'!$G:$G,Brokerage!H$4)</f>
        <v>203182.62403225803</v>
      </c>
      <c r="I131" s="857">
        <f>SUMIFS('YTD Sales'!$N:$N,'YTD Sales'!$B:$B,Brokerage!$B131,'YTD Sales'!$M:$M,Brokerage!I$4)+SUMIFS('YTD Purchases'!$H:$H,'YTD Purchases'!$C:$C,Brokerage!$B131,'YTD Purchases'!$G:$G,Brokerage!I$4)</f>
        <v>0</v>
      </c>
      <c r="J131" s="857">
        <f>SUMIFS('YTD Sales'!$N:$N,'YTD Sales'!$B:$B,Brokerage!$B131,'YTD Sales'!$M:$M,Brokerage!J$4)+SUMIFS('YTD Purchases'!$H:$H,'YTD Purchases'!$C:$C,Brokerage!$B131,'YTD Purchases'!$G:$G,Brokerage!J$4)</f>
        <v>0</v>
      </c>
      <c r="K131" s="857">
        <f>SUMIFS('YTD Sales'!$N:$N,'YTD Sales'!$B:$B,Brokerage!$B131,'YTD Sales'!$M:$M,Brokerage!K$4)+SUMIFS('YTD Purchases'!$H:$H,'YTD Purchases'!$C:$C,Brokerage!$B131,'YTD Purchases'!$G:$G,Brokerage!K$4)</f>
        <v>0</v>
      </c>
      <c r="L131" s="857">
        <f>SUMIFS('YTD Sales'!$N:$N,'YTD Sales'!$B:$B,Brokerage!$B131,'YTD Sales'!$M:$M,Brokerage!L$4)+SUMIFS('YTD Purchases'!$H:$H,'YTD Purchases'!$C:$C,Brokerage!$B131,'YTD Purchases'!$G:$G,Brokerage!L$4)</f>
        <v>0</v>
      </c>
      <c r="M131" s="857">
        <f>SUMIFS('YTD Sales'!$N:$N,'YTD Sales'!$B:$B,Brokerage!$B131,'YTD Sales'!$M:$M,Brokerage!M$4)+SUMIFS('YTD Purchases'!$H:$H,'YTD Purchases'!$C:$C,Brokerage!$B131,'YTD Purchases'!$G:$G,Brokerage!M$4)</f>
        <v>0</v>
      </c>
      <c r="N131" s="857">
        <f>SUMIFS('YTD Sales'!$N:$N,'YTD Sales'!$B:$B,Brokerage!$B131,'YTD Sales'!$M:$M,Brokerage!N$4)+SUMIFS('YTD Purchases'!$H:$H,'YTD Purchases'!$C:$C,Brokerage!$B131,'YTD Purchases'!$G:$G,Brokerage!N$4)</f>
        <v>0</v>
      </c>
      <c r="O131" s="857">
        <f>SUMIFS('YTD Sales'!$N:$N,'YTD Sales'!$B:$B,Brokerage!$B131,'YTD Sales'!$M:$M,Brokerage!O$4)+SUMIFS('YTD Purchases'!$H:$H,'YTD Purchases'!$C:$C,Brokerage!$B131,'YTD Purchases'!$G:$G,Brokerage!O$4)</f>
        <v>0</v>
      </c>
      <c r="P131" s="857">
        <f>SUMIFS('YTD Sales'!$N:$N,'YTD Sales'!$B:$B,Brokerage!$B131,'YTD Sales'!$M:$M,Brokerage!P$4)+SUMIFS('YTD Purchases'!$H:$H,'YTD Purchases'!$C:$C,Brokerage!$B131,'YTD Purchases'!$G:$G,Brokerage!P$4)</f>
        <v>268.30950000000001</v>
      </c>
      <c r="Q131" s="857">
        <f>SUMIFS('YTD Sales'!$N:$N,'YTD Sales'!$B:$B,Brokerage!$B131,'YTD Sales'!$M:$M,Brokerage!Q$4)+SUMIFS('YTD Purchases'!$H:$H,'YTD Purchases'!$C:$C,Brokerage!$B131,'YTD Purchases'!$G:$G,Brokerage!Q$4)</f>
        <v>0</v>
      </c>
      <c r="R131" s="857">
        <f>SUMIFS('YTD Sales'!$N:$N,'YTD Sales'!$B:$B,Brokerage!$B131,'YTD Sales'!$M:$M,Brokerage!R$4)+SUMIFS('YTD Purchases'!$H:$H,'YTD Purchases'!$C:$C,Brokerage!$B131,'YTD Purchases'!$G:$G,Brokerage!R$4)</f>
        <v>0</v>
      </c>
      <c r="S131" s="857">
        <f>SUMIFS('YTD Sales'!$N:$N,'YTD Sales'!$B:$B,Brokerage!$B131,'YTD Sales'!$M:$M,Brokerage!S$4)+SUMIFS('YTD Purchases'!$H:$H,'YTD Purchases'!$C:$C,Brokerage!$B131,'YTD Purchases'!$G:$G,Brokerage!S$4)</f>
        <v>0</v>
      </c>
      <c r="T131" s="857">
        <f>SUMIFS('YTD Sales'!$N:$N,'YTD Sales'!$B:$B,Brokerage!$B131,'YTD Sales'!$M:$M,Brokerage!T$4)+SUMIFS('YTD Purchases'!$H:$H,'YTD Purchases'!$C:$C,Brokerage!$B131,'YTD Purchases'!$G:$G,Brokerage!T$4)</f>
        <v>0</v>
      </c>
      <c r="U131" s="857">
        <f>SUMIFS('YTD Sales'!$N:$N,'YTD Sales'!$B:$B,Brokerage!$B131,'YTD Sales'!$M:$M,Brokerage!U$4)+SUMIFS('YTD Purchases'!$H:$H,'YTD Purchases'!$C:$C,Brokerage!$B131,'YTD Purchases'!$G:$G,Brokerage!U$4)</f>
        <v>0</v>
      </c>
      <c r="V131" s="857">
        <f>SUMIFS('YTD Sales'!$N:$N,'YTD Sales'!$B:$B,Brokerage!$B131,'YTD Sales'!$M:$M,Brokerage!V$4)+SUMIFS('YTD Purchases'!$H:$H,'YTD Purchases'!$C:$C,Brokerage!$B131,'YTD Purchases'!$G:$G,Brokerage!V$4)</f>
        <v>0</v>
      </c>
      <c r="W131" s="857">
        <f>SUMIFS('YTD Sales'!$N:$N,'YTD Sales'!$B:$B,Brokerage!$B131,'YTD Sales'!$M:$M,Brokerage!W$4)+SUMIFS('YTD Purchases'!$H:$H,'YTD Purchases'!$C:$C,Brokerage!$B131,'YTD Purchases'!$G:$G,Brokerage!W$4)</f>
        <v>0</v>
      </c>
      <c r="X131" s="857">
        <f>SUMIFS('YTD Sales'!$N:$N,'YTD Sales'!$B:$B,Brokerage!$B131,'YTD Sales'!$M:$M,Brokerage!X$4)+SUMIFS('YTD Purchases'!$H:$H,'YTD Purchases'!$C:$C,Brokerage!$B131,'YTD Purchases'!$G:$G,Brokerage!X$4)</f>
        <v>0</v>
      </c>
      <c r="Y131" s="857">
        <f>SUMIFS('YTD Sales'!$N:$N,'YTD Sales'!$B:$B,Brokerage!$B131,'YTD Sales'!$M:$M,Brokerage!Y$4)+SUMIFS('YTD Purchases'!$H:$H,'YTD Purchases'!$C:$C,Brokerage!$B131,'YTD Purchases'!$G:$G,Brokerage!Y$4)</f>
        <v>0</v>
      </c>
      <c r="Z131" s="857">
        <f>SUMIFS('YTD Sales'!$N:$N,'YTD Sales'!$B:$B,Brokerage!$B131,'YTD Sales'!$M:$M,Brokerage!Z$4)+SUMIFS('YTD Purchases'!$H:$H,'YTD Purchases'!$C:$C,Brokerage!$B131,'YTD Purchases'!$G:$G,Brokerage!Z$4)</f>
        <v>0</v>
      </c>
      <c r="AA131" s="857">
        <f>SUMIFS('YTD Sales'!$N:$N,'YTD Sales'!$B:$B,Brokerage!$B131,'YTD Sales'!$M:$M,Brokerage!AA$4)+SUMIFS('YTD Purchases'!$H:$H,'YTD Purchases'!$C:$C,Brokerage!$B131,'YTD Purchases'!$G:$G,Brokerage!AA$4)</f>
        <v>161104.45250000001</v>
      </c>
      <c r="AB131" s="857">
        <f>SUMIFS('YTD Sales'!$N:$N,'YTD Sales'!$B:$B,Brokerage!$B131,'YTD Sales'!$M:$M,Brokerage!AB$4)+SUMIFS('YTD Purchases'!$H:$H,'YTD Purchases'!$C:$C,Brokerage!$B131,'YTD Purchases'!$G:$G,Brokerage!AB$4)</f>
        <v>0</v>
      </c>
      <c r="AC131" s="857">
        <f>SUMIFS('YTD Sales'!$N:$N,'YTD Sales'!$B:$B,Brokerage!$B131,'YTD Sales'!$M:$M,Brokerage!AC$4)+SUMIFS('YTD Purchases'!$H:$H,'YTD Purchases'!$C:$C,Brokerage!$B131,'YTD Purchases'!$G:$G,Brokerage!AC$4)</f>
        <v>0</v>
      </c>
      <c r="AD131" s="857">
        <f>+SUMIFS(PIB!AG:AG,PIB!AF:AF,Brokerage!AD$4,PIB!AA:AA,Brokerage!$B131)+SUMIFS('T-Bills'!AB:AB,'T-Bills'!AA:AA,Brokerage!AD$4,'T-Bills'!V:V,Brokerage!$B131)</f>
        <v>0</v>
      </c>
      <c r="AE131" s="857">
        <f>+SUMIFS(PIB!AH:AH,PIB!AG:AG,Brokerage!AE$4,PIB!AB:AB,Brokerage!$B131)+SUMIFS('T-Bills'!AC:AC,'T-Bills'!AB:AB,Brokerage!AE$4,'T-Bills'!W:W,Brokerage!$B131)</f>
        <v>0</v>
      </c>
      <c r="AF131" s="857">
        <f>+SUMIFS(PIB!AI:AI,PIB!AH:AH,Brokerage!AF$4,PIB!AC:AC,Brokerage!$B131)+SUMIFS('T-Bills'!AD:AD,'T-Bills'!AC:AC,Brokerage!AF$4,'T-Bills'!X:X,Brokerage!$B131)</f>
        <v>0</v>
      </c>
      <c r="AG131" s="857">
        <f t="shared" si="10"/>
        <v>364555.38603225804</v>
      </c>
      <c r="AH131" s="858">
        <f t="shared" si="17"/>
        <v>15</v>
      </c>
    </row>
    <row r="132" spans="2:34" x14ac:dyDescent="0.15">
      <c r="B132" s="661">
        <f t="shared" si="9"/>
        <v>44688</v>
      </c>
      <c r="C132" s="857">
        <f>SUMIFS('YTD Sales'!$N:$N,'YTD Sales'!$B:$B,Brokerage!$B132,'YTD Sales'!$M:$M,Brokerage!C$4)+SUMIFS('YTD Purchases'!$H:$H,'YTD Purchases'!$C:$C,Brokerage!$B132,'YTD Purchases'!$G:$G,Brokerage!C$4)</f>
        <v>0</v>
      </c>
      <c r="D132" s="857">
        <f>SUMIFS('YTD Sales'!$N:$N,'YTD Sales'!$B:$B,Brokerage!$B132,'YTD Sales'!$M:$M,Brokerage!D$4)+SUMIFS('YTD Purchases'!$H:$H,'YTD Purchases'!$C:$C,Brokerage!$B132,'YTD Purchases'!$G:$G,Brokerage!D$4)</f>
        <v>0</v>
      </c>
      <c r="E132" s="857">
        <f>SUMIFS('YTD Sales'!$N:$N,'YTD Sales'!$B:$B,Brokerage!$B132,'YTD Sales'!$M:$M,Brokerage!E$4)+SUMIFS('YTD Purchases'!$H:$H,'YTD Purchases'!$C:$C,Brokerage!$B132,'YTD Purchases'!$G:$G,Brokerage!E$4)</f>
        <v>0</v>
      </c>
      <c r="F132" s="857">
        <f>SUMIFS('YTD Sales'!$N:$N,'YTD Sales'!$B:$B,Brokerage!$B132,'YTD Sales'!$M:$M,Brokerage!F$4)+SUMIFS('YTD Purchases'!$H:$H,'YTD Purchases'!$C:$C,Brokerage!$B132,'YTD Purchases'!$G:$G,Brokerage!F$4)</f>
        <v>0</v>
      </c>
      <c r="G132" s="857">
        <f>SUMIFS('YTD Sales'!$N:$N,'YTD Sales'!$B:$B,Brokerage!$B132,'YTD Sales'!$M:$M,Brokerage!G$4)+SUMIFS('YTD Purchases'!$H:$H,'YTD Purchases'!$C:$C,Brokerage!$B132,'YTD Purchases'!$G:$G,Brokerage!G$4)</f>
        <v>0</v>
      </c>
      <c r="H132" s="857">
        <f>SUMIFS('YTD Sales'!$N:$N,'YTD Sales'!$B:$B,Brokerage!$B132,'YTD Sales'!$M:$M,Brokerage!H$4)+SUMIFS('YTD Purchases'!$H:$H,'YTD Purchases'!$C:$C,Brokerage!$B132,'YTD Purchases'!$G:$G,Brokerage!H$4)</f>
        <v>0</v>
      </c>
      <c r="I132" s="857">
        <f>SUMIFS('YTD Sales'!$N:$N,'YTD Sales'!$B:$B,Brokerage!$B132,'YTD Sales'!$M:$M,Brokerage!I$4)+SUMIFS('YTD Purchases'!$H:$H,'YTD Purchases'!$C:$C,Brokerage!$B132,'YTD Purchases'!$G:$G,Brokerage!I$4)</f>
        <v>0</v>
      </c>
      <c r="J132" s="857">
        <f>SUMIFS('YTD Sales'!$N:$N,'YTD Sales'!$B:$B,Brokerage!$B132,'YTD Sales'!$M:$M,Brokerage!J$4)+SUMIFS('YTD Purchases'!$H:$H,'YTD Purchases'!$C:$C,Brokerage!$B132,'YTD Purchases'!$G:$G,Brokerage!J$4)</f>
        <v>0</v>
      </c>
      <c r="K132" s="857">
        <f>SUMIFS('YTD Sales'!$N:$N,'YTD Sales'!$B:$B,Brokerage!$B132,'YTD Sales'!$M:$M,Brokerage!K$4)+SUMIFS('YTD Purchases'!$H:$H,'YTD Purchases'!$C:$C,Brokerage!$B132,'YTD Purchases'!$G:$G,Brokerage!K$4)</f>
        <v>0</v>
      </c>
      <c r="L132" s="857">
        <f>SUMIFS('YTD Sales'!$N:$N,'YTD Sales'!$B:$B,Brokerage!$B132,'YTD Sales'!$M:$M,Brokerage!L$4)+SUMIFS('YTD Purchases'!$H:$H,'YTD Purchases'!$C:$C,Brokerage!$B132,'YTD Purchases'!$G:$G,Brokerage!L$4)</f>
        <v>0</v>
      </c>
      <c r="M132" s="857">
        <f>SUMIFS('YTD Sales'!$N:$N,'YTD Sales'!$B:$B,Brokerage!$B132,'YTD Sales'!$M:$M,Brokerage!M$4)+SUMIFS('YTD Purchases'!$H:$H,'YTD Purchases'!$C:$C,Brokerage!$B132,'YTD Purchases'!$G:$G,Brokerage!M$4)</f>
        <v>0</v>
      </c>
      <c r="N132" s="857">
        <f>SUMIFS('YTD Sales'!$N:$N,'YTD Sales'!$B:$B,Brokerage!$B132,'YTD Sales'!$M:$M,Brokerage!N$4)+SUMIFS('YTD Purchases'!$H:$H,'YTD Purchases'!$C:$C,Brokerage!$B132,'YTD Purchases'!$G:$G,Brokerage!N$4)</f>
        <v>0</v>
      </c>
      <c r="O132" s="857">
        <f>SUMIFS('YTD Sales'!$N:$N,'YTD Sales'!$B:$B,Brokerage!$B132,'YTD Sales'!$M:$M,Brokerage!O$4)+SUMIFS('YTD Purchases'!$H:$H,'YTD Purchases'!$C:$C,Brokerage!$B132,'YTD Purchases'!$G:$G,Brokerage!O$4)</f>
        <v>0</v>
      </c>
      <c r="P132" s="857">
        <f>SUMIFS('YTD Sales'!$N:$N,'YTD Sales'!$B:$B,Brokerage!$B132,'YTD Sales'!$M:$M,Brokerage!P$4)+SUMIFS('YTD Purchases'!$H:$H,'YTD Purchases'!$C:$C,Brokerage!$B132,'YTD Purchases'!$G:$G,Brokerage!P$4)</f>
        <v>0</v>
      </c>
      <c r="Q132" s="857">
        <f>SUMIFS('YTD Sales'!$N:$N,'YTD Sales'!$B:$B,Brokerage!$B132,'YTD Sales'!$M:$M,Brokerage!Q$4)+SUMIFS('YTD Purchases'!$H:$H,'YTD Purchases'!$C:$C,Brokerage!$B132,'YTD Purchases'!$G:$G,Brokerage!Q$4)</f>
        <v>0</v>
      </c>
      <c r="R132" s="857">
        <f>SUMIFS('YTD Sales'!$N:$N,'YTD Sales'!$B:$B,Brokerage!$B132,'YTD Sales'!$M:$M,Brokerage!R$4)+SUMIFS('YTD Purchases'!$H:$H,'YTD Purchases'!$C:$C,Brokerage!$B132,'YTD Purchases'!$G:$G,Brokerage!R$4)</f>
        <v>0</v>
      </c>
      <c r="S132" s="857">
        <f>SUMIFS('YTD Sales'!$N:$N,'YTD Sales'!$B:$B,Brokerage!$B132,'YTD Sales'!$M:$M,Brokerage!S$4)+SUMIFS('YTD Purchases'!$H:$H,'YTD Purchases'!$C:$C,Brokerage!$B132,'YTD Purchases'!$G:$G,Brokerage!S$4)</f>
        <v>0</v>
      </c>
      <c r="T132" s="857">
        <f>SUMIFS('YTD Sales'!$N:$N,'YTD Sales'!$B:$B,Brokerage!$B132,'YTD Sales'!$M:$M,Brokerage!T$4)+SUMIFS('YTD Purchases'!$H:$H,'YTD Purchases'!$C:$C,Brokerage!$B132,'YTD Purchases'!$G:$G,Brokerage!T$4)</f>
        <v>0</v>
      </c>
      <c r="U132" s="857">
        <f>SUMIFS('YTD Sales'!$N:$N,'YTD Sales'!$B:$B,Brokerage!$B132,'YTD Sales'!$M:$M,Brokerage!U$4)+SUMIFS('YTD Purchases'!$H:$H,'YTD Purchases'!$C:$C,Brokerage!$B132,'YTD Purchases'!$G:$G,Brokerage!U$4)</f>
        <v>0</v>
      </c>
      <c r="V132" s="857">
        <f>SUMIFS('YTD Sales'!$N:$N,'YTD Sales'!$B:$B,Brokerage!$B132,'YTD Sales'!$M:$M,Brokerage!V$4)+SUMIFS('YTD Purchases'!$H:$H,'YTD Purchases'!$C:$C,Brokerage!$B132,'YTD Purchases'!$G:$G,Brokerage!V$4)</f>
        <v>0</v>
      </c>
      <c r="W132" s="857">
        <f>SUMIFS('YTD Sales'!$N:$N,'YTD Sales'!$B:$B,Brokerage!$B132,'YTD Sales'!$M:$M,Brokerage!W$4)+SUMIFS('YTD Purchases'!$H:$H,'YTD Purchases'!$C:$C,Brokerage!$B132,'YTD Purchases'!$G:$G,Brokerage!W$4)</f>
        <v>0</v>
      </c>
      <c r="X132" s="857">
        <f>SUMIFS('YTD Sales'!$N:$N,'YTD Sales'!$B:$B,Brokerage!$B132,'YTD Sales'!$M:$M,Brokerage!X$4)+SUMIFS('YTD Purchases'!$H:$H,'YTD Purchases'!$C:$C,Brokerage!$B132,'YTD Purchases'!$G:$G,Brokerage!X$4)</f>
        <v>0</v>
      </c>
      <c r="Y132" s="857">
        <f>SUMIFS('YTD Sales'!$N:$N,'YTD Sales'!$B:$B,Brokerage!$B132,'YTD Sales'!$M:$M,Brokerage!Y$4)+SUMIFS('YTD Purchases'!$H:$H,'YTD Purchases'!$C:$C,Brokerage!$B132,'YTD Purchases'!$G:$G,Brokerage!Y$4)</f>
        <v>0</v>
      </c>
      <c r="Z132" s="857">
        <f>SUMIFS('YTD Sales'!$N:$N,'YTD Sales'!$B:$B,Brokerage!$B132,'YTD Sales'!$M:$M,Brokerage!Z$4)+SUMIFS('YTD Purchases'!$H:$H,'YTD Purchases'!$C:$C,Brokerage!$B132,'YTD Purchases'!$G:$G,Brokerage!Z$4)</f>
        <v>0</v>
      </c>
      <c r="AA132" s="857">
        <f>SUMIFS('YTD Sales'!$N:$N,'YTD Sales'!$B:$B,Brokerage!$B132,'YTD Sales'!$M:$M,Brokerage!AA$4)+SUMIFS('YTD Purchases'!$H:$H,'YTD Purchases'!$C:$C,Brokerage!$B132,'YTD Purchases'!$G:$G,Brokerage!AA$4)</f>
        <v>0</v>
      </c>
      <c r="AB132" s="857">
        <f>SUMIFS('YTD Sales'!$N:$N,'YTD Sales'!$B:$B,Brokerage!$B132,'YTD Sales'!$M:$M,Brokerage!AB$4)+SUMIFS('YTD Purchases'!$H:$H,'YTD Purchases'!$C:$C,Brokerage!$B132,'YTD Purchases'!$G:$G,Brokerage!AB$4)</f>
        <v>0</v>
      </c>
      <c r="AC132" s="857">
        <f>SUMIFS('YTD Sales'!$N:$N,'YTD Sales'!$B:$B,Brokerage!$B132,'YTD Sales'!$M:$M,Brokerage!AC$4)+SUMIFS('YTD Purchases'!$H:$H,'YTD Purchases'!$C:$C,Brokerage!$B132,'YTD Purchases'!$G:$G,Brokerage!AC$4)</f>
        <v>0</v>
      </c>
      <c r="AD132" s="857">
        <f>+SUMIFS(PIB!AG:AG,PIB!AF:AF,Brokerage!AD$4,PIB!AA:AA,Brokerage!$B132)+SUMIFS('T-Bills'!AB:AB,'T-Bills'!AA:AA,Brokerage!AD$4,'T-Bills'!V:V,Brokerage!$B132)</f>
        <v>0</v>
      </c>
      <c r="AE132" s="857">
        <f>+SUMIFS(PIB!AH:AH,PIB!AG:AG,Brokerage!AE$4,PIB!AB:AB,Brokerage!$B132)+SUMIFS('T-Bills'!AC:AC,'T-Bills'!AB:AB,Brokerage!AE$4,'T-Bills'!W:W,Brokerage!$B132)</f>
        <v>0</v>
      </c>
      <c r="AF132" s="857">
        <f>+SUMIFS(PIB!AI:AI,PIB!AH:AH,Brokerage!AF$4,PIB!AC:AC,Brokerage!$B132)+SUMIFS('T-Bills'!AD:AD,'T-Bills'!AC:AC,Brokerage!AF$4,'T-Bills'!X:X,Brokerage!$B132)</f>
        <v>0</v>
      </c>
      <c r="AG132" s="857">
        <f t="shared" si="10"/>
        <v>0</v>
      </c>
      <c r="AH132" s="858">
        <f t="shared" si="17"/>
        <v>0</v>
      </c>
    </row>
    <row r="133" spans="2:34" x14ac:dyDescent="0.15">
      <c r="B133" s="661">
        <f t="shared" si="9"/>
        <v>44689</v>
      </c>
      <c r="C133" s="857">
        <f>SUMIFS('YTD Sales'!$N:$N,'YTD Sales'!$B:$B,Brokerage!$B133,'YTD Sales'!$M:$M,Brokerage!C$4)+SUMIFS('YTD Purchases'!$H:$H,'YTD Purchases'!$C:$C,Brokerage!$B133,'YTD Purchases'!$G:$G,Brokerage!C$4)</f>
        <v>0</v>
      </c>
      <c r="D133" s="857">
        <f>SUMIFS('YTD Sales'!$N:$N,'YTD Sales'!$B:$B,Brokerage!$B133,'YTD Sales'!$M:$M,Brokerage!D$4)+SUMIFS('YTD Purchases'!$H:$H,'YTD Purchases'!$C:$C,Brokerage!$B133,'YTD Purchases'!$G:$G,Brokerage!D$4)</f>
        <v>0</v>
      </c>
      <c r="E133" s="857">
        <f>SUMIFS('YTD Sales'!$N:$N,'YTD Sales'!$B:$B,Brokerage!$B133,'YTD Sales'!$M:$M,Brokerage!E$4)+SUMIFS('YTD Purchases'!$H:$H,'YTD Purchases'!$C:$C,Brokerage!$B133,'YTD Purchases'!$G:$G,Brokerage!E$4)</f>
        <v>0</v>
      </c>
      <c r="F133" s="857">
        <f>SUMIFS('YTD Sales'!$N:$N,'YTD Sales'!$B:$B,Brokerage!$B133,'YTD Sales'!$M:$M,Brokerage!F$4)+SUMIFS('YTD Purchases'!$H:$H,'YTD Purchases'!$C:$C,Brokerage!$B133,'YTD Purchases'!$G:$G,Brokerage!F$4)</f>
        <v>0</v>
      </c>
      <c r="G133" s="857">
        <f>SUMIFS('YTD Sales'!$N:$N,'YTD Sales'!$B:$B,Brokerage!$B133,'YTD Sales'!$M:$M,Brokerage!G$4)+SUMIFS('YTD Purchases'!$H:$H,'YTD Purchases'!$C:$C,Brokerage!$B133,'YTD Purchases'!$G:$G,Brokerage!G$4)</f>
        <v>0</v>
      </c>
      <c r="H133" s="857">
        <f>SUMIFS('YTD Sales'!$N:$N,'YTD Sales'!$B:$B,Brokerage!$B133,'YTD Sales'!$M:$M,Brokerage!H$4)+SUMIFS('YTD Purchases'!$H:$H,'YTD Purchases'!$C:$C,Brokerage!$B133,'YTD Purchases'!$G:$G,Brokerage!H$4)</f>
        <v>0</v>
      </c>
      <c r="I133" s="857">
        <f>SUMIFS('YTD Sales'!$N:$N,'YTD Sales'!$B:$B,Brokerage!$B133,'YTD Sales'!$M:$M,Brokerage!I$4)+SUMIFS('YTD Purchases'!$H:$H,'YTD Purchases'!$C:$C,Brokerage!$B133,'YTD Purchases'!$G:$G,Brokerage!I$4)</f>
        <v>0</v>
      </c>
      <c r="J133" s="857">
        <f>SUMIFS('YTD Sales'!$N:$N,'YTD Sales'!$B:$B,Brokerage!$B133,'YTD Sales'!$M:$M,Brokerage!J$4)+SUMIFS('YTD Purchases'!$H:$H,'YTD Purchases'!$C:$C,Brokerage!$B133,'YTD Purchases'!$G:$G,Brokerage!J$4)</f>
        <v>0</v>
      </c>
      <c r="K133" s="857">
        <f>SUMIFS('YTD Sales'!$N:$N,'YTD Sales'!$B:$B,Brokerage!$B133,'YTD Sales'!$M:$M,Brokerage!K$4)+SUMIFS('YTD Purchases'!$H:$H,'YTD Purchases'!$C:$C,Brokerage!$B133,'YTD Purchases'!$G:$G,Brokerage!K$4)</f>
        <v>0</v>
      </c>
      <c r="L133" s="857">
        <f>SUMIFS('YTD Sales'!$N:$N,'YTD Sales'!$B:$B,Brokerage!$B133,'YTD Sales'!$M:$M,Brokerage!L$4)+SUMIFS('YTD Purchases'!$H:$H,'YTD Purchases'!$C:$C,Brokerage!$B133,'YTD Purchases'!$G:$G,Brokerage!L$4)</f>
        <v>0</v>
      </c>
      <c r="M133" s="857">
        <f>SUMIFS('YTD Sales'!$N:$N,'YTD Sales'!$B:$B,Brokerage!$B133,'YTD Sales'!$M:$M,Brokerage!M$4)+SUMIFS('YTD Purchases'!$H:$H,'YTD Purchases'!$C:$C,Brokerage!$B133,'YTD Purchases'!$G:$G,Brokerage!M$4)</f>
        <v>0</v>
      </c>
      <c r="N133" s="857">
        <f>SUMIFS('YTD Sales'!$N:$N,'YTD Sales'!$B:$B,Brokerage!$B133,'YTD Sales'!$M:$M,Brokerage!N$4)+SUMIFS('YTD Purchases'!$H:$H,'YTD Purchases'!$C:$C,Brokerage!$B133,'YTD Purchases'!$G:$G,Brokerage!N$4)</f>
        <v>0</v>
      </c>
      <c r="O133" s="857">
        <f>SUMIFS('YTD Sales'!$N:$N,'YTD Sales'!$B:$B,Brokerage!$B133,'YTD Sales'!$M:$M,Brokerage!O$4)+SUMIFS('YTD Purchases'!$H:$H,'YTD Purchases'!$C:$C,Brokerage!$B133,'YTD Purchases'!$G:$G,Brokerage!O$4)</f>
        <v>0</v>
      </c>
      <c r="P133" s="857">
        <f>SUMIFS('YTD Sales'!$N:$N,'YTD Sales'!$B:$B,Brokerage!$B133,'YTD Sales'!$M:$M,Brokerage!P$4)+SUMIFS('YTD Purchases'!$H:$H,'YTD Purchases'!$C:$C,Brokerage!$B133,'YTD Purchases'!$G:$G,Brokerage!P$4)</f>
        <v>0</v>
      </c>
      <c r="Q133" s="857">
        <f>SUMIFS('YTD Sales'!$N:$N,'YTD Sales'!$B:$B,Brokerage!$B133,'YTD Sales'!$M:$M,Brokerage!Q$4)+SUMIFS('YTD Purchases'!$H:$H,'YTD Purchases'!$C:$C,Brokerage!$B133,'YTD Purchases'!$G:$G,Brokerage!Q$4)</f>
        <v>0</v>
      </c>
      <c r="R133" s="857">
        <f>SUMIFS('YTD Sales'!$N:$N,'YTD Sales'!$B:$B,Brokerage!$B133,'YTD Sales'!$M:$M,Brokerage!R$4)+SUMIFS('YTD Purchases'!$H:$H,'YTD Purchases'!$C:$C,Brokerage!$B133,'YTD Purchases'!$G:$G,Brokerage!R$4)</f>
        <v>0</v>
      </c>
      <c r="S133" s="857">
        <f>SUMIFS('YTD Sales'!$N:$N,'YTD Sales'!$B:$B,Brokerage!$B133,'YTD Sales'!$M:$M,Brokerage!S$4)+SUMIFS('YTD Purchases'!$H:$H,'YTD Purchases'!$C:$C,Brokerage!$B133,'YTD Purchases'!$G:$G,Brokerage!S$4)</f>
        <v>0</v>
      </c>
      <c r="T133" s="857">
        <f>SUMIFS('YTD Sales'!$N:$N,'YTD Sales'!$B:$B,Brokerage!$B133,'YTD Sales'!$M:$M,Brokerage!T$4)+SUMIFS('YTD Purchases'!$H:$H,'YTD Purchases'!$C:$C,Brokerage!$B133,'YTD Purchases'!$G:$G,Brokerage!T$4)</f>
        <v>0</v>
      </c>
      <c r="U133" s="857">
        <f>SUMIFS('YTD Sales'!$N:$N,'YTD Sales'!$B:$B,Brokerage!$B133,'YTD Sales'!$M:$M,Brokerage!U$4)+SUMIFS('YTD Purchases'!$H:$H,'YTD Purchases'!$C:$C,Brokerage!$B133,'YTD Purchases'!$G:$G,Brokerage!U$4)</f>
        <v>0</v>
      </c>
      <c r="V133" s="857">
        <f>SUMIFS('YTD Sales'!$N:$N,'YTD Sales'!$B:$B,Brokerage!$B133,'YTD Sales'!$M:$M,Brokerage!V$4)+SUMIFS('YTD Purchases'!$H:$H,'YTD Purchases'!$C:$C,Brokerage!$B133,'YTD Purchases'!$G:$G,Brokerage!V$4)</f>
        <v>0</v>
      </c>
      <c r="W133" s="857">
        <f>SUMIFS('YTD Sales'!$N:$N,'YTD Sales'!$B:$B,Brokerage!$B133,'YTD Sales'!$M:$M,Brokerage!W$4)+SUMIFS('YTD Purchases'!$H:$H,'YTD Purchases'!$C:$C,Brokerage!$B133,'YTD Purchases'!$G:$G,Brokerage!W$4)</f>
        <v>0</v>
      </c>
      <c r="X133" s="857">
        <f>SUMIFS('YTD Sales'!$N:$N,'YTD Sales'!$B:$B,Brokerage!$B133,'YTD Sales'!$M:$M,Brokerage!X$4)+SUMIFS('YTD Purchases'!$H:$H,'YTD Purchases'!$C:$C,Brokerage!$B133,'YTD Purchases'!$G:$G,Brokerage!X$4)</f>
        <v>0</v>
      </c>
      <c r="Y133" s="857">
        <f>SUMIFS('YTD Sales'!$N:$N,'YTD Sales'!$B:$B,Brokerage!$B133,'YTD Sales'!$M:$M,Brokerage!Y$4)+SUMIFS('YTD Purchases'!$H:$H,'YTD Purchases'!$C:$C,Brokerage!$B133,'YTD Purchases'!$G:$G,Brokerage!Y$4)</f>
        <v>0</v>
      </c>
      <c r="Z133" s="857">
        <f>SUMIFS('YTD Sales'!$N:$N,'YTD Sales'!$B:$B,Brokerage!$B133,'YTD Sales'!$M:$M,Brokerage!Z$4)+SUMIFS('YTD Purchases'!$H:$H,'YTD Purchases'!$C:$C,Brokerage!$B133,'YTD Purchases'!$G:$G,Brokerage!Z$4)</f>
        <v>0</v>
      </c>
      <c r="AA133" s="857">
        <f>SUMIFS('YTD Sales'!$N:$N,'YTD Sales'!$B:$B,Brokerage!$B133,'YTD Sales'!$M:$M,Brokerage!AA$4)+SUMIFS('YTD Purchases'!$H:$H,'YTD Purchases'!$C:$C,Brokerage!$B133,'YTD Purchases'!$G:$G,Brokerage!AA$4)</f>
        <v>0</v>
      </c>
      <c r="AB133" s="857">
        <f>SUMIFS('YTD Sales'!$N:$N,'YTD Sales'!$B:$B,Brokerage!$B133,'YTD Sales'!$M:$M,Brokerage!AB$4)+SUMIFS('YTD Purchases'!$H:$H,'YTD Purchases'!$C:$C,Brokerage!$B133,'YTD Purchases'!$G:$G,Brokerage!AB$4)</f>
        <v>0</v>
      </c>
      <c r="AC133" s="857">
        <f>SUMIFS('YTD Sales'!$N:$N,'YTD Sales'!$B:$B,Brokerage!$B133,'YTD Sales'!$M:$M,Brokerage!AC$4)+SUMIFS('YTD Purchases'!$H:$H,'YTD Purchases'!$C:$C,Brokerage!$B133,'YTD Purchases'!$G:$G,Brokerage!AC$4)</f>
        <v>0</v>
      </c>
      <c r="AD133" s="857">
        <f>+SUMIFS(PIB!AG:AG,PIB!AF:AF,Brokerage!AD$4,PIB!AA:AA,Brokerage!$B133)+SUMIFS('T-Bills'!AB:AB,'T-Bills'!AA:AA,Brokerage!AD$4,'T-Bills'!V:V,Brokerage!$B133)</f>
        <v>0</v>
      </c>
      <c r="AE133" s="857">
        <f>+SUMIFS(PIB!AH:AH,PIB!AG:AG,Brokerage!AE$4,PIB!AB:AB,Brokerage!$B133)+SUMIFS('T-Bills'!AC:AC,'T-Bills'!AB:AB,Brokerage!AE$4,'T-Bills'!W:W,Brokerage!$B133)</f>
        <v>0</v>
      </c>
      <c r="AF133" s="857">
        <f>+SUMIFS(PIB!AI:AI,PIB!AH:AH,Brokerage!AF$4,PIB!AC:AC,Brokerage!$B133)+SUMIFS('T-Bills'!AD:AD,'T-Bills'!AC:AC,Brokerage!AF$4,'T-Bills'!X:X,Brokerage!$B133)</f>
        <v>0</v>
      </c>
      <c r="AG133" s="857">
        <f t="shared" si="10"/>
        <v>0</v>
      </c>
      <c r="AH133" s="858">
        <f t="shared" si="17"/>
        <v>0</v>
      </c>
    </row>
    <row r="134" spans="2:34" x14ac:dyDescent="0.15">
      <c r="B134" s="661">
        <f t="shared" si="9"/>
        <v>44690</v>
      </c>
      <c r="C134" s="857">
        <f>SUMIFS('YTD Sales'!$N:$N,'YTD Sales'!$B:$B,Brokerage!$B134,'YTD Sales'!$M:$M,Brokerage!C$4)+SUMIFS('YTD Purchases'!$H:$H,'YTD Purchases'!$C:$C,Brokerage!$B134,'YTD Purchases'!$G:$G,Brokerage!C$4)</f>
        <v>0</v>
      </c>
      <c r="D134" s="857">
        <f>SUMIFS('YTD Sales'!$N:$N,'YTD Sales'!$B:$B,Brokerage!$B134,'YTD Sales'!$M:$M,Brokerage!D$4)+SUMIFS('YTD Purchases'!$H:$H,'YTD Purchases'!$C:$C,Brokerage!$B134,'YTD Purchases'!$G:$G,Brokerage!D$4)</f>
        <v>0</v>
      </c>
      <c r="E134" s="857">
        <f>SUMIFS('YTD Sales'!$N:$N,'YTD Sales'!$B:$B,Brokerage!$B134,'YTD Sales'!$M:$M,Brokerage!E$4)+SUMIFS('YTD Purchases'!$H:$H,'YTD Purchases'!$C:$C,Brokerage!$B134,'YTD Purchases'!$G:$G,Brokerage!E$4)</f>
        <v>0</v>
      </c>
      <c r="F134" s="857">
        <f>SUMIFS('YTD Sales'!$N:$N,'YTD Sales'!$B:$B,Brokerage!$B134,'YTD Sales'!$M:$M,Brokerage!F$4)+SUMIFS('YTD Purchases'!$H:$H,'YTD Purchases'!$C:$C,Brokerage!$B134,'YTD Purchases'!$G:$G,Brokerage!F$4)</f>
        <v>0</v>
      </c>
      <c r="G134" s="857">
        <f>SUMIFS('YTD Sales'!$N:$N,'YTD Sales'!$B:$B,Brokerage!$B134,'YTD Sales'!$M:$M,Brokerage!G$4)+SUMIFS('YTD Purchases'!$H:$H,'YTD Purchases'!$C:$C,Brokerage!$B134,'YTD Purchases'!$G:$G,Brokerage!G$4)</f>
        <v>0</v>
      </c>
      <c r="H134" s="857">
        <f>SUMIFS('YTD Sales'!$N:$N,'YTD Sales'!$B:$B,Brokerage!$B134,'YTD Sales'!$M:$M,Brokerage!H$4)+SUMIFS('YTD Purchases'!$H:$H,'YTD Purchases'!$C:$C,Brokerage!$B134,'YTD Purchases'!$G:$G,Brokerage!H$4)</f>
        <v>0</v>
      </c>
      <c r="I134" s="857">
        <f>SUMIFS('YTD Sales'!$N:$N,'YTD Sales'!$B:$B,Brokerage!$B134,'YTD Sales'!$M:$M,Brokerage!I$4)+SUMIFS('YTD Purchases'!$H:$H,'YTD Purchases'!$C:$C,Brokerage!$B134,'YTD Purchases'!$G:$G,Brokerage!I$4)</f>
        <v>0</v>
      </c>
      <c r="J134" s="857">
        <f>SUMIFS('YTD Sales'!$N:$N,'YTD Sales'!$B:$B,Brokerage!$B134,'YTD Sales'!$M:$M,Brokerage!J$4)+SUMIFS('YTD Purchases'!$H:$H,'YTD Purchases'!$C:$C,Brokerage!$B134,'YTD Purchases'!$G:$G,Brokerage!J$4)</f>
        <v>0</v>
      </c>
      <c r="K134" s="857">
        <f>SUMIFS('YTD Sales'!$N:$N,'YTD Sales'!$B:$B,Brokerage!$B134,'YTD Sales'!$M:$M,Brokerage!K$4)+SUMIFS('YTD Purchases'!$H:$H,'YTD Purchases'!$C:$C,Brokerage!$B134,'YTD Purchases'!$G:$G,Brokerage!K$4)</f>
        <v>0</v>
      </c>
      <c r="L134" s="857">
        <f>SUMIFS('YTD Sales'!$N:$N,'YTD Sales'!$B:$B,Brokerage!$B134,'YTD Sales'!$M:$M,Brokerage!L$4)+SUMIFS('YTD Purchases'!$H:$H,'YTD Purchases'!$C:$C,Brokerage!$B134,'YTD Purchases'!$G:$G,Brokerage!L$4)</f>
        <v>0</v>
      </c>
      <c r="M134" s="857">
        <f>SUMIFS('YTD Sales'!$N:$N,'YTD Sales'!$B:$B,Brokerage!$B134,'YTD Sales'!$M:$M,Brokerage!M$4)+SUMIFS('YTD Purchases'!$H:$H,'YTD Purchases'!$C:$C,Brokerage!$B134,'YTD Purchases'!$G:$G,Brokerage!M$4)</f>
        <v>0</v>
      </c>
      <c r="N134" s="857">
        <f>SUMIFS('YTD Sales'!$N:$N,'YTD Sales'!$B:$B,Brokerage!$B134,'YTD Sales'!$M:$M,Brokerage!N$4)+SUMIFS('YTD Purchases'!$H:$H,'YTD Purchases'!$C:$C,Brokerage!$B134,'YTD Purchases'!$G:$G,Brokerage!N$4)</f>
        <v>0</v>
      </c>
      <c r="O134" s="857">
        <f>SUMIFS('YTD Sales'!$N:$N,'YTD Sales'!$B:$B,Brokerage!$B134,'YTD Sales'!$M:$M,Brokerage!O$4)+SUMIFS('YTD Purchases'!$H:$H,'YTD Purchases'!$C:$C,Brokerage!$B134,'YTD Purchases'!$G:$G,Brokerage!O$4)</f>
        <v>0</v>
      </c>
      <c r="P134" s="857">
        <f>SUMIFS('YTD Sales'!$N:$N,'YTD Sales'!$B:$B,Brokerage!$B134,'YTD Sales'!$M:$M,Brokerage!P$4)+SUMIFS('YTD Purchases'!$H:$H,'YTD Purchases'!$C:$C,Brokerage!$B134,'YTD Purchases'!$G:$G,Brokerage!P$4)</f>
        <v>0</v>
      </c>
      <c r="Q134" s="857">
        <f>SUMIFS('YTD Sales'!$N:$N,'YTD Sales'!$B:$B,Brokerage!$B134,'YTD Sales'!$M:$M,Brokerage!Q$4)+SUMIFS('YTD Purchases'!$H:$H,'YTD Purchases'!$C:$C,Brokerage!$B134,'YTD Purchases'!$G:$G,Brokerage!Q$4)</f>
        <v>0</v>
      </c>
      <c r="R134" s="857">
        <f>SUMIFS('YTD Sales'!$N:$N,'YTD Sales'!$B:$B,Brokerage!$B134,'YTD Sales'!$M:$M,Brokerage!R$4)+SUMIFS('YTD Purchases'!$H:$H,'YTD Purchases'!$C:$C,Brokerage!$B134,'YTD Purchases'!$G:$G,Brokerage!R$4)</f>
        <v>0</v>
      </c>
      <c r="S134" s="857">
        <f>SUMIFS('YTD Sales'!$N:$N,'YTD Sales'!$B:$B,Brokerage!$B134,'YTD Sales'!$M:$M,Brokerage!S$4)+SUMIFS('YTD Purchases'!$H:$H,'YTD Purchases'!$C:$C,Brokerage!$B134,'YTD Purchases'!$G:$G,Brokerage!S$4)</f>
        <v>90116.22</v>
      </c>
      <c r="T134" s="857">
        <f>SUMIFS('YTD Sales'!$N:$N,'YTD Sales'!$B:$B,Brokerage!$B134,'YTD Sales'!$M:$M,Brokerage!T$4)+SUMIFS('YTD Purchases'!$H:$H,'YTD Purchases'!$C:$C,Brokerage!$B134,'YTD Purchases'!$G:$G,Brokerage!T$4)</f>
        <v>0</v>
      </c>
      <c r="U134" s="857">
        <f>SUMIFS('YTD Sales'!$N:$N,'YTD Sales'!$B:$B,Brokerage!$B134,'YTD Sales'!$M:$M,Brokerage!U$4)+SUMIFS('YTD Purchases'!$H:$H,'YTD Purchases'!$C:$C,Brokerage!$B134,'YTD Purchases'!$G:$G,Brokerage!U$4)</f>
        <v>0</v>
      </c>
      <c r="V134" s="857">
        <f>SUMIFS('YTD Sales'!$N:$N,'YTD Sales'!$B:$B,Brokerage!$B134,'YTD Sales'!$M:$M,Brokerage!V$4)+SUMIFS('YTD Purchases'!$H:$H,'YTD Purchases'!$C:$C,Brokerage!$B134,'YTD Purchases'!$G:$G,Brokerage!V$4)</f>
        <v>0</v>
      </c>
      <c r="W134" s="857">
        <f>SUMIFS('YTD Sales'!$N:$N,'YTD Sales'!$B:$B,Brokerage!$B134,'YTD Sales'!$M:$M,Brokerage!W$4)+SUMIFS('YTD Purchases'!$H:$H,'YTD Purchases'!$C:$C,Brokerage!$B134,'YTD Purchases'!$G:$G,Brokerage!W$4)</f>
        <v>0</v>
      </c>
      <c r="X134" s="857">
        <f>SUMIFS('YTD Sales'!$N:$N,'YTD Sales'!$B:$B,Brokerage!$B134,'YTD Sales'!$M:$M,Brokerage!X$4)+SUMIFS('YTD Purchases'!$H:$H,'YTD Purchases'!$C:$C,Brokerage!$B134,'YTD Purchases'!$G:$G,Brokerage!X$4)</f>
        <v>0</v>
      </c>
      <c r="Y134" s="857">
        <f>SUMIFS('YTD Sales'!$N:$N,'YTD Sales'!$B:$B,Brokerage!$B134,'YTD Sales'!$M:$M,Brokerage!Y$4)+SUMIFS('YTD Purchases'!$H:$H,'YTD Purchases'!$C:$C,Brokerage!$B134,'YTD Purchases'!$G:$G,Brokerage!Y$4)</f>
        <v>44789.69</v>
      </c>
      <c r="Z134" s="857">
        <f>SUMIFS('YTD Sales'!$N:$N,'YTD Sales'!$B:$B,Brokerage!$B134,'YTD Sales'!$M:$M,Brokerage!Z$4)+SUMIFS('YTD Purchases'!$H:$H,'YTD Purchases'!$C:$C,Brokerage!$B134,'YTD Purchases'!$G:$G,Brokerage!Z$4)</f>
        <v>0</v>
      </c>
      <c r="AA134" s="857">
        <f>SUMIFS('YTD Sales'!$N:$N,'YTD Sales'!$B:$B,Brokerage!$B134,'YTD Sales'!$M:$M,Brokerage!AA$4)+SUMIFS('YTD Purchases'!$H:$H,'YTD Purchases'!$C:$C,Brokerage!$B134,'YTD Purchases'!$G:$G,Brokerage!AA$4)</f>
        <v>0</v>
      </c>
      <c r="AB134" s="857">
        <f>SUMIFS('YTD Sales'!$N:$N,'YTD Sales'!$B:$B,Brokerage!$B134,'YTD Sales'!$M:$M,Brokerage!AB$4)+SUMIFS('YTD Purchases'!$H:$H,'YTD Purchases'!$C:$C,Brokerage!$B134,'YTD Purchases'!$G:$G,Brokerage!AB$4)</f>
        <v>0</v>
      </c>
      <c r="AC134" s="857">
        <f>SUMIFS('YTD Sales'!$N:$N,'YTD Sales'!$B:$B,Brokerage!$B134,'YTD Sales'!$M:$M,Brokerage!AC$4)+SUMIFS('YTD Purchases'!$H:$H,'YTD Purchases'!$C:$C,Brokerage!$B134,'YTD Purchases'!$G:$G,Brokerage!AC$4)</f>
        <v>0</v>
      </c>
      <c r="AD134" s="857">
        <f>+SUMIFS(PIB!AG:AG,PIB!AF:AF,Brokerage!AD$4,PIB!AA:AA,Brokerage!$B134)+SUMIFS('T-Bills'!AB:AB,'T-Bills'!AA:AA,Brokerage!AD$4,'T-Bills'!V:V,Brokerage!$B134)</f>
        <v>0</v>
      </c>
      <c r="AE134" s="857">
        <f>+SUMIFS(PIB!AH:AH,PIB!AG:AG,Brokerage!AE$4,PIB!AB:AB,Brokerage!$B134)+SUMIFS('T-Bills'!AC:AC,'T-Bills'!AB:AB,Brokerage!AE$4,'T-Bills'!W:W,Brokerage!$B134)</f>
        <v>0</v>
      </c>
      <c r="AF134" s="857">
        <f>+SUMIFS(PIB!AI:AI,PIB!AH:AH,Brokerage!AF$4,PIB!AC:AC,Brokerage!$B134)+SUMIFS('T-Bills'!AD:AD,'T-Bills'!AC:AC,Brokerage!AF$4,'T-Bills'!X:X,Brokerage!$B134)</f>
        <v>0</v>
      </c>
      <c r="AG134" s="857">
        <f t="shared" si="10"/>
        <v>134905.91</v>
      </c>
      <c r="AH134" s="858">
        <f t="shared" si="17"/>
        <v>6</v>
      </c>
    </row>
    <row r="135" spans="2:34" x14ac:dyDescent="0.15">
      <c r="B135" s="661">
        <f t="shared" si="9"/>
        <v>44691</v>
      </c>
      <c r="C135" s="857">
        <f>SUMIFS('YTD Sales'!$N:$N,'YTD Sales'!$B:$B,Brokerage!$B135,'YTD Sales'!$M:$M,Brokerage!C$4)+SUMIFS('YTD Purchases'!$H:$H,'YTD Purchases'!$C:$C,Brokerage!$B135,'YTD Purchases'!$G:$G,Brokerage!C$4)</f>
        <v>0</v>
      </c>
      <c r="D135" s="857">
        <f>SUMIFS('YTD Sales'!$N:$N,'YTD Sales'!$B:$B,Brokerage!$B135,'YTD Sales'!$M:$M,Brokerage!D$4)+SUMIFS('YTD Purchases'!$H:$H,'YTD Purchases'!$C:$C,Brokerage!$B135,'YTD Purchases'!$G:$G,Brokerage!D$4)</f>
        <v>3091.68</v>
      </c>
      <c r="E135" s="857">
        <f>SUMIFS('YTD Sales'!$N:$N,'YTD Sales'!$B:$B,Brokerage!$B135,'YTD Sales'!$M:$M,Brokerage!E$4)+SUMIFS('YTD Purchases'!$H:$H,'YTD Purchases'!$C:$C,Brokerage!$B135,'YTD Purchases'!$G:$G,Brokerage!E$4)</f>
        <v>0</v>
      </c>
      <c r="F135" s="857">
        <f>SUMIFS('YTD Sales'!$N:$N,'YTD Sales'!$B:$B,Brokerage!$B135,'YTD Sales'!$M:$M,Brokerage!F$4)+SUMIFS('YTD Purchases'!$H:$H,'YTD Purchases'!$C:$C,Brokerage!$B135,'YTD Purchases'!$G:$G,Brokerage!F$4)</f>
        <v>0</v>
      </c>
      <c r="G135" s="857">
        <f>SUMIFS('YTD Sales'!$N:$N,'YTD Sales'!$B:$B,Brokerage!$B135,'YTD Sales'!$M:$M,Brokerage!G$4)+SUMIFS('YTD Purchases'!$H:$H,'YTD Purchases'!$C:$C,Brokerage!$B135,'YTD Purchases'!$G:$G,Brokerage!G$4)</f>
        <v>0</v>
      </c>
      <c r="H135" s="857">
        <f>SUMIFS('YTD Sales'!$N:$N,'YTD Sales'!$B:$B,Brokerage!$B135,'YTD Sales'!$M:$M,Brokerage!H$4)+SUMIFS('YTD Purchases'!$H:$H,'YTD Purchases'!$C:$C,Brokerage!$B135,'YTD Purchases'!$G:$G,Brokerage!H$4)</f>
        <v>0</v>
      </c>
      <c r="I135" s="857">
        <f>SUMIFS('YTD Sales'!$N:$N,'YTD Sales'!$B:$B,Brokerage!$B135,'YTD Sales'!$M:$M,Brokerage!I$4)+SUMIFS('YTD Purchases'!$H:$H,'YTD Purchases'!$C:$C,Brokerage!$B135,'YTD Purchases'!$G:$G,Brokerage!I$4)</f>
        <v>120664.51</v>
      </c>
      <c r="J135" s="857">
        <f>SUMIFS('YTD Sales'!$N:$N,'YTD Sales'!$B:$B,Brokerage!$B135,'YTD Sales'!$M:$M,Brokerage!J$4)+SUMIFS('YTD Purchases'!$H:$H,'YTD Purchases'!$C:$C,Brokerage!$B135,'YTD Purchases'!$G:$G,Brokerage!J$4)</f>
        <v>0</v>
      </c>
      <c r="K135" s="857">
        <f>SUMIFS('YTD Sales'!$N:$N,'YTD Sales'!$B:$B,Brokerage!$B135,'YTD Sales'!$M:$M,Brokerage!K$4)+SUMIFS('YTD Purchases'!$H:$H,'YTD Purchases'!$C:$C,Brokerage!$B135,'YTD Purchases'!$G:$G,Brokerage!K$4)</f>
        <v>1559.4</v>
      </c>
      <c r="L135" s="857">
        <f>SUMIFS('YTD Sales'!$N:$N,'YTD Sales'!$B:$B,Brokerage!$B135,'YTD Sales'!$M:$M,Brokerage!L$4)+SUMIFS('YTD Purchases'!$H:$H,'YTD Purchases'!$C:$C,Brokerage!$B135,'YTD Purchases'!$G:$G,Brokerage!L$4)</f>
        <v>23645.25</v>
      </c>
      <c r="M135" s="857">
        <f>SUMIFS('YTD Sales'!$N:$N,'YTD Sales'!$B:$B,Brokerage!$B135,'YTD Sales'!$M:$M,Brokerage!M$4)+SUMIFS('YTD Purchases'!$H:$H,'YTD Purchases'!$C:$C,Brokerage!$B135,'YTD Purchases'!$G:$G,Brokerage!M$4)</f>
        <v>0</v>
      </c>
      <c r="N135" s="857">
        <f>SUMIFS('YTD Sales'!$N:$N,'YTD Sales'!$B:$B,Brokerage!$B135,'YTD Sales'!$M:$M,Brokerage!N$4)+SUMIFS('YTD Purchases'!$H:$H,'YTD Purchases'!$C:$C,Brokerage!$B135,'YTD Purchases'!$G:$G,Brokerage!N$4)</f>
        <v>2278.75</v>
      </c>
      <c r="O135" s="857">
        <f>SUMIFS('YTD Sales'!$N:$N,'YTD Sales'!$B:$B,Brokerage!$B135,'YTD Sales'!$M:$M,Brokerage!O$4)+SUMIFS('YTD Purchases'!$H:$H,'YTD Purchases'!$C:$C,Brokerage!$B135,'YTD Purchases'!$G:$G,Brokerage!O$4)</f>
        <v>0</v>
      </c>
      <c r="P135" s="857">
        <f>SUMIFS('YTD Sales'!$N:$N,'YTD Sales'!$B:$B,Brokerage!$B135,'YTD Sales'!$M:$M,Brokerage!P$4)+SUMIFS('YTD Purchases'!$H:$H,'YTD Purchases'!$C:$C,Brokerage!$B135,'YTD Purchases'!$G:$G,Brokerage!P$4)</f>
        <v>2387.9549999999999</v>
      </c>
      <c r="Q135" s="857">
        <f>SUMIFS('YTD Sales'!$N:$N,'YTD Sales'!$B:$B,Brokerage!$B135,'YTD Sales'!$M:$M,Brokerage!Q$4)+SUMIFS('YTD Purchases'!$H:$H,'YTD Purchases'!$C:$C,Brokerage!$B135,'YTD Purchases'!$G:$G,Brokerage!Q$4)</f>
        <v>0</v>
      </c>
      <c r="R135" s="857">
        <f>SUMIFS('YTD Sales'!$N:$N,'YTD Sales'!$B:$B,Brokerage!$B135,'YTD Sales'!$M:$M,Brokerage!R$4)+SUMIFS('YTD Purchases'!$H:$H,'YTD Purchases'!$C:$C,Brokerage!$B135,'YTD Purchases'!$G:$G,Brokerage!R$4)</f>
        <v>0</v>
      </c>
      <c r="S135" s="857">
        <f>SUMIFS('YTD Sales'!$N:$N,'YTD Sales'!$B:$B,Brokerage!$B135,'YTD Sales'!$M:$M,Brokerage!S$4)+SUMIFS('YTD Purchases'!$H:$H,'YTD Purchases'!$C:$C,Brokerage!$B135,'YTD Purchases'!$G:$G,Brokerage!S$4)</f>
        <v>2396.41</v>
      </c>
      <c r="T135" s="857">
        <f>SUMIFS('YTD Sales'!$N:$N,'YTD Sales'!$B:$B,Brokerage!$B135,'YTD Sales'!$M:$M,Brokerage!T$4)+SUMIFS('YTD Purchases'!$H:$H,'YTD Purchases'!$C:$C,Brokerage!$B135,'YTD Purchases'!$G:$G,Brokerage!T$4)</f>
        <v>0</v>
      </c>
      <c r="U135" s="857">
        <f>SUMIFS('YTD Sales'!$N:$N,'YTD Sales'!$B:$B,Brokerage!$B135,'YTD Sales'!$M:$M,Brokerage!U$4)+SUMIFS('YTD Purchases'!$H:$H,'YTD Purchases'!$C:$C,Brokerage!$B135,'YTD Purchases'!$G:$G,Brokerage!U$4)</f>
        <v>0</v>
      </c>
      <c r="V135" s="857">
        <f>SUMIFS('YTD Sales'!$N:$N,'YTD Sales'!$B:$B,Brokerage!$B135,'YTD Sales'!$M:$M,Brokerage!V$4)+SUMIFS('YTD Purchases'!$H:$H,'YTD Purchases'!$C:$C,Brokerage!$B135,'YTD Purchases'!$G:$G,Brokerage!V$4)</f>
        <v>0</v>
      </c>
      <c r="W135" s="857">
        <f>SUMIFS('YTD Sales'!$N:$N,'YTD Sales'!$B:$B,Brokerage!$B135,'YTD Sales'!$M:$M,Brokerage!W$4)+SUMIFS('YTD Purchases'!$H:$H,'YTD Purchases'!$C:$C,Brokerage!$B135,'YTD Purchases'!$G:$G,Brokerage!W$4)</f>
        <v>0</v>
      </c>
      <c r="X135" s="857">
        <f>SUMIFS('YTD Sales'!$N:$N,'YTD Sales'!$B:$B,Brokerage!$B135,'YTD Sales'!$M:$M,Brokerage!X$4)+SUMIFS('YTD Purchases'!$H:$H,'YTD Purchases'!$C:$C,Brokerage!$B135,'YTD Purchases'!$G:$G,Brokerage!X$4)</f>
        <v>1376.3935000000001</v>
      </c>
      <c r="Y135" s="857">
        <f>SUMIFS('YTD Sales'!$N:$N,'YTD Sales'!$B:$B,Brokerage!$B135,'YTD Sales'!$M:$M,Brokerage!Y$4)+SUMIFS('YTD Purchases'!$H:$H,'YTD Purchases'!$C:$C,Brokerage!$B135,'YTD Purchases'!$G:$G,Brokerage!Y$4)</f>
        <v>0</v>
      </c>
      <c r="Z135" s="857">
        <f>SUMIFS('YTD Sales'!$N:$N,'YTD Sales'!$B:$B,Brokerage!$B135,'YTD Sales'!$M:$M,Brokerage!Z$4)+SUMIFS('YTD Purchases'!$H:$H,'YTD Purchases'!$C:$C,Brokerage!$B135,'YTD Purchases'!$G:$G,Brokerage!Z$4)</f>
        <v>0</v>
      </c>
      <c r="AA135" s="857">
        <f>SUMIFS('YTD Sales'!$N:$N,'YTD Sales'!$B:$B,Brokerage!$B135,'YTD Sales'!$M:$M,Brokerage!AA$4)+SUMIFS('YTD Purchases'!$H:$H,'YTD Purchases'!$C:$C,Brokerage!$B135,'YTD Purchases'!$G:$G,Brokerage!AA$4)</f>
        <v>0</v>
      </c>
      <c r="AB135" s="857">
        <f>SUMIFS('YTD Sales'!$N:$N,'YTD Sales'!$B:$B,Brokerage!$B135,'YTD Sales'!$M:$M,Brokerage!AB$4)+SUMIFS('YTD Purchases'!$H:$H,'YTD Purchases'!$C:$C,Brokerage!$B135,'YTD Purchases'!$G:$G,Brokerage!AB$4)</f>
        <v>0</v>
      </c>
      <c r="AC135" s="857">
        <f>SUMIFS('YTD Sales'!$N:$N,'YTD Sales'!$B:$B,Brokerage!$B135,'YTD Sales'!$M:$M,Brokerage!AC$4)+SUMIFS('YTD Purchases'!$H:$H,'YTD Purchases'!$C:$C,Brokerage!$B135,'YTD Purchases'!$G:$G,Brokerage!AC$4)</f>
        <v>0</v>
      </c>
      <c r="AD135" s="857">
        <f>+SUMIFS(PIB!AG:AG,PIB!AF:AF,Brokerage!AD$4,PIB!AA:AA,Brokerage!$B135)+SUMIFS('T-Bills'!AB:AB,'T-Bills'!AA:AA,Brokerage!AD$4,'T-Bills'!V:V,Brokerage!$B135)</f>
        <v>0</v>
      </c>
      <c r="AE135" s="857">
        <f>+SUMIFS(PIB!AH:AH,PIB!AG:AG,Brokerage!AE$4,PIB!AB:AB,Brokerage!$B135)+SUMIFS('T-Bills'!AC:AC,'T-Bills'!AB:AB,Brokerage!AE$4,'T-Bills'!W:W,Brokerage!$B135)</f>
        <v>0</v>
      </c>
      <c r="AF135" s="857">
        <f>+SUMIFS(PIB!AI:AI,PIB!AH:AH,Brokerage!AF$4,PIB!AC:AC,Brokerage!$B135)+SUMIFS('T-Bills'!AD:AD,'T-Bills'!AC:AC,Brokerage!AF$4,'T-Bills'!X:X,Brokerage!$B135)</f>
        <v>0</v>
      </c>
      <c r="AG135" s="857">
        <f t="shared" si="10"/>
        <v>157400.34849999996</v>
      </c>
      <c r="AH135" s="858">
        <f t="shared" si="17"/>
        <v>6</v>
      </c>
    </row>
    <row r="136" spans="2:34" x14ac:dyDescent="0.15">
      <c r="B136" s="661">
        <f t="shared" si="9"/>
        <v>44692</v>
      </c>
      <c r="C136" s="857">
        <f>SUMIFS('YTD Sales'!$N:$N,'YTD Sales'!$B:$B,Brokerage!$B136,'YTD Sales'!$M:$M,Brokerage!C$4)+SUMIFS('YTD Purchases'!$H:$H,'YTD Purchases'!$C:$C,Brokerage!$B136,'YTD Purchases'!$G:$G,Brokerage!C$4)</f>
        <v>0</v>
      </c>
      <c r="D136" s="857">
        <f>SUMIFS('YTD Sales'!$N:$N,'YTD Sales'!$B:$B,Brokerage!$B136,'YTD Sales'!$M:$M,Brokerage!D$4)+SUMIFS('YTD Purchases'!$H:$H,'YTD Purchases'!$C:$C,Brokerage!$B136,'YTD Purchases'!$G:$G,Brokerage!D$4)</f>
        <v>1244.48</v>
      </c>
      <c r="E136" s="857">
        <f>SUMIFS('YTD Sales'!$N:$N,'YTD Sales'!$B:$B,Brokerage!$B136,'YTD Sales'!$M:$M,Brokerage!E$4)+SUMIFS('YTD Purchases'!$H:$H,'YTD Purchases'!$C:$C,Brokerage!$B136,'YTD Purchases'!$G:$G,Brokerage!E$4)</f>
        <v>23998.687991902832</v>
      </c>
      <c r="F136" s="857">
        <f>SUMIFS('YTD Sales'!$N:$N,'YTD Sales'!$B:$B,Brokerage!$B136,'YTD Sales'!$M:$M,Brokerage!F$4)+SUMIFS('YTD Purchases'!$H:$H,'YTD Purchases'!$C:$C,Brokerage!$B136,'YTD Purchases'!$G:$G,Brokerage!F$4)</f>
        <v>0</v>
      </c>
      <c r="G136" s="857">
        <f>SUMIFS('YTD Sales'!$N:$N,'YTD Sales'!$B:$B,Brokerage!$B136,'YTD Sales'!$M:$M,Brokerage!G$4)+SUMIFS('YTD Purchases'!$H:$H,'YTD Purchases'!$C:$C,Brokerage!$B136,'YTD Purchases'!$G:$G,Brokerage!G$4)</f>
        <v>0</v>
      </c>
      <c r="H136" s="857">
        <f>SUMIFS('YTD Sales'!$N:$N,'YTD Sales'!$B:$B,Brokerage!$B136,'YTD Sales'!$M:$M,Brokerage!H$4)+SUMIFS('YTD Purchases'!$H:$H,'YTD Purchases'!$C:$C,Brokerage!$B136,'YTD Purchases'!$G:$G,Brokerage!H$4)</f>
        <v>0</v>
      </c>
      <c r="I136" s="857">
        <f>SUMIFS('YTD Sales'!$N:$N,'YTD Sales'!$B:$B,Brokerage!$B136,'YTD Sales'!$M:$M,Brokerage!I$4)+SUMIFS('YTD Purchases'!$H:$H,'YTD Purchases'!$C:$C,Brokerage!$B136,'YTD Purchases'!$G:$G,Brokerage!I$4)</f>
        <v>0</v>
      </c>
      <c r="J136" s="857">
        <f>SUMIFS('YTD Sales'!$N:$N,'YTD Sales'!$B:$B,Brokerage!$B136,'YTD Sales'!$M:$M,Brokerage!J$4)+SUMIFS('YTD Purchases'!$H:$H,'YTD Purchases'!$C:$C,Brokerage!$B136,'YTD Purchases'!$G:$G,Brokerage!J$4)</f>
        <v>0</v>
      </c>
      <c r="K136" s="857">
        <f>SUMIFS('YTD Sales'!$N:$N,'YTD Sales'!$B:$B,Brokerage!$B136,'YTD Sales'!$M:$M,Brokerage!K$4)+SUMIFS('YTD Purchases'!$H:$H,'YTD Purchases'!$C:$C,Brokerage!$B136,'YTD Purchases'!$G:$G,Brokerage!K$4)</f>
        <v>0</v>
      </c>
      <c r="L136" s="857">
        <f>SUMIFS('YTD Sales'!$N:$N,'YTD Sales'!$B:$B,Brokerage!$B136,'YTD Sales'!$M:$M,Brokerage!L$4)+SUMIFS('YTD Purchases'!$H:$H,'YTD Purchases'!$C:$C,Brokerage!$B136,'YTD Purchases'!$G:$G,Brokerage!L$4)</f>
        <v>0</v>
      </c>
      <c r="M136" s="857">
        <f>SUMIFS('YTD Sales'!$N:$N,'YTD Sales'!$B:$B,Brokerage!$B136,'YTD Sales'!$M:$M,Brokerage!M$4)+SUMIFS('YTD Purchases'!$H:$H,'YTD Purchases'!$C:$C,Brokerage!$B136,'YTD Purchases'!$G:$G,Brokerage!M$4)</f>
        <v>0</v>
      </c>
      <c r="N136" s="857">
        <f>SUMIFS('YTD Sales'!$N:$N,'YTD Sales'!$B:$B,Brokerage!$B136,'YTD Sales'!$M:$M,Brokerage!N$4)+SUMIFS('YTD Purchases'!$H:$H,'YTD Purchases'!$C:$C,Brokerage!$B136,'YTD Purchases'!$G:$G,Brokerage!N$4)</f>
        <v>0</v>
      </c>
      <c r="O136" s="857">
        <f>SUMIFS('YTD Sales'!$N:$N,'YTD Sales'!$B:$B,Brokerage!$B136,'YTD Sales'!$M:$M,Brokerage!O$4)+SUMIFS('YTD Purchases'!$H:$H,'YTD Purchases'!$C:$C,Brokerage!$B136,'YTD Purchases'!$G:$G,Brokerage!O$4)</f>
        <v>0</v>
      </c>
      <c r="P136" s="857">
        <f>SUMIFS('YTD Sales'!$N:$N,'YTD Sales'!$B:$B,Brokerage!$B136,'YTD Sales'!$M:$M,Brokerage!P$4)+SUMIFS('YTD Purchases'!$H:$H,'YTD Purchases'!$C:$C,Brokerage!$B136,'YTD Purchases'!$G:$G,Brokerage!P$4)</f>
        <v>0</v>
      </c>
      <c r="Q136" s="857">
        <f>SUMIFS('YTD Sales'!$N:$N,'YTD Sales'!$B:$B,Brokerage!$B136,'YTD Sales'!$M:$M,Brokerage!Q$4)+SUMIFS('YTD Purchases'!$H:$H,'YTD Purchases'!$C:$C,Brokerage!$B136,'YTD Purchases'!$G:$G,Brokerage!Q$4)</f>
        <v>0</v>
      </c>
      <c r="R136" s="857">
        <f>SUMIFS('YTD Sales'!$N:$N,'YTD Sales'!$B:$B,Brokerage!$B136,'YTD Sales'!$M:$M,Brokerage!R$4)+SUMIFS('YTD Purchases'!$H:$H,'YTD Purchases'!$C:$C,Brokerage!$B136,'YTD Purchases'!$G:$G,Brokerage!R$4)</f>
        <v>0</v>
      </c>
      <c r="S136" s="857">
        <f>SUMIFS('YTD Sales'!$N:$N,'YTD Sales'!$B:$B,Brokerage!$B136,'YTD Sales'!$M:$M,Brokerage!S$4)+SUMIFS('YTD Purchases'!$H:$H,'YTD Purchases'!$C:$C,Brokerage!$B136,'YTD Purchases'!$G:$G,Brokerage!S$4)</f>
        <v>0</v>
      </c>
      <c r="T136" s="857">
        <f>SUMIFS('YTD Sales'!$N:$N,'YTD Sales'!$B:$B,Brokerage!$B136,'YTD Sales'!$M:$M,Brokerage!T$4)+SUMIFS('YTD Purchases'!$H:$H,'YTD Purchases'!$C:$C,Brokerage!$B136,'YTD Purchases'!$G:$G,Brokerage!T$4)</f>
        <v>0</v>
      </c>
      <c r="U136" s="857">
        <f>SUMIFS('YTD Sales'!$N:$N,'YTD Sales'!$B:$B,Brokerage!$B136,'YTD Sales'!$M:$M,Brokerage!U$4)+SUMIFS('YTD Purchases'!$H:$H,'YTD Purchases'!$C:$C,Brokerage!$B136,'YTD Purchases'!$G:$G,Brokerage!U$4)</f>
        <v>0</v>
      </c>
      <c r="V136" s="857">
        <f>SUMIFS('YTD Sales'!$N:$N,'YTD Sales'!$B:$B,Brokerage!$B136,'YTD Sales'!$M:$M,Brokerage!V$4)+SUMIFS('YTD Purchases'!$H:$H,'YTD Purchases'!$C:$C,Brokerage!$B136,'YTD Purchases'!$G:$G,Brokerage!V$4)</f>
        <v>0</v>
      </c>
      <c r="W136" s="857">
        <f>SUMIFS('YTD Sales'!$N:$N,'YTD Sales'!$B:$B,Brokerage!$B136,'YTD Sales'!$M:$M,Brokerage!W$4)+SUMIFS('YTD Purchases'!$H:$H,'YTD Purchases'!$C:$C,Brokerage!$B136,'YTD Purchases'!$G:$G,Brokerage!W$4)</f>
        <v>0</v>
      </c>
      <c r="X136" s="857">
        <f>SUMIFS('YTD Sales'!$N:$N,'YTD Sales'!$B:$B,Brokerage!$B136,'YTD Sales'!$M:$M,Brokerage!X$4)+SUMIFS('YTD Purchases'!$H:$H,'YTD Purchases'!$C:$C,Brokerage!$B136,'YTD Purchases'!$G:$G,Brokerage!X$4)</f>
        <v>0</v>
      </c>
      <c r="Y136" s="857">
        <f>SUMIFS('YTD Sales'!$N:$N,'YTD Sales'!$B:$B,Brokerage!$B136,'YTD Sales'!$M:$M,Brokerage!Y$4)+SUMIFS('YTD Purchases'!$H:$H,'YTD Purchases'!$C:$C,Brokerage!$B136,'YTD Purchases'!$G:$G,Brokerage!Y$4)</f>
        <v>0</v>
      </c>
      <c r="Z136" s="857">
        <f>SUMIFS('YTD Sales'!$N:$N,'YTD Sales'!$B:$B,Brokerage!$B136,'YTD Sales'!$M:$M,Brokerage!Z$4)+SUMIFS('YTD Purchases'!$H:$H,'YTD Purchases'!$C:$C,Brokerage!$B136,'YTD Purchases'!$G:$G,Brokerage!Z$4)</f>
        <v>0</v>
      </c>
      <c r="AA136" s="857">
        <f>SUMIFS('YTD Sales'!$N:$N,'YTD Sales'!$B:$B,Brokerage!$B136,'YTD Sales'!$M:$M,Brokerage!AA$4)+SUMIFS('YTD Purchases'!$H:$H,'YTD Purchases'!$C:$C,Brokerage!$B136,'YTD Purchases'!$G:$G,Brokerage!AA$4)</f>
        <v>0</v>
      </c>
      <c r="AB136" s="857">
        <f>SUMIFS('YTD Sales'!$N:$N,'YTD Sales'!$B:$B,Brokerage!$B136,'YTD Sales'!$M:$M,Brokerage!AB$4)+SUMIFS('YTD Purchases'!$H:$H,'YTD Purchases'!$C:$C,Brokerage!$B136,'YTD Purchases'!$G:$G,Brokerage!AB$4)</f>
        <v>0</v>
      </c>
      <c r="AC136" s="857">
        <f>SUMIFS('YTD Sales'!$N:$N,'YTD Sales'!$B:$B,Brokerage!$B136,'YTD Sales'!$M:$M,Brokerage!AC$4)+SUMIFS('YTD Purchases'!$H:$H,'YTD Purchases'!$C:$C,Brokerage!$B136,'YTD Purchases'!$G:$G,Brokerage!AC$4)</f>
        <v>0</v>
      </c>
      <c r="AD136" s="857">
        <f>+SUMIFS(PIB!AG:AG,PIB!AF:AF,Brokerage!AD$4,PIB!AA:AA,Brokerage!$B136)+SUMIFS('T-Bills'!AB:AB,'T-Bills'!AA:AA,Brokerage!AD$4,'T-Bills'!V:V,Brokerage!$B136)</f>
        <v>0</v>
      </c>
      <c r="AE136" s="857">
        <f>+SUMIFS(PIB!AH:AH,PIB!AG:AG,Brokerage!AE$4,PIB!AB:AB,Brokerage!$B136)+SUMIFS('T-Bills'!AC:AC,'T-Bills'!AB:AB,Brokerage!AE$4,'T-Bills'!W:W,Brokerage!$B136)</f>
        <v>0</v>
      </c>
      <c r="AF136" s="857">
        <f>+SUMIFS(PIB!AI:AI,PIB!AH:AH,Brokerage!AF$4,PIB!AC:AC,Brokerage!$B136)+SUMIFS('T-Bills'!AD:AD,'T-Bills'!AC:AC,Brokerage!AF$4,'T-Bills'!X:X,Brokerage!$B136)</f>
        <v>0</v>
      </c>
      <c r="AG136" s="857">
        <f t="shared" si="10"/>
        <v>25243.167991902832</v>
      </c>
      <c r="AH136" s="858">
        <f t="shared" si="17"/>
        <v>1</v>
      </c>
    </row>
    <row r="137" spans="2:34" x14ac:dyDescent="0.15">
      <c r="B137" s="661">
        <f t="shared" ref="B137:B200" si="18">+B136+1</f>
        <v>44693</v>
      </c>
      <c r="C137" s="857">
        <f>SUMIFS('YTD Sales'!$N:$N,'YTD Sales'!$B:$B,Brokerage!$B137,'YTD Sales'!$M:$M,Brokerage!C$4)+SUMIFS('YTD Purchases'!$H:$H,'YTD Purchases'!$C:$C,Brokerage!$B137,'YTD Purchases'!$G:$G,Brokerage!C$4)</f>
        <v>0</v>
      </c>
      <c r="D137" s="857">
        <f>SUMIFS('YTD Sales'!$N:$N,'YTD Sales'!$B:$B,Brokerage!$B137,'YTD Sales'!$M:$M,Brokerage!D$4)+SUMIFS('YTD Purchases'!$H:$H,'YTD Purchases'!$C:$C,Brokerage!$B137,'YTD Purchases'!$G:$G,Brokerage!D$4)</f>
        <v>4690.72</v>
      </c>
      <c r="E137" s="857">
        <f>SUMIFS('YTD Sales'!$N:$N,'YTD Sales'!$B:$B,Brokerage!$B137,'YTD Sales'!$M:$M,Brokerage!E$4)+SUMIFS('YTD Purchases'!$H:$H,'YTD Purchases'!$C:$C,Brokerage!$B137,'YTD Purchases'!$G:$G,Brokerage!E$4)</f>
        <v>0</v>
      </c>
      <c r="F137" s="857">
        <f>SUMIFS('YTD Sales'!$N:$N,'YTD Sales'!$B:$B,Brokerage!$B137,'YTD Sales'!$M:$M,Brokerage!F$4)+SUMIFS('YTD Purchases'!$H:$H,'YTD Purchases'!$C:$C,Brokerage!$B137,'YTD Purchases'!$G:$G,Brokerage!F$4)</f>
        <v>0</v>
      </c>
      <c r="G137" s="857">
        <f>SUMIFS('YTD Sales'!$N:$N,'YTD Sales'!$B:$B,Brokerage!$B137,'YTD Sales'!$M:$M,Brokerage!G$4)+SUMIFS('YTD Purchases'!$H:$H,'YTD Purchases'!$C:$C,Brokerage!$B137,'YTD Purchases'!$G:$G,Brokerage!G$4)</f>
        <v>0</v>
      </c>
      <c r="H137" s="857">
        <f>SUMIFS('YTD Sales'!$N:$N,'YTD Sales'!$B:$B,Brokerage!$B137,'YTD Sales'!$M:$M,Brokerage!H$4)+SUMIFS('YTD Purchases'!$H:$H,'YTD Purchases'!$C:$C,Brokerage!$B137,'YTD Purchases'!$G:$G,Brokerage!H$4)</f>
        <v>0</v>
      </c>
      <c r="I137" s="857">
        <f>SUMIFS('YTD Sales'!$N:$N,'YTD Sales'!$B:$B,Brokerage!$B137,'YTD Sales'!$M:$M,Brokerage!I$4)+SUMIFS('YTD Purchases'!$H:$H,'YTD Purchases'!$C:$C,Brokerage!$B137,'YTD Purchases'!$G:$G,Brokerage!I$4)</f>
        <v>0</v>
      </c>
      <c r="J137" s="857">
        <f>SUMIFS('YTD Sales'!$N:$N,'YTD Sales'!$B:$B,Brokerage!$B137,'YTD Sales'!$M:$M,Brokerage!J$4)+SUMIFS('YTD Purchases'!$H:$H,'YTD Purchases'!$C:$C,Brokerage!$B137,'YTD Purchases'!$G:$G,Brokerage!J$4)</f>
        <v>0</v>
      </c>
      <c r="K137" s="857">
        <f>SUMIFS('YTD Sales'!$N:$N,'YTD Sales'!$B:$B,Brokerage!$B137,'YTD Sales'!$M:$M,Brokerage!K$4)+SUMIFS('YTD Purchases'!$H:$H,'YTD Purchases'!$C:$C,Brokerage!$B137,'YTD Purchases'!$G:$G,Brokerage!K$4)</f>
        <v>0</v>
      </c>
      <c r="L137" s="857">
        <f>SUMIFS('YTD Sales'!$N:$N,'YTD Sales'!$B:$B,Brokerage!$B137,'YTD Sales'!$M:$M,Brokerage!L$4)+SUMIFS('YTD Purchases'!$H:$H,'YTD Purchases'!$C:$C,Brokerage!$B137,'YTD Purchases'!$G:$G,Brokerage!L$4)</f>
        <v>0</v>
      </c>
      <c r="M137" s="857">
        <f>SUMIFS('YTD Sales'!$N:$N,'YTD Sales'!$B:$B,Brokerage!$B137,'YTD Sales'!$M:$M,Brokerage!M$4)+SUMIFS('YTD Purchases'!$H:$H,'YTD Purchases'!$C:$C,Brokerage!$B137,'YTD Purchases'!$G:$G,Brokerage!M$4)</f>
        <v>130.52000000000001</v>
      </c>
      <c r="N137" s="857">
        <f>SUMIFS('YTD Sales'!$N:$N,'YTD Sales'!$B:$B,Brokerage!$B137,'YTD Sales'!$M:$M,Brokerage!N$4)+SUMIFS('YTD Purchases'!$H:$H,'YTD Purchases'!$C:$C,Brokerage!$B137,'YTD Purchases'!$G:$G,Brokerage!N$4)</f>
        <v>0</v>
      </c>
      <c r="O137" s="857">
        <f>SUMIFS('YTD Sales'!$N:$N,'YTD Sales'!$B:$B,Brokerage!$B137,'YTD Sales'!$M:$M,Brokerage!O$4)+SUMIFS('YTD Purchases'!$H:$H,'YTD Purchases'!$C:$C,Brokerage!$B137,'YTD Purchases'!$G:$G,Brokerage!O$4)</f>
        <v>12543.29</v>
      </c>
      <c r="P137" s="857">
        <f>SUMIFS('YTD Sales'!$N:$N,'YTD Sales'!$B:$B,Brokerage!$B137,'YTD Sales'!$M:$M,Brokerage!P$4)+SUMIFS('YTD Purchases'!$H:$H,'YTD Purchases'!$C:$C,Brokerage!$B137,'YTD Purchases'!$G:$G,Brokerage!P$4)</f>
        <v>0</v>
      </c>
      <c r="Q137" s="857">
        <f>SUMIFS('YTD Sales'!$N:$N,'YTD Sales'!$B:$B,Brokerage!$B137,'YTD Sales'!$M:$M,Brokerage!Q$4)+SUMIFS('YTD Purchases'!$H:$H,'YTD Purchases'!$C:$C,Brokerage!$B137,'YTD Purchases'!$G:$G,Brokerage!Q$4)</f>
        <v>0</v>
      </c>
      <c r="R137" s="857">
        <f>SUMIFS('YTD Sales'!$N:$N,'YTD Sales'!$B:$B,Brokerage!$B137,'YTD Sales'!$M:$M,Brokerage!R$4)+SUMIFS('YTD Purchases'!$H:$H,'YTD Purchases'!$C:$C,Brokerage!$B137,'YTD Purchases'!$G:$G,Brokerage!R$4)</f>
        <v>0</v>
      </c>
      <c r="S137" s="857">
        <f>SUMIFS('YTD Sales'!$N:$N,'YTD Sales'!$B:$B,Brokerage!$B137,'YTD Sales'!$M:$M,Brokerage!S$4)+SUMIFS('YTD Purchases'!$H:$H,'YTD Purchases'!$C:$C,Brokerage!$B137,'YTD Purchases'!$G:$G,Brokerage!S$4)</f>
        <v>5084.8899999999994</v>
      </c>
      <c r="T137" s="857">
        <f>SUMIFS('YTD Sales'!$N:$N,'YTD Sales'!$B:$B,Brokerage!$B137,'YTD Sales'!$M:$M,Brokerage!T$4)+SUMIFS('YTD Purchases'!$H:$H,'YTD Purchases'!$C:$C,Brokerage!$B137,'YTD Purchases'!$G:$G,Brokerage!T$4)</f>
        <v>0</v>
      </c>
      <c r="U137" s="857">
        <f>SUMIFS('YTD Sales'!$N:$N,'YTD Sales'!$B:$B,Brokerage!$B137,'YTD Sales'!$M:$M,Brokerage!U$4)+SUMIFS('YTD Purchases'!$H:$H,'YTD Purchases'!$C:$C,Brokerage!$B137,'YTD Purchases'!$G:$G,Brokerage!U$4)</f>
        <v>0</v>
      </c>
      <c r="V137" s="857">
        <f>SUMIFS('YTD Sales'!$N:$N,'YTD Sales'!$B:$B,Brokerage!$B137,'YTD Sales'!$M:$M,Brokerage!V$4)+SUMIFS('YTD Purchases'!$H:$H,'YTD Purchases'!$C:$C,Brokerage!$B137,'YTD Purchases'!$G:$G,Brokerage!V$4)</f>
        <v>0</v>
      </c>
      <c r="W137" s="857">
        <f>SUMIFS('YTD Sales'!$N:$N,'YTD Sales'!$B:$B,Brokerage!$B137,'YTD Sales'!$M:$M,Brokerage!W$4)+SUMIFS('YTD Purchases'!$H:$H,'YTD Purchases'!$C:$C,Brokerage!$B137,'YTD Purchases'!$G:$G,Brokerage!W$4)</f>
        <v>0</v>
      </c>
      <c r="X137" s="857">
        <f>SUMIFS('YTD Sales'!$N:$N,'YTD Sales'!$B:$B,Brokerage!$B137,'YTD Sales'!$M:$M,Brokerage!X$4)+SUMIFS('YTD Purchases'!$H:$H,'YTD Purchases'!$C:$C,Brokerage!$B137,'YTD Purchases'!$G:$G,Brokerage!X$4)</f>
        <v>0</v>
      </c>
      <c r="Y137" s="857">
        <f>SUMIFS('YTD Sales'!$N:$N,'YTD Sales'!$B:$B,Brokerage!$B137,'YTD Sales'!$M:$M,Brokerage!Y$4)+SUMIFS('YTD Purchases'!$H:$H,'YTD Purchases'!$C:$C,Brokerage!$B137,'YTD Purchases'!$G:$G,Brokerage!Y$4)</f>
        <v>0</v>
      </c>
      <c r="Z137" s="857">
        <f>SUMIFS('YTD Sales'!$N:$N,'YTD Sales'!$B:$B,Brokerage!$B137,'YTD Sales'!$M:$M,Brokerage!Z$4)+SUMIFS('YTD Purchases'!$H:$H,'YTD Purchases'!$C:$C,Brokerage!$B137,'YTD Purchases'!$G:$G,Brokerage!Z$4)</f>
        <v>0</v>
      </c>
      <c r="AA137" s="857">
        <f>SUMIFS('YTD Sales'!$N:$N,'YTD Sales'!$B:$B,Brokerage!$B137,'YTD Sales'!$M:$M,Brokerage!AA$4)+SUMIFS('YTD Purchases'!$H:$H,'YTD Purchases'!$C:$C,Brokerage!$B137,'YTD Purchases'!$G:$G,Brokerage!AA$4)</f>
        <v>0</v>
      </c>
      <c r="AB137" s="857">
        <f>SUMIFS('YTD Sales'!$N:$N,'YTD Sales'!$B:$B,Brokerage!$B137,'YTD Sales'!$M:$M,Brokerage!AB$4)+SUMIFS('YTD Purchases'!$H:$H,'YTD Purchases'!$C:$C,Brokerage!$B137,'YTD Purchases'!$G:$G,Brokerage!AB$4)</f>
        <v>0</v>
      </c>
      <c r="AC137" s="857">
        <f>SUMIFS('YTD Sales'!$N:$N,'YTD Sales'!$B:$B,Brokerage!$B137,'YTD Sales'!$M:$M,Brokerage!AC$4)+SUMIFS('YTD Purchases'!$H:$H,'YTD Purchases'!$C:$C,Brokerage!$B137,'YTD Purchases'!$G:$G,Brokerage!AC$4)</f>
        <v>0</v>
      </c>
      <c r="AD137" s="857">
        <f>+SUMIFS(PIB!AG:AG,PIB!AF:AF,Brokerage!AD$4,PIB!AA:AA,Brokerage!$B137)+SUMIFS('T-Bills'!AB:AB,'T-Bills'!AA:AA,Brokerage!AD$4,'T-Bills'!V:V,Brokerage!$B137)</f>
        <v>0</v>
      </c>
      <c r="AE137" s="857">
        <f>+SUMIFS(PIB!AH:AH,PIB!AG:AG,Brokerage!AE$4,PIB!AB:AB,Brokerage!$B137)+SUMIFS('T-Bills'!AC:AC,'T-Bills'!AB:AB,Brokerage!AE$4,'T-Bills'!W:W,Brokerage!$B137)</f>
        <v>0</v>
      </c>
      <c r="AF137" s="857">
        <f>+SUMIFS(PIB!AI:AI,PIB!AH:AH,Brokerage!AF$4,PIB!AC:AC,Brokerage!$B137)+SUMIFS('T-Bills'!AD:AD,'T-Bills'!AC:AC,Brokerage!AF$4,'T-Bills'!X:X,Brokerage!$B137)</f>
        <v>0</v>
      </c>
      <c r="AG137" s="857">
        <f t="shared" ref="AG137:AG200" si="19">SUM(C137:AF137)</f>
        <v>22449.420000000002</v>
      </c>
      <c r="AH137" s="858">
        <f t="shared" si="17"/>
        <v>1</v>
      </c>
    </row>
    <row r="138" spans="2:34" x14ac:dyDescent="0.15">
      <c r="B138" s="661">
        <f t="shared" si="18"/>
        <v>44694</v>
      </c>
      <c r="C138" s="857">
        <f>SUMIFS('YTD Sales'!$N:$N,'YTD Sales'!$B:$B,Brokerage!$B138,'YTD Sales'!$M:$M,Brokerage!C$4)+SUMIFS('YTD Purchases'!$H:$H,'YTD Purchases'!$C:$C,Brokerage!$B138,'YTD Purchases'!$G:$G,Brokerage!C$4)</f>
        <v>0</v>
      </c>
      <c r="D138" s="857">
        <f>SUMIFS('YTD Sales'!$N:$N,'YTD Sales'!$B:$B,Brokerage!$B138,'YTD Sales'!$M:$M,Brokerage!D$4)+SUMIFS('YTD Purchases'!$H:$H,'YTD Purchases'!$C:$C,Brokerage!$B138,'YTD Purchases'!$G:$G,Brokerage!D$4)</f>
        <v>5750.2800000000007</v>
      </c>
      <c r="E138" s="857">
        <f>SUMIFS('YTD Sales'!$N:$N,'YTD Sales'!$B:$B,Brokerage!$B138,'YTD Sales'!$M:$M,Brokerage!E$4)+SUMIFS('YTD Purchases'!$H:$H,'YTD Purchases'!$C:$C,Brokerage!$B138,'YTD Purchases'!$G:$G,Brokerage!E$4)</f>
        <v>0</v>
      </c>
      <c r="F138" s="857">
        <f>SUMIFS('YTD Sales'!$N:$N,'YTD Sales'!$B:$B,Brokerage!$B138,'YTD Sales'!$M:$M,Brokerage!F$4)+SUMIFS('YTD Purchases'!$H:$H,'YTD Purchases'!$C:$C,Brokerage!$B138,'YTD Purchases'!$G:$G,Brokerage!F$4)</f>
        <v>0</v>
      </c>
      <c r="G138" s="857">
        <f>SUMIFS('YTD Sales'!$N:$N,'YTD Sales'!$B:$B,Brokerage!$B138,'YTD Sales'!$M:$M,Brokerage!G$4)+SUMIFS('YTD Purchases'!$H:$H,'YTD Purchases'!$C:$C,Brokerage!$B138,'YTD Purchases'!$G:$G,Brokerage!G$4)</f>
        <v>0</v>
      </c>
      <c r="H138" s="857">
        <f>SUMIFS('YTD Sales'!$N:$N,'YTD Sales'!$B:$B,Brokerage!$B138,'YTD Sales'!$M:$M,Brokerage!H$4)+SUMIFS('YTD Purchases'!$H:$H,'YTD Purchases'!$C:$C,Brokerage!$B138,'YTD Purchases'!$G:$G,Brokerage!H$4)</f>
        <v>0</v>
      </c>
      <c r="I138" s="857">
        <f>SUMIFS('YTD Sales'!$N:$N,'YTD Sales'!$B:$B,Brokerage!$B138,'YTD Sales'!$M:$M,Brokerage!I$4)+SUMIFS('YTD Purchases'!$H:$H,'YTD Purchases'!$C:$C,Brokerage!$B138,'YTD Purchases'!$G:$G,Brokerage!I$4)</f>
        <v>0</v>
      </c>
      <c r="J138" s="857">
        <f>SUMIFS('YTD Sales'!$N:$N,'YTD Sales'!$B:$B,Brokerage!$B138,'YTD Sales'!$M:$M,Brokerage!J$4)+SUMIFS('YTD Purchases'!$H:$H,'YTD Purchases'!$C:$C,Brokerage!$B138,'YTD Purchases'!$G:$G,Brokerage!J$4)</f>
        <v>0</v>
      </c>
      <c r="K138" s="857">
        <f>SUMIFS('YTD Sales'!$N:$N,'YTD Sales'!$B:$B,Brokerage!$B138,'YTD Sales'!$M:$M,Brokerage!K$4)+SUMIFS('YTD Purchases'!$H:$H,'YTD Purchases'!$C:$C,Brokerage!$B138,'YTD Purchases'!$G:$G,Brokerage!K$4)</f>
        <v>0</v>
      </c>
      <c r="L138" s="857">
        <f>SUMIFS('YTD Sales'!$N:$N,'YTD Sales'!$B:$B,Brokerage!$B138,'YTD Sales'!$M:$M,Brokerage!L$4)+SUMIFS('YTD Purchases'!$H:$H,'YTD Purchases'!$C:$C,Brokerage!$B138,'YTD Purchases'!$G:$G,Brokerage!L$4)</f>
        <v>0</v>
      </c>
      <c r="M138" s="857">
        <f>SUMIFS('YTD Sales'!$N:$N,'YTD Sales'!$B:$B,Brokerage!$B138,'YTD Sales'!$M:$M,Brokerage!M$4)+SUMIFS('YTD Purchases'!$H:$H,'YTD Purchases'!$C:$C,Brokerage!$B138,'YTD Purchases'!$G:$G,Brokerage!M$4)</f>
        <v>0</v>
      </c>
      <c r="N138" s="857">
        <f>SUMIFS('YTD Sales'!$N:$N,'YTD Sales'!$B:$B,Brokerage!$B138,'YTD Sales'!$M:$M,Brokerage!N$4)+SUMIFS('YTD Purchases'!$H:$H,'YTD Purchases'!$C:$C,Brokerage!$B138,'YTD Purchases'!$G:$G,Brokerage!N$4)</f>
        <v>0</v>
      </c>
      <c r="O138" s="857">
        <f>SUMIFS('YTD Sales'!$N:$N,'YTD Sales'!$B:$B,Brokerage!$B138,'YTD Sales'!$M:$M,Brokerage!O$4)+SUMIFS('YTD Purchases'!$H:$H,'YTD Purchases'!$C:$C,Brokerage!$B138,'YTD Purchases'!$G:$G,Brokerage!O$4)</f>
        <v>96605.420000000013</v>
      </c>
      <c r="P138" s="857">
        <f>SUMIFS('YTD Sales'!$N:$N,'YTD Sales'!$B:$B,Brokerage!$B138,'YTD Sales'!$M:$M,Brokerage!P$4)+SUMIFS('YTD Purchases'!$H:$H,'YTD Purchases'!$C:$C,Brokerage!$B138,'YTD Purchases'!$G:$G,Brokerage!P$4)</f>
        <v>6413.3665000000001</v>
      </c>
      <c r="Q138" s="857">
        <f>SUMIFS('YTD Sales'!$N:$N,'YTD Sales'!$B:$B,Brokerage!$B138,'YTD Sales'!$M:$M,Brokerage!Q$4)+SUMIFS('YTD Purchases'!$H:$H,'YTD Purchases'!$C:$C,Brokerage!$B138,'YTD Purchases'!$G:$G,Brokerage!Q$4)</f>
        <v>0</v>
      </c>
      <c r="R138" s="857">
        <f>SUMIFS('YTD Sales'!$N:$N,'YTD Sales'!$B:$B,Brokerage!$B138,'YTD Sales'!$M:$M,Brokerage!R$4)+SUMIFS('YTD Purchases'!$H:$H,'YTD Purchases'!$C:$C,Brokerage!$B138,'YTD Purchases'!$G:$G,Brokerage!R$4)</f>
        <v>0</v>
      </c>
      <c r="S138" s="857">
        <f>SUMIFS('YTD Sales'!$N:$N,'YTD Sales'!$B:$B,Brokerage!$B138,'YTD Sales'!$M:$M,Brokerage!S$4)+SUMIFS('YTD Purchases'!$H:$H,'YTD Purchases'!$C:$C,Brokerage!$B138,'YTD Purchases'!$G:$G,Brokerage!S$4)</f>
        <v>0</v>
      </c>
      <c r="T138" s="857">
        <f>SUMIFS('YTD Sales'!$N:$N,'YTD Sales'!$B:$B,Brokerage!$B138,'YTD Sales'!$M:$M,Brokerage!T$4)+SUMIFS('YTD Purchases'!$H:$H,'YTD Purchases'!$C:$C,Brokerage!$B138,'YTD Purchases'!$G:$G,Brokerage!T$4)</f>
        <v>0</v>
      </c>
      <c r="U138" s="857">
        <f>SUMIFS('YTD Sales'!$N:$N,'YTD Sales'!$B:$B,Brokerage!$B138,'YTD Sales'!$M:$M,Brokerage!U$4)+SUMIFS('YTD Purchases'!$H:$H,'YTD Purchases'!$C:$C,Brokerage!$B138,'YTD Purchases'!$G:$G,Brokerage!U$4)</f>
        <v>0</v>
      </c>
      <c r="V138" s="857">
        <f>SUMIFS('YTD Sales'!$N:$N,'YTD Sales'!$B:$B,Brokerage!$B138,'YTD Sales'!$M:$M,Brokerage!V$4)+SUMIFS('YTD Purchases'!$H:$H,'YTD Purchases'!$C:$C,Brokerage!$B138,'YTD Purchases'!$G:$G,Brokerage!V$4)</f>
        <v>0</v>
      </c>
      <c r="W138" s="857">
        <f>SUMIFS('YTD Sales'!$N:$N,'YTD Sales'!$B:$B,Brokerage!$B138,'YTD Sales'!$M:$M,Brokerage!W$4)+SUMIFS('YTD Purchases'!$H:$H,'YTD Purchases'!$C:$C,Brokerage!$B138,'YTD Purchases'!$G:$G,Brokerage!W$4)</f>
        <v>0</v>
      </c>
      <c r="X138" s="857">
        <f>SUMIFS('YTD Sales'!$N:$N,'YTD Sales'!$B:$B,Brokerage!$B138,'YTD Sales'!$M:$M,Brokerage!X$4)+SUMIFS('YTD Purchases'!$H:$H,'YTD Purchases'!$C:$C,Brokerage!$B138,'YTD Purchases'!$G:$G,Brokerage!X$4)</f>
        <v>0</v>
      </c>
      <c r="Y138" s="857">
        <f>SUMIFS('YTD Sales'!$N:$N,'YTD Sales'!$B:$B,Brokerage!$B138,'YTD Sales'!$M:$M,Brokerage!Y$4)+SUMIFS('YTD Purchases'!$H:$H,'YTD Purchases'!$C:$C,Brokerage!$B138,'YTD Purchases'!$G:$G,Brokerage!Y$4)</f>
        <v>0</v>
      </c>
      <c r="Z138" s="857">
        <f>SUMIFS('YTD Sales'!$N:$N,'YTD Sales'!$B:$B,Brokerage!$B138,'YTD Sales'!$M:$M,Brokerage!Z$4)+SUMIFS('YTD Purchases'!$H:$H,'YTD Purchases'!$C:$C,Brokerage!$B138,'YTD Purchases'!$G:$G,Brokerage!Z$4)</f>
        <v>0</v>
      </c>
      <c r="AA138" s="857">
        <f>SUMIFS('YTD Sales'!$N:$N,'YTD Sales'!$B:$B,Brokerage!$B138,'YTD Sales'!$M:$M,Brokerage!AA$4)+SUMIFS('YTD Purchases'!$H:$H,'YTD Purchases'!$C:$C,Brokerage!$B138,'YTD Purchases'!$G:$G,Brokerage!AA$4)</f>
        <v>0</v>
      </c>
      <c r="AB138" s="857">
        <f>SUMIFS('YTD Sales'!$N:$N,'YTD Sales'!$B:$B,Brokerage!$B138,'YTD Sales'!$M:$M,Brokerage!AB$4)+SUMIFS('YTD Purchases'!$H:$H,'YTD Purchases'!$C:$C,Brokerage!$B138,'YTD Purchases'!$G:$G,Brokerage!AB$4)</f>
        <v>0</v>
      </c>
      <c r="AC138" s="857">
        <f>SUMIFS('YTD Sales'!$N:$N,'YTD Sales'!$B:$B,Brokerage!$B138,'YTD Sales'!$M:$M,Brokerage!AC$4)+SUMIFS('YTD Purchases'!$H:$H,'YTD Purchases'!$C:$C,Brokerage!$B138,'YTD Purchases'!$G:$G,Brokerage!AC$4)</f>
        <v>0</v>
      </c>
      <c r="AD138" s="857">
        <f>+SUMIFS(PIB!AG:AG,PIB!AF:AF,Brokerage!AD$4,PIB!AA:AA,Brokerage!$B138)+SUMIFS('T-Bills'!AB:AB,'T-Bills'!AA:AA,Brokerage!AD$4,'T-Bills'!V:V,Brokerage!$B138)</f>
        <v>0</v>
      </c>
      <c r="AE138" s="857">
        <f>+SUMIFS(PIB!AH:AH,PIB!AG:AG,Brokerage!AE$4,PIB!AB:AB,Brokerage!$B138)+SUMIFS('T-Bills'!AC:AC,'T-Bills'!AB:AB,Brokerage!AE$4,'T-Bills'!W:W,Brokerage!$B138)</f>
        <v>0</v>
      </c>
      <c r="AF138" s="857">
        <f>+SUMIFS(PIB!AI:AI,PIB!AH:AH,Brokerage!AF$4,PIB!AC:AC,Brokerage!$B138)+SUMIFS('T-Bills'!AD:AD,'T-Bills'!AC:AC,Brokerage!AF$4,'T-Bills'!X:X,Brokerage!$B138)</f>
        <v>0</v>
      </c>
      <c r="AG138" s="857">
        <f t="shared" si="19"/>
        <v>108769.06650000002</v>
      </c>
      <c r="AH138" s="858">
        <f t="shared" si="17"/>
        <v>4</v>
      </c>
    </row>
    <row r="139" spans="2:34" x14ac:dyDescent="0.15">
      <c r="B139" s="661">
        <f t="shared" si="18"/>
        <v>44695</v>
      </c>
      <c r="C139" s="857">
        <f>SUMIFS('YTD Sales'!$N:$N,'YTD Sales'!$B:$B,Brokerage!$B139,'YTD Sales'!$M:$M,Brokerage!C$4)+SUMIFS('YTD Purchases'!$H:$H,'YTD Purchases'!$C:$C,Brokerage!$B139,'YTD Purchases'!$G:$G,Brokerage!C$4)</f>
        <v>0</v>
      </c>
      <c r="D139" s="857">
        <f>SUMIFS('YTD Sales'!$N:$N,'YTD Sales'!$B:$B,Brokerage!$B139,'YTD Sales'!$M:$M,Brokerage!D$4)+SUMIFS('YTD Purchases'!$H:$H,'YTD Purchases'!$C:$C,Brokerage!$B139,'YTD Purchases'!$G:$G,Brokerage!D$4)</f>
        <v>0</v>
      </c>
      <c r="E139" s="857">
        <f>SUMIFS('YTD Sales'!$N:$N,'YTD Sales'!$B:$B,Brokerage!$B139,'YTD Sales'!$M:$M,Brokerage!E$4)+SUMIFS('YTD Purchases'!$H:$H,'YTD Purchases'!$C:$C,Brokerage!$B139,'YTD Purchases'!$G:$G,Brokerage!E$4)</f>
        <v>0</v>
      </c>
      <c r="F139" s="857">
        <f>SUMIFS('YTD Sales'!$N:$N,'YTD Sales'!$B:$B,Brokerage!$B139,'YTD Sales'!$M:$M,Brokerage!F$4)+SUMIFS('YTD Purchases'!$H:$H,'YTD Purchases'!$C:$C,Brokerage!$B139,'YTD Purchases'!$G:$G,Brokerage!F$4)</f>
        <v>0</v>
      </c>
      <c r="G139" s="857">
        <f>SUMIFS('YTD Sales'!$N:$N,'YTD Sales'!$B:$B,Brokerage!$B139,'YTD Sales'!$M:$M,Brokerage!G$4)+SUMIFS('YTD Purchases'!$H:$H,'YTD Purchases'!$C:$C,Brokerage!$B139,'YTD Purchases'!$G:$G,Brokerage!G$4)</f>
        <v>0</v>
      </c>
      <c r="H139" s="857">
        <f>SUMIFS('YTD Sales'!$N:$N,'YTD Sales'!$B:$B,Brokerage!$B139,'YTD Sales'!$M:$M,Brokerage!H$4)+SUMIFS('YTD Purchases'!$H:$H,'YTD Purchases'!$C:$C,Brokerage!$B139,'YTD Purchases'!$G:$G,Brokerage!H$4)</f>
        <v>0</v>
      </c>
      <c r="I139" s="857">
        <f>SUMIFS('YTD Sales'!$N:$N,'YTD Sales'!$B:$B,Brokerage!$B139,'YTD Sales'!$M:$M,Brokerage!I$4)+SUMIFS('YTD Purchases'!$H:$H,'YTD Purchases'!$C:$C,Brokerage!$B139,'YTD Purchases'!$G:$G,Brokerage!I$4)</f>
        <v>0</v>
      </c>
      <c r="J139" s="857">
        <f>SUMIFS('YTD Sales'!$N:$N,'YTD Sales'!$B:$B,Brokerage!$B139,'YTD Sales'!$M:$M,Brokerage!J$4)+SUMIFS('YTD Purchases'!$H:$H,'YTD Purchases'!$C:$C,Brokerage!$B139,'YTD Purchases'!$G:$G,Brokerage!J$4)</f>
        <v>0</v>
      </c>
      <c r="K139" s="857">
        <f>SUMIFS('YTD Sales'!$N:$N,'YTD Sales'!$B:$B,Brokerage!$B139,'YTD Sales'!$M:$M,Brokerage!K$4)+SUMIFS('YTD Purchases'!$H:$H,'YTD Purchases'!$C:$C,Brokerage!$B139,'YTD Purchases'!$G:$G,Brokerage!K$4)</f>
        <v>0</v>
      </c>
      <c r="L139" s="857">
        <f>SUMIFS('YTD Sales'!$N:$N,'YTD Sales'!$B:$B,Brokerage!$B139,'YTD Sales'!$M:$M,Brokerage!L$4)+SUMIFS('YTD Purchases'!$H:$H,'YTD Purchases'!$C:$C,Brokerage!$B139,'YTD Purchases'!$G:$G,Brokerage!L$4)</f>
        <v>0</v>
      </c>
      <c r="M139" s="857">
        <f>SUMIFS('YTD Sales'!$N:$N,'YTD Sales'!$B:$B,Brokerage!$B139,'YTD Sales'!$M:$M,Brokerage!M$4)+SUMIFS('YTD Purchases'!$H:$H,'YTD Purchases'!$C:$C,Brokerage!$B139,'YTD Purchases'!$G:$G,Brokerage!M$4)</f>
        <v>0</v>
      </c>
      <c r="N139" s="857">
        <f>SUMIFS('YTD Sales'!$N:$N,'YTD Sales'!$B:$B,Brokerage!$B139,'YTD Sales'!$M:$M,Brokerage!N$4)+SUMIFS('YTD Purchases'!$H:$H,'YTD Purchases'!$C:$C,Brokerage!$B139,'YTD Purchases'!$G:$G,Brokerage!N$4)</f>
        <v>0</v>
      </c>
      <c r="O139" s="857">
        <f>SUMIFS('YTD Sales'!$N:$N,'YTD Sales'!$B:$B,Brokerage!$B139,'YTD Sales'!$M:$M,Brokerage!O$4)+SUMIFS('YTD Purchases'!$H:$H,'YTD Purchases'!$C:$C,Brokerage!$B139,'YTD Purchases'!$G:$G,Brokerage!O$4)</f>
        <v>0</v>
      </c>
      <c r="P139" s="857">
        <f>SUMIFS('YTD Sales'!$N:$N,'YTD Sales'!$B:$B,Brokerage!$B139,'YTD Sales'!$M:$M,Brokerage!P$4)+SUMIFS('YTD Purchases'!$H:$H,'YTD Purchases'!$C:$C,Brokerage!$B139,'YTD Purchases'!$G:$G,Brokerage!P$4)</f>
        <v>0</v>
      </c>
      <c r="Q139" s="857">
        <f>SUMIFS('YTD Sales'!$N:$N,'YTD Sales'!$B:$B,Brokerage!$B139,'YTD Sales'!$M:$M,Brokerage!Q$4)+SUMIFS('YTD Purchases'!$H:$H,'YTD Purchases'!$C:$C,Brokerage!$B139,'YTD Purchases'!$G:$G,Brokerage!Q$4)</f>
        <v>0</v>
      </c>
      <c r="R139" s="857">
        <f>SUMIFS('YTD Sales'!$N:$N,'YTD Sales'!$B:$B,Brokerage!$B139,'YTD Sales'!$M:$M,Brokerage!R$4)+SUMIFS('YTD Purchases'!$H:$H,'YTD Purchases'!$C:$C,Brokerage!$B139,'YTD Purchases'!$G:$G,Brokerage!R$4)</f>
        <v>0</v>
      </c>
      <c r="S139" s="857">
        <f>SUMIFS('YTD Sales'!$N:$N,'YTD Sales'!$B:$B,Brokerage!$B139,'YTD Sales'!$M:$M,Brokerage!S$4)+SUMIFS('YTD Purchases'!$H:$H,'YTD Purchases'!$C:$C,Brokerage!$B139,'YTD Purchases'!$G:$G,Brokerage!S$4)</f>
        <v>0</v>
      </c>
      <c r="T139" s="857">
        <f>SUMIFS('YTD Sales'!$N:$N,'YTD Sales'!$B:$B,Brokerage!$B139,'YTD Sales'!$M:$M,Brokerage!T$4)+SUMIFS('YTD Purchases'!$H:$H,'YTD Purchases'!$C:$C,Brokerage!$B139,'YTD Purchases'!$G:$G,Brokerage!T$4)</f>
        <v>0</v>
      </c>
      <c r="U139" s="857">
        <f>SUMIFS('YTD Sales'!$N:$N,'YTD Sales'!$B:$B,Brokerage!$B139,'YTD Sales'!$M:$M,Brokerage!U$4)+SUMIFS('YTD Purchases'!$H:$H,'YTD Purchases'!$C:$C,Brokerage!$B139,'YTD Purchases'!$G:$G,Brokerage!U$4)</f>
        <v>0</v>
      </c>
      <c r="V139" s="857">
        <f>SUMIFS('YTD Sales'!$N:$N,'YTD Sales'!$B:$B,Brokerage!$B139,'YTD Sales'!$M:$M,Brokerage!V$4)+SUMIFS('YTD Purchases'!$H:$H,'YTD Purchases'!$C:$C,Brokerage!$B139,'YTD Purchases'!$G:$G,Brokerage!V$4)</f>
        <v>0</v>
      </c>
      <c r="W139" s="857">
        <f>SUMIFS('YTD Sales'!$N:$N,'YTD Sales'!$B:$B,Brokerage!$B139,'YTD Sales'!$M:$M,Brokerage!W$4)+SUMIFS('YTD Purchases'!$H:$H,'YTD Purchases'!$C:$C,Brokerage!$B139,'YTD Purchases'!$G:$G,Brokerage!W$4)</f>
        <v>0</v>
      </c>
      <c r="X139" s="857">
        <f>SUMIFS('YTD Sales'!$N:$N,'YTD Sales'!$B:$B,Brokerage!$B139,'YTD Sales'!$M:$M,Brokerage!X$4)+SUMIFS('YTD Purchases'!$H:$H,'YTD Purchases'!$C:$C,Brokerage!$B139,'YTD Purchases'!$G:$G,Brokerage!X$4)</f>
        <v>0</v>
      </c>
      <c r="Y139" s="857">
        <f>SUMIFS('YTD Sales'!$N:$N,'YTD Sales'!$B:$B,Brokerage!$B139,'YTD Sales'!$M:$M,Brokerage!Y$4)+SUMIFS('YTD Purchases'!$H:$H,'YTD Purchases'!$C:$C,Brokerage!$B139,'YTD Purchases'!$G:$G,Brokerage!Y$4)</f>
        <v>0</v>
      </c>
      <c r="Z139" s="857">
        <f>SUMIFS('YTD Sales'!$N:$N,'YTD Sales'!$B:$B,Brokerage!$B139,'YTD Sales'!$M:$M,Brokerage!Z$4)+SUMIFS('YTD Purchases'!$H:$H,'YTD Purchases'!$C:$C,Brokerage!$B139,'YTD Purchases'!$G:$G,Brokerage!Z$4)</f>
        <v>0</v>
      </c>
      <c r="AA139" s="857">
        <f>SUMIFS('YTD Sales'!$N:$N,'YTD Sales'!$B:$B,Brokerage!$B139,'YTD Sales'!$M:$M,Brokerage!AA$4)+SUMIFS('YTD Purchases'!$H:$H,'YTD Purchases'!$C:$C,Brokerage!$B139,'YTD Purchases'!$G:$G,Brokerage!AA$4)</f>
        <v>0</v>
      </c>
      <c r="AB139" s="857">
        <f>SUMIFS('YTD Sales'!$N:$N,'YTD Sales'!$B:$B,Brokerage!$B139,'YTD Sales'!$M:$M,Brokerage!AB$4)+SUMIFS('YTD Purchases'!$H:$H,'YTD Purchases'!$C:$C,Brokerage!$B139,'YTD Purchases'!$G:$G,Brokerage!AB$4)</f>
        <v>0</v>
      </c>
      <c r="AC139" s="857">
        <f>SUMIFS('YTD Sales'!$N:$N,'YTD Sales'!$B:$B,Brokerage!$B139,'YTD Sales'!$M:$M,Brokerage!AC$4)+SUMIFS('YTD Purchases'!$H:$H,'YTD Purchases'!$C:$C,Brokerage!$B139,'YTD Purchases'!$G:$G,Brokerage!AC$4)</f>
        <v>0</v>
      </c>
      <c r="AD139" s="857">
        <f>+SUMIFS(PIB!AG:AG,PIB!AF:AF,Brokerage!AD$4,PIB!AA:AA,Brokerage!$B139)+SUMIFS('T-Bills'!AB:AB,'T-Bills'!AA:AA,Brokerage!AD$4,'T-Bills'!V:V,Brokerage!$B139)</f>
        <v>0</v>
      </c>
      <c r="AE139" s="857">
        <f>+SUMIFS(PIB!AH:AH,PIB!AG:AG,Brokerage!AE$4,PIB!AB:AB,Brokerage!$B139)+SUMIFS('T-Bills'!AC:AC,'T-Bills'!AB:AB,Brokerage!AE$4,'T-Bills'!W:W,Brokerage!$B139)</f>
        <v>0</v>
      </c>
      <c r="AF139" s="857">
        <f>+SUMIFS(PIB!AI:AI,PIB!AH:AH,Brokerage!AF$4,PIB!AC:AC,Brokerage!$B139)+SUMIFS('T-Bills'!AD:AD,'T-Bills'!AC:AC,Brokerage!AF$4,'T-Bills'!X:X,Brokerage!$B139)</f>
        <v>0</v>
      </c>
      <c r="AG139" s="857">
        <f t="shared" si="19"/>
        <v>0</v>
      </c>
      <c r="AH139" s="858">
        <f t="shared" si="17"/>
        <v>0</v>
      </c>
    </row>
    <row r="140" spans="2:34" x14ac:dyDescent="0.15">
      <c r="B140" s="661">
        <f t="shared" si="18"/>
        <v>44696</v>
      </c>
      <c r="C140" s="857">
        <f>SUMIFS('YTD Sales'!$N:$N,'YTD Sales'!$B:$B,Brokerage!$B140,'YTD Sales'!$M:$M,Brokerage!C$4)+SUMIFS('YTD Purchases'!$H:$H,'YTD Purchases'!$C:$C,Brokerage!$B140,'YTD Purchases'!$G:$G,Brokerage!C$4)</f>
        <v>0</v>
      </c>
      <c r="D140" s="857">
        <f>SUMIFS('YTD Sales'!$N:$N,'YTD Sales'!$B:$B,Brokerage!$B140,'YTD Sales'!$M:$M,Brokerage!D$4)+SUMIFS('YTD Purchases'!$H:$H,'YTD Purchases'!$C:$C,Brokerage!$B140,'YTD Purchases'!$G:$G,Brokerage!D$4)</f>
        <v>0</v>
      </c>
      <c r="E140" s="857">
        <f>SUMIFS('YTD Sales'!$N:$N,'YTD Sales'!$B:$B,Brokerage!$B140,'YTD Sales'!$M:$M,Brokerage!E$4)+SUMIFS('YTD Purchases'!$H:$H,'YTD Purchases'!$C:$C,Brokerage!$B140,'YTD Purchases'!$G:$G,Brokerage!E$4)</f>
        <v>0</v>
      </c>
      <c r="F140" s="857">
        <f>SUMIFS('YTD Sales'!$N:$N,'YTD Sales'!$B:$B,Brokerage!$B140,'YTD Sales'!$M:$M,Brokerage!F$4)+SUMIFS('YTD Purchases'!$H:$H,'YTD Purchases'!$C:$C,Brokerage!$B140,'YTD Purchases'!$G:$G,Brokerage!F$4)</f>
        <v>0</v>
      </c>
      <c r="G140" s="857">
        <f>SUMIFS('YTD Sales'!$N:$N,'YTD Sales'!$B:$B,Brokerage!$B140,'YTD Sales'!$M:$M,Brokerage!G$4)+SUMIFS('YTD Purchases'!$H:$H,'YTD Purchases'!$C:$C,Brokerage!$B140,'YTD Purchases'!$G:$G,Brokerage!G$4)</f>
        <v>0</v>
      </c>
      <c r="H140" s="857">
        <f>SUMIFS('YTD Sales'!$N:$N,'YTD Sales'!$B:$B,Brokerage!$B140,'YTD Sales'!$M:$M,Brokerage!H$4)+SUMIFS('YTD Purchases'!$H:$H,'YTD Purchases'!$C:$C,Brokerage!$B140,'YTD Purchases'!$G:$G,Brokerage!H$4)</f>
        <v>0</v>
      </c>
      <c r="I140" s="857">
        <f>SUMIFS('YTD Sales'!$N:$N,'YTD Sales'!$B:$B,Brokerage!$B140,'YTD Sales'!$M:$M,Brokerage!I$4)+SUMIFS('YTD Purchases'!$H:$H,'YTD Purchases'!$C:$C,Brokerage!$B140,'YTD Purchases'!$G:$G,Brokerage!I$4)</f>
        <v>0</v>
      </c>
      <c r="J140" s="857">
        <f>SUMIFS('YTD Sales'!$N:$N,'YTD Sales'!$B:$B,Brokerage!$B140,'YTD Sales'!$M:$M,Brokerage!J$4)+SUMIFS('YTD Purchases'!$H:$H,'YTD Purchases'!$C:$C,Brokerage!$B140,'YTD Purchases'!$G:$G,Brokerage!J$4)</f>
        <v>0</v>
      </c>
      <c r="K140" s="857">
        <f>SUMIFS('YTD Sales'!$N:$N,'YTD Sales'!$B:$B,Brokerage!$B140,'YTD Sales'!$M:$M,Brokerage!K$4)+SUMIFS('YTD Purchases'!$H:$H,'YTD Purchases'!$C:$C,Brokerage!$B140,'YTD Purchases'!$G:$G,Brokerage!K$4)</f>
        <v>0</v>
      </c>
      <c r="L140" s="857">
        <f>SUMIFS('YTD Sales'!$N:$N,'YTD Sales'!$B:$B,Brokerage!$B140,'YTD Sales'!$M:$M,Brokerage!L$4)+SUMIFS('YTD Purchases'!$H:$H,'YTD Purchases'!$C:$C,Brokerage!$B140,'YTD Purchases'!$G:$G,Brokerage!L$4)</f>
        <v>0</v>
      </c>
      <c r="M140" s="857">
        <f>SUMIFS('YTD Sales'!$N:$N,'YTD Sales'!$B:$B,Brokerage!$B140,'YTD Sales'!$M:$M,Brokerage!M$4)+SUMIFS('YTD Purchases'!$H:$H,'YTD Purchases'!$C:$C,Brokerage!$B140,'YTD Purchases'!$G:$G,Brokerage!M$4)</f>
        <v>0</v>
      </c>
      <c r="N140" s="857">
        <f>SUMIFS('YTD Sales'!$N:$N,'YTD Sales'!$B:$B,Brokerage!$B140,'YTD Sales'!$M:$M,Brokerage!N$4)+SUMIFS('YTD Purchases'!$H:$H,'YTD Purchases'!$C:$C,Brokerage!$B140,'YTD Purchases'!$G:$G,Brokerage!N$4)</f>
        <v>0</v>
      </c>
      <c r="O140" s="857">
        <f>SUMIFS('YTD Sales'!$N:$N,'YTD Sales'!$B:$B,Brokerage!$B140,'YTD Sales'!$M:$M,Brokerage!O$4)+SUMIFS('YTD Purchases'!$H:$H,'YTD Purchases'!$C:$C,Brokerage!$B140,'YTD Purchases'!$G:$G,Brokerage!O$4)</f>
        <v>0</v>
      </c>
      <c r="P140" s="857">
        <f>SUMIFS('YTD Sales'!$N:$N,'YTD Sales'!$B:$B,Brokerage!$B140,'YTD Sales'!$M:$M,Brokerage!P$4)+SUMIFS('YTD Purchases'!$H:$H,'YTD Purchases'!$C:$C,Brokerage!$B140,'YTD Purchases'!$G:$G,Brokerage!P$4)</f>
        <v>0</v>
      </c>
      <c r="Q140" s="857">
        <f>SUMIFS('YTD Sales'!$N:$N,'YTD Sales'!$B:$B,Brokerage!$B140,'YTD Sales'!$M:$M,Brokerage!Q$4)+SUMIFS('YTD Purchases'!$H:$H,'YTD Purchases'!$C:$C,Brokerage!$B140,'YTD Purchases'!$G:$G,Brokerage!Q$4)</f>
        <v>0</v>
      </c>
      <c r="R140" s="857">
        <f>SUMIFS('YTD Sales'!$N:$N,'YTD Sales'!$B:$B,Brokerage!$B140,'YTD Sales'!$M:$M,Brokerage!R$4)+SUMIFS('YTD Purchases'!$H:$H,'YTD Purchases'!$C:$C,Brokerage!$B140,'YTD Purchases'!$G:$G,Brokerage!R$4)</f>
        <v>0</v>
      </c>
      <c r="S140" s="857">
        <f>SUMIFS('YTD Sales'!$N:$N,'YTD Sales'!$B:$B,Brokerage!$B140,'YTD Sales'!$M:$M,Brokerage!S$4)+SUMIFS('YTD Purchases'!$H:$H,'YTD Purchases'!$C:$C,Brokerage!$B140,'YTD Purchases'!$G:$G,Brokerage!S$4)</f>
        <v>0</v>
      </c>
      <c r="T140" s="857">
        <f>SUMIFS('YTD Sales'!$N:$N,'YTD Sales'!$B:$B,Brokerage!$B140,'YTD Sales'!$M:$M,Brokerage!T$4)+SUMIFS('YTD Purchases'!$H:$H,'YTD Purchases'!$C:$C,Brokerage!$B140,'YTD Purchases'!$G:$G,Brokerage!T$4)</f>
        <v>0</v>
      </c>
      <c r="U140" s="857">
        <f>SUMIFS('YTD Sales'!$N:$N,'YTD Sales'!$B:$B,Brokerage!$B140,'YTD Sales'!$M:$M,Brokerage!U$4)+SUMIFS('YTD Purchases'!$H:$H,'YTD Purchases'!$C:$C,Brokerage!$B140,'YTD Purchases'!$G:$G,Brokerage!U$4)</f>
        <v>0</v>
      </c>
      <c r="V140" s="857">
        <f>SUMIFS('YTD Sales'!$N:$N,'YTD Sales'!$B:$B,Brokerage!$B140,'YTD Sales'!$M:$M,Brokerage!V$4)+SUMIFS('YTD Purchases'!$H:$H,'YTD Purchases'!$C:$C,Brokerage!$B140,'YTD Purchases'!$G:$G,Brokerage!V$4)</f>
        <v>0</v>
      </c>
      <c r="W140" s="857">
        <f>SUMIFS('YTD Sales'!$N:$N,'YTD Sales'!$B:$B,Brokerage!$B140,'YTD Sales'!$M:$M,Brokerage!W$4)+SUMIFS('YTD Purchases'!$H:$H,'YTD Purchases'!$C:$C,Brokerage!$B140,'YTD Purchases'!$G:$G,Brokerage!W$4)</f>
        <v>0</v>
      </c>
      <c r="X140" s="857">
        <f>SUMIFS('YTD Sales'!$N:$N,'YTD Sales'!$B:$B,Brokerage!$B140,'YTD Sales'!$M:$M,Brokerage!X$4)+SUMIFS('YTD Purchases'!$H:$H,'YTD Purchases'!$C:$C,Brokerage!$B140,'YTD Purchases'!$G:$G,Brokerage!X$4)</f>
        <v>0</v>
      </c>
      <c r="Y140" s="857">
        <f>SUMIFS('YTD Sales'!$N:$N,'YTD Sales'!$B:$B,Brokerage!$B140,'YTD Sales'!$M:$M,Brokerage!Y$4)+SUMIFS('YTD Purchases'!$H:$H,'YTD Purchases'!$C:$C,Brokerage!$B140,'YTD Purchases'!$G:$G,Brokerage!Y$4)</f>
        <v>0</v>
      </c>
      <c r="Z140" s="857">
        <f>SUMIFS('YTD Sales'!$N:$N,'YTD Sales'!$B:$B,Brokerage!$B140,'YTD Sales'!$M:$M,Brokerage!Z$4)+SUMIFS('YTD Purchases'!$H:$H,'YTD Purchases'!$C:$C,Brokerage!$B140,'YTD Purchases'!$G:$G,Brokerage!Z$4)</f>
        <v>0</v>
      </c>
      <c r="AA140" s="857">
        <f>SUMIFS('YTD Sales'!$N:$N,'YTD Sales'!$B:$B,Brokerage!$B140,'YTD Sales'!$M:$M,Brokerage!AA$4)+SUMIFS('YTD Purchases'!$H:$H,'YTD Purchases'!$C:$C,Brokerage!$B140,'YTD Purchases'!$G:$G,Brokerage!AA$4)</f>
        <v>0</v>
      </c>
      <c r="AB140" s="857">
        <f>SUMIFS('YTD Sales'!$N:$N,'YTD Sales'!$B:$B,Brokerage!$B140,'YTD Sales'!$M:$M,Brokerage!AB$4)+SUMIFS('YTD Purchases'!$H:$H,'YTD Purchases'!$C:$C,Brokerage!$B140,'YTD Purchases'!$G:$G,Brokerage!AB$4)</f>
        <v>0</v>
      </c>
      <c r="AC140" s="857">
        <f>SUMIFS('YTD Sales'!$N:$N,'YTD Sales'!$B:$B,Brokerage!$B140,'YTD Sales'!$M:$M,Brokerage!AC$4)+SUMIFS('YTD Purchases'!$H:$H,'YTD Purchases'!$C:$C,Brokerage!$B140,'YTD Purchases'!$G:$G,Brokerage!AC$4)</f>
        <v>0</v>
      </c>
      <c r="AD140" s="857">
        <f>+SUMIFS(PIB!AG:AG,PIB!AF:AF,Brokerage!AD$4,PIB!AA:AA,Brokerage!$B140)+SUMIFS('T-Bills'!AB:AB,'T-Bills'!AA:AA,Brokerage!AD$4,'T-Bills'!V:V,Brokerage!$B140)</f>
        <v>0</v>
      </c>
      <c r="AE140" s="857">
        <f>+SUMIFS(PIB!AH:AH,PIB!AG:AG,Brokerage!AE$4,PIB!AB:AB,Brokerage!$B140)+SUMIFS('T-Bills'!AC:AC,'T-Bills'!AB:AB,Brokerage!AE$4,'T-Bills'!W:W,Brokerage!$B140)</f>
        <v>0</v>
      </c>
      <c r="AF140" s="857">
        <f>+SUMIFS(PIB!AI:AI,PIB!AH:AH,Brokerage!AF$4,PIB!AC:AC,Brokerage!$B140)+SUMIFS('T-Bills'!AD:AD,'T-Bills'!AC:AC,Brokerage!AF$4,'T-Bills'!X:X,Brokerage!$B140)</f>
        <v>0</v>
      </c>
      <c r="AG140" s="857">
        <f t="shared" si="19"/>
        <v>0</v>
      </c>
      <c r="AH140" s="858">
        <f t="shared" si="17"/>
        <v>0</v>
      </c>
    </row>
    <row r="141" spans="2:34" x14ac:dyDescent="0.15">
      <c r="B141" s="661">
        <f t="shared" si="18"/>
        <v>44697</v>
      </c>
      <c r="C141" s="857">
        <f>SUMIFS('YTD Sales'!$N:$N,'YTD Sales'!$B:$B,Brokerage!$B141,'YTD Sales'!$M:$M,Brokerage!C$4)+SUMIFS('YTD Purchases'!$H:$H,'YTD Purchases'!$C:$C,Brokerage!$B141,'YTD Purchases'!$G:$G,Brokerage!C$4)</f>
        <v>0</v>
      </c>
      <c r="D141" s="857">
        <f>SUMIFS('YTD Sales'!$N:$N,'YTD Sales'!$B:$B,Brokerage!$B141,'YTD Sales'!$M:$M,Brokerage!D$4)+SUMIFS('YTD Purchases'!$H:$H,'YTD Purchases'!$C:$C,Brokerage!$B141,'YTD Purchases'!$G:$G,Brokerage!D$4)</f>
        <v>154.03</v>
      </c>
      <c r="E141" s="857">
        <f>SUMIFS('YTD Sales'!$N:$N,'YTD Sales'!$B:$B,Brokerage!$B141,'YTD Sales'!$M:$M,Brokerage!E$4)+SUMIFS('YTD Purchases'!$H:$H,'YTD Purchases'!$C:$C,Brokerage!$B141,'YTD Purchases'!$G:$G,Brokerage!E$4)</f>
        <v>0</v>
      </c>
      <c r="F141" s="857">
        <f>SUMIFS('YTD Sales'!$N:$N,'YTD Sales'!$B:$B,Brokerage!$B141,'YTD Sales'!$M:$M,Brokerage!F$4)+SUMIFS('YTD Purchases'!$H:$H,'YTD Purchases'!$C:$C,Brokerage!$B141,'YTD Purchases'!$G:$G,Brokerage!F$4)</f>
        <v>0</v>
      </c>
      <c r="G141" s="857">
        <f>SUMIFS('YTD Sales'!$N:$N,'YTD Sales'!$B:$B,Brokerage!$B141,'YTD Sales'!$M:$M,Brokerage!G$4)+SUMIFS('YTD Purchases'!$H:$H,'YTD Purchases'!$C:$C,Brokerage!$B141,'YTD Purchases'!$G:$G,Brokerage!G$4)</f>
        <v>0</v>
      </c>
      <c r="H141" s="857">
        <f>SUMIFS('YTD Sales'!$N:$N,'YTD Sales'!$B:$B,Brokerage!$B141,'YTD Sales'!$M:$M,Brokerage!H$4)+SUMIFS('YTD Purchases'!$H:$H,'YTD Purchases'!$C:$C,Brokerage!$B141,'YTD Purchases'!$G:$G,Brokerage!H$4)</f>
        <v>0</v>
      </c>
      <c r="I141" s="857">
        <f>SUMIFS('YTD Sales'!$N:$N,'YTD Sales'!$B:$B,Brokerage!$B141,'YTD Sales'!$M:$M,Brokerage!I$4)+SUMIFS('YTD Purchases'!$H:$H,'YTD Purchases'!$C:$C,Brokerage!$B141,'YTD Purchases'!$G:$G,Brokerage!I$4)</f>
        <v>0</v>
      </c>
      <c r="J141" s="857">
        <f>SUMIFS('YTD Sales'!$N:$N,'YTD Sales'!$B:$B,Brokerage!$B141,'YTD Sales'!$M:$M,Brokerage!J$4)+SUMIFS('YTD Purchases'!$H:$H,'YTD Purchases'!$C:$C,Brokerage!$B141,'YTD Purchases'!$G:$G,Brokerage!J$4)</f>
        <v>0</v>
      </c>
      <c r="K141" s="857">
        <f>SUMIFS('YTD Sales'!$N:$N,'YTD Sales'!$B:$B,Brokerage!$B141,'YTD Sales'!$M:$M,Brokerage!K$4)+SUMIFS('YTD Purchases'!$H:$H,'YTD Purchases'!$C:$C,Brokerage!$B141,'YTD Purchases'!$G:$G,Brokerage!K$4)</f>
        <v>0</v>
      </c>
      <c r="L141" s="857">
        <f>SUMIFS('YTD Sales'!$N:$N,'YTD Sales'!$B:$B,Brokerage!$B141,'YTD Sales'!$M:$M,Brokerage!L$4)+SUMIFS('YTD Purchases'!$H:$H,'YTD Purchases'!$C:$C,Brokerage!$B141,'YTD Purchases'!$G:$G,Brokerage!L$4)</f>
        <v>0</v>
      </c>
      <c r="M141" s="857">
        <f>SUMIFS('YTD Sales'!$N:$N,'YTD Sales'!$B:$B,Brokerage!$B141,'YTD Sales'!$M:$M,Brokerage!M$4)+SUMIFS('YTD Purchases'!$H:$H,'YTD Purchases'!$C:$C,Brokerage!$B141,'YTD Purchases'!$G:$G,Brokerage!M$4)</f>
        <v>0</v>
      </c>
      <c r="N141" s="857">
        <f>SUMIFS('YTD Sales'!$N:$N,'YTD Sales'!$B:$B,Brokerage!$B141,'YTD Sales'!$M:$M,Brokerage!N$4)+SUMIFS('YTD Purchases'!$H:$H,'YTD Purchases'!$C:$C,Brokerage!$B141,'YTD Purchases'!$G:$G,Brokerage!N$4)</f>
        <v>0</v>
      </c>
      <c r="O141" s="857">
        <f>SUMIFS('YTD Sales'!$N:$N,'YTD Sales'!$B:$B,Brokerage!$B141,'YTD Sales'!$M:$M,Brokerage!O$4)+SUMIFS('YTD Purchases'!$H:$H,'YTD Purchases'!$C:$C,Brokerage!$B141,'YTD Purchases'!$G:$G,Brokerage!O$4)</f>
        <v>0</v>
      </c>
      <c r="P141" s="857">
        <f>SUMIFS('YTD Sales'!$N:$N,'YTD Sales'!$B:$B,Brokerage!$B141,'YTD Sales'!$M:$M,Brokerage!P$4)+SUMIFS('YTD Purchases'!$H:$H,'YTD Purchases'!$C:$C,Brokerage!$B141,'YTD Purchases'!$G:$G,Brokerage!P$4)</f>
        <v>0</v>
      </c>
      <c r="Q141" s="857">
        <f>SUMIFS('YTD Sales'!$N:$N,'YTD Sales'!$B:$B,Brokerage!$B141,'YTD Sales'!$M:$M,Brokerage!Q$4)+SUMIFS('YTD Purchases'!$H:$H,'YTD Purchases'!$C:$C,Brokerage!$B141,'YTD Purchases'!$G:$G,Brokerage!Q$4)</f>
        <v>0</v>
      </c>
      <c r="R141" s="857">
        <f>SUMIFS('YTD Sales'!$N:$N,'YTD Sales'!$B:$B,Brokerage!$B141,'YTD Sales'!$M:$M,Brokerage!R$4)+SUMIFS('YTD Purchases'!$H:$H,'YTD Purchases'!$C:$C,Brokerage!$B141,'YTD Purchases'!$G:$G,Brokerage!R$4)</f>
        <v>0</v>
      </c>
      <c r="S141" s="857">
        <f>SUMIFS('YTD Sales'!$N:$N,'YTD Sales'!$B:$B,Brokerage!$B141,'YTD Sales'!$M:$M,Brokerage!S$4)+SUMIFS('YTD Purchases'!$H:$H,'YTD Purchases'!$C:$C,Brokerage!$B141,'YTD Purchases'!$G:$G,Brokerage!S$4)</f>
        <v>0</v>
      </c>
      <c r="T141" s="857">
        <f>SUMIFS('YTD Sales'!$N:$N,'YTD Sales'!$B:$B,Brokerage!$B141,'YTD Sales'!$M:$M,Brokerage!T$4)+SUMIFS('YTD Purchases'!$H:$H,'YTD Purchases'!$C:$C,Brokerage!$B141,'YTD Purchases'!$G:$G,Brokerage!T$4)</f>
        <v>0</v>
      </c>
      <c r="U141" s="857">
        <f>SUMIFS('YTD Sales'!$N:$N,'YTD Sales'!$B:$B,Brokerage!$B141,'YTD Sales'!$M:$M,Brokerage!U$4)+SUMIFS('YTD Purchases'!$H:$H,'YTD Purchases'!$C:$C,Brokerage!$B141,'YTD Purchases'!$G:$G,Brokerage!U$4)</f>
        <v>0</v>
      </c>
      <c r="V141" s="857">
        <f>SUMIFS('YTD Sales'!$N:$N,'YTD Sales'!$B:$B,Brokerage!$B141,'YTD Sales'!$M:$M,Brokerage!V$4)+SUMIFS('YTD Purchases'!$H:$H,'YTD Purchases'!$C:$C,Brokerage!$B141,'YTD Purchases'!$G:$G,Brokerage!V$4)</f>
        <v>0</v>
      </c>
      <c r="W141" s="857">
        <f>SUMIFS('YTD Sales'!$N:$N,'YTD Sales'!$B:$B,Brokerage!$B141,'YTD Sales'!$M:$M,Brokerage!W$4)+SUMIFS('YTD Purchases'!$H:$H,'YTD Purchases'!$C:$C,Brokerage!$B141,'YTD Purchases'!$G:$G,Brokerage!W$4)</f>
        <v>0</v>
      </c>
      <c r="X141" s="857">
        <f>SUMIFS('YTD Sales'!$N:$N,'YTD Sales'!$B:$B,Brokerage!$B141,'YTD Sales'!$M:$M,Brokerage!X$4)+SUMIFS('YTD Purchases'!$H:$H,'YTD Purchases'!$C:$C,Brokerage!$B141,'YTD Purchases'!$G:$G,Brokerage!X$4)</f>
        <v>0</v>
      </c>
      <c r="Y141" s="857">
        <f>SUMIFS('YTD Sales'!$N:$N,'YTD Sales'!$B:$B,Brokerage!$B141,'YTD Sales'!$M:$M,Brokerage!Y$4)+SUMIFS('YTD Purchases'!$H:$H,'YTD Purchases'!$C:$C,Brokerage!$B141,'YTD Purchases'!$G:$G,Brokerage!Y$4)</f>
        <v>0</v>
      </c>
      <c r="Z141" s="857">
        <f>SUMIFS('YTD Sales'!$N:$N,'YTD Sales'!$B:$B,Brokerage!$B141,'YTD Sales'!$M:$M,Brokerage!Z$4)+SUMIFS('YTD Purchases'!$H:$H,'YTD Purchases'!$C:$C,Brokerage!$B141,'YTD Purchases'!$G:$G,Brokerage!Z$4)</f>
        <v>0</v>
      </c>
      <c r="AA141" s="857">
        <f>SUMIFS('YTD Sales'!$N:$N,'YTD Sales'!$B:$B,Brokerage!$B141,'YTD Sales'!$M:$M,Brokerage!AA$4)+SUMIFS('YTD Purchases'!$H:$H,'YTD Purchases'!$C:$C,Brokerage!$B141,'YTD Purchases'!$G:$G,Brokerage!AA$4)</f>
        <v>0</v>
      </c>
      <c r="AB141" s="857">
        <f>SUMIFS('YTD Sales'!$N:$N,'YTD Sales'!$B:$B,Brokerage!$B141,'YTD Sales'!$M:$M,Brokerage!AB$4)+SUMIFS('YTD Purchases'!$H:$H,'YTD Purchases'!$C:$C,Brokerage!$B141,'YTD Purchases'!$G:$G,Brokerage!AB$4)</f>
        <v>0</v>
      </c>
      <c r="AC141" s="857">
        <f>SUMIFS('YTD Sales'!$N:$N,'YTD Sales'!$B:$B,Brokerage!$B141,'YTD Sales'!$M:$M,Brokerage!AC$4)+SUMIFS('YTD Purchases'!$H:$H,'YTD Purchases'!$C:$C,Brokerage!$B141,'YTD Purchases'!$G:$G,Brokerage!AC$4)</f>
        <v>0</v>
      </c>
      <c r="AD141" s="857">
        <f>+SUMIFS(PIB!AG:AG,PIB!AF:AF,Brokerage!AD$4,PIB!AA:AA,Brokerage!$B141)+SUMIFS('T-Bills'!AB:AB,'T-Bills'!AA:AA,Brokerage!AD$4,'T-Bills'!V:V,Brokerage!$B141)</f>
        <v>0</v>
      </c>
      <c r="AE141" s="857">
        <f>+SUMIFS(PIB!AH:AH,PIB!AG:AG,Brokerage!AE$4,PIB!AB:AB,Brokerage!$B141)+SUMIFS('T-Bills'!AC:AC,'T-Bills'!AB:AB,Brokerage!AE$4,'T-Bills'!W:W,Brokerage!$B141)</f>
        <v>0</v>
      </c>
      <c r="AF141" s="857">
        <f>+SUMIFS(PIB!AI:AI,PIB!AH:AH,Brokerage!AF$4,PIB!AC:AC,Brokerage!$B141)+SUMIFS('T-Bills'!AD:AD,'T-Bills'!AC:AC,Brokerage!AF$4,'T-Bills'!X:X,Brokerage!$B141)</f>
        <v>0</v>
      </c>
      <c r="AG141" s="857">
        <f t="shared" si="19"/>
        <v>154.03</v>
      </c>
      <c r="AH141" s="858">
        <f t="shared" si="17"/>
        <v>0</v>
      </c>
    </row>
    <row r="142" spans="2:34" x14ac:dyDescent="0.15">
      <c r="B142" s="661">
        <f t="shared" si="18"/>
        <v>44698</v>
      </c>
      <c r="C142" s="857">
        <f>SUMIFS('YTD Sales'!$N:$N,'YTD Sales'!$B:$B,Brokerage!$B142,'YTD Sales'!$M:$M,Brokerage!C$4)+SUMIFS('YTD Purchases'!$H:$H,'YTD Purchases'!$C:$C,Brokerage!$B142,'YTD Purchases'!$G:$G,Brokerage!C$4)</f>
        <v>0</v>
      </c>
      <c r="D142" s="857">
        <f>SUMIFS('YTD Sales'!$N:$N,'YTD Sales'!$B:$B,Brokerage!$B142,'YTD Sales'!$M:$M,Brokerage!D$4)+SUMIFS('YTD Purchases'!$H:$H,'YTD Purchases'!$C:$C,Brokerage!$B142,'YTD Purchases'!$G:$G,Brokerage!D$4)</f>
        <v>339.40000000000003</v>
      </c>
      <c r="E142" s="857">
        <f>SUMIFS('YTD Sales'!$N:$N,'YTD Sales'!$B:$B,Brokerage!$B142,'YTD Sales'!$M:$M,Brokerage!E$4)+SUMIFS('YTD Purchases'!$H:$H,'YTD Purchases'!$C:$C,Brokerage!$B142,'YTD Purchases'!$G:$G,Brokerage!E$4)</f>
        <v>0</v>
      </c>
      <c r="F142" s="857">
        <f>SUMIFS('YTD Sales'!$N:$N,'YTD Sales'!$B:$B,Brokerage!$B142,'YTD Sales'!$M:$M,Brokerage!F$4)+SUMIFS('YTD Purchases'!$H:$H,'YTD Purchases'!$C:$C,Brokerage!$B142,'YTD Purchases'!$G:$G,Brokerage!F$4)</f>
        <v>0</v>
      </c>
      <c r="G142" s="857">
        <f>SUMIFS('YTD Sales'!$N:$N,'YTD Sales'!$B:$B,Brokerage!$B142,'YTD Sales'!$M:$M,Brokerage!G$4)+SUMIFS('YTD Purchases'!$H:$H,'YTD Purchases'!$C:$C,Brokerage!$B142,'YTD Purchases'!$G:$G,Brokerage!G$4)</f>
        <v>17011.91</v>
      </c>
      <c r="H142" s="857">
        <f>SUMIFS('YTD Sales'!$N:$N,'YTD Sales'!$B:$B,Brokerage!$B142,'YTD Sales'!$M:$M,Brokerage!H$4)+SUMIFS('YTD Purchases'!$H:$H,'YTD Purchases'!$C:$C,Brokerage!$B142,'YTD Purchases'!$G:$G,Brokerage!H$4)</f>
        <v>0</v>
      </c>
      <c r="I142" s="857">
        <f>SUMIFS('YTD Sales'!$N:$N,'YTD Sales'!$B:$B,Brokerage!$B142,'YTD Sales'!$M:$M,Brokerage!I$4)+SUMIFS('YTD Purchases'!$H:$H,'YTD Purchases'!$C:$C,Brokerage!$B142,'YTD Purchases'!$G:$G,Brokerage!I$4)</f>
        <v>21560.400000000001</v>
      </c>
      <c r="J142" s="857">
        <f>SUMIFS('YTD Sales'!$N:$N,'YTD Sales'!$B:$B,Brokerage!$B142,'YTD Sales'!$M:$M,Brokerage!J$4)+SUMIFS('YTD Purchases'!$H:$H,'YTD Purchases'!$C:$C,Brokerage!$B142,'YTD Purchases'!$G:$G,Brokerage!J$4)</f>
        <v>0</v>
      </c>
      <c r="K142" s="857">
        <f>SUMIFS('YTD Sales'!$N:$N,'YTD Sales'!$B:$B,Brokerage!$B142,'YTD Sales'!$M:$M,Brokerage!K$4)+SUMIFS('YTD Purchases'!$H:$H,'YTD Purchases'!$C:$C,Brokerage!$B142,'YTD Purchases'!$G:$G,Brokerage!K$4)</f>
        <v>0</v>
      </c>
      <c r="L142" s="857">
        <f>SUMIFS('YTD Sales'!$N:$N,'YTD Sales'!$B:$B,Brokerage!$B142,'YTD Sales'!$M:$M,Brokerage!L$4)+SUMIFS('YTD Purchases'!$H:$H,'YTD Purchases'!$C:$C,Brokerage!$B142,'YTD Purchases'!$G:$G,Brokerage!L$4)</f>
        <v>0</v>
      </c>
      <c r="M142" s="857">
        <f>SUMIFS('YTD Sales'!$N:$N,'YTD Sales'!$B:$B,Brokerage!$B142,'YTD Sales'!$M:$M,Brokerage!M$4)+SUMIFS('YTD Purchases'!$H:$H,'YTD Purchases'!$C:$C,Brokerage!$B142,'YTD Purchases'!$G:$G,Brokerage!M$4)</f>
        <v>266.86</v>
      </c>
      <c r="N142" s="857">
        <f>SUMIFS('YTD Sales'!$N:$N,'YTD Sales'!$B:$B,Brokerage!$B142,'YTD Sales'!$M:$M,Brokerage!N$4)+SUMIFS('YTD Purchases'!$H:$H,'YTD Purchases'!$C:$C,Brokerage!$B142,'YTD Purchases'!$G:$G,Brokerage!N$4)</f>
        <v>0</v>
      </c>
      <c r="O142" s="857">
        <f>SUMIFS('YTD Sales'!$N:$N,'YTD Sales'!$B:$B,Brokerage!$B142,'YTD Sales'!$M:$M,Brokerage!O$4)+SUMIFS('YTD Purchases'!$H:$H,'YTD Purchases'!$C:$C,Brokerage!$B142,'YTD Purchases'!$G:$G,Brokerage!O$4)</f>
        <v>0</v>
      </c>
      <c r="P142" s="857">
        <f>SUMIFS('YTD Sales'!$N:$N,'YTD Sales'!$B:$B,Brokerage!$B142,'YTD Sales'!$M:$M,Brokerage!P$4)+SUMIFS('YTD Purchases'!$H:$H,'YTD Purchases'!$C:$C,Brokerage!$B142,'YTD Purchases'!$G:$G,Brokerage!P$4)</f>
        <v>0</v>
      </c>
      <c r="Q142" s="857">
        <f>SUMIFS('YTD Sales'!$N:$N,'YTD Sales'!$B:$B,Brokerage!$B142,'YTD Sales'!$M:$M,Brokerage!Q$4)+SUMIFS('YTD Purchases'!$H:$H,'YTD Purchases'!$C:$C,Brokerage!$B142,'YTD Purchases'!$G:$G,Brokerage!Q$4)</f>
        <v>0</v>
      </c>
      <c r="R142" s="857">
        <f>SUMIFS('YTD Sales'!$N:$N,'YTD Sales'!$B:$B,Brokerage!$B142,'YTD Sales'!$M:$M,Brokerage!R$4)+SUMIFS('YTD Purchases'!$H:$H,'YTD Purchases'!$C:$C,Brokerage!$B142,'YTD Purchases'!$G:$G,Brokerage!R$4)</f>
        <v>0</v>
      </c>
      <c r="S142" s="857">
        <f>SUMIFS('YTD Sales'!$N:$N,'YTD Sales'!$B:$B,Brokerage!$B142,'YTD Sales'!$M:$M,Brokerage!S$4)+SUMIFS('YTD Purchases'!$H:$H,'YTD Purchases'!$C:$C,Brokerage!$B142,'YTD Purchases'!$G:$G,Brokerage!S$4)</f>
        <v>0</v>
      </c>
      <c r="T142" s="857">
        <f>SUMIFS('YTD Sales'!$N:$N,'YTD Sales'!$B:$B,Brokerage!$B142,'YTD Sales'!$M:$M,Brokerage!T$4)+SUMIFS('YTD Purchases'!$H:$H,'YTD Purchases'!$C:$C,Brokerage!$B142,'YTD Purchases'!$G:$G,Brokerage!T$4)</f>
        <v>0</v>
      </c>
      <c r="U142" s="857">
        <f>SUMIFS('YTD Sales'!$N:$N,'YTD Sales'!$B:$B,Brokerage!$B142,'YTD Sales'!$M:$M,Brokerage!U$4)+SUMIFS('YTD Purchases'!$H:$H,'YTD Purchases'!$C:$C,Brokerage!$B142,'YTD Purchases'!$G:$G,Brokerage!U$4)</f>
        <v>0</v>
      </c>
      <c r="V142" s="857">
        <f>SUMIFS('YTD Sales'!$N:$N,'YTD Sales'!$B:$B,Brokerage!$B142,'YTD Sales'!$M:$M,Brokerage!V$4)+SUMIFS('YTD Purchases'!$H:$H,'YTD Purchases'!$C:$C,Brokerage!$B142,'YTD Purchases'!$G:$G,Brokerage!V$4)</f>
        <v>0</v>
      </c>
      <c r="W142" s="857">
        <f>SUMIFS('YTD Sales'!$N:$N,'YTD Sales'!$B:$B,Brokerage!$B142,'YTD Sales'!$M:$M,Brokerage!W$4)+SUMIFS('YTD Purchases'!$H:$H,'YTD Purchases'!$C:$C,Brokerage!$B142,'YTD Purchases'!$G:$G,Brokerage!W$4)</f>
        <v>0</v>
      </c>
      <c r="X142" s="857">
        <f>SUMIFS('YTD Sales'!$N:$N,'YTD Sales'!$B:$B,Brokerage!$B142,'YTD Sales'!$M:$M,Brokerage!X$4)+SUMIFS('YTD Purchases'!$H:$H,'YTD Purchases'!$C:$C,Brokerage!$B142,'YTD Purchases'!$G:$G,Brokerage!X$4)</f>
        <v>0</v>
      </c>
      <c r="Y142" s="857">
        <f>SUMIFS('YTD Sales'!$N:$N,'YTD Sales'!$B:$B,Brokerage!$B142,'YTD Sales'!$M:$M,Brokerage!Y$4)+SUMIFS('YTD Purchases'!$H:$H,'YTD Purchases'!$C:$C,Brokerage!$B142,'YTD Purchases'!$G:$G,Brokerage!Y$4)</f>
        <v>0</v>
      </c>
      <c r="Z142" s="857">
        <f>SUMIFS('YTD Sales'!$N:$N,'YTD Sales'!$B:$B,Brokerage!$B142,'YTD Sales'!$M:$M,Brokerage!Z$4)+SUMIFS('YTD Purchases'!$H:$H,'YTD Purchases'!$C:$C,Brokerage!$B142,'YTD Purchases'!$G:$G,Brokerage!Z$4)</f>
        <v>0</v>
      </c>
      <c r="AA142" s="857">
        <f>SUMIFS('YTD Sales'!$N:$N,'YTD Sales'!$B:$B,Brokerage!$B142,'YTD Sales'!$M:$M,Brokerage!AA$4)+SUMIFS('YTD Purchases'!$H:$H,'YTD Purchases'!$C:$C,Brokerage!$B142,'YTD Purchases'!$G:$G,Brokerage!AA$4)</f>
        <v>0</v>
      </c>
      <c r="AB142" s="857">
        <f>SUMIFS('YTD Sales'!$N:$N,'YTD Sales'!$B:$B,Brokerage!$B142,'YTD Sales'!$M:$M,Brokerage!AB$4)+SUMIFS('YTD Purchases'!$H:$H,'YTD Purchases'!$C:$C,Brokerage!$B142,'YTD Purchases'!$G:$G,Brokerage!AB$4)</f>
        <v>0</v>
      </c>
      <c r="AC142" s="857">
        <f>SUMIFS('YTD Sales'!$N:$N,'YTD Sales'!$B:$B,Brokerage!$B142,'YTD Sales'!$M:$M,Brokerage!AC$4)+SUMIFS('YTD Purchases'!$H:$H,'YTD Purchases'!$C:$C,Brokerage!$B142,'YTD Purchases'!$G:$G,Brokerage!AC$4)</f>
        <v>0</v>
      </c>
      <c r="AD142" s="857">
        <f>+SUMIFS(PIB!AG:AG,PIB!AF:AF,Brokerage!AD$4,PIB!AA:AA,Brokerage!$B142)+SUMIFS('T-Bills'!AB:AB,'T-Bills'!AA:AA,Brokerage!AD$4,'T-Bills'!V:V,Brokerage!$B142)</f>
        <v>0</v>
      </c>
      <c r="AE142" s="857">
        <f>+SUMIFS(PIB!AH:AH,PIB!AG:AG,Brokerage!AE$4,PIB!AB:AB,Brokerage!$B142)+SUMIFS('T-Bills'!AC:AC,'T-Bills'!AB:AB,Brokerage!AE$4,'T-Bills'!W:W,Brokerage!$B142)</f>
        <v>0</v>
      </c>
      <c r="AF142" s="857">
        <f>+SUMIFS(PIB!AI:AI,PIB!AH:AH,Brokerage!AF$4,PIB!AC:AC,Brokerage!$B142)+SUMIFS('T-Bills'!AD:AD,'T-Bills'!AC:AC,Brokerage!AF$4,'T-Bills'!X:X,Brokerage!$B142)</f>
        <v>0</v>
      </c>
      <c r="AG142" s="857">
        <f t="shared" si="19"/>
        <v>39178.570000000007</v>
      </c>
      <c r="AH142" s="858">
        <f t="shared" si="17"/>
        <v>2</v>
      </c>
    </row>
    <row r="143" spans="2:34" x14ac:dyDescent="0.15">
      <c r="B143" s="661">
        <f t="shared" si="18"/>
        <v>44699</v>
      </c>
      <c r="C143" s="857">
        <f>SUMIFS('YTD Sales'!$N:$N,'YTD Sales'!$B:$B,Brokerage!$B143,'YTD Sales'!$M:$M,Brokerage!C$4)+SUMIFS('YTD Purchases'!$H:$H,'YTD Purchases'!$C:$C,Brokerage!$B143,'YTD Purchases'!$G:$G,Brokerage!C$4)</f>
        <v>0</v>
      </c>
      <c r="D143" s="857">
        <f>SUMIFS('YTD Sales'!$N:$N,'YTD Sales'!$B:$B,Brokerage!$B143,'YTD Sales'!$M:$M,Brokerage!D$4)+SUMIFS('YTD Purchases'!$H:$H,'YTD Purchases'!$C:$C,Brokerage!$B143,'YTD Purchases'!$G:$G,Brokerage!D$4)</f>
        <v>4978.7250000000004</v>
      </c>
      <c r="E143" s="857">
        <f>SUMIFS('YTD Sales'!$N:$N,'YTD Sales'!$B:$B,Brokerage!$B143,'YTD Sales'!$M:$M,Brokerage!E$4)+SUMIFS('YTD Purchases'!$H:$H,'YTD Purchases'!$C:$C,Brokerage!$B143,'YTD Purchases'!$G:$G,Brokerage!E$4)</f>
        <v>0</v>
      </c>
      <c r="F143" s="857">
        <f>SUMIFS('YTD Sales'!$N:$N,'YTD Sales'!$B:$B,Brokerage!$B143,'YTD Sales'!$M:$M,Brokerage!F$4)+SUMIFS('YTD Purchases'!$H:$H,'YTD Purchases'!$C:$C,Brokerage!$B143,'YTD Purchases'!$G:$G,Brokerage!F$4)</f>
        <v>0</v>
      </c>
      <c r="G143" s="857">
        <f>SUMIFS('YTD Sales'!$N:$N,'YTD Sales'!$B:$B,Brokerage!$B143,'YTD Sales'!$M:$M,Brokerage!G$4)+SUMIFS('YTD Purchases'!$H:$H,'YTD Purchases'!$C:$C,Brokerage!$B143,'YTD Purchases'!$G:$G,Brokerage!G$4)</f>
        <v>31508.988501839405</v>
      </c>
      <c r="H143" s="857">
        <f>SUMIFS('YTD Sales'!$N:$N,'YTD Sales'!$B:$B,Brokerage!$B143,'YTD Sales'!$M:$M,Brokerage!H$4)+SUMIFS('YTD Purchases'!$H:$H,'YTD Purchases'!$C:$C,Brokerage!$B143,'YTD Purchases'!$G:$G,Brokerage!H$4)</f>
        <v>0</v>
      </c>
      <c r="I143" s="857">
        <f>SUMIFS('YTD Sales'!$N:$N,'YTD Sales'!$B:$B,Brokerage!$B143,'YTD Sales'!$M:$M,Brokerage!I$4)+SUMIFS('YTD Purchases'!$H:$H,'YTD Purchases'!$C:$C,Brokerage!$B143,'YTD Purchases'!$G:$G,Brokerage!I$4)</f>
        <v>0</v>
      </c>
      <c r="J143" s="857">
        <f>SUMIFS('YTD Sales'!$N:$N,'YTD Sales'!$B:$B,Brokerage!$B143,'YTD Sales'!$M:$M,Brokerage!J$4)+SUMIFS('YTD Purchases'!$H:$H,'YTD Purchases'!$C:$C,Brokerage!$B143,'YTD Purchases'!$G:$G,Brokerage!J$4)</f>
        <v>0</v>
      </c>
      <c r="K143" s="857">
        <f>SUMIFS('YTD Sales'!$N:$N,'YTD Sales'!$B:$B,Brokerage!$B143,'YTD Sales'!$M:$M,Brokerage!K$4)+SUMIFS('YTD Purchases'!$H:$H,'YTD Purchases'!$C:$C,Brokerage!$B143,'YTD Purchases'!$G:$G,Brokerage!K$4)</f>
        <v>0</v>
      </c>
      <c r="L143" s="857">
        <f>SUMIFS('YTD Sales'!$N:$N,'YTD Sales'!$B:$B,Brokerage!$B143,'YTD Sales'!$M:$M,Brokerage!L$4)+SUMIFS('YTD Purchases'!$H:$H,'YTD Purchases'!$C:$C,Brokerage!$B143,'YTD Purchases'!$G:$G,Brokerage!L$4)</f>
        <v>0</v>
      </c>
      <c r="M143" s="857">
        <f>SUMIFS('YTD Sales'!$N:$N,'YTD Sales'!$B:$B,Brokerage!$B143,'YTD Sales'!$M:$M,Brokerage!M$4)+SUMIFS('YTD Purchases'!$H:$H,'YTD Purchases'!$C:$C,Brokerage!$B143,'YTD Purchases'!$G:$G,Brokerage!M$4)</f>
        <v>0</v>
      </c>
      <c r="N143" s="857">
        <f>SUMIFS('YTD Sales'!$N:$N,'YTD Sales'!$B:$B,Brokerage!$B143,'YTD Sales'!$M:$M,Brokerage!N$4)+SUMIFS('YTD Purchases'!$H:$H,'YTD Purchases'!$C:$C,Brokerage!$B143,'YTD Purchases'!$G:$G,Brokerage!N$4)</f>
        <v>0</v>
      </c>
      <c r="O143" s="857">
        <f>SUMIFS('YTD Sales'!$N:$N,'YTD Sales'!$B:$B,Brokerage!$B143,'YTD Sales'!$M:$M,Brokerage!O$4)+SUMIFS('YTD Purchases'!$H:$H,'YTD Purchases'!$C:$C,Brokerage!$B143,'YTD Purchases'!$G:$G,Brokerage!O$4)</f>
        <v>0</v>
      </c>
      <c r="P143" s="857">
        <f>SUMIFS('YTD Sales'!$N:$N,'YTD Sales'!$B:$B,Brokerage!$B143,'YTD Sales'!$M:$M,Brokerage!P$4)+SUMIFS('YTD Purchases'!$H:$H,'YTD Purchases'!$C:$C,Brokerage!$B143,'YTD Purchases'!$G:$G,Brokerage!P$4)</f>
        <v>0</v>
      </c>
      <c r="Q143" s="857">
        <f>SUMIFS('YTD Sales'!$N:$N,'YTD Sales'!$B:$B,Brokerage!$B143,'YTD Sales'!$M:$M,Brokerage!Q$4)+SUMIFS('YTD Purchases'!$H:$H,'YTD Purchases'!$C:$C,Brokerage!$B143,'YTD Purchases'!$G:$G,Brokerage!Q$4)</f>
        <v>0</v>
      </c>
      <c r="R143" s="857">
        <f>SUMIFS('YTD Sales'!$N:$N,'YTD Sales'!$B:$B,Brokerage!$B143,'YTD Sales'!$M:$M,Brokerage!R$4)+SUMIFS('YTD Purchases'!$H:$H,'YTD Purchases'!$C:$C,Brokerage!$B143,'YTD Purchases'!$G:$G,Brokerage!R$4)</f>
        <v>0</v>
      </c>
      <c r="S143" s="857">
        <f>SUMIFS('YTD Sales'!$N:$N,'YTD Sales'!$B:$B,Brokerage!$B143,'YTD Sales'!$M:$M,Brokerage!S$4)+SUMIFS('YTD Purchases'!$H:$H,'YTD Purchases'!$C:$C,Brokerage!$B143,'YTD Purchases'!$G:$G,Brokerage!S$4)</f>
        <v>0</v>
      </c>
      <c r="T143" s="857">
        <f>SUMIFS('YTD Sales'!$N:$N,'YTD Sales'!$B:$B,Brokerage!$B143,'YTD Sales'!$M:$M,Brokerage!T$4)+SUMIFS('YTD Purchases'!$H:$H,'YTD Purchases'!$C:$C,Brokerage!$B143,'YTD Purchases'!$G:$G,Brokerage!T$4)</f>
        <v>0</v>
      </c>
      <c r="U143" s="857">
        <f>SUMIFS('YTD Sales'!$N:$N,'YTD Sales'!$B:$B,Brokerage!$B143,'YTD Sales'!$M:$M,Brokerage!U$4)+SUMIFS('YTD Purchases'!$H:$H,'YTD Purchases'!$C:$C,Brokerage!$B143,'YTD Purchases'!$G:$G,Brokerage!U$4)</f>
        <v>0</v>
      </c>
      <c r="V143" s="857">
        <f>SUMIFS('YTD Sales'!$N:$N,'YTD Sales'!$B:$B,Brokerage!$B143,'YTD Sales'!$M:$M,Brokerage!V$4)+SUMIFS('YTD Purchases'!$H:$H,'YTD Purchases'!$C:$C,Brokerage!$B143,'YTD Purchases'!$G:$G,Brokerage!V$4)</f>
        <v>0</v>
      </c>
      <c r="W143" s="857">
        <f>SUMIFS('YTD Sales'!$N:$N,'YTD Sales'!$B:$B,Brokerage!$B143,'YTD Sales'!$M:$M,Brokerage!W$4)+SUMIFS('YTD Purchases'!$H:$H,'YTD Purchases'!$C:$C,Brokerage!$B143,'YTD Purchases'!$G:$G,Brokerage!W$4)</f>
        <v>0</v>
      </c>
      <c r="X143" s="857">
        <f>SUMIFS('YTD Sales'!$N:$N,'YTD Sales'!$B:$B,Brokerage!$B143,'YTD Sales'!$M:$M,Brokerage!X$4)+SUMIFS('YTD Purchases'!$H:$H,'YTD Purchases'!$C:$C,Brokerage!$B143,'YTD Purchases'!$G:$G,Brokerage!X$4)</f>
        <v>0</v>
      </c>
      <c r="Y143" s="857">
        <f>SUMIFS('YTD Sales'!$N:$N,'YTD Sales'!$B:$B,Brokerage!$B143,'YTD Sales'!$M:$M,Brokerage!Y$4)+SUMIFS('YTD Purchases'!$H:$H,'YTD Purchases'!$C:$C,Brokerage!$B143,'YTD Purchases'!$G:$G,Brokerage!Y$4)</f>
        <v>0</v>
      </c>
      <c r="Z143" s="857">
        <f>SUMIFS('YTD Sales'!$N:$N,'YTD Sales'!$B:$B,Brokerage!$B143,'YTD Sales'!$M:$M,Brokerage!Z$4)+SUMIFS('YTD Purchases'!$H:$H,'YTD Purchases'!$C:$C,Brokerage!$B143,'YTD Purchases'!$G:$G,Brokerage!Z$4)</f>
        <v>0</v>
      </c>
      <c r="AA143" s="857">
        <f>SUMIFS('YTD Sales'!$N:$N,'YTD Sales'!$B:$B,Brokerage!$B143,'YTD Sales'!$M:$M,Brokerage!AA$4)+SUMIFS('YTD Purchases'!$H:$H,'YTD Purchases'!$C:$C,Brokerage!$B143,'YTD Purchases'!$G:$G,Brokerage!AA$4)</f>
        <v>0</v>
      </c>
      <c r="AB143" s="857">
        <f>SUMIFS('YTD Sales'!$N:$N,'YTD Sales'!$B:$B,Brokerage!$B143,'YTD Sales'!$M:$M,Brokerage!AB$4)+SUMIFS('YTD Purchases'!$H:$H,'YTD Purchases'!$C:$C,Brokerage!$B143,'YTD Purchases'!$G:$G,Brokerage!AB$4)</f>
        <v>0</v>
      </c>
      <c r="AC143" s="857">
        <f>SUMIFS('YTD Sales'!$N:$N,'YTD Sales'!$B:$B,Brokerage!$B143,'YTD Sales'!$M:$M,Brokerage!AC$4)+SUMIFS('YTD Purchases'!$H:$H,'YTD Purchases'!$C:$C,Brokerage!$B143,'YTD Purchases'!$G:$G,Brokerage!AC$4)</f>
        <v>0</v>
      </c>
      <c r="AD143" s="857">
        <f>+SUMIFS(PIB!AG:AG,PIB!AF:AF,Brokerage!AD$4,PIB!AA:AA,Brokerage!$B143)+SUMIFS('T-Bills'!AB:AB,'T-Bills'!AA:AA,Brokerage!AD$4,'T-Bills'!V:V,Brokerage!$B143)</f>
        <v>0</v>
      </c>
      <c r="AE143" s="857">
        <f>+SUMIFS(PIB!AH:AH,PIB!AG:AG,Brokerage!AE$4,PIB!AB:AB,Brokerage!$B143)+SUMIFS('T-Bills'!AC:AC,'T-Bills'!AB:AB,Brokerage!AE$4,'T-Bills'!W:W,Brokerage!$B143)</f>
        <v>0</v>
      </c>
      <c r="AF143" s="857">
        <f>+SUMIFS(PIB!AI:AI,PIB!AH:AH,Brokerage!AF$4,PIB!AC:AC,Brokerage!$B143)+SUMIFS('T-Bills'!AD:AD,'T-Bills'!AC:AC,Brokerage!AF$4,'T-Bills'!X:X,Brokerage!$B143)</f>
        <v>0</v>
      </c>
      <c r="AG143" s="857">
        <f t="shared" si="19"/>
        <v>36487.713501839404</v>
      </c>
      <c r="AH143" s="858">
        <f t="shared" si="17"/>
        <v>1</v>
      </c>
    </row>
    <row r="144" spans="2:34" x14ac:dyDescent="0.15">
      <c r="B144" s="661">
        <f t="shared" si="18"/>
        <v>44700</v>
      </c>
      <c r="C144" s="857">
        <f>SUMIFS('YTD Sales'!$N:$N,'YTD Sales'!$B:$B,Brokerage!$B144,'YTD Sales'!$M:$M,Brokerage!C$4)+SUMIFS('YTD Purchases'!$H:$H,'YTD Purchases'!$C:$C,Brokerage!$B144,'YTD Purchases'!$G:$G,Brokerage!C$4)</f>
        <v>0</v>
      </c>
      <c r="D144" s="857">
        <f>SUMIFS('YTD Sales'!$N:$N,'YTD Sales'!$B:$B,Brokerage!$B144,'YTD Sales'!$M:$M,Brokerage!D$4)+SUMIFS('YTD Purchases'!$H:$H,'YTD Purchases'!$C:$C,Brokerage!$B144,'YTD Purchases'!$G:$G,Brokerage!D$4)</f>
        <v>0</v>
      </c>
      <c r="E144" s="857">
        <f>SUMIFS('YTD Sales'!$N:$N,'YTD Sales'!$B:$B,Brokerage!$B144,'YTD Sales'!$M:$M,Brokerage!E$4)+SUMIFS('YTD Purchases'!$H:$H,'YTD Purchases'!$C:$C,Brokerage!$B144,'YTD Purchases'!$G:$G,Brokerage!E$4)</f>
        <v>2715.93</v>
      </c>
      <c r="F144" s="857">
        <f>SUMIFS('YTD Sales'!$N:$N,'YTD Sales'!$B:$B,Brokerage!$B144,'YTD Sales'!$M:$M,Brokerage!F$4)+SUMIFS('YTD Purchases'!$H:$H,'YTD Purchases'!$C:$C,Brokerage!$B144,'YTD Purchases'!$G:$G,Brokerage!F$4)</f>
        <v>0</v>
      </c>
      <c r="G144" s="857">
        <f>SUMIFS('YTD Sales'!$N:$N,'YTD Sales'!$B:$B,Brokerage!$B144,'YTD Sales'!$M:$M,Brokerage!G$4)+SUMIFS('YTD Purchases'!$H:$H,'YTD Purchases'!$C:$C,Brokerage!$B144,'YTD Purchases'!$G:$G,Brokerage!G$4)</f>
        <v>72353.491999999998</v>
      </c>
      <c r="H144" s="857">
        <f>SUMIFS('YTD Sales'!$N:$N,'YTD Sales'!$B:$B,Brokerage!$B144,'YTD Sales'!$M:$M,Brokerage!H$4)+SUMIFS('YTD Purchases'!$H:$H,'YTD Purchases'!$C:$C,Brokerage!$B144,'YTD Purchases'!$G:$G,Brokerage!H$4)</f>
        <v>0</v>
      </c>
      <c r="I144" s="857">
        <f>SUMIFS('YTD Sales'!$N:$N,'YTD Sales'!$B:$B,Brokerage!$B144,'YTD Sales'!$M:$M,Brokerage!I$4)+SUMIFS('YTD Purchases'!$H:$H,'YTD Purchases'!$C:$C,Brokerage!$B144,'YTD Purchases'!$G:$G,Brokerage!I$4)</f>
        <v>0</v>
      </c>
      <c r="J144" s="857">
        <f>SUMIFS('YTD Sales'!$N:$N,'YTD Sales'!$B:$B,Brokerage!$B144,'YTD Sales'!$M:$M,Brokerage!J$4)+SUMIFS('YTD Purchases'!$H:$H,'YTD Purchases'!$C:$C,Brokerage!$B144,'YTD Purchases'!$G:$G,Brokerage!J$4)</f>
        <v>0</v>
      </c>
      <c r="K144" s="857">
        <f>SUMIFS('YTD Sales'!$N:$N,'YTD Sales'!$B:$B,Brokerage!$B144,'YTD Sales'!$M:$M,Brokerage!K$4)+SUMIFS('YTD Purchases'!$H:$H,'YTD Purchases'!$C:$C,Brokerage!$B144,'YTD Purchases'!$G:$G,Brokerage!K$4)</f>
        <v>0</v>
      </c>
      <c r="L144" s="857">
        <f>SUMIFS('YTD Sales'!$N:$N,'YTD Sales'!$B:$B,Brokerage!$B144,'YTD Sales'!$M:$M,Brokerage!L$4)+SUMIFS('YTD Purchases'!$H:$H,'YTD Purchases'!$C:$C,Brokerage!$B144,'YTD Purchases'!$G:$G,Brokerage!L$4)</f>
        <v>0</v>
      </c>
      <c r="M144" s="857">
        <f>SUMIFS('YTD Sales'!$N:$N,'YTD Sales'!$B:$B,Brokerage!$B144,'YTD Sales'!$M:$M,Brokerage!M$4)+SUMIFS('YTD Purchases'!$H:$H,'YTD Purchases'!$C:$C,Brokerage!$B144,'YTD Purchases'!$G:$G,Brokerage!M$4)</f>
        <v>0</v>
      </c>
      <c r="N144" s="857">
        <f>SUMIFS('YTD Sales'!$N:$N,'YTD Sales'!$B:$B,Brokerage!$B144,'YTD Sales'!$M:$M,Brokerage!N$4)+SUMIFS('YTD Purchases'!$H:$H,'YTD Purchases'!$C:$C,Brokerage!$B144,'YTD Purchases'!$G:$G,Brokerage!N$4)</f>
        <v>0</v>
      </c>
      <c r="O144" s="857">
        <f>SUMIFS('YTD Sales'!$N:$N,'YTD Sales'!$B:$B,Brokerage!$B144,'YTD Sales'!$M:$M,Brokerage!O$4)+SUMIFS('YTD Purchases'!$H:$H,'YTD Purchases'!$C:$C,Brokerage!$B144,'YTD Purchases'!$G:$G,Brokerage!O$4)</f>
        <v>0</v>
      </c>
      <c r="P144" s="857">
        <f>SUMIFS('YTD Sales'!$N:$N,'YTD Sales'!$B:$B,Brokerage!$B144,'YTD Sales'!$M:$M,Brokerage!P$4)+SUMIFS('YTD Purchases'!$H:$H,'YTD Purchases'!$C:$C,Brokerage!$B144,'YTD Purchases'!$G:$G,Brokerage!P$4)</f>
        <v>0</v>
      </c>
      <c r="Q144" s="857">
        <f>SUMIFS('YTD Sales'!$N:$N,'YTD Sales'!$B:$B,Brokerage!$B144,'YTD Sales'!$M:$M,Brokerage!Q$4)+SUMIFS('YTD Purchases'!$H:$H,'YTD Purchases'!$C:$C,Brokerage!$B144,'YTD Purchases'!$G:$G,Brokerage!Q$4)</f>
        <v>0</v>
      </c>
      <c r="R144" s="857">
        <f>SUMIFS('YTD Sales'!$N:$N,'YTD Sales'!$B:$B,Brokerage!$B144,'YTD Sales'!$M:$M,Brokerage!R$4)+SUMIFS('YTD Purchases'!$H:$H,'YTD Purchases'!$C:$C,Brokerage!$B144,'YTD Purchases'!$G:$G,Brokerage!R$4)</f>
        <v>0</v>
      </c>
      <c r="S144" s="857">
        <f>SUMIFS('YTD Sales'!$N:$N,'YTD Sales'!$B:$B,Brokerage!$B144,'YTD Sales'!$M:$M,Brokerage!S$4)+SUMIFS('YTD Purchases'!$H:$H,'YTD Purchases'!$C:$C,Brokerage!$B144,'YTD Purchases'!$G:$G,Brokerage!S$4)</f>
        <v>0</v>
      </c>
      <c r="T144" s="857">
        <f>SUMIFS('YTD Sales'!$N:$N,'YTD Sales'!$B:$B,Brokerage!$B144,'YTD Sales'!$M:$M,Brokerage!T$4)+SUMIFS('YTD Purchases'!$H:$H,'YTD Purchases'!$C:$C,Brokerage!$B144,'YTD Purchases'!$G:$G,Brokerage!T$4)</f>
        <v>0</v>
      </c>
      <c r="U144" s="857">
        <f>SUMIFS('YTD Sales'!$N:$N,'YTD Sales'!$B:$B,Brokerage!$B144,'YTD Sales'!$M:$M,Brokerage!U$4)+SUMIFS('YTD Purchases'!$H:$H,'YTD Purchases'!$C:$C,Brokerage!$B144,'YTD Purchases'!$G:$G,Brokerage!U$4)</f>
        <v>0</v>
      </c>
      <c r="V144" s="857">
        <f>SUMIFS('YTD Sales'!$N:$N,'YTD Sales'!$B:$B,Brokerage!$B144,'YTD Sales'!$M:$M,Brokerage!V$4)+SUMIFS('YTD Purchases'!$H:$H,'YTD Purchases'!$C:$C,Brokerage!$B144,'YTD Purchases'!$G:$G,Brokerage!V$4)</f>
        <v>0</v>
      </c>
      <c r="W144" s="857">
        <f>SUMIFS('YTD Sales'!$N:$N,'YTD Sales'!$B:$B,Brokerage!$B144,'YTD Sales'!$M:$M,Brokerage!W$4)+SUMIFS('YTD Purchases'!$H:$H,'YTD Purchases'!$C:$C,Brokerage!$B144,'YTD Purchases'!$G:$G,Brokerage!W$4)</f>
        <v>0</v>
      </c>
      <c r="X144" s="857">
        <f>SUMIFS('YTD Sales'!$N:$N,'YTD Sales'!$B:$B,Brokerage!$B144,'YTD Sales'!$M:$M,Brokerage!X$4)+SUMIFS('YTD Purchases'!$H:$H,'YTD Purchases'!$C:$C,Brokerage!$B144,'YTD Purchases'!$G:$G,Brokerage!X$4)</f>
        <v>0</v>
      </c>
      <c r="Y144" s="857">
        <f>SUMIFS('YTD Sales'!$N:$N,'YTD Sales'!$B:$B,Brokerage!$B144,'YTD Sales'!$M:$M,Brokerage!Y$4)+SUMIFS('YTD Purchases'!$H:$H,'YTD Purchases'!$C:$C,Brokerage!$B144,'YTD Purchases'!$G:$G,Brokerage!Y$4)</f>
        <v>0</v>
      </c>
      <c r="Z144" s="857">
        <f>SUMIFS('YTD Sales'!$N:$N,'YTD Sales'!$B:$B,Brokerage!$B144,'YTD Sales'!$M:$M,Brokerage!Z$4)+SUMIFS('YTD Purchases'!$H:$H,'YTD Purchases'!$C:$C,Brokerage!$B144,'YTD Purchases'!$G:$G,Brokerage!Z$4)</f>
        <v>0</v>
      </c>
      <c r="AA144" s="857">
        <f>SUMIFS('YTD Sales'!$N:$N,'YTD Sales'!$B:$B,Brokerage!$B144,'YTD Sales'!$M:$M,Brokerage!AA$4)+SUMIFS('YTD Purchases'!$H:$H,'YTD Purchases'!$C:$C,Brokerage!$B144,'YTD Purchases'!$G:$G,Brokerage!AA$4)</f>
        <v>0</v>
      </c>
      <c r="AB144" s="857">
        <f>SUMIFS('YTD Sales'!$N:$N,'YTD Sales'!$B:$B,Brokerage!$B144,'YTD Sales'!$M:$M,Brokerage!AB$4)+SUMIFS('YTD Purchases'!$H:$H,'YTD Purchases'!$C:$C,Brokerage!$B144,'YTD Purchases'!$G:$G,Brokerage!AB$4)</f>
        <v>0</v>
      </c>
      <c r="AC144" s="857">
        <f>SUMIFS('YTD Sales'!$N:$N,'YTD Sales'!$B:$B,Brokerage!$B144,'YTD Sales'!$M:$M,Brokerage!AC$4)+SUMIFS('YTD Purchases'!$H:$H,'YTD Purchases'!$C:$C,Brokerage!$B144,'YTD Purchases'!$G:$G,Brokerage!AC$4)</f>
        <v>0</v>
      </c>
      <c r="AD144" s="857">
        <f>+SUMIFS(PIB!AG:AG,PIB!AF:AF,Brokerage!AD$4,PIB!AA:AA,Brokerage!$B144)+SUMIFS('T-Bills'!AB:AB,'T-Bills'!AA:AA,Brokerage!AD$4,'T-Bills'!V:V,Brokerage!$B144)</f>
        <v>0</v>
      </c>
      <c r="AE144" s="857">
        <f>+SUMIFS(PIB!AH:AH,PIB!AG:AG,Brokerage!AE$4,PIB!AB:AB,Brokerage!$B144)+SUMIFS('T-Bills'!AC:AC,'T-Bills'!AB:AB,Brokerage!AE$4,'T-Bills'!W:W,Brokerage!$B144)</f>
        <v>0</v>
      </c>
      <c r="AF144" s="857">
        <f>+SUMIFS(PIB!AI:AI,PIB!AH:AH,Brokerage!AF$4,PIB!AC:AC,Brokerage!$B144)+SUMIFS('T-Bills'!AD:AD,'T-Bills'!AC:AC,Brokerage!AF$4,'T-Bills'!X:X,Brokerage!$B144)</f>
        <v>0</v>
      </c>
      <c r="AG144" s="857">
        <f t="shared" si="19"/>
        <v>75069.421999999991</v>
      </c>
      <c r="AH144" s="858">
        <f t="shared" ref="AH144:AH169" si="20">ROUND((AG144*1.5%)/365,0)</f>
        <v>3</v>
      </c>
    </row>
    <row r="145" spans="2:34" x14ac:dyDescent="0.15">
      <c r="B145" s="661">
        <f t="shared" si="18"/>
        <v>44701</v>
      </c>
      <c r="C145" s="857">
        <f>SUMIFS('YTD Sales'!$N:$N,'YTD Sales'!$B:$B,Brokerage!$B145,'YTD Sales'!$M:$M,Brokerage!C$4)+SUMIFS('YTD Purchases'!$H:$H,'YTD Purchases'!$C:$C,Brokerage!$B145,'YTD Purchases'!$G:$G,Brokerage!C$4)</f>
        <v>0</v>
      </c>
      <c r="D145" s="857">
        <f>SUMIFS('YTD Sales'!$N:$N,'YTD Sales'!$B:$B,Brokerage!$B145,'YTD Sales'!$M:$M,Brokerage!D$4)+SUMIFS('YTD Purchases'!$H:$H,'YTD Purchases'!$C:$C,Brokerage!$B145,'YTD Purchases'!$G:$G,Brokerage!D$4)</f>
        <v>169500</v>
      </c>
      <c r="E145" s="857">
        <f>SUMIFS('YTD Sales'!$N:$N,'YTD Sales'!$B:$B,Brokerage!$B145,'YTD Sales'!$M:$M,Brokerage!E$4)+SUMIFS('YTD Purchases'!$H:$H,'YTD Purchases'!$C:$C,Brokerage!$B145,'YTD Purchases'!$G:$G,Brokerage!E$4)</f>
        <v>1575.26</v>
      </c>
      <c r="F145" s="857">
        <f>SUMIFS('YTD Sales'!$N:$N,'YTD Sales'!$B:$B,Brokerage!$B145,'YTD Sales'!$M:$M,Brokerage!F$4)+SUMIFS('YTD Purchases'!$H:$H,'YTD Purchases'!$C:$C,Brokerage!$B145,'YTD Purchases'!$G:$G,Brokerage!F$4)</f>
        <v>0</v>
      </c>
      <c r="G145" s="857">
        <f>SUMIFS('YTD Sales'!$N:$N,'YTD Sales'!$B:$B,Brokerage!$B145,'YTD Sales'!$M:$M,Brokerage!G$4)+SUMIFS('YTD Purchases'!$H:$H,'YTD Purchases'!$C:$C,Brokerage!$B145,'YTD Purchases'!$G:$G,Brokerage!G$4)</f>
        <v>0</v>
      </c>
      <c r="H145" s="857">
        <f>SUMIFS('YTD Sales'!$N:$N,'YTD Sales'!$B:$B,Brokerage!$B145,'YTD Sales'!$M:$M,Brokerage!H$4)+SUMIFS('YTD Purchases'!$H:$H,'YTD Purchases'!$C:$C,Brokerage!$B145,'YTD Purchases'!$G:$G,Brokerage!H$4)</f>
        <v>0</v>
      </c>
      <c r="I145" s="857">
        <f>SUMIFS('YTD Sales'!$N:$N,'YTD Sales'!$B:$B,Brokerage!$B145,'YTD Sales'!$M:$M,Brokerage!I$4)+SUMIFS('YTD Purchases'!$H:$H,'YTD Purchases'!$C:$C,Brokerage!$B145,'YTD Purchases'!$G:$G,Brokerage!I$4)</f>
        <v>0</v>
      </c>
      <c r="J145" s="857">
        <f>SUMIFS('YTD Sales'!$N:$N,'YTD Sales'!$B:$B,Brokerage!$B145,'YTD Sales'!$M:$M,Brokerage!J$4)+SUMIFS('YTD Purchases'!$H:$H,'YTD Purchases'!$C:$C,Brokerage!$B145,'YTD Purchases'!$G:$G,Brokerage!J$4)</f>
        <v>0</v>
      </c>
      <c r="K145" s="857">
        <f>SUMIFS('YTD Sales'!$N:$N,'YTD Sales'!$B:$B,Brokerage!$B145,'YTD Sales'!$M:$M,Brokerage!K$4)+SUMIFS('YTD Purchases'!$H:$H,'YTD Purchases'!$C:$C,Brokerage!$B145,'YTD Purchases'!$G:$G,Brokerage!K$4)</f>
        <v>0</v>
      </c>
      <c r="L145" s="857">
        <f>SUMIFS('YTD Sales'!$N:$N,'YTD Sales'!$B:$B,Brokerage!$B145,'YTD Sales'!$M:$M,Brokerage!L$4)+SUMIFS('YTD Purchases'!$H:$H,'YTD Purchases'!$C:$C,Brokerage!$B145,'YTD Purchases'!$G:$G,Brokerage!L$4)</f>
        <v>0</v>
      </c>
      <c r="M145" s="857">
        <f>SUMIFS('YTD Sales'!$N:$N,'YTD Sales'!$B:$B,Brokerage!$B145,'YTD Sales'!$M:$M,Brokerage!M$4)+SUMIFS('YTD Purchases'!$H:$H,'YTD Purchases'!$C:$C,Brokerage!$B145,'YTD Purchases'!$G:$G,Brokerage!M$4)</f>
        <v>3480.9799999999996</v>
      </c>
      <c r="N145" s="857">
        <f>SUMIFS('YTD Sales'!$N:$N,'YTD Sales'!$B:$B,Brokerage!$B145,'YTD Sales'!$M:$M,Brokerage!N$4)+SUMIFS('YTD Purchases'!$H:$H,'YTD Purchases'!$C:$C,Brokerage!$B145,'YTD Purchases'!$G:$G,Brokerage!N$4)</f>
        <v>0</v>
      </c>
      <c r="O145" s="857">
        <f>SUMIFS('YTD Sales'!$N:$N,'YTD Sales'!$B:$B,Brokerage!$B145,'YTD Sales'!$M:$M,Brokerage!O$4)+SUMIFS('YTD Purchases'!$H:$H,'YTD Purchases'!$C:$C,Brokerage!$B145,'YTD Purchases'!$G:$G,Brokerage!O$4)</f>
        <v>0</v>
      </c>
      <c r="P145" s="857">
        <f>SUMIFS('YTD Sales'!$N:$N,'YTD Sales'!$B:$B,Brokerage!$B145,'YTD Sales'!$M:$M,Brokerage!P$4)+SUMIFS('YTD Purchases'!$H:$H,'YTD Purchases'!$C:$C,Brokerage!$B145,'YTD Purchases'!$G:$G,Brokerage!P$4)</f>
        <v>2278.056</v>
      </c>
      <c r="Q145" s="857">
        <f>SUMIFS('YTD Sales'!$N:$N,'YTD Sales'!$B:$B,Brokerage!$B145,'YTD Sales'!$M:$M,Brokerage!Q$4)+SUMIFS('YTD Purchases'!$H:$H,'YTD Purchases'!$C:$C,Brokerage!$B145,'YTD Purchases'!$G:$G,Brokerage!Q$4)</f>
        <v>0</v>
      </c>
      <c r="R145" s="857">
        <f>SUMIFS('YTD Sales'!$N:$N,'YTD Sales'!$B:$B,Brokerage!$B145,'YTD Sales'!$M:$M,Brokerage!R$4)+SUMIFS('YTD Purchases'!$H:$H,'YTD Purchases'!$C:$C,Brokerage!$B145,'YTD Purchases'!$G:$G,Brokerage!R$4)</f>
        <v>0</v>
      </c>
      <c r="S145" s="857">
        <f>SUMIFS('YTD Sales'!$N:$N,'YTD Sales'!$B:$B,Brokerage!$B145,'YTD Sales'!$M:$M,Brokerage!S$4)+SUMIFS('YTD Purchases'!$H:$H,'YTD Purchases'!$C:$C,Brokerage!$B145,'YTD Purchases'!$G:$G,Brokerage!S$4)</f>
        <v>0</v>
      </c>
      <c r="T145" s="857">
        <f>SUMIFS('YTD Sales'!$N:$N,'YTD Sales'!$B:$B,Brokerage!$B145,'YTD Sales'!$M:$M,Brokerage!T$4)+SUMIFS('YTD Purchases'!$H:$H,'YTD Purchases'!$C:$C,Brokerage!$B145,'YTD Purchases'!$G:$G,Brokerage!T$4)</f>
        <v>0</v>
      </c>
      <c r="U145" s="857">
        <f>SUMIFS('YTD Sales'!$N:$N,'YTD Sales'!$B:$B,Brokerage!$B145,'YTD Sales'!$M:$M,Brokerage!U$4)+SUMIFS('YTD Purchases'!$H:$H,'YTD Purchases'!$C:$C,Brokerage!$B145,'YTD Purchases'!$G:$G,Brokerage!U$4)</f>
        <v>0</v>
      </c>
      <c r="V145" s="857">
        <f>SUMIFS('YTD Sales'!$N:$N,'YTD Sales'!$B:$B,Brokerage!$B145,'YTD Sales'!$M:$M,Brokerage!V$4)+SUMIFS('YTD Purchases'!$H:$H,'YTD Purchases'!$C:$C,Brokerage!$B145,'YTD Purchases'!$G:$G,Brokerage!V$4)</f>
        <v>0</v>
      </c>
      <c r="W145" s="857">
        <f>SUMIFS('YTD Sales'!$N:$N,'YTD Sales'!$B:$B,Brokerage!$B145,'YTD Sales'!$M:$M,Brokerage!W$4)+SUMIFS('YTD Purchases'!$H:$H,'YTD Purchases'!$C:$C,Brokerage!$B145,'YTD Purchases'!$G:$G,Brokerage!W$4)</f>
        <v>0</v>
      </c>
      <c r="X145" s="857">
        <f>SUMIFS('YTD Sales'!$N:$N,'YTD Sales'!$B:$B,Brokerage!$B145,'YTD Sales'!$M:$M,Brokerage!X$4)+SUMIFS('YTD Purchases'!$H:$H,'YTD Purchases'!$C:$C,Brokerage!$B145,'YTD Purchases'!$G:$G,Brokerage!X$4)</f>
        <v>0</v>
      </c>
      <c r="Y145" s="857">
        <f>SUMIFS('YTD Sales'!$N:$N,'YTD Sales'!$B:$B,Brokerage!$B145,'YTD Sales'!$M:$M,Brokerage!Y$4)+SUMIFS('YTD Purchases'!$H:$H,'YTD Purchases'!$C:$C,Brokerage!$B145,'YTD Purchases'!$G:$G,Brokerage!Y$4)</f>
        <v>0</v>
      </c>
      <c r="Z145" s="857">
        <f>SUMIFS('YTD Sales'!$N:$N,'YTD Sales'!$B:$B,Brokerage!$B145,'YTD Sales'!$M:$M,Brokerage!Z$4)+SUMIFS('YTD Purchases'!$H:$H,'YTD Purchases'!$C:$C,Brokerage!$B145,'YTD Purchases'!$G:$G,Brokerage!Z$4)</f>
        <v>0</v>
      </c>
      <c r="AA145" s="857">
        <f>SUMIFS('YTD Sales'!$N:$N,'YTD Sales'!$B:$B,Brokerage!$B145,'YTD Sales'!$M:$M,Brokerage!AA$4)+SUMIFS('YTD Purchases'!$H:$H,'YTD Purchases'!$C:$C,Brokerage!$B145,'YTD Purchases'!$G:$G,Brokerage!AA$4)</f>
        <v>332220</v>
      </c>
      <c r="AB145" s="857">
        <f>SUMIFS('YTD Sales'!$N:$N,'YTD Sales'!$B:$B,Brokerage!$B145,'YTD Sales'!$M:$M,Brokerage!AB$4)+SUMIFS('YTD Purchases'!$H:$H,'YTD Purchases'!$C:$C,Brokerage!$B145,'YTD Purchases'!$G:$G,Brokerage!AB$4)</f>
        <v>0</v>
      </c>
      <c r="AC145" s="857">
        <f>SUMIFS('YTD Sales'!$N:$N,'YTD Sales'!$B:$B,Brokerage!$B145,'YTD Sales'!$M:$M,Brokerage!AC$4)+SUMIFS('YTD Purchases'!$H:$H,'YTD Purchases'!$C:$C,Brokerage!$B145,'YTD Purchases'!$G:$G,Brokerage!AC$4)</f>
        <v>0</v>
      </c>
      <c r="AD145" s="857">
        <f>+SUMIFS(PIB!AG:AG,PIB!AF:AF,Brokerage!AD$4,PIB!AA:AA,Brokerage!$B145)+SUMIFS('T-Bills'!AB:AB,'T-Bills'!AA:AA,Brokerage!AD$4,'T-Bills'!V:V,Brokerage!$B145)</f>
        <v>0</v>
      </c>
      <c r="AE145" s="857">
        <f>+SUMIFS(PIB!AH:AH,PIB!AG:AG,Brokerage!AE$4,PIB!AB:AB,Brokerage!$B145)+SUMIFS('T-Bills'!AC:AC,'T-Bills'!AB:AB,Brokerage!AE$4,'T-Bills'!W:W,Brokerage!$B145)</f>
        <v>0</v>
      </c>
      <c r="AF145" s="857">
        <f>+SUMIFS(PIB!AI:AI,PIB!AH:AH,Brokerage!AF$4,PIB!AC:AC,Brokerage!$B145)+SUMIFS('T-Bills'!AD:AD,'T-Bills'!AC:AC,Brokerage!AF$4,'T-Bills'!X:X,Brokerage!$B145)</f>
        <v>0</v>
      </c>
      <c r="AG145" s="857">
        <f t="shared" si="19"/>
        <v>509054.29600000003</v>
      </c>
      <c r="AH145" s="858">
        <f t="shared" si="20"/>
        <v>21</v>
      </c>
    </row>
    <row r="146" spans="2:34" x14ac:dyDescent="0.15">
      <c r="B146" s="661">
        <f t="shared" si="18"/>
        <v>44702</v>
      </c>
      <c r="C146" s="857">
        <f>SUMIFS('YTD Sales'!$N:$N,'YTD Sales'!$B:$B,Brokerage!$B146,'YTD Sales'!$M:$M,Brokerage!C$4)+SUMIFS('YTD Purchases'!$H:$H,'YTD Purchases'!$C:$C,Brokerage!$B146,'YTD Purchases'!$G:$G,Brokerage!C$4)</f>
        <v>0</v>
      </c>
      <c r="D146" s="857">
        <f>SUMIFS('YTD Sales'!$N:$N,'YTD Sales'!$B:$B,Brokerage!$B146,'YTD Sales'!$M:$M,Brokerage!D$4)+SUMIFS('YTD Purchases'!$H:$H,'YTD Purchases'!$C:$C,Brokerage!$B146,'YTD Purchases'!$G:$G,Brokerage!D$4)</f>
        <v>0</v>
      </c>
      <c r="E146" s="857">
        <f>SUMIFS('YTD Sales'!$N:$N,'YTD Sales'!$B:$B,Brokerage!$B146,'YTD Sales'!$M:$M,Brokerage!E$4)+SUMIFS('YTD Purchases'!$H:$H,'YTD Purchases'!$C:$C,Brokerage!$B146,'YTD Purchases'!$G:$G,Brokerage!E$4)</f>
        <v>0</v>
      </c>
      <c r="F146" s="857">
        <f>SUMIFS('YTD Sales'!$N:$N,'YTD Sales'!$B:$B,Brokerage!$B146,'YTD Sales'!$M:$M,Brokerage!F$4)+SUMIFS('YTD Purchases'!$H:$H,'YTD Purchases'!$C:$C,Brokerage!$B146,'YTD Purchases'!$G:$G,Brokerage!F$4)</f>
        <v>0</v>
      </c>
      <c r="G146" s="857">
        <f>SUMIFS('YTD Sales'!$N:$N,'YTD Sales'!$B:$B,Brokerage!$B146,'YTD Sales'!$M:$M,Brokerage!G$4)+SUMIFS('YTD Purchases'!$H:$H,'YTD Purchases'!$C:$C,Brokerage!$B146,'YTD Purchases'!$G:$G,Brokerage!G$4)</f>
        <v>0</v>
      </c>
      <c r="H146" s="857">
        <f>SUMIFS('YTD Sales'!$N:$N,'YTD Sales'!$B:$B,Brokerage!$B146,'YTD Sales'!$M:$M,Brokerage!H$4)+SUMIFS('YTD Purchases'!$H:$H,'YTD Purchases'!$C:$C,Brokerage!$B146,'YTD Purchases'!$G:$G,Brokerage!H$4)</f>
        <v>0</v>
      </c>
      <c r="I146" s="857">
        <f>SUMIFS('YTD Sales'!$N:$N,'YTD Sales'!$B:$B,Brokerage!$B146,'YTD Sales'!$M:$M,Brokerage!I$4)+SUMIFS('YTD Purchases'!$H:$H,'YTD Purchases'!$C:$C,Brokerage!$B146,'YTD Purchases'!$G:$G,Brokerage!I$4)</f>
        <v>0</v>
      </c>
      <c r="J146" s="857">
        <f>SUMIFS('YTD Sales'!$N:$N,'YTD Sales'!$B:$B,Brokerage!$B146,'YTD Sales'!$M:$M,Brokerage!J$4)+SUMIFS('YTD Purchases'!$H:$H,'YTD Purchases'!$C:$C,Brokerage!$B146,'YTD Purchases'!$G:$G,Brokerage!J$4)</f>
        <v>0</v>
      </c>
      <c r="K146" s="857">
        <f>SUMIFS('YTD Sales'!$N:$N,'YTD Sales'!$B:$B,Brokerage!$B146,'YTD Sales'!$M:$M,Brokerage!K$4)+SUMIFS('YTD Purchases'!$H:$H,'YTD Purchases'!$C:$C,Brokerage!$B146,'YTD Purchases'!$G:$G,Brokerage!K$4)</f>
        <v>0</v>
      </c>
      <c r="L146" s="857">
        <f>SUMIFS('YTD Sales'!$N:$N,'YTD Sales'!$B:$B,Brokerage!$B146,'YTD Sales'!$M:$M,Brokerage!L$4)+SUMIFS('YTD Purchases'!$H:$H,'YTD Purchases'!$C:$C,Brokerage!$B146,'YTD Purchases'!$G:$G,Brokerage!L$4)</f>
        <v>0</v>
      </c>
      <c r="M146" s="857">
        <f>SUMIFS('YTD Sales'!$N:$N,'YTD Sales'!$B:$B,Brokerage!$B146,'YTD Sales'!$M:$M,Brokerage!M$4)+SUMIFS('YTD Purchases'!$H:$H,'YTD Purchases'!$C:$C,Brokerage!$B146,'YTD Purchases'!$G:$G,Brokerage!M$4)</f>
        <v>0</v>
      </c>
      <c r="N146" s="857">
        <f>SUMIFS('YTD Sales'!$N:$N,'YTD Sales'!$B:$B,Brokerage!$B146,'YTD Sales'!$M:$M,Brokerage!N$4)+SUMIFS('YTD Purchases'!$H:$H,'YTD Purchases'!$C:$C,Brokerage!$B146,'YTD Purchases'!$G:$G,Brokerage!N$4)</f>
        <v>0</v>
      </c>
      <c r="O146" s="857">
        <f>SUMIFS('YTD Sales'!$N:$N,'YTD Sales'!$B:$B,Brokerage!$B146,'YTD Sales'!$M:$M,Brokerage!O$4)+SUMIFS('YTD Purchases'!$H:$H,'YTD Purchases'!$C:$C,Brokerage!$B146,'YTD Purchases'!$G:$G,Brokerage!O$4)</f>
        <v>0</v>
      </c>
      <c r="P146" s="857">
        <f>SUMIFS('YTD Sales'!$N:$N,'YTD Sales'!$B:$B,Brokerage!$B146,'YTD Sales'!$M:$M,Brokerage!P$4)+SUMIFS('YTD Purchases'!$H:$H,'YTD Purchases'!$C:$C,Brokerage!$B146,'YTD Purchases'!$G:$G,Brokerage!P$4)</f>
        <v>0</v>
      </c>
      <c r="Q146" s="857">
        <f>SUMIFS('YTD Sales'!$N:$N,'YTD Sales'!$B:$B,Brokerage!$B146,'YTD Sales'!$M:$M,Brokerage!Q$4)+SUMIFS('YTD Purchases'!$H:$H,'YTD Purchases'!$C:$C,Brokerage!$B146,'YTD Purchases'!$G:$G,Brokerage!Q$4)</f>
        <v>0</v>
      </c>
      <c r="R146" s="857">
        <f>SUMIFS('YTD Sales'!$N:$N,'YTD Sales'!$B:$B,Brokerage!$B146,'YTD Sales'!$M:$M,Brokerage!R$4)+SUMIFS('YTD Purchases'!$H:$H,'YTD Purchases'!$C:$C,Brokerage!$B146,'YTD Purchases'!$G:$G,Brokerage!R$4)</f>
        <v>0</v>
      </c>
      <c r="S146" s="857">
        <f>SUMIFS('YTD Sales'!$N:$N,'YTD Sales'!$B:$B,Brokerage!$B146,'YTD Sales'!$M:$M,Brokerage!S$4)+SUMIFS('YTD Purchases'!$H:$H,'YTD Purchases'!$C:$C,Brokerage!$B146,'YTD Purchases'!$G:$G,Brokerage!S$4)</f>
        <v>0</v>
      </c>
      <c r="T146" s="857">
        <f>SUMIFS('YTD Sales'!$N:$N,'YTD Sales'!$B:$B,Brokerage!$B146,'YTD Sales'!$M:$M,Brokerage!T$4)+SUMIFS('YTD Purchases'!$H:$H,'YTD Purchases'!$C:$C,Brokerage!$B146,'YTD Purchases'!$G:$G,Brokerage!T$4)</f>
        <v>0</v>
      </c>
      <c r="U146" s="857">
        <f>SUMIFS('YTD Sales'!$N:$N,'YTD Sales'!$B:$B,Brokerage!$B146,'YTD Sales'!$M:$M,Brokerage!U$4)+SUMIFS('YTD Purchases'!$H:$H,'YTD Purchases'!$C:$C,Brokerage!$B146,'YTD Purchases'!$G:$G,Brokerage!U$4)</f>
        <v>0</v>
      </c>
      <c r="V146" s="857">
        <f>SUMIFS('YTD Sales'!$N:$N,'YTD Sales'!$B:$B,Brokerage!$B146,'YTD Sales'!$M:$M,Brokerage!V$4)+SUMIFS('YTD Purchases'!$H:$H,'YTD Purchases'!$C:$C,Brokerage!$B146,'YTD Purchases'!$G:$G,Brokerage!V$4)</f>
        <v>0</v>
      </c>
      <c r="W146" s="857">
        <f>SUMIFS('YTD Sales'!$N:$N,'YTD Sales'!$B:$B,Brokerage!$B146,'YTD Sales'!$M:$M,Brokerage!W$4)+SUMIFS('YTD Purchases'!$H:$H,'YTD Purchases'!$C:$C,Brokerage!$B146,'YTD Purchases'!$G:$G,Brokerage!W$4)</f>
        <v>0</v>
      </c>
      <c r="X146" s="857">
        <f>SUMIFS('YTD Sales'!$N:$N,'YTD Sales'!$B:$B,Brokerage!$B146,'YTD Sales'!$M:$M,Brokerage!X$4)+SUMIFS('YTD Purchases'!$H:$H,'YTD Purchases'!$C:$C,Brokerage!$B146,'YTD Purchases'!$G:$G,Brokerage!X$4)</f>
        <v>0</v>
      </c>
      <c r="Y146" s="857">
        <f>SUMIFS('YTD Sales'!$N:$N,'YTD Sales'!$B:$B,Brokerage!$B146,'YTD Sales'!$M:$M,Brokerage!Y$4)+SUMIFS('YTD Purchases'!$H:$H,'YTD Purchases'!$C:$C,Brokerage!$B146,'YTD Purchases'!$G:$G,Brokerage!Y$4)</f>
        <v>0</v>
      </c>
      <c r="Z146" s="857">
        <f>SUMIFS('YTD Sales'!$N:$N,'YTD Sales'!$B:$B,Brokerage!$B146,'YTD Sales'!$M:$M,Brokerage!Z$4)+SUMIFS('YTD Purchases'!$H:$H,'YTD Purchases'!$C:$C,Brokerage!$B146,'YTD Purchases'!$G:$G,Brokerage!Z$4)</f>
        <v>0</v>
      </c>
      <c r="AA146" s="857">
        <f>SUMIFS('YTD Sales'!$N:$N,'YTD Sales'!$B:$B,Brokerage!$B146,'YTD Sales'!$M:$M,Brokerage!AA$4)+SUMIFS('YTD Purchases'!$H:$H,'YTD Purchases'!$C:$C,Brokerage!$B146,'YTD Purchases'!$G:$G,Brokerage!AA$4)</f>
        <v>0</v>
      </c>
      <c r="AB146" s="857">
        <f>SUMIFS('YTD Sales'!$N:$N,'YTD Sales'!$B:$B,Brokerage!$B146,'YTD Sales'!$M:$M,Brokerage!AB$4)+SUMIFS('YTD Purchases'!$H:$H,'YTD Purchases'!$C:$C,Brokerage!$B146,'YTD Purchases'!$G:$G,Brokerage!AB$4)</f>
        <v>0</v>
      </c>
      <c r="AC146" s="857">
        <f>SUMIFS('YTD Sales'!$N:$N,'YTD Sales'!$B:$B,Brokerage!$B146,'YTD Sales'!$M:$M,Brokerage!AC$4)+SUMIFS('YTD Purchases'!$H:$H,'YTD Purchases'!$C:$C,Brokerage!$B146,'YTD Purchases'!$G:$G,Brokerage!AC$4)</f>
        <v>0</v>
      </c>
      <c r="AD146" s="857">
        <f>+SUMIFS(PIB!AG:AG,PIB!AF:AF,Brokerage!AD$4,PIB!AA:AA,Brokerage!$B146)+SUMIFS('T-Bills'!AB:AB,'T-Bills'!AA:AA,Brokerage!AD$4,'T-Bills'!V:V,Brokerage!$B146)</f>
        <v>0</v>
      </c>
      <c r="AE146" s="857">
        <f>+SUMIFS(PIB!AH:AH,PIB!AG:AG,Brokerage!AE$4,PIB!AB:AB,Brokerage!$B146)+SUMIFS('T-Bills'!AC:AC,'T-Bills'!AB:AB,Brokerage!AE$4,'T-Bills'!W:W,Brokerage!$B146)</f>
        <v>0</v>
      </c>
      <c r="AF146" s="857">
        <f>+SUMIFS(PIB!AI:AI,PIB!AH:AH,Brokerage!AF$4,PIB!AC:AC,Brokerage!$B146)+SUMIFS('T-Bills'!AD:AD,'T-Bills'!AC:AC,Brokerage!AF$4,'T-Bills'!X:X,Brokerage!$B146)</f>
        <v>0</v>
      </c>
      <c r="AG146" s="857">
        <f t="shared" si="19"/>
        <v>0</v>
      </c>
      <c r="AH146" s="858">
        <f t="shared" si="20"/>
        <v>0</v>
      </c>
    </row>
    <row r="147" spans="2:34" x14ac:dyDescent="0.15">
      <c r="B147" s="661">
        <f t="shared" si="18"/>
        <v>44703</v>
      </c>
      <c r="C147" s="857">
        <f>SUMIFS('YTD Sales'!$N:$N,'YTD Sales'!$B:$B,Brokerage!$B147,'YTD Sales'!$M:$M,Brokerage!C$4)+SUMIFS('YTD Purchases'!$H:$H,'YTD Purchases'!$C:$C,Brokerage!$B147,'YTD Purchases'!$G:$G,Brokerage!C$4)</f>
        <v>0</v>
      </c>
      <c r="D147" s="857">
        <f>SUMIFS('YTD Sales'!$N:$N,'YTD Sales'!$B:$B,Brokerage!$B147,'YTD Sales'!$M:$M,Brokerage!D$4)+SUMIFS('YTD Purchases'!$H:$H,'YTD Purchases'!$C:$C,Brokerage!$B147,'YTD Purchases'!$G:$G,Brokerage!D$4)</f>
        <v>0</v>
      </c>
      <c r="E147" s="857">
        <f>SUMIFS('YTD Sales'!$N:$N,'YTD Sales'!$B:$B,Brokerage!$B147,'YTD Sales'!$M:$M,Brokerage!E$4)+SUMIFS('YTD Purchases'!$H:$H,'YTD Purchases'!$C:$C,Brokerage!$B147,'YTD Purchases'!$G:$G,Brokerage!E$4)</f>
        <v>0</v>
      </c>
      <c r="F147" s="857">
        <f>SUMIFS('YTD Sales'!$N:$N,'YTD Sales'!$B:$B,Brokerage!$B147,'YTD Sales'!$M:$M,Brokerage!F$4)+SUMIFS('YTD Purchases'!$H:$H,'YTD Purchases'!$C:$C,Brokerage!$B147,'YTD Purchases'!$G:$G,Brokerage!F$4)</f>
        <v>0</v>
      </c>
      <c r="G147" s="857">
        <f>SUMIFS('YTD Sales'!$N:$N,'YTD Sales'!$B:$B,Brokerage!$B147,'YTD Sales'!$M:$M,Brokerage!G$4)+SUMIFS('YTD Purchases'!$H:$H,'YTD Purchases'!$C:$C,Brokerage!$B147,'YTD Purchases'!$G:$G,Brokerage!G$4)</f>
        <v>0</v>
      </c>
      <c r="H147" s="857">
        <f>SUMIFS('YTD Sales'!$N:$N,'YTD Sales'!$B:$B,Brokerage!$B147,'YTD Sales'!$M:$M,Brokerage!H$4)+SUMIFS('YTD Purchases'!$H:$H,'YTD Purchases'!$C:$C,Brokerage!$B147,'YTD Purchases'!$G:$G,Brokerage!H$4)</f>
        <v>0</v>
      </c>
      <c r="I147" s="857">
        <f>SUMIFS('YTD Sales'!$N:$N,'YTD Sales'!$B:$B,Brokerage!$B147,'YTD Sales'!$M:$M,Brokerage!I$4)+SUMIFS('YTD Purchases'!$H:$H,'YTD Purchases'!$C:$C,Brokerage!$B147,'YTD Purchases'!$G:$G,Brokerage!I$4)</f>
        <v>0</v>
      </c>
      <c r="J147" s="857">
        <f>SUMIFS('YTD Sales'!$N:$N,'YTD Sales'!$B:$B,Brokerage!$B147,'YTD Sales'!$M:$M,Brokerage!J$4)+SUMIFS('YTD Purchases'!$H:$H,'YTD Purchases'!$C:$C,Brokerage!$B147,'YTD Purchases'!$G:$G,Brokerage!J$4)</f>
        <v>0</v>
      </c>
      <c r="K147" s="857">
        <f>SUMIFS('YTD Sales'!$N:$N,'YTD Sales'!$B:$B,Brokerage!$B147,'YTD Sales'!$M:$M,Brokerage!K$4)+SUMIFS('YTD Purchases'!$H:$H,'YTD Purchases'!$C:$C,Brokerage!$B147,'YTD Purchases'!$G:$G,Brokerage!K$4)</f>
        <v>0</v>
      </c>
      <c r="L147" s="857">
        <f>SUMIFS('YTD Sales'!$N:$N,'YTD Sales'!$B:$B,Brokerage!$B147,'YTD Sales'!$M:$M,Brokerage!L$4)+SUMIFS('YTD Purchases'!$H:$H,'YTD Purchases'!$C:$C,Brokerage!$B147,'YTD Purchases'!$G:$G,Brokerage!L$4)</f>
        <v>0</v>
      </c>
      <c r="M147" s="857">
        <f>SUMIFS('YTD Sales'!$N:$N,'YTD Sales'!$B:$B,Brokerage!$B147,'YTD Sales'!$M:$M,Brokerage!M$4)+SUMIFS('YTD Purchases'!$H:$H,'YTD Purchases'!$C:$C,Brokerage!$B147,'YTD Purchases'!$G:$G,Brokerage!M$4)</f>
        <v>0</v>
      </c>
      <c r="N147" s="857">
        <f>SUMIFS('YTD Sales'!$N:$N,'YTD Sales'!$B:$B,Brokerage!$B147,'YTD Sales'!$M:$M,Brokerage!N$4)+SUMIFS('YTD Purchases'!$H:$H,'YTD Purchases'!$C:$C,Brokerage!$B147,'YTD Purchases'!$G:$G,Brokerage!N$4)</f>
        <v>0</v>
      </c>
      <c r="O147" s="857">
        <f>SUMIFS('YTD Sales'!$N:$N,'YTD Sales'!$B:$B,Brokerage!$B147,'YTD Sales'!$M:$M,Brokerage!O$4)+SUMIFS('YTD Purchases'!$H:$H,'YTD Purchases'!$C:$C,Brokerage!$B147,'YTD Purchases'!$G:$G,Brokerage!O$4)</f>
        <v>0</v>
      </c>
      <c r="P147" s="857">
        <f>SUMIFS('YTD Sales'!$N:$N,'YTD Sales'!$B:$B,Brokerage!$B147,'YTD Sales'!$M:$M,Brokerage!P$4)+SUMIFS('YTD Purchases'!$H:$H,'YTD Purchases'!$C:$C,Brokerage!$B147,'YTD Purchases'!$G:$G,Brokerage!P$4)</f>
        <v>0</v>
      </c>
      <c r="Q147" s="857">
        <f>SUMIFS('YTD Sales'!$N:$N,'YTD Sales'!$B:$B,Brokerage!$B147,'YTD Sales'!$M:$M,Brokerage!Q$4)+SUMIFS('YTD Purchases'!$H:$H,'YTD Purchases'!$C:$C,Brokerage!$B147,'YTD Purchases'!$G:$G,Brokerage!Q$4)</f>
        <v>0</v>
      </c>
      <c r="R147" s="857">
        <f>SUMIFS('YTD Sales'!$N:$N,'YTD Sales'!$B:$B,Brokerage!$B147,'YTD Sales'!$M:$M,Brokerage!R$4)+SUMIFS('YTD Purchases'!$H:$H,'YTD Purchases'!$C:$C,Brokerage!$B147,'YTD Purchases'!$G:$G,Brokerage!R$4)</f>
        <v>0</v>
      </c>
      <c r="S147" s="857">
        <f>SUMIFS('YTD Sales'!$N:$N,'YTD Sales'!$B:$B,Brokerage!$B147,'YTD Sales'!$M:$M,Brokerage!S$4)+SUMIFS('YTD Purchases'!$H:$H,'YTD Purchases'!$C:$C,Brokerage!$B147,'YTD Purchases'!$G:$G,Brokerage!S$4)</f>
        <v>0</v>
      </c>
      <c r="T147" s="857">
        <f>SUMIFS('YTD Sales'!$N:$N,'YTD Sales'!$B:$B,Brokerage!$B147,'YTD Sales'!$M:$M,Brokerage!T$4)+SUMIFS('YTD Purchases'!$H:$H,'YTD Purchases'!$C:$C,Brokerage!$B147,'YTD Purchases'!$G:$G,Brokerage!T$4)</f>
        <v>0</v>
      </c>
      <c r="U147" s="857">
        <f>SUMIFS('YTD Sales'!$N:$N,'YTD Sales'!$B:$B,Brokerage!$B147,'YTD Sales'!$M:$M,Brokerage!U$4)+SUMIFS('YTD Purchases'!$H:$H,'YTD Purchases'!$C:$C,Brokerage!$B147,'YTD Purchases'!$G:$G,Brokerage!U$4)</f>
        <v>0</v>
      </c>
      <c r="V147" s="857">
        <f>SUMIFS('YTD Sales'!$N:$N,'YTD Sales'!$B:$B,Brokerage!$B147,'YTD Sales'!$M:$M,Brokerage!V$4)+SUMIFS('YTD Purchases'!$H:$H,'YTD Purchases'!$C:$C,Brokerage!$B147,'YTD Purchases'!$G:$G,Brokerage!V$4)</f>
        <v>0</v>
      </c>
      <c r="W147" s="857">
        <f>SUMIFS('YTD Sales'!$N:$N,'YTD Sales'!$B:$B,Brokerage!$B147,'YTD Sales'!$M:$M,Brokerage!W$4)+SUMIFS('YTD Purchases'!$H:$H,'YTD Purchases'!$C:$C,Brokerage!$B147,'YTD Purchases'!$G:$G,Brokerage!W$4)</f>
        <v>0</v>
      </c>
      <c r="X147" s="857">
        <f>SUMIFS('YTD Sales'!$N:$N,'YTD Sales'!$B:$B,Brokerage!$B147,'YTD Sales'!$M:$M,Brokerage!X$4)+SUMIFS('YTD Purchases'!$H:$H,'YTD Purchases'!$C:$C,Brokerage!$B147,'YTD Purchases'!$G:$G,Brokerage!X$4)</f>
        <v>0</v>
      </c>
      <c r="Y147" s="857">
        <f>SUMIFS('YTD Sales'!$N:$N,'YTD Sales'!$B:$B,Brokerage!$B147,'YTD Sales'!$M:$M,Brokerage!Y$4)+SUMIFS('YTD Purchases'!$H:$H,'YTD Purchases'!$C:$C,Brokerage!$B147,'YTD Purchases'!$G:$G,Brokerage!Y$4)</f>
        <v>0</v>
      </c>
      <c r="Z147" s="857">
        <f>SUMIFS('YTD Sales'!$N:$N,'YTD Sales'!$B:$B,Brokerage!$B147,'YTD Sales'!$M:$M,Brokerage!Z$4)+SUMIFS('YTD Purchases'!$H:$H,'YTD Purchases'!$C:$C,Brokerage!$B147,'YTD Purchases'!$G:$G,Brokerage!Z$4)</f>
        <v>0</v>
      </c>
      <c r="AA147" s="857">
        <f>SUMIFS('YTD Sales'!$N:$N,'YTD Sales'!$B:$B,Brokerage!$B147,'YTD Sales'!$M:$M,Brokerage!AA$4)+SUMIFS('YTD Purchases'!$H:$H,'YTD Purchases'!$C:$C,Brokerage!$B147,'YTD Purchases'!$G:$G,Brokerage!AA$4)</f>
        <v>0</v>
      </c>
      <c r="AB147" s="857">
        <f>SUMIFS('YTD Sales'!$N:$N,'YTD Sales'!$B:$B,Brokerage!$B147,'YTD Sales'!$M:$M,Brokerage!AB$4)+SUMIFS('YTD Purchases'!$H:$H,'YTD Purchases'!$C:$C,Brokerage!$B147,'YTD Purchases'!$G:$G,Brokerage!AB$4)</f>
        <v>0</v>
      </c>
      <c r="AC147" s="857">
        <f>SUMIFS('YTD Sales'!$N:$N,'YTD Sales'!$B:$B,Brokerage!$B147,'YTD Sales'!$M:$M,Brokerage!AC$4)+SUMIFS('YTD Purchases'!$H:$H,'YTD Purchases'!$C:$C,Brokerage!$B147,'YTD Purchases'!$G:$G,Brokerage!AC$4)</f>
        <v>0</v>
      </c>
      <c r="AD147" s="857">
        <f>+SUMIFS(PIB!AG:AG,PIB!AF:AF,Brokerage!AD$4,PIB!AA:AA,Brokerage!$B147)+SUMIFS('T-Bills'!AB:AB,'T-Bills'!AA:AA,Brokerage!AD$4,'T-Bills'!V:V,Brokerage!$B147)</f>
        <v>0</v>
      </c>
      <c r="AE147" s="857">
        <f>+SUMIFS(PIB!AH:AH,PIB!AG:AG,Brokerage!AE$4,PIB!AB:AB,Brokerage!$B147)+SUMIFS('T-Bills'!AC:AC,'T-Bills'!AB:AB,Brokerage!AE$4,'T-Bills'!W:W,Brokerage!$B147)</f>
        <v>0</v>
      </c>
      <c r="AF147" s="857">
        <f>+SUMIFS(PIB!AI:AI,PIB!AH:AH,Brokerage!AF$4,PIB!AC:AC,Brokerage!$B147)+SUMIFS('T-Bills'!AD:AD,'T-Bills'!AC:AC,Brokerage!AF$4,'T-Bills'!X:X,Brokerage!$B147)</f>
        <v>0</v>
      </c>
      <c r="AG147" s="857">
        <f t="shared" si="19"/>
        <v>0</v>
      </c>
      <c r="AH147" s="858">
        <f t="shared" si="20"/>
        <v>0</v>
      </c>
    </row>
    <row r="148" spans="2:34" x14ac:dyDescent="0.15">
      <c r="B148" s="661">
        <f t="shared" si="18"/>
        <v>44704</v>
      </c>
      <c r="C148" s="857">
        <f>SUMIFS('YTD Sales'!$N:$N,'YTD Sales'!$B:$B,Brokerage!$B148,'YTD Sales'!$M:$M,Brokerage!C$4)+SUMIFS('YTD Purchases'!$H:$H,'YTD Purchases'!$C:$C,Brokerage!$B148,'YTD Purchases'!$G:$G,Brokerage!C$4)</f>
        <v>0</v>
      </c>
      <c r="D148" s="857">
        <f>SUMIFS('YTD Sales'!$N:$N,'YTD Sales'!$B:$B,Brokerage!$B148,'YTD Sales'!$M:$M,Brokerage!D$4)+SUMIFS('YTD Purchases'!$H:$H,'YTD Purchases'!$C:$C,Brokerage!$B148,'YTD Purchases'!$G:$G,Brokerage!D$4)</f>
        <v>0</v>
      </c>
      <c r="E148" s="857">
        <f>SUMIFS('YTD Sales'!$N:$N,'YTD Sales'!$B:$B,Brokerage!$B148,'YTD Sales'!$M:$M,Brokerage!E$4)+SUMIFS('YTD Purchases'!$H:$H,'YTD Purchases'!$C:$C,Brokerage!$B148,'YTD Purchases'!$G:$G,Brokerage!E$4)</f>
        <v>0</v>
      </c>
      <c r="F148" s="857">
        <f>SUMIFS('YTD Sales'!$N:$N,'YTD Sales'!$B:$B,Brokerage!$B148,'YTD Sales'!$M:$M,Brokerage!F$4)+SUMIFS('YTD Purchases'!$H:$H,'YTD Purchases'!$C:$C,Brokerage!$B148,'YTD Purchases'!$G:$G,Brokerage!F$4)</f>
        <v>0</v>
      </c>
      <c r="G148" s="857">
        <f>SUMIFS('YTD Sales'!$N:$N,'YTD Sales'!$B:$B,Brokerage!$B148,'YTD Sales'!$M:$M,Brokerage!G$4)+SUMIFS('YTD Purchases'!$H:$H,'YTD Purchases'!$C:$C,Brokerage!$B148,'YTD Purchases'!$G:$G,Brokerage!G$4)</f>
        <v>0</v>
      </c>
      <c r="H148" s="857">
        <f>SUMIFS('YTD Sales'!$N:$N,'YTD Sales'!$B:$B,Brokerage!$B148,'YTD Sales'!$M:$M,Brokerage!H$4)+SUMIFS('YTD Purchases'!$H:$H,'YTD Purchases'!$C:$C,Brokerage!$B148,'YTD Purchases'!$G:$G,Brokerage!H$4)</f>
        <v>81360</v>
      </c>
      <c r="I148" s="857">
        <f>SUMIFS('YTD Sales'!$N:$N,'YTD Sales'!$B:$B,Brokerage!$B148,'YTD Sales'!$M:$M,Brokerage!I$4)+SUMIFS('YTD Purchases'!$H:$H,'YTD Purchases'!$C:$C,Brokerage!$B148,'YTD Purchases'!$G:$G,Brokerage!I$4)</f>
        <v>0</v>
      </c>
      <c r="J148" s="857">
        <f>SUMIFS('YTD Sales'!$N:$N,'YTD Sales'!$B:$B,Brokerage!$B148,'YTD Sales'!$M:$M,Brokerage!J$4)+SUMIFS('YTD Purchases'!$H:$H,'YTD Purchases'!$C:$C,Brokerage!$B148,'YTD Purchases'!$G:$G,Brokerage!J$4)</f>
        <v>0</v>
      </c>
      <c r="K148" s="857">
        <f>SUMIFS('YTD Sales'!$N:$N,'YTD Sales'!$B:$B,Brokerage!$B148,'YTD Sales'!$M:$M,Brokerage!K$4)+SUMIFS('YTD Purchases'!$H:$H,'YTD Purchases'!$C:$C,Brokerage!$B148,'YTD Purchases'!$G:$G,Brokerage!K$4)</f>
        <v>0</v>
      </c>
      <c r="L148" s="857">
        <f>SUMIFS('YTD Sales'!$N:$N,'YTD Sales'!$B:$B,Brokerage!$B148,'YTD Sales'!$M:$M,Brokerage!L$4)+SUMIFS('YTD Purchases'!$H:$H,'YTD Purchases'!$C:$C,Brokerage!$B148,'YTD Purchases'!$G:$G,Brokerage!L$4)</f>
        <v>0</v>
      </c>
      <c r="M148" s="857">
        <f>SUMIFS('YTD Sales'!$N:$N,'YTD Sales'!$B:$B,Brokerage!$B148,'YTD Sales'!$M:$M,Brokerage!M$4)+SUMIFS('YTD Purchases'!$H:$H,'YTD Purchases'!$C:$C,Brokerage!$B148,'YTD Purchases'!$G:$G,Brokerage!M$4)</f>
        <v>61508.51</v>
      </c>
      <c r="N148" s="857">
        <f>SUMIFS('YTD Sales'!$N:$N,'YTD Sales'!$B:$B,Brokerage!$B148,'YTD Sales'!$M:$M,Brokerage!N$4)+SUMIFS('YTD Purchases'!$H:$H,'YTD Purchases'!$C:$C,Brokerage!$B148,'YTD Purchases'!$G:$G,Brokerage!N$4)</f>
        <v>0</v>
      </c>
      <c r="O148" s="857">
        <f>SUMIFS('YTD Sales'!$N:$N,'YTD Sales'!$B:$B,Brokerage!$B148,'YTD Sales'!$M:$M,Brokerage!O$4)+SUMIFS('YTD Purchases'!$H:$H,'YTD Purchases'!$C:$C,Brokerage!$B148,'YTD Purchases'!$G:$G,Brokerage!O$4)</f>
        <v>0</v>
      </c>
      <c r="P148" s="857">
        <f>SUMIFS('YTD Sales'!$N:$N,'YTD Sales'!$B:$B,Brokerage!$B148,'YTD Sales'!$M:$M,Brokerage!P$4)+SUMIFS('YTD Purchases'!$H:$H,'YTD Purchases'!$C:$C,Brokerage!$B148,'YTD Purchases'!$G:$G,Brokerage!P$4)</f>
        <v>0</v>
      </c>
      <c r="Q148" s="857">
        <f>SUMIFS('YTD Sales'!$N:$N,'YTD Sales'!$B:$B,Brokerage!$B148,'YTD Sales'!$M:$M,Brokerage!Q$4)+SUMIFS('YTD Purchases'!$H:$H,'YTD Purchases'!$C:$C,Brokerage!$B148,'YTD Purchases'!$G:$G,Brokerage!Q$4)</f>
        <v>1206.2150000000001</v>
      </c>
      <c r="R148" s="857">
        <f>SUMIFS('YTD Sales'!$N:$N,'YTD Sales'!$B:$B,Brokerage!$B148,'YTD Sales'!$M:$M,Brokerage!R$4)+SUMIFS('YTD Purchases'!$H:$H,'YTD Purchases'!$C:$C,Brokerage!$B148,'YTD Purchases'!$G:$G,Brokerage!R$4)</f>
        <v>0</v>
      </c>
      <c r="S148" s="857">
        <f>SUMIFS('YTD Sales'!$N:$N,'YTD Sales'!$B:$B,Brokerage!$B148,'YTD Sales'!$M:$M,Brokerage!S$4)+SUMIFS('YTD Purchases'!$H:$H,'YTD Purchases'!$C:$C,Brokerage!$B148,'YTD Purchases'!$G:$G,Brokerage!S$4)</f>
        <v>1728.2900000000002</v>
      </c>
      <c r="T148" s="857">
        <f>SUMIFS('YTD Sales'!$N:$N,'YTD Sales'!$B:$B,Brokerage!$B148,'YTD Sales'!$M:$M,Brokerage!T$4)+SUMIFS('YTD Purchases'!$H:$H,'YTD Purchases'!$C:$C,Brokerage!$B148,'YTD Purchases'!$G:$G,Brokerage!T$4)</f>
        <v>0</v>
      </c>
      <c r="U148" s="857">
        <f>SUMIFS('YTD Sales'!$N:$N,'YTD Sales'!$B:$B,Brokerage!$B148,'YTD Sales'!$M:$M,Brokerage!U$4)+SUMIFS('YTD Purchases'!$H:$H,'YTD Purchases'!$C:$C,Brokerage!$B148,'YTD Purchases'!$G:$G,Brokerage!U$4)</f>
        <v>0</v>
      </c>
      <c r="V148" s="857">
        <f>SUMIFS('YTD Sales'!$N:$N,'YTD Sales'!$B:$B,Brokerage!$B148,'YTD Sales'!$M:$M,Brokerage!V$4)+SUMIFS('YTD Purchases'!$H:$H,'YTD Purchases'!$C:$C,Brokerage!$B148,'YTD Purchases'!$G:$G,Brokerage!V$4)</f>
        <v>0</v>
      </c>
      <c r="W148" s="857">
        <f>SUMIFS('YTD Sales'!$N:$N,'YTD Sales'!$B:$B,Brokerage!$B148,'YTD Sales'!$M:$M,Brokerage!W$4)+SUMIFS('YTD Purchases'!$H:$H,'YTD Purchases'!$C:$C,Brokerage!$B148,'YTD Purchases'!$G:$G,Brokerage!W$4)</f>
        <v>0</v>
      </c>
      <c r="X148" s="857">
        <f>SUMIFS('YTD Sales'!$N:$N,'YTD Sales'!$B:$B,Brokerage!$B148,'YTD Sales'!$M:$M,Brokerage!X$4)+SUMIFS('YTD Purchases'!$H:$H,'YTD Purchases'!$C:$C,Brokerage!$B148,'YTD Purchases'!$G:$G,Brokerage!X$4)</f>
        <v>0</v>
      </c>
      <c r="Y148" s="857">
        <f>SUMIFS('YTD Sales'!$N:$N,'YTD Sales'!$B:$B,Brokerage!$B148,'YTD Sales'!$M:$M,Brokerage!Y$4)+SUMIFS('YTD Purchases'!$H:$H,'YTD Purchases'!$C:$C,Brokerage!$B148,'YTD Purchases'!$G:$G,Brokerage!Y$4)</f>
        <v>0</v>
      </c>
      <c r="Z148" s="857">
        <f>SUMIFS('YTD Sales'!$N:$N,'YTD Sales'!$B:$B,Brokerage!$B148,'YTD Sales'!$M:$M,Brokerage!Z$4)+SUMIFS('YTD Purchases'!$H:$H,'YTD Purchases'!$C:$C,Brokerage!$B148,'YTD Purchases'!$G:$G,Brokerage!Z$4)</f>
        <v>0</v>
      </c>
      <c r="AA148" s="857">
        <f>SUMIFS('YTD Sales'!$N:$N,'YTD Sales'!$B:$B,Brokerage!$B148,'YTD Sales'!$M:$M,Brokerage!AA$4)+SUMIFS('YTD Purchases'!$H:$H,'YTD Purchases'!$C:$C,Brokerage!$B148,'YTD Purchases'!$G:$G,Brokerage!AA$4)</f>
        <v>0</v>
      </c>
      <c r="AB148" s="857">
        <f>SUMIFS('YTD Sales'!$N:$N,'YTD Sales'!$B:$B,Brokerage!$B148,'YTD Sales'!$M:$M,Brokerage!AB$4)+SUMIFS('YTD Purchases'!$H:$H,'YTD Purchases'!$C:$C,Brokerage!$B148,'YTD Purchases'!$G:$G,Brokerage!AB$4)</f>
        <v>0</v>
      </c>
      <c r="AC148" s="857">
        <f>SUMIFS('YTD Sales'!$N:$N,'YTD Sales'!$B:$B,Brokerage!$B148,'YTD Sales'!$M:$M,Brokerage!AC$4)+SUMIFS('YTD Purchases'!$H:$H,'YTD Purchases'!$C:$C,Brokerage!$B148,'YTD Purchases'!$G:$G,Brokerage!AC$4)</f>
        <v>0</v>
      </c>
      <c r="AD148" s="857">
        <f>+SUMIFS(PIB!AG:AG,PIB!AF:AF,Brokerage!AD$4,PIB!AA:AA,Brokerage!$B148)+SUMIFS('T-Bills'!AB:AB,'T-Bills'!AA:AA,Brokerage!AD$4,'T-Bills'!V:V,Brokerage!$B148)</f>
        <v>0</v>
      </c>
      <c r="AE148" s="857">
        <f>+SUMIFS(PIB!AH:AH,PIB!AG:AG,Brokerage!AE$4,PIB!AB:AB,Brokerage!$B148)+SUMIFS('T-Bills'!AC:AC,'T-Bills'!AB:AB,Brokerage!AE$4,'T-Bills'!W:W,Brokerage!$B148)</f>
        <v>0</v>
      </c>
      <c r="AF148" s="857">
        <f>+SUMIFS(PIB!AI:AI,PIB!AH:AH,Brokerage!AF$4,PIB!AC:AC,Brokerage!$B148)+SUMIFS('T-Bills'!AD:AD,'T-Bills'!AC:AC,Brokerage!AF$4,'T-Bills'!X:X,Brokerage!$B148)</f>
        <v>0</v>
      </c>
      <c r="AG148" s="857">
        <f t="shared" si="19"/>
        <v>145803.01500000001</v>
      </c>
      <c r="AH148" s="858">
        <f t="shared" si="20"/>
        <v>6</v>
      </c>
    </row>
    <row r="149" spans="2:34" x14ac:dyDescent="0.15">
      <c r="B149" s="661">
        <f t="shared" si="18"/>
        <v>44705</v>
      </c>
      <c r="C149" s="857">
        <f>SUMIFS('YTD Sales'!$N:$N,'YTD Sales'!$B:$B,Brokerage!$B149,'YTD Sales'!$M:$M,Brokerage!C$4)+SUMIFS('YTD Purchases'!$H:$H,'YTD Purchases'!$C:$C,Brokerage!$B149,'YTD Purchases'!$G:$G,Brokerage!C$4)</f>
        <v>0</v>
      </c>
      <c r="D149" s="857">
        <f>SUMIFS('YTD Sales'!$N:$N,'YTD Sales'!$B:$B,Brokerage!$B149,'YTD Sales'!$M:$M,Brokerage!D$4)+SUMIFS('YTD Purchases'!$H:$H,'YTD Purchases'!$C:$C,Brokerage!$B149,'YTD Purchases'!$G:$G,Brokerage!D$4)</f>
        <v>0</v>
      </c>
      <c r="E149" s="857">
        <f>SUMIFS('YTD Sales'!$N:$N,'YTD Sales'!$B:$B,Brokerage!$B149,'YTD Sales'!$M:$M,Brokerage!E$4)+SUMIFS('YTD Purchases'!$H:$H,'YTD Purchases'!$C:$C,Brokerage!$B149,'YTD Purchases'!$G:$G,Brokerage!E$4)</f>
        <v>0</v>
      </c>
      <c r="F149" s="857">
        <f>SUMIFS('YTD Sales'!$N:$N,'YTD Sales'!$B:$B,Brokerage!$B149,'YTD Sales'!$M:$M,Brokerage!F$4)+SUMIFS('YTD Purchases'!$H:$H,'YTD Purchases'!$C:$C,Brokerage!$B149,'YTD Purchases'!$G:$G,Brokerage!F$4)</f>
        <v>0</v>
      </c>
      <c r="G149" s="857">
        <f>SUMIFS('YTD Sales'!$N:$N,'YTD Sales'!$B:$B,Brokerage!$B149,'YTD Sales'!$M:$M,Brokerage!G$4)+SUMIFS('YTD Purchases'!$H:$H,'YTD Purchases'!$C:$C,Brokerage!$B149,'YTD Purchases'!$G:$G,Brokerage!G$4)</f>
        <v>0</v>
      </c>
      <c r="H149" s="857">
        <f>SUMIFS('YTD Sales'!$N:$N,'YTD Sales'!$B:$B,Brokerage!$B149,'YTD Sales'!$M:$M,Brokerage!H$4)+SUMIFS('YTD Purchases'!$H:$H,'YTD Purchases'!$C:$C,Brokerage!$B149,'YTD Purchases'!$G:$G,Brokerage!H$4)</f>
        <v>0</v>
      </c>
      <c r="I149" s="857">
        <f>SUMIFS('YTD Sales'!$N:$N,'YTD Sales'!$B:$B,Brokerage!$B149,'YTD Sales'!$M:$M,Brokerage!I$4)+SUMIFS('YTD Purchases'!$H:$H,'YTD Purchases'!$C:$C,Brokerage!$B149,'YTD Purchases'!$G:$G,Brokerage!I$4)</f>
        <v>0</v>
      </c>
      <c r="J149" s="857">
        <f>SUMIFS('YTD Sales'!$N:$N,'YTD Sales'!$B:$B,Brokerage!$B149,'YTD Sales'!$M:$M,Brokerage!J$4)+SUMIFS('YTD Purchases'!$H:$H,'YTD Purchases'!$C:$C,Brokerage!$B149,'YTD Purchases'!$G:$G,Brokerage!J$4)</f>
        <v>0</v>
      </c>
      <c r="K149" s="857">
        <f>SUMIFS('YTD Sales'!$N:$N,'YTD Sales'!$B:$B,Brokerage!$B149,'YTD Sales'!$M:$M,Brokerage!K$4)+SUMIFS('YTD Purchases'!$H:$H,'YTD Purchases'!$C:$C,Brokerage!$B149,'YTD Purchases'!$G:$G,Brokerage!K$4)</f>
        <v>0</v>
      </c>
      <c r="L149" s="857">
        <f>SUMIFS('YTD Sales'!$N:$N,'YTD Sales'!$B:$B,Brokerage!$B149,'YTD Sales'!$M:$M,Brokerage!L$4)+SUMIFS('YTD Purchases'!$H:$H,'YTD Purchases'!$C:$C,Brokerage!$B149,'YTD Purchases'!$G:$G,Brokerage!L$4)</f>
        <v>0</v>
      </c>
      <c r="M149" s="857">
        <f>SUMIFS('YTD Sales'!$N:$N,'YTD Sales'!$B:$B,Brokerage!$B149,'YTD Sales'!$M:$M,Brokerage!M$4)+SUMIFS('YTD Purchases'!$H:$H,'YTD Purchases'!$C:$C,Brokerage!$B149,'YTD Purchases'!$G:$G,Brokerage!M$4)</f>
        <v>5045.67</v>
      </c>
      <c r="N149" s="857">
        <f>SUMIFS('YTD Sales'!$N:$N,'YTD Sales'!$B:$B,Brokerage!$B149,'YTD Sales'!$M:$M,Brokerage!N$4)+SUMIFS('YTD Purchases'!$H:$H,'YTD Purchases'!$C:$C,Brokerage!$B149,'YTD Purchases'!$G:$G,Brokerage!N$4)</f>
        <v>0</v>
      </c>
      <c r="O149" s="857">
        <f>SUMIFS('YTD Sales'!$N:$N,'YTD Sales'!$B:$B,Brokerage!$B149,'YTD Sales'!$M:$M,Brokerage!O$4)+SUMIFS('YTD Purchases'!$H:$H,'YTD Purchases'!$C:$C,Brokerage!$B149,'YTD Purchases'!$G:$G,Brokerage!O$4)</f>
        <v>0</v>
      </c>
      <c r="P149" s="857">
        <f>SUMIFS('YTD Sales'!$N:$N,'YTD Sales'!$B:$B,Brokerage!$B149,'YTD Sales'!$M:$M,Brokerage!P$4)+SUMIFS('YTD Purchases'!$H:$H,'YTD Purchases'!$C:$C,Brokerage!$B149,'YTD Purchases'!$G:$G,Brokerage!P$4)</f>
        <v>0</v>
      </c>
      <c r="Q149" s="857">
        <f>SUMIFS('YTD Sales'!$N:$N,'YTD Sales'!$B:$B,Brokerage!$B149,'YTD Sales'!$M:$M,Brokerage!Q$4)+SUMIFS('YTD Purchases'!$H:$H,'YTD Purchases'!$C:$C,Brokerage!$B149,'YTD Purchases'!$G:$G,Brokerage!Q$4)</f>
        <v>13424.4</v>
      </c>
      <c r="R149" s="857">
        <f>SUMIFS('YTD Sales'!$N:$N,'YTD Sales'!$B:$B,Brokerage!$B149,'YTD Sales'!$M:$M,Brokerage!R$4)+SUMIFS('YTD Purchases'!$H:$H,'YTD Purchases'!$C:$C,Brokerage!$B149,'YTD Purchases'!$G:$G,Brokerage!R$4)</f>
        <v>0</v>
      </c>
      <c r="S149" s="857">
        <f>SUMIFS('YTD Sales'!$N:$N,'YTD Sales'!$B:$B,Brokerage!$B149,'YTD Sales'!$M:$M,Brokerage!S$4)+SUMIFS('YTD Purchases'!$H:$H,'YTD Purchases'!$C:$C,Brokerage!$B149,'YTD Purchases'!$G:$G,Brokerage!S$4)</f>
        <v>0</v>
      </c>
      <c r="T149" s="857">
        <f>SUMIFS('YTD Sales'!$N:$N,'YTD Sales'!$B:$B,Brokerage!$B149,'YTD Sales'!$M:$M,Brokerage!T$4)+SUMIFS('YTD Purchases'!$H:$H,'YTD Purchases'!$C:$C,Brokerage!$B149,'YTD Purchases'!$G:$G,Brokerage!T$4)</f>
        <v>0</v>
      </c>
      <c r="U149" s="857">
        <f>SUMIFS('YTD Sales'!$N:$N,'YTD Sales'!$B:$B,Brokerage!$B149,'YTD Sales'!$M:$M,Brokerage!U$4)+SUMIFS('YTD Purchases'!$H:$H,'YTD Purchases'!$C:$C,Brokerage!$B149,'YTD Purchases'!$G:$G,Brokerage!U$4)</f>
        <v>0</v>
      </c>
      <c r="V149" s="857">
        <f>SUMIFS('YTD Sales'!$N:$N,'YTD Sales'!$B:$B,Brokerage!$B149,'YTD Sales'!$M:$M,Brokerage!V$4)+SUMIFS('YTD Purchases'!$H:$H,'YTD Purchases'!$C:$C,Brokerage!$B149,'YTD Purchases'!$G:$G,Brokerage!V$4)</f>
        <v>0</v>
      </c>
      <c r="W149" s="857">
        <f>SUMIFS('YTD Sales'!$N:$N,'YTD Sales'!$B:$B,Brokerage!$B149,'YTD Sales'!$M:$M,Brokerage!W$4)+SUMIFS('YTD Purchases'!$H:$H,'YTD Purchases'!$C:$C,Brokerage!$B149,'YTD Purchases'!$G:$G,Brokerage!W$4)</f>
        <v>0</v>
      </c>
      <c r="X149" s="857">
        <f>SUMIFS('YTD Sales'!$N:$N,'YTD Sales'!$B:$B,Brokerage!$B149,'YTD Sales'!$M:$M,Brokerage!X$4)+SUMIFS('YTD Purchases'!$H:$H,'YTD Purchases'!$C:$C,Brokerage!$B149,'YTD Purchases'!$G:$G,Brokerage!X$4)</f>
        <v>0</v>
      </c>
      <c r="Y149" s="857">
        <f>SUMIFS('YTD Sales'!$N:$N,'YTD Sales'!$B:$B,Brokerage!$B149,'YTD Sales'!$M:$M,Brokerage!Y$4)+SUMIFS('YTD Purchases'!$H:$H,'YTD Purchases'!$C:$C,Brokerage!$B149,'YTD Purchases'!$G:$G,Brokerage!Y$4)</f>
        <v>0</v>
      </c>
      <c r="Z149" s="857">
        <f>SUMIFS('YTD Sales'!$N:$N,'YTD Sales'!$B:$B,Brokerage!$B149,'YTD Sales'!$M:$M,Brokerage!Z$4)+SUMIFS('YTD Purchases'!$H:$H,'YTD Purchases'!$C:$C,Brokerage!$B149,'YTD Purchases'!$G:$G,Brokerage!Z$4)</f>
        <v>0</v>
      </c>
      <c r="AA149" s="857">
        <f>SUMIFS('YTD Sales'!$N:$N,'YTD Sales'!$B:$B,Brokerage!$B149,'YTD Sales'!$M:$M,Brokerage!AA$4)+SUMIFS('YTD Purchases'!$H:$H,'YTD Purchases'!$C:$C,Brokerage!$B149,'YTD Purchases'!$G:$G,Brokerage!AA$4)</f>
        <v>0</v>
      </c>
      <c r="AB149" s="857">
        <f>SUMIFS('YTD Sales'!$N:$N,'YTD Sales'!$B:$B,Brokerage!$B149,'YTD Sales'!$M:$M,Brokerage!AB$4)+SUMIFS('YTD Purchases'!$H:$H,'YTD Purchases'!$C:$C,Brokerage!$B149,'YTD Purchases'!$G:$G,Brokerage!AB$4)</f>
        <v>0</v>
      </c>
      <c r="AC149" s="857">
        <f>SUMIFS('YTD Sales'!$N:$N,'YTD Sales'!$B:$B,Brokerage!$B149,'YTD Sales'!$M:$M,Brokerage!AC$4)+SUMIFS('YTD Purchases'!$H:$H,'YTD Purchases'!$C:$C,Brokerage!$B149,'YTD Purchases'!$G:$G,Brokerage!AC$4)</f>
        <v>0</v>
      </c>
      <c r="AD149" s="857">
        <f>+SUMIFS(PIB!AG:AG,PIB!AF:AF,Brokerage!AD$4,PIB!AA:AA,Brokerage!$B149)+SUMIFS('T-Bills'!AB:AB,'T-Bills'!AA:AA,Brokerage!AD$4,'T-Bills'!V:V,Brokerage!$B149)</f>
        <v>0</v>
      </c>
      <c r="AE149" s="857">
        <f>+SUMIFS(PIB!AH:AH,PIB!AG:AG,Brokerage!AE$4,PIB!AB:AB,Brokerage!$B149)+SUMIFS('T-Bills'!AC:AC,'T-Bills'!AB:AB,Brokerage!AE$4,'T-Bills'!W:W,Brokerage!$B149)</f>
        <v>0</v>
      </c>
      <c r="AF149" s="857">
        <f>+SUMIFS(PIB!AI:AI,PIB!AH:AH,Brokerage!AF$4,PIB!AC:AC,Brokerage!$B149)+SUMIFS('T-Bills'!AD:AD,'T-Bills'!AC:AC,Brokerage!AF$4,'T-Bills'!X:X,Brokerage!$B149)</f>
        <v>0</v>
      </c>
      <c r="AG149" s="857">
        <f t="shared" si="19"/>
        <v>18470.07</v>
      </c>
      <c r="AH149" s="858">
        <f t="shared" si="20"/>
        <v>1</v>
      </c>
    </row>
    <row r="150" spans="2:34" x14ac:dyDescent="0.15">
      <c r="B150" s="661">
        <f t="shared" si="18"/>
        <v>44706</v>
      </c>
      <c r="C150" s="857">
        <f>SUMIFS('YTD Sales'!$N:$N,'YTD Sales'!$B:$B,Brokerage!$B150,'YTD Sales'!$M:$M,Brokerage!C$4)+SUMIFS('YTD Purchases'!$H:$H,'YTD Purchases'!$C:$C,Brokerage!$B150,'YTD Purchases'!$G:$G,Brokerage!C$4)</f>
        <v>0</v>
      </c>
      <c r="D150" s="857">
        <f>SUMIFS('YTD Sales'!$N:$N,'YTD Sales'!$B:$B,Brokerage!$B150,'YTD Sales'!$M:$M,Brokerage!D$4)+SUMIFS('YTD Purchases'!$H:$H,'YTD Purchases'!$C:$C,Brokerage!$B150,'YTD Purchases'!$G:$G,Brokerage!D$4)</f>
        <v>0</v>
      </c>
      <c r="E150" s="857">
        <f>SUMIFS('YTD Sales'!$N:$N,'YTD Sales'!$B:$B,Brokerage!$B150,'YTD Sales'!$M:$M,Brokerage!E$4)+SUMIFS('YTD Purchases'!$H:$H,'YTD Purchases'!$C:$C,Brokerage!$B150,'YTD Purchases'!$G:$G,Brokerage!E$4)</f>
        <v>0</v>
      </c>
      <c r="F150" s="857">
        <f>SUMIFS('YTD Sales'!$N:$N,'YTD Sales'!$B:$B,Brokerage!$B150,'YTD Sales'!$M:$M,Brokerage!F$4)+SUMIFS('YTD Purchases'!$H:$H,'YTD Purchases'!$C:$C,Brokerage!$B150,'YTD Purchases'!$G:$G,Brokerage!F$4)</f>
        <v>0</v>
      </c>
      <c r="G150" s="857">
        <f>SUMIFS('YTD Sales'!$N:$N,'YTD Sales'!$B:$B,Brokerage!$B150,'YTD Sales'!$M:$M,Brokerage!G$4)+SUMIFS('YTD Purchases'!$H:$H,'YTD Purchases'!$C:$C,Brokerage!$B150,'YTD Purchases'!$G:$G,Brokerage!G$4)</f>
        <v>0</v>
      </c>
      <c r="H150" s="857">
        <f>SUMIFS('YTD Sales'!$N:$N,'YTD Sales'!$B:$B,Brokerage!$B150,'YTD Sales'!$M:$M,Brokerage!H$4)+SUMIFS('YTD Purchases'!$H:$H,'YTD Purchases'!$C:$C,Brokerage!$B150,'YTD Purchases'!$G:$G,Brokerage!H$4)</f>
        <v>0</v>
      </c>
      <c r="I150" s="857">
        <f>SUMIFS('YTD Sales'!$N:$N,'YTD Sales'!$B:$B,Brokerage!$B150,'YTD Sales'!$M:$M,Brokerage!I$4)+SUMIFS('YTD Purchases'!$H:$H,'YTD Purchases'!$C:$C,Brokerage!$B150,'YTD Purchases'!$G:$G,Brokerage!I$4)</f>
        <v>0</v>
      </c>
      <c r="J150" s="857">
        <f>SUMIFS('YTD Sales'!$N:$N,'YTD Sales'!$B:$B,Brokerage!$B150,'YTD Sales'!$M:$M,Brokerage!J$4)+SUMIFS('YTD Purchases'!$H:$H,'YTD Purchases'!$C:$C,Brokerage!$B150,'YTD Purchases'!$G:$G,Brokerage!J$4)</f>
        <v>0</v>
      </c>
      <c r="K150" s="857">
        <f>SUMIFS('YTD Sales'!$N:$N,'YTD Sales'!$B:$B,Brokerage!$B150,'YTD Sales'!$M:$M,Brokerage!K$4)+SUMIFS('YTD Purchases'!$H:$H,'YTD Purchases'!$C:$C,Brokerage!$B150,'YTD Purchases'!$G:$G,Brokerage!K$4)</f>
        <v>0</v>
      </c>
      <c r="L150" s="857">
        <f>SUMIFS('YTD Sales'!$N:$N,'YTD Sales'!$B:$B,Brokerage!$B150,'YTD Sales'!$M:$M,Brokerage!L$4)+SUMIFS('YTD Purchases'!$H:$H,'YTD Purchases'!$C:$C,Brokerage!$B150,'YTD Purchases'!$G:$G,Brokerage!L$4)</f>
        <v>0</v>
      </c>
      <c r="M150" s="857">
        <f>SUMIFS('YTD Sales'!$N:$N,'YTD Sales'!$B:$B,Brokerage!$B150,'YTD Sales'!$M:$M,Brokerage!M$4)+SUMIFS('YTD Purchases'!$H:$H,'YTD Purchases'!$C:$C,Brokerage!$B150,'YTD Purchases'!$G:$G,Brokerage!M$4)</f>
        <v>60727.08</v>
      </c>
      <c r="N150" s="857">
        <f>SUMIFS('YTD Sales'!$N:$N,'YTD Sales'!$B:$B,Brokerage!$B150,'YTD Sales'!$M:$M,Brokerage!N$4)+SUMIFS('YTD Purchases'!$H:$H,'YTD Purchases'!$C:$C,Brokerage!$B150,'YTD Purchases'!$G:$G,Brokerage!N$4)</f>
        <v>8858.7200000000012</v>
      </c>
      <c r="O150" s="857">
        <f>SUMIFS('YTD Sales'!$N:$N,'YTD Sales'!$B:$B,Brokerage!$B150,'YTD Sales'!$M:$M,Brokerage!O$4)+SUMIFS('YTD Purchases'!$H:$H,'YTD Purchases'!$C:$C,Brokerage!$B150,'YTD Purchases'!$G:$G,Brokerage!O$4)</f>
        <v>67800</v>
      </c>
      <c r="P150" s="857">
        <f>SUMIFS('YTD Sales'!$N:$N,'YTD Sales'!$B:$B,Brokerage!$B150,'YTD Sales'!$M:$M,Brokerage!P$4)+SUMIFS('YTD Purchases'!$H:$H,'YTD Purchases'!$C:$C,Brokerage!$B150,'YTD Purchases'!$G:$G,Brokerage!P$4)</f>
        <v>0</v>
      </c>
      <c r="Q150" s="857">
        <f>SUMIFS('YTD Sales'!$N:$N,'YTD Sales'!$B:$B,Brokerage!$B150,'YTD Sales'!$M:$M,Brokerage!Q$4)+SUMIFS('YTD Purchases'!$H:$H,'YTD Purchases'!$C:$C,Brokerage!$B150,'YTD Purchases'!$G:$G,Brokerage!Q$4)</f>
        <v>14055.17</v>
      </c>
      <c r="R150" s="857">
        <f>SUMIFS('YTD Sales'!$N:$N,'YTD Sales'!$B:$B,Brokerage!$B150,'YTD Sales'!$M:$M,Brokerage!R$4)+SUMIFS('YTD Purchases'!$H:$H,'YTD Purchases'!$C:$C,Brokerage!$B150,'YTD Purchases'!$G:$G,Brokerage!R$4)</f>
        <v>0</v>
      </c>
      <c r="S150" s="857">
        <f>SUMIFS('YTD Sales'!$N:$N,'YTD Sales'!$B:$B,Brokerage!$B150,'YTD Sales'!$M:$M,Brokerage!S$4)+SUMIFS('YTD Purchases'!$H:$H,'YTD Purchases'!$C:$C,Brokerage!$B150,'YTD Purchases'!$G:$G,Brokerage!S$4)</f>
        <v>36032.687648818472</v>
      </c>
      <c r="T150" s="857">
        <f>SUMIFS('YTD Sales'!$N:$N,'YTD Sales'!$B:$B,Brokerage!$B150,'YTD Sales'!$M:$M,Brokerage!T$4)+SUMIFS('YTD Purchases'!$H:$H,'YTD Purchases'!$C:$C,Brokerage!$B150,'YTD Purchases'!$G:$G,Brokerage!T$4)</f>
        <v>0</v>
      </c>
      <c r="U150" s="857">
        <f>SUMIFS('YTD Sales'!$N:$N,'YTD Sales'!$B:$B,Brokerage!$B150,'YTD Sales'!$M:$M,Brokerage!U$4)+SUMIFS('YTD Purchases'!$H:$H,'YTD Purchases'!$C:$C,Brokerage!$B150,'YTD Purchases'!$G:$G,Brokerage!U$4)</f>
        <v>0</v>
      </c>
      <c r="V150" s="857">
        <f>SUMIFS('YTD Sales'!$N:$N,'YTD Sales'!$B:$B,Brokerage!$B150,'YTD Sales'!$M:$M,Brokerage!V$4)+SUMIFS('YTD Purchases'!$H:$H,'YTD Purchases'!$C:$C,Brokerage!$B150,'YTD Purchases'!$G:$G,Brokerage!V$4)</f>
        <v>0</v>
      </c>
      <c r="W150" s="857">
        <f>SUMIFS('YTD Sales'!$N:$N,'YTD Sales'!$B:$B,Brokerage!$B150,'YTD Sales'!$M:$M,Brokerage!W$4)+SUMIFS('YTD Purchases'!$H:$H,'YTD Purchases'!$C:$C,Brokerage!$B150,'YTD Purchases'!$G:$G,Brokerage!W$4)</f>
        <v>0</v>
      </c>
      <c r="X150" s="857">
        <f>SUMIFS('YTD Sales'!$N:$N,'YTD Sales'!$B:$B,Brokerage!$B150,'YTD Sales'!$M:$M,Brokerage!X$4)+SUMIFS('YTD Purchases'!$H:$H,'YTD Purchases'!$C:$C,Brokerage!$B150,'YTD Purchases'!$G:$G,Brokerage!X$4)</f>
        <v>1085.98</v>
      </c>
      <c r="Y150" s="857">
        <f>SUMIFS('YTD Sales'!$N:$N,'YTD Sales'!$B:$B,Brokerage!$B150,'YTD Sales'!$M:$M,Brokerage!Y$4)+SUMIFS('YTD Purchases'!$H:$H,'YTD Purchases'!$C:$C,Brokerage!$B150,'YTD Purchases'!$G:$G,Brokerage!Y$4)</f>
        <v>0</v>
      </c>
      <c r="Z150" s="857">
        <f>SUMIFS('YTD Sales'!$N:$N,'YTD Sales'!$B:$B,Brokerage!$B150,'YTD Sales'!$M:$M,Brokerage!Z$4)+SUMIFS('YTD Purchases'!$H:$H,'YTD Purchases'!$C:$C,Brokerage!$B150,'YTD Purchases'!$G:$G,Brokerage!Z$4)</f>
        <v>0</v>
      </c>
      <c r="AA150" s="857">
        <f>SUMIFS('YTD Sales'!$N:$N,'YTD Sales'!$B:$B,Brokerage!$B150,'YTD Sales'!$M:$M,Brokerage!AA$4)+SUMIFS('YTD Purchases'!$H:$H,'YTD Purchases'!$C:$C,Brokerage!$B150,'YTD Purchases'!$G:$G,Brokerage!AA$4)</f>
        <v>0</v>
      </c>
      <c r="AB150" s="857">
        <f>SUMIFS('YTD Sales'!$N:$N,'YTD Sales'!$B:$B,Brokerage!$B150,'YTD Sales'!$M:$M,Brokerage!AB$4)+SUMIFS('YTD Purchases'!$H:$H,'YTD Purchases'!$C:$C,Brokerage!$B150,'YTD Purchases'!$G:$G,Brokerage!AB$4)</f>
        <v>0</v>
      </c>
      <c r="AC150" s="857">
        <f>SUMIFS('YTD Sales'!$N:$N,'YTD Sales'!$B:$B,Brokerage!$B150,'YTD Sales'!$M:$M,Brokerage!AC$4)+SUMIFS('YTD Purchases'!$H:$H,'YTD Purchases'!$C:$C,Brokerage!$B150,'YTD Purchases'!$G:$G,Brokerage!AC$4)</f>
        <v>0</v>
      </c>
      <c r="AD150" s="857">
        <f>+SUMIFS(PIB!AG:AG,PIB!AF:AF,Brokerage!AD$4,PIB!AA:AA,Brokerage!$B150)+SUMIFS('T-Bills'!AB:AB,'T-Bills'!AA:AA,Brokerage!AD$4,'T-Bills'!V:V,Brokerage!$B150)</f>
        <v>0</v>
      </c>
      <c r="AE150" s="857">
        <f>+SUMIFS(PIB!AH:AH,PIB!AG:AG,Brokerage!AE$4,PIB!AB:AB,Brokerage!$B150)+SUMIFS('T-Bills'!AC:AC,'T-Bills'!AB:AB,Brokerage!AE$4,'T-Bills'!W:W,Brokerage!$B150)</f>
        <v>0</v>
      </c>
      <c r="AF150" s="857">
        <f>+SUMIFS(PIB!AI:AI,PIB!AH:AH,Brokerage!AF$4,PIB!AC:AC,Brokerage!$B150)+SUMIFS('T-Bills'!AD:AD,'T-Bills'!AC:AC,Brokerage!AF$4,'T-Bills'!X:X,Brokerage!$B150)</f>
        <v>0</v>
      </c>
      <c r="AG150" s="857">
        <f t="shared" si="19"/>
        <v>188559.63764881849</v>
      </c>
      <c r="AH150" s="858">
        <f t="shared" si="20"/>
        <v>8</v>
      </c>
    </row>
    <row r="151" spans="2:34" x14ac:dyDescent="0.15">
      <c r="B151" s="661">
        <f t="shared" si="18"/>
        <v>44707</v>
      </c>
      <c r="C151" s="857">
        <f>SUMIFS('YTD Sales'!$N:$N,'YTD Sales'!$B:$B,Brokerage!$B151,'YTD Sales'!$M:$M,Brokerage!C$4)+SUMIFS('YTD Purchases'!$H:$H,'YTD Purchases'!$C:$C,Brokerage!$B151,'YTD Purchases'!$G:$G,Brokerage!C$4)</f>
        <v>0</v>
      </c>
      <c r="D151" s="857">
        <f>SUMIFS('YTD Sales'!$N:$N,'YTD Sales'!$B:$B,Brokerage!$B151,'YTD Sales'!$M:$M,Brokerage!D$4)+SUMIFS('YTD Purchases'!$H:$H,'YTD Purchases'!$C:$C,Brokerage!$B151,'YTD Purchases'!$G:$G,Brokerage!D$4)</f>
        <v>0</v>
      </c>
      <c r="E151" s="857">
        <f>SUMIFS('YTD Sales'!$N:$N,'YTD Sales'!$B:$B,Brokerage!$B151,'YTD Sales'!$M:$M,Brokerage!E$4)+SUMIFS('YTD Purchases'!$H:$H,'YTD Purchases'!$C:$C,Brokerage!$B151,'YTD Purchases'!$G:$G,Brokerage!E$4)</f>
        <v>30727.149999999998</v>
      </c>
      <c r="F151" s="857">
        <f>SUMIFS('YTD Sales'!$N:$N,'YTD Sales'!$B:$B,Brokerage!$B151,'YTD Sales'!$M:$M,Brokerage!F$4)+SUMIFS('YTD Purchases'!$H:$H,'YTD Purchases'!$C:$C,Brokerage!$B151,'YTD Purchases'!$G:$G,Brokerage!F$4)</f>
        <v>0</v>
      </c>
      <c r="G151" s="857">
        <f>SUMIFS('YTD Sales'!$N:$N,'YTD Sales'!$B:$B,Brokerage!$B151,'YTD Sales'!$M:$M,Brokerage!G$4)+SUMIFS('YTD Purchases'!$H:$H,'YTD Purchases'!$C:$C,Brokerage!$B151,'YTD Purchases'!$G:$G,Brokerage!G$4)</f>
        <v>0</v>
      </c>
      <c r="H151" s="857">
        <f>SUMIFS('YTD Sales'!$N:$N,'YTD Sales'!$B:$B,Brokerage!$B151,'YTD Sales'!$M:$M,Brokerage!H$4)+SUMIFS('YTD Purchases'!$H:$H,'YTD Purchases'!$C:$C,Brokerage!$B151,'YTD Purchases'!$G:$G,Brokerage!H$4)</f>
        <v>0</v>
      </c>
      <c r="I151" s="857">
        <f>SUMIFS('YTD Sales'!$N:$N,'YTD Sales'!$B:$B,Brokerage!$B151,'YTD Sales'!$M:$M,Brokerage!I$4)+SUMIFS('YTD Purchases'!$H:$H,'YTD Purchases'!$C:$C,Brokerage!$B151,'YTD Purchases'!$G:$G,Brokerage!I$4)</f>
        <v>0</v>
      </c>
      <c r="J151" s="857">
        <f>SUMIFS('YTD Sales'!$N:$N,'YTD Sales'!$B:$B,Brokerage!$B151,'YTD Sales'!$M:$M,Brokerage!J$4)+SUMIFS('YTD Purchases'!$H:$H,'YTD Purchases'!$C:$C,Brokerage!$B151,'YTD Purchases'!$G:$G,Brokerage!J$4)</f>
        <v>0</v>
      </c>
      <c r="K151" s="857">
        <f>SUMIFS('YTD Sales'!$N:$N,'YTD Sales'!$B:$B,Brokerage!$B151,'YTD Sales'!$M:$M,Brokerage!K$4)+SUMIFS('YTD Purchases'!$H:$H,'YTD Purchases'!$C:$C,Brokerage!$B151,'YTD Purchases'!$G:$G,Brokerage!K$4)</f>
        <v>0</v>
      </c>
      <c r="L151" s="857">
        <f>SUMIFS('YTD Sales'!$N:$N,'YTD Sales'!$B:$B,Brokerage!$B151,'YTD Sales'!$M:$M,Brokerage!L$4)+SUMIFS('YTD Purchases'!$H:$H,'YTD Purchases'!$C:$C,Brokerage!$B151,'YTD Purchases'!$G:$G,Brokerage!L$4)</f>
        <v>0</v>
      </c>
      <c r="M151" s="857">
        <f>SUMIFS('YTD Sales'!$N:$N,'YTD Sales'!$B:$B,Brokerage!$B151,'YTD Sales'!$M:$M,Brokerage!M$4)+SUMIFS('YTD Purchases'!$H:$H,'YTD Purchases'!$C:$C,Brokerage!$B151,'YTD Purchases'!$G:$G,Brokerage!M$4)</f>
        <v>2406.62</v>
      </c>
      <c r="N151" s="857">
        <f>SUMIFS('YTD Sales'!$N:$N,'YTD Sales'!$B:$B,Brokerage!$B151,'YTD Sales'!$M:$M,Brokerage!N$4)+SUMIFS('YTD Purchases'!$H:$H,'YTD Purchases'!$C:$C,Brokerage!$B151,'YTD Purchases'!$G:$G,Brokerage!N$4)</f>
        <v>0</v>
      </c>
      <c r="O151" s="857">
        <f>SUMIFS('YTD Sales'!$N:$N,'YTD Sales'!$B:$B,Brokerage!$B151,'YTD Sales'!$M:$M,Brokerage!O$4)+SUMIFS('YTD Purchases'!$H:$H,'YTD Purchases'!$C:$C,Brokerage!$B151,'YTD Purchases'!$G:$G,Brokerage!O$4)</f>
        <v>0</v>
      </c>
      <c r="P151" s="857">
        <f>SUMIFS('YTD Sales'!$N:$N,'YTD Sales'!$B:$B,Brokerage!$B151,'YTD Sales'!$M:$M,Brokerage!P$4)+SUMIFS('YTD Purchases'!$H:$H,'YTD Purchases'!$C:$C,Brokerage!$B151,'YTD Purchases'!$G:$G,Brokerage!P$4)</f>
        <v>15065.413661211551</v>
      </c>
      <c r="Q151" s="857">
        <f>SUMIFS('YTD Sales'!$N:$N,'YTD Sales'!$B:$B,Brokerage!$B151,'YTD Sales'!$M:$M,Brokerage!Q$4)+SUMIFS('YTD Purchases'!$H:$H,'YTD Purchases'!$C:$C,Brokerage!$B151,'YTD Purchases'!$G:$G,Brokerage!Q$4)</f>
        <v>0</v>
      </c>
      <c r="R151" s="857">
        <f>SUMIFS('YTD Sales'!$N:$N,'YTD Sales'!$B:$B,Brokerage!$B151,'YTD Sales'!$M:$M,Brokerage!R$4)+SUMIFS('YTD Purchases'!$H:$H,'YTD Purchases'!$C:$C,Brokerage!$B151,'YTD Purchases'!$G:$G,Brokerage!R$4)</f>
        <v>0</v>
      </c>
      <c r="S151" s="857">
        <f>SUMIFS('YTD Sales'!$N:$N,'YTD Sales'!$B:$B,Brokerage!$B151,'YTD Sales'!$M:$M,Brokerage!S$4)+SUMIFS('YTD Purchases'!$H:$H,'YTD Purchases'!$C:$C,Brokerage!$B151,'YTD Purchases'!$G:$G,Brokerage!S$4)</f>
        <v>7228.07</v>
      </c>
      <c r="T151" s="857">
        <f>SUMIFS('YTD Sales'!$N:$N,'YTD Sales'!$B:$B,Brokerage!$B151,'YTD Sales'!$M:$M,Brokerage!T$4)+SUMIFS('YTD Purchases'!$H:$H,'YTD Purchases'!$C:$C,Brokerage!$B151,'YTD Purchases'!$G:$G,Brokerage!T$4)</f>
        <v>0</v>
      </c>
      <c r="U151" s="857">
        <f>SUMIFS('YTD Sales'!$N:$N,'YTD Sales'!$B:$B,Brokerage!$B151,'YTD Sales'!$M:$M,Brokerage!U$4)+SUMIFS('YTD Purchases'!$H:$H,'YTD Purchases'!$C:$C,Brokerage!$B151,'YTD Purchases'!$G:$G,Brokerage!U$4)</f>
        <v>0</v>
      </c>
      <c r="V151" s="857">
        <f>SUMIFS('YTD Sales'!$N:$N,'YTD Sales'!$B:$B,Brokerage!$B151,'YTD Sales'!$M:$M,Brokerage!V$4)+SUMIFS('YTD Purchases'!$H:$H,'YTD Purchases'!$C:$C,Brokerage!$B151,'YTD Purchases'!$G:$G,Brokerage!V$4)</f>
        <v>0</v>
      </c>
      <c r="W151" s="857">
        <f>SUMIFS('YTD Sales'!$N:$N,'YTD Sales'!$B:$B,Brokerage!$B151,'YTD Sales'!$M:$M,Brokerage!W$4)+SUMIFS('YTD Purchases'!$H:$H,'YTD Purchases'!$C:$C,Brokerage!$B151,'YTD Purchases'!$G:$G,Brokerage!W$4)</f>
        <v>0</v>
      </c>
      <c r="X151" s="857">
        <f>SUMIFS('YTD Sales'!$N:$N,'YTD Sales'!$B:$B,Brokerage!$B151,'YTD Sales'!$M:$M,Brokerage!X$4)+SUMIFS('YTD Purchases'!$H:$H,'YTD Purchases'!$C:$C,Brokerage!$B151,'YTD Purchases'!$G:$G,Brokerage!X$4)</f>
        <v>0</v>
      </c>
      <c r="Y151" s="857">
        <f>SUMIFS('YTD Sales'!$N:$N,'YTD Sales'!$B:$B,Brokerage!$B151,'YTD Sales'!$M:$M,Brokerage!Y$4)+SUMIFS('YTD Purchases'!$H:$H,'YTD Purchases'!$C:$C,Brokerage!$B151,'YTD Purchases'!$G:$G,Brokerage!Y$4)</f>
        <v>12262.757140000002</v>
      </c>
      <c r="Z151" s="857">
        <f>SUMIFS('YTD Sales'!$N:$N,'YTD Sales'!$B:$B,Brokerage!$B151,'YTD Sales'!$M:$M,Brokerage!Z$4)+SUMIFS('YTD Purchases'!$H:$H,'YTD Purchases'!$C:$C,Brokerage!$B151,'YTD Purchases'!$G:$G,Brokerage!Z$4)</f>
        <v>0</v>
      </c>
      <c r="AA151" s="857">
        <f>SUMIFS('YTD Sales'!$N:$N,'YTD Sales'!$B:$B,Brokerage!$B151,'YTD Sales'!$M:$M,Brokerage!AA$4)+SUMIFS('YTD Purchases'!$H:$H,'YTD Purchases'!$C:$C,Brokerage!$B151,'YTD Purchases'!$G:$G,Brokerage!AA$4)</f>
        <v>0</v>
      </c>
      <c r="AB151" s="857">
        <f>SUMIFS('YTD Sales'!$N:$N,'YTD Sales'!$B:$B,Brokerage!$B151,'YTD Sales'!$M:$M,Brokerage!AB$4)+SUMIFS('YTD Purchases'!$H:$H,'YTD Purchases'!$C:$C,Brokerage!$B151,'YTD Purchases'!$G:$G,Brokerage!AB$4)</f>
        <v>0</v>
      </c>
      <c r="AC151" s="857">
        <f>SUMIFS('YTD Sales'!$N:$N,'YTD Sales'!$B:$B,Brokerage!$B151,'YTD Sales'!$M:$M,Brokerage!AC$4)+SUMIFS('YTD Purchases'!$H:$H,'YTD Purchases'!$C:$C,Brokerage!$B151,'YTD Purchases'!$G:$G,Brokerage!AC$4)</f>
        <v>0</v>
      </c>
      <c r="AD151" s="857">
        <f>+SUMIFS(PIB!AG:AG,PIB!AF:AF,Brokerage!AD$4,PIB!AA:AA,Brokerage!$B151)+SUMIFS('T-Bills'!AB:AB,'T-Bills'!AA:AA,Brokerage!AD$4,'T-Bills'!V:V,Brokerage!$B151)</f>
        <v>0</v>
      </c>
      <c r="AE151" s="857">
        <f>+SUMIFS(PIB!AH:AH,PIB!AG:AG,Brokerage!AE$4,PIB!AB:AB,Brokerage!$B151)+SUMIFS('T-Bills'!AC:AC,'T-Bills'!AB:AB,Brokerage!AE$4,'T-Bills'!W:W,Brokerage!$B151)</f>
        <v>0</v>
      </c>
      <c r="AF151" s="857">
        <f>+SUMIFS(PIB!AI:AI,PIB!AH:AH,Brokerage!AF$4,PIB!AC:AC,Brokerage!$B151)+SUMIFS('T-Bills'!AD:AD,'T-Bills'!AC:AC,Brokerage!AF$4,'T-Bills'!X:X,Brokerage!$B151)</f>
        <v>0</v>
      </c>
      <c r="AG151" s="857">
        <f t="shared" si="19"/>
        <v>67690.010801211552</v>
      </c>
      <c r="AH151" s="858">
        <f t="shared" si="20"/>
        <v>3</v>
      </c>
    </row>
    <row r="152" spans="2:34" x14ac:dyDescent="0.15">
      <c r="B152" s="661">
        <f t="shared" si="18"/>
        <v>44708</v>
      </c>
      <c r="C152" s="857">
        <f>SUMIFS('YTD Sales'!$N:$N,'YTD Sales'!$B:$B,Brokerage!$B152,'YTD Sales'!$M:$M,Brokerage!C$4)+SUMIFS('YTD Purchases'!$H:$H,'YTD Purchases'!$C:$C,Brokerage!$B152,'YTD Purchases'!$G:$G,Brokerage!C$4)</f>
        <v>55333.279999999999</v>
      </c>
      <c r="D152" s="857">
        <f>SUMIFS('YTD Sales'!$N:$N,'YTD Sales'!$B:$B,Brokerage!$B152,'YTD Sales'!$M:$M,Brokerage!D$4)+SUMIFS('YTD Purchases'!$H:$H,'YTD Purchases'!$C:$C,Brokerage!$B152,'YTD Purchases'!$G:$G,Brokerage!D$4)</f>
        <v>3591.8100000000004</v>
      </c>
      <c r="E152" s="857">
        <f>SUMIFS('YTD Sales'!$N:$N,'YTD Sales'!$B:$B,Brokerage!$B152,'YTD Sales'!$M:$M,Brokerage!E$4)+SUMIFS('YTD Purchases'!$H:$H,'YTD Purchases'!$C:$C,Brokerage!$B152,'YTD Purchases'!$G:$G,Brokerage!E$4)</f>
        <v>0</v>
      </c>
      <c r="F152" s="857">
        <f>SUMIFS('YTD Sales'!$N:$N,'YTD Sales'!$B:$B,Brokerage!$B152,'YTD Sales'!$M:$M,Brokerage!F$4)+SUMIFS('YTD Purchases'!$H:$H,'YTD Purchases'!$C:$C,Brokerage!$B152,'YTD Purchases'!$G:$G,Brokerage!F$4)</f>
        <v>0</v>
      </c>
      <c r="G152" s="857">
        <f>SUMIFS('YTD Sales'!$N:$N,'YTD Sales'!$B:$B,Brokerage!$B152,'YTD Sales'!$M:$M,Brokerage!G$4)+SUMIFS('YTD Purchases'!$H:$H,'YTD Purchases'!$C:$C,Brokerage!$B152,'YTD Purchases'!$G:$G,Brokerage!G$4)</f>
        <v>0</v>
      </c>
      <c r="H152" s="857">
        <f>SUMIFS('YTD Sales'!$N:$N,'YTD Sales'!$B:$B,Brokerage!$B152,'YTD Sales'!$M:$M,Brokerage!H$4)+SUMIFS('YTD Purchases'!$H:$H,'YTD Purchases'!$C:$C,Brokerage!$B152,'YTD Purchases'!$G:$G,Brokerage!H$4)</f>
        <v>0</v>
      </c>
      <c r="I152" s="857">
        <f>SUMIFS('YTD Sales'!$N:$N,'YTD Sales'!$B:$B,Brokerage!$B152,'YTD Sales'!$M:$M,Brokerage!I$4)+SUMIFS('YTD Purchases'!$H:$H,'YTD Purchases'!$C:$C,Brokerage!$B152,'YTD Purchases'!$G:$G,Brokerage!I$4)</f>
        <v>0</v>
      </c>
      <c r="J152" s="857">
        <f>SUMIFS('YTD Sales'!$N:$N,'YTD Sales'!$B:$B,Brokerage!$B152,'YTD Sales'!$M:$M,Brokerage!J$4)+SUMIFS('YTD Purchases'!$H:$H,'YTD Purchases'!$C:$C,Brokerage!$B152,'YTD Purchases'!$G:$G,Brokerage!J$4)</f>
        <v>0</v>
      </c>
      <c r="K152" s="857">
        <f>SUMIFS('YTD Sales'!$N:$N,'YTD Sales'!$B:$B,Brokerage!$B152,'YTD Sales'!$M:$M,Brokerage!K$4)+SUMIFS('YTD Purchases'!$H:$H,'YTD Purchases'!$C:$C,Brokerage!$B152,'YTD Purchases'!$G:$G,Brokerage!K$4)</f>
        <v>0</v>
      </c>
      <c r="L152" s="857">
        <f>SUMIFS('YTD Sales'!$N:$N,'YTD Sales'!$B:$B,Brokerage!$B152,'YTD Sales'!$M:$M,Brokerage!L$4)+SUMIFS('YTD Purchases'!$H:$H,'YTD Purchases'!$C:$C,Brokerage!$B152,'YTD Purchases'!$G:$G,Brokerage!L$4)</f>
        <v>0</v>
      </c>
      <c r="M152" s="857">
        <f>SUMIFS('YTD Sales'!$N:$N,'YTD Sales'!$B:$B,Brokerage!$B152,'YTD Sales'!$M:$M,Brokerage!M$4)+SUMIFS('YTD Purchases'!$H:$H,'YTD Purchases'!$C:$C,Brokerage!$B152,'YTD Purchases'!$G:$G,Brokerage!M$4)</f>
        <v>11710.68</v>
      </c>
      <c r="N152" s="857">
        <f>SUMIFS('YTD Sales'!$N:$N,'YTD Sales'!$B:$B,Brokerage!$B152,'YTD Sales'!$M:$M,Brokerage!N$4)+SUMIFS('YTD Purchases'!$H:$H,'YTD Purchases'!$C:$C,Brokerage!$B152,'YTD Purchases'!$G:$G,Brokerage!N$4)</f>
        <v>0</v>
      </c>
      <c r="O152" s="857">
        <f>SUMIFS('YTD Sales'!$N:$N,'YTD Sales'!$B:$B,Brokerage!$B152,'YTD Sales'!$M:$M,Brokerage!O$4)+SUMIFS('YTD Purchases'!$H:$H,'YTD Purchases'!$C:$C,Brokerage!$B152,'YTD Purchases'!$G:$G,Brokerage!O$4)</f>
        <v>0</v>
      </c>
      <c r="P152" s="857">
        <f>SUMIFS('YTD Sales'!$N:$N,'YTD Sales'!$B:$B,Brokerage!$B152,'YTD Sales'!$M:$M,Brokerage!P$4)+SUMIFS('YTD Purchases'!$H:$H,'YTD Purchases'!$C:$C,Brokerage!$B152,'YTD Purchases'!$G:$G,Brokerage!P$4)</f>
        <v>0</v>
      </c>
      <c r="Q152" s="857">
        <f>SUMIFS('YTD Sales'!$N:$N,'YTD Sales'!$B:$B,Brokerage!$B152,'YTD Sales'!$M:$M,Brokerage!Q$4)+SUMIFS('YTD Purchases'!$H:$H,'YTD Purchases'!$C:$C,Brokerage!$B152,'YTD Purchases'!$G:$G,Brokerage!Q$4)</f>
        <v>0</v>
      </c>
      <c r="R152" s="857">
        <f>SUMIFS('YTD Sales'!$N:$N,'YTD Sales'!$B:$B,Brokerage!$B152,'YTD Sales'!$M:$M,Brokerage!R$4)+SUMIFS('YTD Purchases'!$H:$H,'YTD Purchases'!$C:$C,Brokerage!$B152,'YTD Purchases'!$G:$G,Brokerage!R$4)</f>
        <v>0</v>
      </c>
      <c r="S152" s="857">
        <f>SUMIFS('YTD Sales'!$N:$N,'YTD Sales'!$B:$B,Brokerage!$B152,'YTD Sales'!$M:$M,Brokerage!S$4)+SUMIFS('YTD Purchases'!$H:$H,'YTD Purchases'!$C:$C,Brokerage!$B152,'YTD Purchases'!$G:$G,Brokerage!S$4)</f>
        <v>0</v>
      </c>
      <c r="T152" s="857">
        <f>SUMIFS('YTD Sales'!$N:$N,'YTD Sales'!$B:$B,Brokerage!$B152,'YTD Sales'!$M:$M,Brokerage!T$4)+SUMIFS('YTD Purchases'!$H:$H,'YTD Purchases'!$C:$C,Brokerage!$B152,'YTD Purchases'!$G:$G,Brokerage!T$4)</f>
        <v>0</v>
      </c>
      <c r="U152" s="857">
        <f>SUMIFS('YTD Sales'!$N:$N,'YTD Sales'!$B:$B,Brokerage!$B152,'YTD Sales'!$M:$M,Brokerage!U$4)+SUMIFS('YTD Purchases'!$H:$H,'YTD Purchases'!$C:$C,Brokerage!$B152,'YTD Purchases'!$G:$G,Brokerage!U$4)</f>
        <v>0</v>
      </c>
      <c r="V152" s="857">
        <f>SUMIFS('YTD Sales'!$N:$N,'YTD Sales'!$B:$B,Brokerage!$B152,'YTD Sales'!$M:$M,Brokerage!V$4)+SUMIFS('YTD Purchases'!$H:$H,'YTD Purchases'!$C:$C,Brokerage!$B152,'YTD Purchases'!$G:$G,Brokerage!V$4)</f>
        <v>0</v>
      </c>
      <c r="W152" s="857">
        <f>SUMIFS('YTD Sales'!$N:$N,'YTD Sales'!$B:$B,Brokerage!$B152,'YTD Sales'!$M:$M,Brokerage!W$4)+SUMIFS('YTD Purchases'!$H:$H,'YTD Purchases'!$C:$C,Brokerage!$B152,'YTD Purchases'!$G:$G,Brokerage!W$4)</f>
        <v>0</v>
      </c>
      <c r="X152" s="857">
        <f>SUMIFS('YTD Sales'!$N:$N,'YTD Sales'!$B:$B,Brokerage!$B152,'YTD Sales'!$M:$M,Brokerage!X$4)+SUMIFS('YTD Purchases'!$H:$H,'YTD Purchases'!$C:$C,Brokerage!$B152,'YTD Purchases'!$G:$G,Brokerage!X$4)</f>
        <v>0</v>
      </c>
      <c r="Y152" s="857">
        <f>SUMIFS('YTD Sales'!$N:$N,'YTD Sales'!$B:$B,Brokerage!$B152,'YTD Sales'!$M:$M,Brokerage!Y$4)+SUMIFS('YTD Purchases'!$H:$H,'YTD Purchases'!$C:$C,Brokerage!$B152,'YTD Purchases'!$G:$G,Brokerage!Y$4)</f>
        <v>4743.7199999999993</v>
      </c>
      <c r="Z152" s="857">
        <f>SUMIFS('YTD Sales'!$N:$N,'YTD Sales'!$B:$B,Brokerage!$B152,'YTD Sales'!$M:$M,Brokerage!Z$4)+SUMIFS('YTD Purchases'!$H:$H,'YTD Purchases'!$C:$C,Brokerage!$B152,'YTD Purchases'!$G:$G,Brokerage!Z$4)</f>
        <v>0</v>
      </c>
      <c r="AA152" s="857">
        <f>SUMIFS('YTD Sales'!$N:$N,'YTD Sales'!$B:$B,Brokerage!$B152,'YTD Sales'!$M:$M,Brokerage!AA$4)+SUMIFS('YTD Purchases'!$H:$H,'YTD Purchases'!$C:$C,Brokerage!$B152,'YTD Purchases'!$G:$G,Brokerage!AA$4)</f>
        <v>0</v>
      </c>
      <c r="AB152" s="857">
        <f>SUMIFS('YTD Sales'!$N:$N,'YTD Sales'!$B:$B,Brokerage!$B152,'YTD Sales'!$M:$M,Brokerage!AB$4)+SUMIFS('YTD Purchases'!$H:$H,'YTD Purchases'!$C:$C,Brokerage!$B152,'YTD Purchases'!$G:$G,Brokerage!AB$4)</f>
        <v>0</v>
      </c>
      <c r="AC152" s="857">
        <f>SUMIFS('YTD Sales'!$N:$N,'YTD Sales'!$B:$B,Brokerage!$B152,'YTD Sales'!$M:$M,Brokerage!AC$4)+SUMIFS('YTD Purchases'!$H:$H,'YTD Purchases'!$C:$C,Brokerage!$B152,'YTD Purchases'!$G:$G,Brokerage!AC$4)</f>
        <v>0</v>
      </c>
      <c r="AD152" s="857">
        <f>+SUMIFS(PIB!AG:AG,PIB!AF:AF,Brokerage!AD$4,PIB!AA:AA,Brokerage!$B152)+SUMIFS('T-Bills'!AB:AB,'T-Bills'!AA:AA,Brokerage!AD$4,'T-Bills'!V:V,Brokerage!$B152)</f>
        <v>0</v>
      </c>
      <c r="AE152" s="857">
        <f>+SUMIFS(PIB!AH:AH,PIB!AG:AG,Brokerage!AE$4,PIB!AB:AB,Brokerage!$B152)+SUMIFS('T-Bills'!AC:AC,'T-Bills'!AB:AB,Brokerage!AE$4,'T-Bills'!W:W,Brokerage!$B152)</f>
        <v>0</v>
      </c>
      <c r="AF152" s="857">
        <f>+SUMIFS(PIB!AI:AI,PIB!AH:AH,Brokerage!AF$4,PIB!AC:AC,Brokerage!$B152)+SUMIFS('T-Bills'!AD:AD,'T-Bills'!AC:AC,Brokerage!AF$4,'T-Bills'!X:X,Brokerage!$B152)</f>
        <v>0</v>
      </c>
      <c r="AG152" s="857">
        <f t="shared" si="19"/>
        <v>75379.489999999991</v>
      </c>
      <c r="AH152" s="858">
        <f t="shared" si="20"/>
        <v>3</v>
      </c>
    </row>
    <row r="153" spans="2:34" x14ac:dyDescent="0.15">
      <c r="B153" s="661">
        <f t="shared" si="18"/>
        <v>44709</v>
      </c>
      <c r="C153" s="857">
        <f>SUMIFS('YTD Sales'!$N:$N,'YTD Sales'!$B:$B,Brokerage!$B153,'YTD Sales'!$M:$M,Brokerage!C$4)+SUMIFS('YTD Purchases'!$H:$H,'YTD Purchases'!$C:$C,Brokerage!$B153,'YTD Purchases'!$G:$G,Brokerage!C$4)</f>
        <v>0</v>
      </c>
      <c r="D153" s="857">
        <f>SUMIFS('YTD Sales'!$N:$N,'YTD Sales'!$B:$B,Brokerage!$B153,'YTD Sales'!$M:$M,Brokerage!D$4)+SUMIFS('YTD Purchases'!$H:$H,'YTD Purchases'!$C:$C,Brokerage!$B153,'YTD Purchases'!$G:$G,Brokerage!D$4)</f>
        <v>0</v>
      </c>
      <c r="E153" s="857">
        <f>SUMIFS('YTD Sales'!$N:$N,'YTD Sales'!$B:$B,Brokerage!$B153,'YTD Sales'!$M:$M,Brokerage!E$4)+SUMIFS('YTD Purchases'!$H:$H,'YTD Purchases'!$C:$C,Brokerage!$B153,'YTD Purchases'!$G:$G,Brokerage!E$4)</f>
        <v>0</v>
      </c>
      <c r="F153" s="857">
        <f>SUMIFS('YTD Sales'!$N:$N,'YTD Sales'!$B:$B,Brokerage!$B153,'YTD Sales'!$M:$M,Brokerage!F$4)+SUMIFS('YTD Purchases'!$H:$H,'YTD Purchases'!$C:$C,Brokerage!$B153,'YTD Purchases'!$G:$G,Brokerage!F$4)</f>
        <v>0</v>
      </c>
      <c r="G153" s="857">
        <f>SUMIFS('YTD Sales'!$N:$N,'YTD Sales'!$B:$B,Brokerage!$B153,'YTD Sales'!$M:$M,Brokerage!G$4)+SUMIFS('YTD Purchases'!$H:$H,'YTD Purchases'!$C:$C,Brokerage!$B153,'YTD Purchases'!$G:$G,Brokerage!G$4)</f>
        <v>0</v>
      </c>
      <c r="H153" s="857">
        <f>SUMIFS('YTD Sales'!$N:$N,'YTD Sales'!$B:$B,Brokerage!$B153,'YTD Sales'!$M:$M,Brokerage!H$4)+SUMIFS('YTD Purchases'!$H:$H,'YTD Purchases'!$C:$C,Brokerage!$B153,'YTD Purchases'!$G:$G,Brokerage!H$4)</f>
        <v>0</v>
      </c>
      <c r="I153" s="857">
        <f>SUMIFS('YTD Sales'!$N:$N,'YTD Sales'!$B:$B,Brokerage!$B153,'YTD Sales'!$M:$M,Brokerage!I$4)+SUMIFS('YTD Purchases'!$H:$H,'YTD Purchases'!$C:$C,Brokerage!$B153,'YTD Purchases'!$G:$G,Brokerage!I$4)</f>
        <v>0</v>
      </c>
      <c r="J153" s="857">
        <f>SUMIFS('YTD Sales'!$N:$N,'YTD Sales'!$B:$B,Brokerage!$B153,'YTD Sales'!$M:$M,Brokerage!J$4)+SUMIFS('YTD Purchases'!$H:$H,'YTD Purchases'!$C:$C,Brokerage!$B153,'YTD Purchases'!$G:$G,Brokerage!J$4)</f>
        <v>0</v>
      </c>
      <c r="K153" s="857">
        <f>SUMIFS('YTD Sales'!$N:$N,'YTD Sales'!$B:$B,Brokerage!$B153,'YTD Sales'!$M:$M,Brokerage!K$4)+SUMIFS('YTD Purchases'!$H:$H,'YTD Purchases'!$C:$C,Brokerage!$B153,'YTD Purchases'!$G:$G,Brokerage!K$4)</f>
        <v>0</v>
      </c>
      <c r="L153" s="857">
        <f>SUMIFS('YTD Sales'!$N:$N,'YTD Sales'!$B:$B,Brokerage!$B153,'YTD Sales'!$M:$M,Brokerage!L$4)+SUMIFS('YTD Purchases'!$H:$H,'YTD Purchases'!$C:$C,Brokerage!$B153,'YTD Purchases'!$G:$G,Brokerage!L$4)</f>
        <v>0</v>
      </c>
      <c r="M153" s="857">
        <f>SUMIFS('YTD Sales'!$N:$N,'YTD Sales'!$B:$B,Brokerage!$B153,'YTD Sales'!$M:$M,Brokerage!M$4)+SUMIFS('YTD Purchases'!$H:$H,'YTD Purchases'!$C:$C,Brokerage!$B153,'YTD Purchases'!$G:$G,Brokerage!M$4)</f>
        <v>0</v>
      </c>
      <c r="N153" s="857">
        <f>SUMIFS('YTD Sales'!$N:$N,'YTD Sales'!$B:$B,Brokerage!$B153,'YTD Sales'!$M:$M,Brokerage!N$4)+SUMIFS('YTD Purchases'!$H:$H,'YTD Purchases'!$C:$C,Brokerage!$B153,'YTD Purchases'!$G:$G,Brokerage!N$4)</f>
        <v>0</v>
      </c>
      <c r="O153" s="857">
        <f>SUMIFS('YTD Sales'!$N:$N,'YTD Sales'!$B:$B,Brokerage!$B153,'YTD Sales'!$M:$M,Brokerage!O$4)+SUMIFS('YTD Purchases'!$H:$H,'YTD Purchases'!$C:$C,Brokerage!$B153,'YTD Purchases'!$G:$G,Brokerage!O$4)</f>
        <v>0</v>
      </c>
      <c r="P153" s="857">
        <f>SUMIFS('YTD Sales'!$N:$N,'YTD Sales'!$B:$B,Brokerage!$B153,'YTD Sales'!$M:$M,Brokerage!P$4)+SUMIFS('YTD Purchases'!$H:$H,'YTD Purchases'!$C:$C,Brokerage!$B153,'YTD Purchases'!$G:$G,Brokerage!P$4)</f>
        <v>0</v>
      </c>
      <c r="Q153" s="857">
        <f>SUMIFS('YTD Sales'!$N:$N,'YTD Sales'!$B:$B,Brokerage!$B153,'YTD Sales'!$M:$M,Brokerage!Q$4)+SUMIFS('YTD Purchases'!$H:$H,'YTD Purchases'!$C:$C,Brokerage!$B153,'YTD Purchases'!$G:$G,Brokerage!Q$4)</f>
        <v>0</v>
      </c>
      <c r="R153" s="857">
        <f>SUMIFS('YTD Sales'!$N:$N,'YTD Sales'!$B:$B,Brokerage!$B153,'YTD Sales'!$M:$M,Brokerage!R$4)+SUMIFS('YTD Purchases'!$H:$H,'YTD Purchases'!$C:$C,Brokerage!$B153,'YTD Purchases'!$G:$G,Brokerage!R$4)</f>
        <v>0</v>
      </c>
      <c r="S153" s="857">
        <f>SUMIFS('YTD Sales'!$N:$N,'YTD Sales'!$B:$B,Brokerage!$B153,'YTD Sales'!$M:$M,Brokerage!S$4)+SUMIFS('YTD Purchases'!$H:$H,'YTD Purchases'!$C:$C,Brokerage!$B153,'YTD Purchases'!$G:$G,Brokerage!S$4)</f>
        <v>0</v>
      </c>
      <c r="T153" s="857">
        <f>SUMIFS('YTD Sales'!$N:$N,'YTD Sales'!$B:$B,Brokerage!$B153,'YTD Sales'!$M:$M,Brokerage!T$4)+SUMIFS('YTD Purchases'!$H:$H,'YTD Purchases'!$C:$C,Brokerage!$B153,'YTD Purchases'!$G:$G,Brokerage!T$4)</f>
        <v>0</v>
      </c>
      <c r="U153" s="857">
        <f>SUMIFS('YTD Sales'!$N:$N,'YTD Sales'!$B:$B,Brokerage!$B153,'YTD Sales'!$M:$M,Brokerage!U$4)+SUMIFS('YTD Purchases'!$H:$H,'YTD Purchases'!$C:$C,Brokerage!$B153,'YTD Purchases'!$G:$G,Brokerage!U$4)</f>
        <v>0</v>
      </c>
      <c r="V153" s="857">
        <f>SUMIFS('YTD Sales'!$N:$N,'YTD Sales'!$B:$B,Brokerage!$B153,'YTD Sales'!$M:$M,Brokerage!V$4)+SUMIFS('YTD Purchases'!$H:$H,'YTD Purchases'!$C:$C,Brokerage!$B153,'YTD Purchases'!$G:$G,Brokerage!V$4)</f>
        <v>0</v>
      </c>
      <c r="W153" s="857">
        <f>SUMIFS('YTD Sales'!$N:$N,'YTD Sales'!$B:$B,Brokerage!$B153,'YTD Sales'!$M:$M,Brokerage!W$4)+SUMIFS('YTD Purchases'!$H:$H,'YTD Purchases'!$C:$C,Brokerage!$B153,'YTD Purchases'!$G:$G,Brokerage!W$4)</f>
        <v>0</v>
      </c>
      <c r="X153" s="857">
        <f>SUMIFS('YTD Sales'!$N:$N,'YTD Sales'!$B:$B,Brokerage!$B153,'YTD Sales'!$M:$M,Brokerage!X$4)+SUMIFS('YTD Purchases'!$H:$H,'YTD Purchases'!$C:$C,Brokerage!$B153,'YTD Purchases'!$G:$G,Brokerage!X$4)</f>
        <v>0</v>
      </c>
      <c r="Y153" s="857">
        <f>SUMIFS('YTD Sales'!$N:$N,'YTD Sales'!$B:$B,Brokerage!$B153,'YTD Sales'!$M:$M,Brokerage!Y$4)+SUMIFS('YTD Purchases'!$H:$H,'YTD Purchases'!$C:$C,Brokerage!$B153,'YTD Purchases'!$G:$G,Brokerage!Y$4)</f>
        <v>0</v>
      </c>
      <c r="Z153" s="857">
        <f>SUMIFS('YTD Sales'!$N:$N,'YTD Sales'!$B:$B,Brokerage!$B153,'YTD Sales'!$M:$M,Brokerage!Z$4)+SUMIFS('YTD Purchases'!$H:$H,'YTD Purchases'!$C:$C,Brokerage!$B153,'YTD Purchases'!$G:$G,Brokerage!Z$4)</f>
        <v>0</v>
      </c>
      <c r="AA153" s="857">
        <f>SUMIFS('YTD Sales'!$N:$N,'YTD Sales'!$B:$B,Brokerage!$B153,'YTD Sales'!$M:$M,Brokerage!AA$4)+SUMIFS('YTD Purchases'!$H:$H,'YTD Purchases'!$C:$C,Brokerage!$B153,'YTD Purchases'!$G:$G,Brokerage!AA$4)</f>
        <v>0</v>
      </c>
      <c r="AB153" s="857">
        <f>SUMIFS('YTD Sales'!$N:$N,'YTD Sales'!$B:$B,Brokerage!$B153,'YTD Sales'!$M:$M,Brokerage!AB$4)+SUMIFS('YTD Purchases'!$H:$H,'YTD Purchases'!$C:$C,Brokerage!$B153,'YTD Purchases'!$G:$G,Brokerage!AB$4)</f>
        <v>0</v>
      </c>
      <c r="AC153" s="857">
        <f>SUMIFS('YTD Sales'!$N:$N,'YTD Sales'!$B:$B,Brokerage!$B153,'YTD Sales'!$M:$M,Brokerage!AC$4)+SUMIFS('YTD Purchases'!$H:$H,'YTD Purchases'!$C:$C,Brokerage!$B153,'YTD Purchases'!$G:$G,Brokerage!AC$4)</f>
        <v>0</v>
      </c>
      <c r="AD153" s="857">
        <f>+SUMIFS(PIB!AG:AG,PIB!AF:AF,Brokerage!AD$4,PIB!AA:AA,Brokerage!$B153)+SUMIFS('T-Bills'!AB:AB,'T-Bills'!AA:AA,Brokerage!AD$4,'T-Bills'!V:V,Brokerage!$B153)</f>
        <v>0</v>
      </c>
      <c r="AE153" s="857">
        <f>+SUMIFS(PIB!AH:AH,PIB!AG:AG,Brokerage!AE$4,PIB!AB:AB,Brokerage!$B153)+SUMIFS('T-Bills'!AC:AC,'T-Bills'!AB:AB,Brokerage!AE$4,'T-Bills'!W:W,Brokerage!$B153)</f>
        <v>0</v>
      </c>
      <c r="AF153" s="857">
        <f>+SUMIFS(PIB!AI:AI,PIB!AH:AH,Brokerage!AF$4,PIB!AC:AC,Brokerage!$B153)+SUMIFS('T-Bills'!AD:AD,'T-Bills'!AC:AC,Brokerage!AF$4,'T-Bills'!X:X,Brokerage!$B153)</f>
        <v>0</v>
      </c>
      <c r="AG153" s="857">
        <f t="shared" si="19"/>
        <v>0</v>
      </c>
      <c r="AH153" s="858">
        <f t="shared" si="20"/>
        <v>0</v>
      </c>
    </row>
    <row r="154" spans="2:34" x14ac:dyDescent="0.15">
      <c r="B154" s="661">
        <f t="shared" si="18"/>
        <v>44710</v>
      </c>
      <c r="C154" s="857">
        <f>SUMIFS('YTD Sales'!$N:$N,'YTD Sales'!$B:$B,Brokerage!$B154,'YTD Sales'!$M:$M,Brokerage!C$4)+SUMIFS('YTD Purchases'!$H:$H,'YTD Purchases'!$C:$C,Brokerage!$B154,'YTD Purchases'!$G:$G,Brokerage!C$4)</f>
        <v>0</v>
      </c>
      <c r="D154" s="857">
        <f>SUMIFS('YTD Sales'!$N:$N,'YTD Sales'!$B:$B,Brokerage!$B154,'YTD Sales'!$M:$M,Brokerage!D$4)+SUMIFS('YTD Purchases'!$H:$H,'YTD Purchases'!$C:$C,Brokerage!$B154,'YTD Purchases'!$G:$G,Brokerage!D$4)</f>
        <v>0</v>
      </c>
      <c r="E154" s="857">
        <f>SUMIFS('YTD Sales'!$N:$N,'YTD Sales'!$B:$B,Brokerage!$B154,'YTD Sales'!$M:$M,Brokerage!E$4)+SUMIFS('YTD Purchases'!$H:$H,'YTD Purchases'!$C:$C,Brokerage!$B154,'YTD Purchases'!$G:$G,Brokerage!E$4)</f>
        <v>0</v>
      </c>
      <c r="F154" s="857">
        <f>SUMIFS('YTD Sales'!$N:$N,'YTD Sales'!$B:$B,Brokerage!$B154,'YTD Sales'!$M:$M,Brokerage!F$4)+SUMIFS('YTD Purchases'!$H:$H,'YTD Purchases'!$C:$C,Brokerage!$B154,'YTD Purchases'!$G:$G,Brokerage!F$4)</f>
        <v>0</v>
      </c>
      <c r="G154" s="857">
        <f>SUMIFS('YTD Sales'!$N:$N,'YTD Sales'!$B:$B,Brokerage!$B154,'YTD Sales'!$M:$M,Brokerage!G$4)+SUMIFS('YTD Purchases'!$H:$H,'YTD Purchases'!$C:$C,Brokerage!$B154,'YTD Purchases'!$G:$G,Brokerage!G$4)</f>
        <v>0</v>
      </c>
      <c r="H154" s="857">
        <f>SUMIFS('YTD Sales'!$N:$N,'YTD Sales'!$B:$B,Brokerage!$B154,'YTD Sales'!$M:$M,Brokerage!H$4)+SUMIFS('YTD Purchases'!$H:$H,'YTD Purchases'!$C:$C,Brokerage!$B154,'YTD Purchases'!$G:$G,Brokerage!H$4)</f>
        <v>0</v>
      </c>
      <c r="I154" s="857">
        <f>SUMIFS('YTD Sales'!$N:$N,'YTD Sales'!$B:$B,Brokerage!$B154,'YTD Sales'!$M:$M,Brokerage!I$4)+SUMIFS('YTD Purchases'!$H:$H,'YTD Purchases'!$C:$C,Brokerage!$B154,'YTD Purchases'!$G:$G,Brokerage!I$4)</f>
        <v>0</v>
      </c>
      <c r="J154" s="857">
        <f>SUMIFS('YTD Sales'!$N:$N,'YTD Sales'!$B:$B,Brokerage!$B154,'YTD Sales'!$M:$M,Brokerage!J$4)+SUMIFS('YTD Purchases'!$H:$H,'YTD Purchases'!$C:$C,Brokerage!$B154,'YTD Purchases'!$G:$G,Brokerage!J$4)</f>
        <v>0</v>
      </c>
      <c r="K154" s="857">
        <f>SUMIFS('YTD Sales'!$N:$N,'YTD Sales'!$B:$B,Brokerage!$B154,'YTD Sales'!$M:$M,Brokerage!K$4)+SUMIFS('YTD Purchases'!$H:$H,'YTD Purchases'!$C:$C,Brokerage!$B154,'YTD Purchases'!$G:$G,Brokerage!K$4)</f>
        <v>0</v>
      </c>
      <c r="L154" s="857">
        <f>SUMIFS('YTD Sales'!$N:$N,'YTD Sales'!$B:$B,Brokerage!$B154,'YTD Sales'!$M:$M,Brokerage!L$4)+SUMIFS('YTD Purchases'!$H:$H,'YTD Purchases'!$C:$C,Brokerage!$B154,'YTD Purchases'!$G:$G,Brokerage!L$4)</f>
        <v>0</v>
      </c>
      <c r="M154" s="857">
        <f>SUMIFS('YTD Sales'!$N:$N,'YTD Sales'!$B:$B,Brokerage!$B154,'YTD Sales'!$M:$M,Brokerage!M$4)+SUMIFS('YTD Purchases'!$H:$H,'YTD Purchases'!$C:$C,Brokerage!$B154,'YTD Purchases'!$G:$G,Brokerage!M$4)</f>
        <v>0</v>
      </c>
      <c r="N154" s="857">
        <f>SUMIFS('YTD Sales'!$N:$N,'YTD Sales'!$B:$B,Brokerage!$B154,'YTD Sales'!$M:$M,Brokerage!N$4)+SUMIFS('YTD Purchases'!$H:$H,'YTD Purchases'!$C:$C,Brokerage!$B154,'YTD Purchases'!$G:$G,Brokerage!N$4)</f>
        <v>0</v>
      </c>
      <c r="O154" s="857">
        <f>SUMIFS('YTD Sales'!$N:$N,'YTD Sales'!$B:$B,Brokerage!$B154,'YTD Sales'!$M:$M,Brokerage!O$4)+SUMIFS('YTD Purchases'!$H:$H,'YTD Purchases'!$C:$C,Brokerage!$B154,'YTD Purchases'!$G:$G,Brokerage!O$4)</f>
        <v>0</v>
      </c>
      <c r="P154" s="857">
        <f>SUMIFS('YTD Sales'!$N:$N,'YTD Sales'!$B:$B,Brokerage!$B154,'YTD Sales'!$M:$M,Brokerage!P$4)+SUMIFS('YTD Purchases'!$H:$H,'YTD Purchases'!$C:$C,Brokerage!$B154,'YTD Purchases'!$G:$G,Brokerage!P$4)</f>
        <v>0</v>
      </c>
      <c r="Q154" s="857">
        <f>SUMIFS('YTD Sales'!$N:$N,'YTD Sales'!$B:$B,Brokerage!$B154,'YTD Sales'!$M:$M,Brokerage!Q$4)+SUMIFS('YTD Purchases'!$H:$H,'YTD Purchases'!$C:$C,Brokerage!$B154,'YTD Purchases'!$G:$G,Brokerage!Q$4)</f>
        <v>0</v>
      </c>
      <c r="R154" s="857">
        <f>SUMIFS('YTD Sales'!$N:$N,'YTD Sales'!$B:$B,Brokerage!$B154,'YTD Sales'!$M:$M,Brokerage!R$4)+SUMIFS('YTD Purchases'!$H:$H,'YTD Purchases'!$C:$C,Brokerage!$B154,'YTD Purchases'!$G:$G,Brokerage!R$4)</f>
        <v>0</v>
      </c>
      <c r="S154" s="857">
        <f>SUMIFS('YTD Sales'!$N:$N,'YTD Sales'!$B:$B,Brokerage!$B154,'YTD Sales'!$M:$M,Brokerage!S$4)+SUMIFS('YTD Purchases'!$H:$H,'YTD Purchases'!$C:$C,Brokerage!$B154,'YTD Purchases'!$G:$G,Brokerage!S$4)</f>
        <v>0</v>
      </c>
      <c r="T154" s="857">
        <f>SUMIFS('YTD Sales'!$N:$N,'YTD Sales'!$B:$B,Brokerage!$B154,'YTD Sales'!$M:$M,Brokerage!T$4)+SUMIFS('YTD Purchases'!$H:$H,'YTD Purchases'!$C:$C,Brokerage!$B154,'YTD Purchases'!$G:$G,Brokerage!T$4)</f>
        <v>0</v>
      </c>
      <c r="U154" s="857">
        <f>SUMIFS('YTD Sales'!$N:$N,'YTD Sales'!$B:$B,Brokerage!$B154,'YTD Sales'!$M:$M,Brokerage!U$4)+SUMIFS('YTD Purchases'!$H:$H,'YTD Purchases'!$C:$C,Brokerage!$B154,'YTD Purchases'!$G:$G,Brokerage!U$4)</f>
        <v>0</v>
      </c>
      <c r="V154" s="857">
        <f>SUMIFS('YTD Sales'!$N:$N,'YTD Sales'!$B:$B,Brokerage!$B154,'YTD Sales'!$M:$M,Brokerage!V$4)+SUMIFS('YTD Purchases'!$H:$H,'YTD Purchases'!$C:$C,Brokerage!$B154,'YTD Purchases'!$G:$G,Brokerage!V$4)</f>
        <v>0</v>
      </c>
      <c r="W154" s="857">
        <f>SUMIFS('YTD Sales'!$N:$N,'YTD Sales'!$B:$B,Brokerage!$B154,'YTD Sales'!$M:$M,Brokerage!W$4)+SUMIFS('YTD Purchases'!$H:$H,'YTD Purchases'!$C:$C,Brokerage!$B154,'YTD Purchases'!$G:$G,Brokerage!W$4)</f>
        <v>0</v>
      </c>
      <c r="X154" s="857">
        <f>SUMIFS('YTD Sales'!$N:$N,'YTD Sales'!$B:$B,Brokerage!$B154,'YTD Sales'!$M:$M,Brokerage!X$4)+SUMIFS('YTD Purchases'!$H:$H,'YTD Purchases'!$C:$C,Brokerage!$B154,'YTD Purchases'!$G:$G,Brokerage!X$4)</f>
        <v>0</v>
      </c>
      <c r="Y154" s="857">
        <f>SUMIFS('YTD Sales'!$N:$N,'YTD Sales'!$B:$B,Brokerage!$B154,'YTD Sales'!$M:$M,Brokerage!Y$4)+SUMIFS('YTD Purchases'!$H:$H,'YTD Purchases'!$C:$C,Brokerage!$B154,'YTD Purchases'!$G:$G,Brokerage!Y$4)</f>
        <v>0</v>
      </c>
      <c r="Z154" s="857">
        <f>SUMIFS('YTD Sales'!$N:$N,'YTD Sales'!$B:$B,Brokerage!$B154,'YTD Sales'!$M:$M,Brokerage!Z$4)+SUMIFS('YTD Purchases'!$H:$H,'YTD Purchases'!$C:$C,Brokerage!$B154,'YTD Purchases'!$G:$G,Brokerage!Z$4)</f>
        <v>0</v>
      </c>
      <c r="AA154" s="857">
        <f>SUMIFS('YTD Sales'!$N:$N,'YTD Sales'!$B:$B,Brokerage!$B154,'YTD Sales'!$M:$M,Brokerage!AA$4)+SUMIFS('YTD Purchases'!$H:$H,'YTD Purchases'!$C:$C,Brokerage!$B154,'YTD Purchases'!$G:$G,Brokerage!AA$4)</f>
        <v>0</v>
      </c>
      <c r="AB154" s="857">
        <f>SUMIFS('YTD Sales'!$N:$N,'YTD Sales'!$B:$B,Brokerage!$B154,'YTD Sales'!$M:$M,Brokerage!AB$4)+SUMIFS('YTD Purchases'!$H:$H,'YTD Purchases'!$C:$C,Brokerage!$B154,'YTD Purchases'!$G:$G,Brokerage!AB$4)</f>
        <v>0</v>
      </c>
      <c r="AC154" s="857">
        <f>SUMIFS('YTD Sales'!$N:$N,'YTD Sales'!$B:$B,Brokerage!$B154,'YTD Sales'!$M:$M,Brokerage!AC$4)+SUMIFS('YTD Purchases'!$H:$H,'YTD Purchases'!$C:$C,Brokerage!$B154,'YTD Purchases'!$G:$G,Brokerage!AC$4)</f>
        <v>0</v>
      </c>
      <c r="AD154" s="857">
        <f>+SUMIFS(PIB!AG:AG,PIB!AF:AF,Brokerage!AD$4,PIB!AA:AA,Brokerage!$B154)+SUMIFS('T-Bills'!AB:AB,'T-Bills'!AA:AA,Brokerage!AD$4,'T-Bills'!V:V,Brokerage!$B154)</f>
        <v>0</v>
      </c>
      <c r="AE154" s="857">
        <f>+SUMIFS(PIB!AH:AH,PIB!AG:AG,Brokerage!AE$4,PIB!AB:AB,Brokerage!$B154)+SUMIFS('T-Bills'!AC:AC,'T-Bills'!AB:AB,Brokerage!AE$4,'T-Bills'!W:W,Brokerage!$B154)</f>
        <v>0</v>
      </c>
      <c r="AF154" s="857">
        <f>+SUMIFS(PIB!AI:AI,PIB!AH:AH,Brokerage!AF$4,PIB!AC:AC,Brokerage!$B154)+SUMIFS('T-Bills'!AD:AD,'T-Bills'!AC:AC,Brokerage!AF$4,'T-Bills'!X:X,Brokerage!$B154)</f>
        <v>0</v>
      </c>
      <c r="AG154" s="857">
        <f t="shared" si="19"/>
        <v>0</v>
      </c>
      <c r="AH154" s="858">
        <f t="shared" si="20"/>
        <v>0</v>
      </c>
    </row>
    <row r="155" spans="2:34" x14ac:dyDescent="0.15">
      <c r="B155" s="661">
        <f t="shared" si="18"/>
        <v>44711</v>
      </c>
      <c r="C155" s="857">
        <f>SUMIFS('YTD Sales'!$N:$N,'YTD Sales'!$B:$B,Brokerage!$B155,'YTD Sales'!$M:$M,Brokerage!C$4)+SUMIFS('YTD Purchases'!$H:$H,'YTD Purchases'!$C:$C,Brokerage!$B155,'YTD Purchases'!$G:$G,Brokerage!C$4)</f>
        <v>0</v>
      </c>
      <c r="D155" s="857">
        <f>SUMIFS('YTD Sales'!$N:$N,'YTD Sales'!$B:$B,Brokerage!$B155,'YTD Sales'!$M:$M,Brokerage!D$4)+SUMIFS('YTD Purchases'!$H:$H,'YTD Purchases'!$C:$C,Brokerage!$B155,'YTD Purchases'!$G:$G,Brokerage!D$4)</f>
        <v>0</v>
      </c>
      <c r="E155" s="857">
        <f>SUMIFS('YTD Sales'!$N:$N,'YTD Sales'!$B:$B,Brokerage!$B155,'YTD Sales'!$M:$M,Brokerage!E$4)+SUMIFS('YTD Purchases'!$H:$H,'YTD Purchases'!$C:$C,Brokerage!$B155,'YTD Purchases'!$G:$G,Brokerage!E$4)</f>
        <v>0</v>
      </c>
      <c r="F155" s="857">
        <f>SUMIFS('YTD Sales'!$N:$N,'YTD Sales'!$B:$B,Brokerage!$B155,'YTD Sales'!$M:$M,Brokerage!F$4)+SUMIFS('YTD Purchases'!$H:$H,'YTD Purchases'!$C:$C,Brokerage!$B155,'YTD Purchases'!$G:$G,Brokerage!F$4)</f>
        <v>0</v>
      </c>
      <c r="G155" s="857">
        <f>SUMIFS('YTD Sales'!$N:$N,'YTD Sales'!$B:$B,Brokerage!$B155,'YTD Sales'!$M:$M,Brokerage!G$4)+SUMIFS('YTD Purchases'!$H:$H,'YTD Purchases'!$C:$C,Brokerage!$B155,'YTD Purchases'!$G:$G,Brokerage!G$4)</f>
        <v>0</v>
      </c>
      <c r="H155" s="857">
        <f>SUMIFS('YTD Sales'!$N:$N,'YTD Sales'!$B:$B,Brokerage!$B155,'YTD Sales'!$M:$M,Brokerage!H$4)+SUMIFS('YTD Purchases'!$H:$H,'YTD Purchases'!$C:$C,Brokerage!$B155,'YTD Purchases'!$G:$G,Brokerage!H$4)</f>
        <v>0</v>
      </c>
      <c r="I155" s="857">
        <f>SUMIFS('YTD Sales'!$N:$N,'YTD Sales'!$B:$B,Brokerage!$B155,'YTD Sales'!$M:$M,Brokerage!I$4)+SUMIFS('YTD Purchases'!$H:$H,'YTD Purchases'!$C:$C,Brokerage!$B155,'YTD Purchases'!$G:$G,Brokerage!I$4)</f>
        <v>0</v>
      </c>
      <c r="J155" s="857">
        <f>SUMIFS('YTD Sales'!$N:$N,'YTD Sales'!$B:$B,Brokerage!$B155,'YTD Sales'!$M:$M,Brokerage!J$4)+SUMIFS('YTD Purchases'!$H:$H,'YTD Purchases'!$C:$C,Brokerage!$B155,'YTD Purchases'!$G:$G,Brokerage!J$4)</f>
        <v>0</v>
      </c>
      <c r="K155" s="857">
        <f>SUMIFS('YTD Sales'!$N:$N,'YTD Sales'!$B:$B,Brokerage!$B155,'YTD Sales'!$M:$M,Brokerage!K$4)+SUMIFS('YTD Purchases'!$H:$H,'YTD Purchases'!$C:$C,Brokerage!$B155,'YTD Purchases'!$G:$G,Brokerage!K$4)</f>
        <v>0</v>
      </c>
      <c r="L155" s="857">
        <f>SUMIFS('YTD Sales'!$N:$N,'YTD Sales'!$B:$B,Brokerage!$B155,'YTD Sales'!$M:$M,Brokerage!L$4)+SUMIFS('YTD Purchases'!$H:$H,'YTD Purchases'!$C:$C,Brokerage!$B155,'YTD Purchases'!$G:$G,Brokerage!L$4)</f>
        <v>0</v>
      </c>
      <c r="M155" s="857">
        <f>SUMIFS('YTD Sales'!$N:$N,'YTD Sales'!$B:$B,Brokerage!$B155,'YTD Sales'!$M:$M,Brokerage!M$4)+SUMIFS('YTD Purchases'!$H:$H,'YTD Purchases'!$C:$C,Brokerage!$B155,'YTD Purchases'!$G:$G,Brokerage!M$4)</f>
        <v>0</v>
      </c>
      <c r="N155" s="857">
        <f>SUMIFS('YTD Sales'!$N:$N,'YTD Sales'!$B:$B,Brokerage!$B155,'YTD Sales'!$M:$M,Brokerage!N$4)+SUMIFS('YTD Purchases'!$H:$H,'YTD Purchases'!$C:$C,Brokerage!$B155,'YTD Purchases'!$G:$G,Brokerage!N$4)</f>
        <v>0</v>
      </c>
      <c r="O155" s="857">
        <f>SUMIFS('YTD Sales'!$N:$N,'YTD Sales'!$B:$B,Brokerage!$B155,'YTD Sales'!$M:$M,Brokerage!O$4)+SUMIFS('YTD Purchases'!$H:$H,'YTD Purchases'!$C:$C,Brokerage!$B155,'YTD Purchases'!$G:$G,Brokerage!O$4)</f>
        <v>0</v>
      </c>
      <c r="P155" s="857">
        <f>SUMIFS('YTD Sales'!$N:$N,'YTD Sales'!$B:$B,Brokerage!$B155,'YTD Sales'!$M:$M,Brokerage!P$4)+SUMIFS('YTD Purchases'!$H:$H,'YTD Purchases'!$C:$C,Brokerage!$B155,'YTD Purchases'!$G:$G,Brokerage!P$4)</f>
        <v>0</v>
      </c>
      <c r="Q155" s="857">
        <f>SUMIFS('YTD Sales'!$N:$N,'YTD Sales'!$B:$B,Brokerage!$B155,'YTD Sales'!$M:$M,Brokerage!Q$4)+SUMIFS('YTD Purchases'!$H:$H,'YTD Purchases'!$C:$C,Brokerage!$B155,'YTD Purchases'!$G:$G,Brokerage!Q$4)</f>
        <v>668.56</v>
      </c>
      <c r="R155" s="857">
        <f>SUMIFS('YTD Sales'!$N:$N,'YTD Sales'!$B:$B,Brokerage!$B155,'YTD Sales'!$M:$M,Brokerage!R$4)+SUMIFS('YTD Purchases'!$H:$H,'YTD Purchases'!$C:$C,Brokerage!$B155,'YTD Purchases'!$G:$G,Brokerage!R$4)</f>
        <v>0</v>
      </c>
      <c r="S155" s="857">
        <f>SUMIFS('YTD Sales'!$N:$N,'YTD Sales'!$B:$B,Brokerage!$B155,'YTD Sales'!$M:$M,Brokerage!S$4)+SUMIFS('YTD Purchases'!$H:$H,'YTD Purchases'!$C:$C,Brokerage!$B155,'YTD Purchases'!$G:$G,Brokerage!S$4)</f>
        <v>0</v>
      </c>
      <c r="T155" s="857">
        <f>SUMIFS('YTD Sales'!$N:$N,'YTD Sales'!$B:$B,Brokerage!$B155,'YTD Sales'!$M:$M,Brokerage!T$4)+SUMIFS('YTD Purchases'!$H:$H,'YTD Purchases'!$C:$C,Brokerage!$B155,'YTD Purchases'!$G:$G,Brokerage!T$4)</f>
        <v>0</v>
      </c>
      <c r="U155" s="857">
        <f>SUMIFS('YTD Sales'!$N:$N,'YTD Sales'!$B:$B,Brokerage!$B155,'YTD Sales'!$M:$M,Brokerage!U$4)+SUMIFS('YTD Purchases'!$H:$H,'YTD Purchases'!$C:$C,Brokerage!$B155,'YTD Purchases'!$G:$G,Brokerage!U$4)</f>
        <v>0</v>
      </c>
      <c r="V155" s="857">
        <f>SUMIFS('YTD Sales'!$N:$N,'YTD Sales'!$B:$B,Brokerage!$B155,'YTD Sales'!$M:$M,Brokerage!V$4)+SUMIFS('YTD Purchases'!$H:$H,'YTD Purchases'!$C:$C,Brokerage!$B155,'YTD Purchases'!$G:$G,Brokerage!V$4)</f>
        <v>0</v>
      </c>
      <c r="W155" s="857">
        <f>SUMIFS('YTD Sales'!$N:$N,'YTD Sales'!$B:$B,Brokerage!$B155,'YTD Sales'!$M:$M,Brokerage!W$4)+SUMIFS('YTD Purchases'!$H:$H,'YTD Purchases'!$C:$C,Brokerage!$B155,'YTD Purchases'!$G:$G,Brokerage!W$4)</f>
        <v>0</v>
      </c>
      <c r="X155" s="857">
        <f>SUMIFS('YTD Sales'!$N:$N,'YTD Sales'!$B:$B,Brokerage!$B155,'YTD Sales'!$M:$M,Brokerage!X$4)+SUMIFS('YTD Purchases'!$H:$H,'YTD Purchases'!$C:$C,Brokerage!$B155,'YTD Purchases'!$G:$G,Brokerage!X$4)</f>
        <v>0</v>
      </c>
      <c r="Y155" s="857">
        <f>SUMIFS('YTD Sales'!$N:$N,'YTD Sales'!$B:$B,Brokerage!$B155,'YTD Sales'!$M:$M,Brokerage!Y$4)+SUMIFS('YTD Purchases'!$H:$H,'YTD Purchases'!$C:$C,Brokerage!$B155,'YTD Purchases'!$G:$G,Brokerage!Y$4)</f>
        <v>0</v>
      </c>
      <c r="Z155" s="857">
        <f>SUMIFS('YTD Sales'!$N:$N,'YTD Sales'!$B:$B,Brokerage!$B155,'YTD Sales'!$M:$M,Brokerage!Z$4)+SUMIFS('YTD Purchases'!$H:$H,'YTD Purchases'!$C:$C,Brokerage!$B155,'YTD Purchases'!$G:$G,Brokerage!Z$4)</f>
        <v>0</v>
      </c>
      <c r="AA155" s="857">
        <f>SUMIFS('YTD Sales'!$N:$N,'YTD Sales'!$B:$B,Brokerage!$B155,'YTD Sales'!$M:$M,Brokerage!AA$4)+SUMIFS('YTD Purchases'!$H:$H,'YTD Purchases'!$C:$C,Brokerage!$B155,'YTD Purchases'!$G:$G,Brokerage!AA$4)</f>
        <v>0</v>
      </c>
      <c r="AB155" s="857">
        <f>SUMIFS('YTD Sales'!$N:$N,'YTD Sales'!$B:$B,Brokerage!$B155,'YTD Sales'!$M:$M,Brokerage!AB$4)+SUMIFS('YTD Purchases'!$H:$H,'YTD Purchases'!$C:$C,Brokerage!$B155,'YTD Purchases'!$G:$G,Brokerage!AB$4)</f>
        <v>0</v>
      </c>
      <c r="AC155" s="857">
        <f>SUMIFS('YTD Sales'!$N:$N,'YTD Sales'!$B:$B,Brokerage!$B155,'YTD Sales'!$M:$M,Brokerage!AC$4)+SUMIFS('YTD Purchases'!$H:$H,'YTD Purchases'!$C:$C,Brokerage!$B155,'YTD Purchases'!$G:$G,Brokerage!AC$4)</f>
        <v>0</v>
      </c>
      <c r="AD155" s="857">
        <f>+SUMIFS(PIB!AG:AG,PIB!AF:AF,Brokerage!AD$4,PIB!AA:AA,Brokerage!$B155)+SUMIFS('T-Bills'!AB:AB,'T-Bills'!AA:AA,Brokerage!AD$4,'T-Bills'!V:V,Brokerage!$B155)</f>
        <v>0</v>
      </c>
      <c r="AE155" s="857">
        <f>+SUMIFS(PIB!AH:AH,PIB!AG:AG,Brokerage!AE$4,PIB!AB:AB,Brokerage!$B155)+SUMIFS('T-Bills'!AC:AC,'T-Bills'!AB:AB,Brokerage!AE$4,'T-Bills'!W:W,Brokerage!$B155)</f>
        <v>0</v>
      </c>
      <c r="AF155" s="857">
        <f>+SUMIFS(PIB!AI:AI,PIB!AH:AH,Brokerage!AF$4,PIB!AC:AC,Brokerage!$B155)+SUMIFS('T-Bills'!AD:AD,'T-Bills'!AC:AC,Brokerage!AF$4,'T-Bills'!X:X,Brokerage!$B155)</f>
        <v>0</v>
      </c>
      <c r="AG155" s="857">
        <f t="shared" si="19"/>
        <v>668.56</v>
      </c>
      <c r="AH155" s="858">
        <f t="shared" si="20"/>
        <v>0</v>
      </c>
    </row>
    <row r="156" spans="2:34" x14ac:dyDescent="0.15">
      <c r="B156" s="661">
        <f t="shared" si="18"/>
        <v>44712</v>
      </c>
      <c r="C156" s="857">
        <f>SUMIFS('YTD Sales'!$N:$N,'YTD Sales'!$B:$B,Brokerage!$B156,'YTD Sales'!$M:$M,Brokerage!C$4)+SUMIFS('YTD Purchases'!$H:$H,'YTD Purchases'!$C:$C,Brokerage!$B156,'YTD Purchases'!$G:$G,Brokerage!C$4)</f>
        <v>0</v>
      </c>
      <c r="D156" s="857">
        <f>SUMIFS('YTD Sales'!$N:$N,'YTD Sales'!$B:$B,Brokerage!$B156,'YTD Sales'!$M:$M,Brokerage!D$4)+SUMIFS('YTD Purchases'!$H:$H,'YTD Purchases'!$C:$C,Brokerage!$B156,'YTD Purchases'!$G:$G,Brokerage!D$4)</f>
        <v>0</v>
      </c>
      <c r="E156" s="857">
        <f>SUMIFS('YTD Sales'!$N:$N,'YTD Sales'!$B:$B,Brokerage!$B156,'YTD Sales'!$M:$M,Brokerage!E$4)+SUMIFS('YTD Purchases'!$H:$H,'YTD Purchases'!$C:$C,Brokerage!$B156,'YTD Purchases'!$G:$G,Brokerage!E$4)</f>
        <v>0</v>
      </c>
      <c r="F156" s="857">
        <f>SUMIFS('YTD Sales'!$N:$N,'YTD Sales'!$B:$B,Brokerage!$B156,'YTD Sales'!$M:$M,Brokerage!F$4)+SUMIFS('YTD Purchases'!$H:$H,'YTD Purchases'!$C:$C,Brokerage!$B156,'YTD Purchases'!$G:$G,Brokerage!F$4)</f>
        <v>0</v>
      </c>
      <c r="G156" s="857">
        <f>SUMIFS('YTD Sales'!$N:$N,'YTD Sales'!$B:$B,Brokerage!$B156,'YTD Sales'!$M:$M,Brokerage!G$4)+SUMIFS('YTD Purchases'!$H:$H,'YTD Purchases'!$C:$C,Brokerage!$B156,'YTD Purchases'!$G:$G,Brokerage!G$4)</f>
        <v>0</v>
      </c>
      <c r="H156" s="857">
        <f>SUMIFS('YTD Sales'!$N:$N,'YTD Sales'!$B:$B,Brokerage!$B156,'YTD Sales'!$M:$M,Brokerage!H$4)+SUMIFS('YTD Purchases'!$H:$H,'YTD Purchases'!$C:$C,Brokerage!$B156,'YTD Purchases'!$G:$G,Brokerage!H$4)</f>
        <v>0</v>
      </c>
      <c r="I156" s="857">
        <f>SUMIFS('YTD Sales'!$N:$N,'YTD Sales'!$B:$B,Brokerage!$B156,'YTD Sales'!$M:$M,Brokerage!I$4)+SUMIFS('YTD Purchases'!$H:$H,'YTD Purchases'!$C:$C,Brokerage!$B156,'YTD Purchases'!$G:$G,Brokerage!I$4)</f>
        <v>0</v>
      </c>
      <c r="J156" s="857">
        <f>SUMIFS('YTD Sales'!$N:$N,'YTD Sales'!$B:$B,Brokerage!$B156,'YTD Sales'!$M:$M,Brokerage!J$4)+SUMIFS('YTD Purchases'!$H:$H,'YTD Purchases'!$C:$C,Brokerage!$B156,'YTD Purchases'!$G:$G,Brokerage!J$4)</f>
        <v>0</v>
      </c>
      <c r="K156" s="857">
        <f>SUMIFS('YTD Sales'!$N:$N,'YTD Sales'!$B:$B,Brokerage!$B156,'YTD Sales'!$M:$M,Brokerage!K$4)+SUMIFS('YTD Purchases'!$H:$H,'YTD Purchases'!$C:$C,Brokerage!$B156,'YTD Purchases'!$G:$G,Brokerage!K$4)</f>
        <v>0</v>
      </c>
      <c r="L156" s="857">
        <f>SUMIFS('YTD Sales'!$N:$N,'YTD Sales'!$B:$B,Brokerage!$B156,'YTD Sales'!$M:$M,Brokerage!L$4)+SUMIFS('YTD Purchases'!$H:$H,'YTD Purchases'!$C:$C,Brokerage!$B156,'YTD Purchases'!$G:$G,Brokerage!L$4)</f>
        <v>0</v>
      </c>
      <c r="M156" s="857">
        <f>SUMIFS('YTD Sales'!$N:$N,'YTD Sales'!$B:$B,Brokerage!$B156,'YTD Sales'!$M:$M,Brokerage!M$4)+SUMIFS('YTD Purchases'!$H:$H,'YTD Purchases'!$C:$C,Brokerage!$B156,'YTD Purchases'!$G:$G,Brokerage!M$4)</f>
        <v>305.10000000000002</v>
      </c>
      <c r="N156" s="857">
        <f>SUMIFS('YTD Sales'!$N:$N,'YTD Sales'!$B:$B,Brokerage!$B156,'YTD Sales'!$M:$M,Brokerage!N$4)+SUMIFS('YTD Purchases'!$H:$H,'YTD Purchases'!$C:$C,Brokerage!$B156,'YTD Purchases'!$G:$G,Brokerage!N$4)</f>
        <v>0</v>
      </c>
      <c r="O156" s="857">
        <f>SUMIFS('YTD Sales'!$N:$N,'YTD Sales'!$B:$B,Brokerage!$B156,'YTD Sales'!$M:$M,Brokerage!O$4)+SUMIFS('YTD Purchases'!$H:$H,'YTD Purchases'!$C:$C,Brokerage!$B156,'YTD Purchases'!$G:$G,Brokerage!O$4)</f>
        <v>0</v>
      </c>
      <c r="P156" s="857">
        <f>SUMIFS('YTD Sales'!$N:$N,'YTD Sales'!$B:$B,Brokerage!$B156,'YTD Sales'!$M:$M,Brokerage!P$4)+SUMIFS('YTD Purchases'!$H:$H,'YTD Purchases'!$C:$C,Brokerage!$B156,'YTD Purchases'!$G:$G,Brokerage!P$4)</f>
        <v>0</v>
      </c>
      <c r="Q156" s="857">
        <f>SUMIFS('YTD Sales'!$N:$N,'YTD Sales'!$B:$B,Brokerage!$B156,'YTD Sales'!$M:$M,Brokerage!Q$4)+SUMIFS('YTD Purchases'!$H:$H,'YTD Purchases'!$C:$C,Brokerage!$B156,'YTD Purchases'!$G:$G,Brokerage!Q$4)</f>
        <v>0</v>
      </c>
      <c r="R156" s="857">
        <f>SUMIFS('YTD Sales'!$N:$N,'YTD Sales'!$B:$B,Brokerage!$B156,'YTD Sales'!$M:$M,Brokerage!R$4)+SUMIFS('YTD Purchases'!$H:$H,'YTD Purchases'!$C:$C,Brokerage!$B156,'YTD Purchases'!$G:$G,Brokerage!R$4)</f>
        <v>0</v>
      </c>
      <c r="S156" s="857">
        <f>SUMIFS('YTD Sales'!$N:$N,'YTD Sales'!$B:$B,Brokerage!$B156,'YTD Sales'!$M:$M,Brokerage!S$4)+SUMIFS('YTD Purchases'!$H:$H,'YTD Purchases'!$C:$C,Brokerage!$B156,'YTD Purchases'!$G:$G,Brokerage!S$4)</f>
        <v>0</v>
      </c>
      <c r="T156" s="857">
        <f>SUMIFS('YTD Sales'!$N:$N,'YTD Sales'!$B:$B,Brokerage!$B156,'YTD Sales'!$M:$M,Brokerage!T$4)+SUMIFS('YTD Purchases'!$H:$H,'YTD Purchases'!$C:$C,Brokerage!$B156,'YTD Purchases'!$G:$G,Brokerage!T$4)</f>
        <v>0</v>
      </c>
      <c r="U156" s="857">
        <f>SUMIFS('YTD Sales'!$N:$N,'YTD Sales'!$B:$B,Brokerage!$B156,'YTD Sales'!$M:$M,Brokerage!U$4)+SUMIFS('YTD Purchases'!$H:$H,'YTD Purchases'!$C:$C,Brokerage!$B156,'YTD Purchases'!$G:$G,Brokerage!U$4)</f>
        <v>0</v>
      </c>
      <c r="V156" s="857">
        <f>SUMIFS('YTD Sales'!$N:$N,'YTD Sales'!$B:$B,Brokerage!$B156,'YTD Sales'!$M:$M,Brokerage!V$4)+SUMIFS('YTD Purchases'!$H:$H,'YTD Purchases'!$C:$C,Brokerage!$B156,'YTD Purchases'!$G:$G,Brokerage!V$4)</f>
        <v>0</v>
      </c>
      <c r="W156" s="857">
        <f>SUMIFS('YTD Sales'!$N:$N,'YTD Sales'!$B:$B,Brokerage!$B156,'YTD Sales'!$M:$M,Brokerage!W$4)+SUMIFS('YTD Purchases'!$H:$H,'YTD Purchases'!$C:$C,Brokerage!$B156,'YTD Purchases'!$G:$G,Brokerage!W$4)</f>
        <v>0</v>
      </c>
      <c r="X156" s="857">
        <f>SUMIFS('YTD Sales'!$N:$N,'YTD Sales'!$B:$B,Brokerage!$B156,'YTD Sales'!$M:$M,Brokerage!X$4)+SUMIFS('YTD Purchases'!$H:$H,'YTD Purchases'!$C:$C,Brokerage!$B156,'YTD Purchases'!$G:$G,Brokerage!X$4)</f>
        <v>2135.59</v>
      </c>
      <c r="Y156" s="857">
        <f>SUMIFS('YTD Sales'!$N:$N,'YTD Sales'!$B:$B,Brokerage!$B156,'YTD Sales'!$M:$M,Brokerage!Y$4)+SUMIFS('YTD Purchases'!$H:$H,'YTD Purchases'!$C:$C,Brokerage!$B156,'YTD Purchases'!$G:$G,Brokerage!Y$4)</f>
        <v>0</v>
      </c>
      <c r="Z156" s="857">
        <f>SUMIFS('YTD Sales'!$N:$N,'YTD Sales'!$B:$B,Brokerage!$B156,'YTD Sales'!$M:$M,Brokerage!Z$4)+SUMIFS('YTD Purchases'!$H:$H,'YTD Purchases'!$C:$C,Brokerage!$B156,'YTD Purchases'!$G:$G,Brokerage!Z$4)</f>
        <v>0</v>
      </c>
      <c r="AA156" s="857">
        <f>SUMIFS('YTD Sales'!$N:$N,'YTD Sales'!$B:$B,Brokerage!$B156,'YTD Sales'!$M:$M,Brokerage!AA$4)+SUMIFS('YTD Purchases'!$H:$H,'YTD Purchases'!$C:$C,Brokerage!$B156,'YTD Purchases'!$G:$G,Brokerage!AA$4)</f>
        <v>0</v>
      </c>
      <c r="AB156" s="857">
        <f>SUMIFS('YTD Sales'!$N:$N,'YTD Sales'!$B:$B,Brokerage!$B156,'YTD Sales'!$M:$M,Brokerage!AB$4)+SUMIFS('YTD Purchases'!$H:$H,'YTD Purchases'!$C:$C,Brokerage!$B156,'YTD Purchases'!$G:$G,Brokerage!AB$4)</f>
        <v>0</v>
      </c>
      <c r="AC156" s="857">
        <f>SUMIFS('YTD Sales'!$N:$N,'YTD Sales'!$B:$B,Brokerage!$B156,'YTD Sales'!$M:$M,Brokerage!AC$4)+SUMIFS('YTD Purchases'!$H:$H,'YTD Purchases'!$C:$C,Brokerage!$B156,'YTD Purchases'!$G:$G,Brokerage!AC$4)</f>
        <v>0</v>
      </c>
      <c r="AD156" s="857">
        <f>+SUMIFS(PIB!AG:AG,PIB!AF:AF,Brokerage!AD$4,PIB!AA:AA,Brokerage!$B156)+SUMIFS('T-Bills'!AB:AB,'T-Bills'!AA:AA,Brokerage!AD$4,'T-Bills'!V:V,Brokerage!$B156)</f>
        <v>0</v>
      </c>
      <c r="AE156" s="857">
        <f>+SUMIFS(PIB!AH:AH,PIB!AG:AG,Brokerage!AE$4,PIB!AB:AB,Brokerage!$B156)+SUMIFS('T-Bills'!AC:AC,'T-Bills'!AB:AB,Brokerage!AE$4,'T-Bills'!W:W,Brokerage!$B156)</f>
        <v>0</v>
      </c>
      <c r="AF156" s="857">
        <f>+SUMIFS(PIB!AI:AI,PIB!AH:AH,Brokerage!AF$4,PIB!AC:AC,Brokerage!$B156)+SUMIFS('T-Bills'!AD:AD,'T-Bills'!AC:AC,Brokerage!AF$4,'T-Bills'!X:X,Brokerage!$B156)</f>
        <v>0</v>
      </c>
      <c r="AG156" s="857">
        <f t="shared" si="19"/>
        <v>2440.69</v>
      </c>
      <c r="AH156" s="858">
        <f t="shared" si="20"/>
        <v>0</v>
      </c>
    </row>
    <row r="157" spans="2:34" x14ac:dyDescent="0.15">
      <c r="B157" s="661">
        <f t="shared" si="18"/>
        <v>44713</v>
      </c>
      <c r="C157" s="857">
        <f>SUMIFS('YTD Sales'!$N:$N,'YTD Sales'!$B:$B,Brokerage!$B157,'YTD Sales'!$M:$M,Brokerage!C$4)+SUMIFS('YTD Purchases'!$H:$H,'YTD Purchases'!$C:$C,Brokerage!$B157,'YTD Purchases'!$G:$G,Brokerage!C$4)</f>
        <v>0</v>
      </c>
      <c r="D157" s="857">
        <f>SUMIFS('YTD Sales'!$N:$N,'YTD Sales'!$B:$B,Brokerage!$B157,'YTD Sales'!$M:$M,Brokerage!D$4)+SUMIFS('YTD Purchases'!$H:$H,'YTD Purchases'!$C:$C,Brokerage!$B157,'YTD Purchases'!$G:$G,Brokerage!D$4)</f>
        <v>0</v>
      </c>
      <c r="E157" s="857">
        <f>SUMIFS('YTD Sales'!$N:$N,'YTD Sales'!$B:$B,Brokerage!$B157,'YTD Sales'!$M:$M,Brokerage!E$4)+SUMIFS('YTD Purchases'!$H:$H,'YTD Purchases'!$C:$C,Brokerage!$B157,'YTD Purchases'!$G:$G,Brokerage!E$4)</f>
        <v>0</v>
      </c>
      <c r="F157" s="857">
        <f>SUMIFS('YTD Sales'!$N:$N,'YTD Sales'!$B:$B,Brokerage!$B157,'YTD Sales'!$M:$M,Brokerage!F$4)+SUMIFS('YTD Purchases'!$H:$H,'YTD Purchases'!$C:$C,Brokerage!$B157,'YTD Purchases'!$G:$G,Brokerage!F$4)</f>
        <v>0</v>
      </c>
      <c r="G157" s="857">
        <f>SUMIFS('YTD Sales'!$N:$N,'YTD Sales'!$B:$B,Brokerage!$B157,'YTD Sales'!$M:$M,Brokerage!G$4)+SUMIFS('YTD Purchases'!$H:$H,'YTD Purchases'!$C:$C,Brokerage!$B157,'YTD Purchases'!$G:$G,Brokerage!G$4)</f>
        <v>0</v>
      </c>
      <c r="H157" s="857">
        <f>SUMIFS('YTD Sales'!$N:$N,'YTD Sales'!$B:$B,Brokerage!$B157,'YTD Sales'!$M:$M,Brokerage!H$4)+SUMIFS('YTD Purchases'!$H:$H,'YTD Purchases'!$C:$C,Brokerage!$B157,'YTD Purchases'!$G:$G,Brokerage!H$4)</f>
        <v>0</v>
      </c>
      <c r="I157" s="857">
        <f>SUMIFS('YTD Sales'!$N:$N,'YTD Sales'!$B:$B,Brokerage!$B157,'YTD Sales'!$M:$M,Brokerage!I$4)+SUMIFS('YTD Purchases'!$H:$H,'YTD Purchases'!$C:$C,Brokerage!$B157,'YTD Purchases'!$G:$G,Brokerage!I$4)</f>
        <v>0</v>
      </c>
      <c r="J157" s="857">
        <f>SUMIFS('YTD Sales'!$N:$N,'YTD Sales'!$B:$B,Brokerage!$B157,'YTD Sales'!$M:$M,Brokerage!J$4)+SUMIFS('YTD Purchases'!$H:$H,'YTD Purchases'!$C:$C,Brokerage!$B157,'YTD Purchases'!$G:$G,Brokerage!J$4)</f>
        <v>0</v>
      </c>
      <c r="K157" s="857">
        <f>SUMIFS('YTD Sales'!$N:$N,'YTD Sales'!$B:$B,Brokerage!$B157,'YTD Sales'!$M:$M,Brokerage!K$4)+SUMIFS('YTD Purchases'!$H:$H,'YTD Purchases'!$C:$C,Brokerage!$B157,'YTD Purchases'!$G:$G,Brokerage!K$4)</f>
        <v>0</v>
      </c>
      <c r="L157" s="857">
        <f>SUMIFS('YTD Sales'!$N:$N,'YTD Sales'!$B:$B,Brokerage!$B157,'YTD Sales'!$M:$M,Brokerage!L$4)+SUMIFS('YTD Purchases'!$H:$H,'YTD Purchases'!$C:$C,Brokerage!$B157,'YTD Purchases'!$G:$G,Brokerage!L$4)</f>
        <v>0</v>
      </c>
      <c r="M157" s="857">
        <f>SUMIFS('YTD Sales'!$N:$N,'YTD Sales'!$B:$B,Brokerage!$B157,'YTD Sales'!$M:$M,Brokerage!M$4)+SUMIFS('YTD Purchases'!$H:$H,'YTD Purchases'!$C:$C,Brokerage!$B157,'YTD Purchases'!$G:$G,Brokerage!M$4)</f>
        <v>0</v>
      </c>
      <c r="N157" s="857">
        <f>SUMIFS('YTD Sales'!$N:$N,'YTD Sales'!$B:$B,Brokerage!$B157,'YTD Sales'!$M:$M,Brokerage!N$4)+SUMIFS('YTD Purchases'!$H:$H,'YTD Purchases'!$C:$C,Brokerage!$B157,'YTD Purchases'!$G:$G,Brokerage!N$4)</f>
        <v>3180.42</v>
      </c>
      <c r="O157" s="857">
        <f>SUMIFS('YTD Sales'!$N:$N,'YTD Sales'!$B:$B,Brokerage!$B157,'YTD Sales'!$M:$M,Brokerage!O$4)+SUMIFS('YTD Purchases'!$H:$H,'YTD Purchases'!$C:$C,Brokerage!$B157,'YTD Purchases'!$G:$G,Brokerage!O$4)</f>
        <v>0</v>
      </c>
      <c r="P157" s="857">
        <f>SUMIFS('YTD Sales'!$N:$N,'YTD Sales'!$B:$B,Brokerage!$B157,'YTD Sales'!$M:$M,Brokerage!P$4)+SUMIFS('YTD Purchases'!$H:$H,'YTD Purchases'!$C:$C,Brokerage!$B157,'YTD Purchases'!$G:$G,Brokerage!P$4)</f>
        <v>0</v>
      </c>
      <c r="Q157" s="857">
        <f>SUMIFS('YTD Sales'!$N:$N,'YTD Sales'!$B:$B,Brokerage!$B157,'YTD Sales'!$M:$M,Brokerage!Q$4)+SUMIFS('YTD Purchases'!$H:$H,'YTD Purchases'!$C:$C,Brokerage!$B157,'YTD Purchases'!$G:$G,Brokerage!Q$4)</f>
        <v>0</v>
      </c>
      <c r="R157" s="857">
        <f>SUMIFS('YTD Sales'!$N:$N,'YTD Sales'!$B:$B,Brokerage!$B157,'YTD Sales'!$M:$M,Brokerage!R$4)+SUMIFS('YTD Purchases'!$H:$H,'YTD Purchases'!$C:$C,Brokerage!$B157,'YTD Purchases'!$G:$G,Brokerage!R$4)</f>
        <v>0</v>
      </c>
      <c r="S157" s="857">
        <f>SUMIFS('YTD Sales'!$N:$N,'YTD Sales'!$B:$B,Brokerage!$B157,'YTD Sales'!$M:$M,Brokerage!S$4)+SUMIFS('YTD Purchases'!$H:$H,'YTD Purchases'!$C:$C,Brokerage!$B157,'YTD Purchases'!$G:$G,Brokerage!S$4)</f>
        <v>0</v>
      </c>
      <c r="T157" s="857">
        <f>SUMIFS('YTD Sales'!$N:$N,'YTD Sales'!$B:$B,Brokerage!$B157,'YTD Sales'!$M:$M,Brokerage!T$4)+SUMIFS('YTD Purchases'!$H:$H,'YTD Purchases'!$C:$C,Brokerage!$B157,'YTD Purchases'!$G:$G,Brokerage!T$4)</f>
        <v>0</v>
      </c>
      <c r="U157" s="857">
        <f>SUMIFS('YTD Sales'!$N:$N,'YTD Sales'!$B:$B,Brokerage!$B157,'YTD Sales'!$M:$M,Brokerage!U$4)+SUMIFS('YTD Purchases'!$H:$H,'YTD Purchases'!$C:$C,Brokerage!$B157,'YTD Purchases'!$G:$G,Brokerage!U$4)</f>
        <v>0</v>
      </c>
      <c r="V157" s="857">
        <f>SUMIFS('YTD Sales'!$N:$N,'YTD Sales'!$B:$B,Brokerage!$B157,'YTD Sales'!$M:$M,Brokerage!V$4)+SUMIFS('YTD Purchases'!$H:$H,'YTD Purchases'!$C:$C,Brokerage!$B157,'YTD Purchases'!$G:$G,Brokerage!V$4)</f>
        <v>0</v>
      </c>
      <c r="W157" s="857">
        <f>SUMIFS('YTD Sales'!$N:$N,'YTD Sales'!$B:$B,Brokerage!$B157,'YTD Sales'!$M:$M,Brokerage!W$4)+SUMIFS('YTD Purchases'!$H:$H,'YTD Purchases'!$C:$C,Brokerage!$B157,'YTD Purchases'!$G:$G,Brokerage!W$4)</f>
        <v>0</v>
      </c>
      <c r="X157" s="857">
        <f>SUMIFS('YTD Sales'!$N:$N,'YTD Sales'!$B:$B,Brokerage!$B157,'YTD Sales'!$M:$M,Brokerage!X$4)+SUMIFS('YTD Purchases'!$H:$H,'YTD Purchases'!$C:$C,Brokerage!$B157,'YTD Purchases'!$G:$G,Brokerage!X$4)</f>
        <v>0</v>
      </c>
      <c r="Y157" s="857">
        <f>SUMIFS('YTD Sales'!$N:$N,'YTD Sales'!$B:$B,Brokerage!$B157,'YTD Sales'!$M:$M,Brokerage!Y$4)+SUMIFS('YTD Purchases'!$H:$H,'YTD Purchases'!$C:$C,Brokerage!$B157,'YTD Purchases'!$G:$G,Brokerage!Y$4)</f>
        <v>0</v>
      </c>
      <c r="Z157" s="857">
        <f>SUMIFS('YTD Sales'!$N:$N,'YTD Sales'!$B:$B,Brokerage!$B157,'YTD Sales'!$M:$M,Brokerage!Z$4)+SUMIFS('YTD Purchases'!$H:$H,'YTD Purchases'!$C:$C,Brokerage!$B157,'YTD Purchases'!$G:$G,Brokerage!Z$4)</f>
        <v>0</v>
      </c>
      <c r="AA157" s="857">
        <f>SUMIFS('YTD Sales'!$N:$N,'YTD Sales'!$B:$B,Brokerage!$B157,'YTD Sales'!$M:$M,Brokerage!AA$4)+SUMIFS('YTD Purchases'!$H:$H,'YTD Purchases'!$C:$C,Brokerage!$B157,'YTD Purchases'!$G:$G,Brokerage!AA$4)</f>
        <v>0</v>
      </c>
      <c r="AB157" s="857">
        <f>SUMIFS('YTD Sales'!$N:$N,'YTD Sales'!$B:$B,Brokerage!$B157,'YTD Sales'!$M:$M,Brokerage!AB$4)+SUMIFS('YTD Purchases'!$H:$H,'YTD Purchases'!$C:$C,Brokerage!$B157,'YTD Purchases'!$G:$G,Brokerage!AB$4)</f>
        <v>0</v>
      </c>
      <c r="AC157" s="857">
        <f>SUMIFS('YTD Sales'!$N:$N,'YTD Sales'!$B:$B,Brokerage!$B157,'YTD Sales'!$M:$M,Brokerage!AC$4)+SUMIFS('YTD Purchases'!$H:$H,'YTD Purchases'!$C:$C,Brokerage!$B157,'YTD Purchases'!$G:$G,Brokerage!AC$4)</f>
        <v>0</v>
      </c>
      <c r="AD157" s="857">
        <f>+SUMIFS(PIB!AG:AG,PIB!AF:AF,Brokerage!AD$4,PIB!AA:AA,Brokerage!$B157)+SUMIFS('T-Bills'!AB:AB,'T-Bills'!AA:AA,Brokerage!AD$4,'T-Bills'!V:V,Brokerage!$B157)</f>
        <v>0</v>
      </c>
      <c r="AE157" s="857">
        <f>+SUMIFS(PIB!AH:AH,PIB!AG:AG,Brokerage!AE$4,PIB!AB:AB,Brokerage!$B157)+SUMIFS('T-Bills'!AC:AC,'T-Bills'!AB:AB,Brokerage!AE$4,'T-Bills'!W:W,Brokerage!$B157)</f>
        <v>0</v>
      </c>
      <c r="AF157" s="857">
        <f>+SUMIFS(PIB!AI:AI,PIB!AH:AH,Brokerage!AF$4,PIB!AC:AC,Brokerage!$B157)+SUMIFS('T-Bills'!AD:AD,'T-Bills'!AC:AC,Brokerage!AF$4,'T-Bills'!X:X,Brokerage!$B157)</f>
        <v>0</v>
      </c>
      <c r="AG157" s="857">
        <f t="shared" si="19"/>
        <v>3180.42</v>
      </c>
      <c r="AH157" s="858">
        <f t="shared" si="20"/>
        <v>0</v>
      </c>
    </row>
    <row r="158" spans="2:34" x14ac:dyDescent="0.15">
      <c r="B158" s="661">
        <f t="shared" si="18"/>
        <v>44714</v>
      </c>
      <c r="C158" s="857">
        <f>SUMIFS('YTD Sales'!$N:$N,'YTD Sales'!$B:$B,Brokerage!$B158,'YTD Sales'!$M:$M,Brokerage!C$4)+SUMIFS('YTD Purchases'!$H:$H,'YTD Purchases'!$C:$C,Brokerage!$B158,'YTD Purchases'!$G:$G,Brokerage!C$4)</f>
        <v>0</v>
      </c>
      <c r="D158" s="857">
        <f>SUMIFS('YTD Sales'!$N:$N,'YTD Sales'!$B:$B,Brokerage!$B158,'YTD Sales'!$M:$M,Brokerage!D$4)+SUMIFS('YTD Purchases'!$H:$H,'YTD Purchases'!$C:$C,Brokerage!$B158,'YTD Purchases'!$G:$G,Brokerage!D$4)</f>
        <v>0</v>
      </c>
      <c r="E158" s="857">
        <f>SUMIFS('YTD Sales'!$N:$N,'YTD Sales'!$B:$B,Brokerage!$B158,'YTD Sales'!$M:$M,Brokerage!E$4)+SUMIFS('YTD Purchases'!$H:$H,'YTD Purchases'!$C:$C,Brokerage!$B158,'YTD Purchases'!$G:$G,Brokerage!E$4)</f>
        <v>0</v>
      </c>
      <c r="F158" s="857">
        <f>SUMIFS('YTD Sales'!$N:$N,'YTD Sales'!$B:$B,Brokerage!$B158,'YTD Sales'!$M:$M,Brokerage!F$4)+SUMIFS('YTD Purchases'!$H:$H,'YTD Purchases'!$C:$C,Brokerage!$B158,'YTD Purchases'!$G:$G,Brokerage!F$4)</f>
        <v>0</v>
      </c>
      <c r="G158" s="857">
        <f>SUMIFS('YTD Sales'!$N:$N,'YTD Sales'!$B:$B,Brokerage!$B158,'YTD Sales'!$M:$M,Brokerage!G$4)+SUMIFS('YTD Purchases'!$H:$H,'YTD Purchases'!$C:$C,Brokerage!$B158,'YTD Purchases'!$G:$G,Brokerage!G$4)</f>
        <v>0</v>
      </c>
      <c r="H158" s="857">
        <f>SUMIFS('YTD Sales'!$N:$N,'YTD Sales'!$B:$B,Brokerage!$B158,'YTD Sales'!$M:$M,Brokerage!H$4)+SUMIFS('YTD Purchases'!$H:$H,'YTD Purchases'!$C:$C,Brokerage!$B158,'YTD Purchases'!$G:$G,Brokerage!H$4)</f>
        <v>0</v>
      </c>
      <c r="I158" s="857">
        <f>SUMIFS('YTD Sales'!$N:$N,'YTD Sales'!$B:$B,Brokerage!$B158,'YTD Sales'!$M:$M,Brokerage!I$4)+SUMIFS('YTD Purchases'!$H:$H,'YTD Purchases'!$C:$C,Brokerage!$B158,'YTD Purchases'!$G:$G,Brokerage!I$4)</f>
        <v>0</v>
      </c>
      <c r="J158" s="857">
        <f>SUMIFS('YTD Sales'!$N:$N,'YTD Sales'!$B:$B,Brokerage!$B158,'YTD Sales'!$M:$M,Brokerage!J$4)+SUMIFS('YTD Purchases'!$H:$H,'YTD Purchases'!$C:$C,Brokerage!$B158,'YTD Purchases'!$G:$G,Brokerage!J$4)</f>
        <v>0</v>
      </c>
      <c r="K158" s="857">
        <f>SUMIFS('YTD Sales'!$N:$N,'YTD Sales'!$B:$B,Brokerage!$B158,'YTD Sales'!$M:$M,Brokerage!K$4)+SUMIFS('YTD Purchases'!$H:$H,'YTD Purchases'!$C:$C,Brokerage!$B158,'YTD Purchases'!$G:$G,Brokerage!K$4)</f>
        <v>0</v>
      </c>
      <c r="L158" s="857">
        <f>SUMIFS('YTD Sales'!$N:$N,'YTD Sales'!$B:$B,Brokerage!$B158,'YTD Sales'!$M:$M,Brokerage!L$4)+SUMIFS('YTD Purchases'!$H:$H,'YTD Purchases'!$C:$C,Brokerage!$B158,'YTD Purchases'!$G:$G,Brokerage!L$4)</f>
        <v>0</v>
      </c>
      <c r="M158" s="857">
        <f>SUMIFS('YTD Sales'!$N:$N,'YTD Sales'!$B:$B,Brokerage!$B158,'YTD Sales'!$M:$M,Brokerage!M$4)+SUMIFS('YTD Purchases'!$H:$H,'YTD Purchases'!$C:$C,Brokerage!$B158,'YTD Purchases'!$G:$G,Brokerage!M$4)</f>
        <v>1778.37</v>
      </c>
      <c r="N158" s="857">
        <f>SUMIFS('YTD Sales'!$N:$N,'YTD Sales'!$B:$B,Brokerage!$B158,'YTD Sales'!$M:$M,Brokerage!N$4)+SUMIFS('YTD Purchases'!$H:$H,'YTD Purchases'!$C:$C,Brokerage!$B158,'YTD Purchases'!$G:$G,Brokerage!N$4)</f>
        <v>0</v>
      </c>
      <c r="O158" s="857">
        <f>SUMIFS('YTD Sales'!$N:$N,'YTD Sales'!$B:$B,Brokerage!$B158,'YTD Sales'!$M:$M,Brokerage!O$4)+SUMIFS('YTD Purchases'!$H:$H,'YTD Purchases'!$C:$C,Brokerage!$B158,'YTD Purchases'!$G:$G,Brokerage!O$4)</f>
        <v>0</v>
      </c>
      <c r="P158" s="857">
        <f>SUMIFS('YTD Sales'!$N:$N,'YTD Sales'!$B:$B,Brokerage!$B158,'YTD Sales'!$M:$M,Brokerage!P$4)+SUMIFS('YTD Purchases'!$H:$H,'YTD Purchases'!$C:$C,Brokerage!$B158,'YTD Purchases'!$G:$G,Brokerage!P$4)</f>
        <v>0</v>
      </c>
      <c r="Q158" s="857">
        <f>SUMIFS('YTD Sales'!$N:$N,'YTD Sales'!$B:$B,Brokerage!$B158,'YTD Sales'!$M:$M,Brokerage!Q$4)+SUMIFS('YTD Purchases'!$H:$H,'YTD Purchases'!$C:$C,Brokerage!$B158,'YTD Purchases'!$G:$G,Brokerage!Q$4)</f>
        <v>0</v>
      </c>
      <c r="R158" s="857">
        <f>SUMIFS('YTD Sales'!$N:$N,'YTD Sales'!$B:$B,Brokerage!$B158,'YTD Sales'!$M:$M,Brokerage!R$4)+SUMIFS('YTD Purchases'!$H:$H,'YTD Purchases'!$C:$C,Brokerage!$B158,'YTD Purchases'!$G:$G,Brokerage!R$4)</f>
        <v>0</v>
      </c>
      <c r="S158" s="857">
        <f>SUMIFS('YTD Sales'!$N:$N,'YTD Sales'!$B:$B,Brokerage!$B158,'YTD Sales'!$M:$M,Brokerage!S$4)+SUMIFS('YTD Purchases'!$H:$H,'YTD Purchases'!$C:$C,Brokerage!$B158,'YTD Purchases'!$G:$G,Brokerage!S$4)</f>
        <v>0</v>
      </c>
      <c r="T158" s="857">
        <f>SUMIFS('YTD Sales'!$N:$N,'YTD Sales'!$B:$B,Brokerage!$B158,'YTD Sales'!$M:$M,Brokerage!T$4)+SUMIFS('YTD Purchases'!$H:$H,'YTD Purchases'!$C:$C,Brokerage!$B158,'YTD Purchases'!$G:$G,Brokerage!T$4)</f>
        <v>0</v>
      </c>
      <c r="U158" s="857">
        <f>SUMIFS('YTD Sales'!$N:$N,'YTD Sales'!$B:$B,Brokerage!$B158,'YTD Sales'!$M:$M,Brokerage!U$4)+SUMIFS('YTD Purchases'!$H:$H,'YTD Purchases'!$C:$C,Brokerage!$B158,'YTD Purchases'!$G:$G,Brokerage!U$4)</f>
        <v>0</v>
      </c>
      <c r="V158" s="857">
        <f>SUMIFS('YTD Sales'!$N:$N,'YTD Sales'!$B:$B,Brokerage!$B158,'YTD Sales'!$M:$M,Brokerage!V$4)+SUMIFS('YTD Purchases'!$H:$H,'YTD Purchases'!$C:$C,Brokerage!$B158,'YTD Purchases'!$G:$G,Brokerage!V$4)</f>
        <v>0</v>
      </c>
      <c r="W158" s="857">
        <f>SUMIFS('YTD Sales'!$N:$N,'YTD Sales'!$B:$B,Brokerage!$B158,'YTD Sales'!$M:$M,Brokerage!W$4)+SUMIFS('YTD Purchases'!$H:$H,'YTD Purchases'!$C:$C,Brokerage!$B158,'YTD Purchases'!$G:$G,Brokerage!W$4)</f>
        <v>0</v>
      </c>
      <c r="X158" s="857">
        <f>SUMIFS('YTD Sales'!$N:$N,'YTD Sales'!$B:$B,Brokerage!$B158,'YTD Sales'!$M:$M,Brokerage!X$4)+SUMIFS('YTD Purchases'!$H:$H,'YTD Purchases'!$C:$C,Brokerage!$B158,'YTD Purchases'!$G:$G,Brokerage!X$4)</f>
        <v>151.69999999999999</v>
      </c>
      <c r="Y158" s="857">
        <f>SUMIFS('YTD Sales'!$N:$N,'YTD Sales'!$B:$B,Brokerage!$B158,'YTD Sales'!$M:$M,Brokerage!Y$4)+SUMIFS('YTD Purchases'!$H:$H,'YTD Purchases'!$C:$C,Brokerage!$B158,'YTD Purchases'!$G:$G,Brokerage!Y$4)</f>
        <v>0</v>
      </c>
      <c r="Z158" s="857">
        <f>SUMIFS('YTD Sales'!$N:$N,'YTD Sales'!$B:$B,Brokerage!$B158,'YTD Sales'!$M:$M,Brokerage!Z$4)+SUMIFS('YTD Purchases'!$H:$H,'YTD Purchases'!$C:$C,Brokerage!$B158,'YTD Purchases'!$G:$G,Brokerage!Z$4)</f>
        <v>0</v>
      </c>
      <c r="AA158" s="857">
        <f>SUMIFS('YTD Sales'!$N:$N,'YTD Sales'!$B:$B,Brokerage!$B158,'YTD Sales'!$M:$M,Brokerage!AA$4)+SUMIFS('YTD Purchases'!$H:$H,'YTD Purchases'!$C:$C,Brokerage!$B158,'YTD Purchases'!$G:$G,Brokerage!AA$4)</f>
        <v>0</v>
      </c>
      <c r="AB158" s="857">
        <f>SUMIFS('YTD Sales'!$N:$N,'YTD Sales'!$B:$B,Brokerage!$B158,'YTD Sales'!$M:$M,Brokerage!AB$4)+SUMIFS('YTD Purchases'!$H:$H,'YTD Purchases'!$C:$C,Brokerage!$B158,'YTD Purchases'!$G:$G,Brokerage!AB$4)</f>
        <v>0</v>
      </c>
      <c r="AC158" s="857">
        <f>SUMIFS('YTD Sales'!$N:$N,'YTD Sales'!$B:$B,Brokerage!$B158,'YTD Sales'!$M:$M,Brokerage!AC$4)+SUMIFS('YTD Purchases'!$H:$H,'YTD Purchases'!$C:$C,Brokerage!$B158,'YTD Purchases'!$G:$G,Brokerage!AC$4)</f>
        <v>0</v>
      </c>
      <c r="AD158" s="857">
        <f>+SUMIFS(PIB!AG:AG,PIB!AF:AF,Brokerage!AD$4,PIB!AA:AA,Brokerage!$B158)+SUMIFS('T-Bills'!AB:AB,'T-Bills'!AA:AA,Brokerage!AD$4,'T-Bills'!V:V,Brokerage!$B158)</f>
        <v>0</v>
      </c>
      <c r="AE158" s="857">
        <f>+SUMIFS(PIB!AH:AH,PIB!AG:AG,Brokerage!AE$4,PIB!AB:AB,Brokerage!$B158)+SUMIFS('T-Bills'!AC:AC,'T-Bills'!AB:AB,Brokerage!AE$4,'T-Bills'!W:W,Brokerage!$B158)</f>
        <v>0</v>
      </c>
      <c r="AF158" s="857">
        <f>+SUMIFS(PIB!AI:AI,PIB!AH:AH,Brokerage!AF$4,PIB!AC:AC,Brokerage!$B158)+SUMIFS('T-Bills'!AD:AD,'T-Bills'!AC:AC,Brokerage!AF$4,'T-Bills'!X:X,Brokerage!$B158)</f>
        <v>0</v>
      </c>
      <c r="AG158" s="857">
        <f t="shared" si="19"/>
        <v>1930.07</v>
      </c>
      <c r="AH158" s="858">
        <f t="shared" si="20"/>
        <v>0</v>
      </c>
    </row>
    <row r="159" spans="2:34" x14ac:dyDescent="0.15">
      <c r="B159" s="661">
        <f t="shared" si="18"/>
        <v>44715</v>
      </c>
      <c r="C159" s="857">
        <f>SUMIFS('YTD Sales'!$N:$N,'YTD Sales'!$B:$B,Brokerage!$B159,'YTD Sales'!$M:$M,Brokerage!C$4)+SUMIFS('YTD Purchases'!$H:$H,'YTD Purchases'!$C:$C,Brokerage!$B159,'YTD Purchases'!$G:$G,Brokerage!C$4)</f>
        <v>0</v>
      </c>
      <c r="D159" s="857">
        <f>SUMIFS('YTD Sales'!$N:$N,'YTD Sales'!$B:$B,Brokerage!$B159,'YTD Sales'!$M:$M,Brokerage!D$4)+SUMIFS('YTD Purchases'!$H:$H,'YTD Purchases'!$C:$C,Brokerage!$B159,'YTD Purchases'!$G:$G,Brokerage!D$4)</f>
        <v>0</v>
      </c>
      <c r="E159" s="857">
        <f>SUMIFS('YTD Sales'!$N:$N,'YTD Sales'!$B:$B,Brokerage!$B159,'YTD Sales'!$M:$M,Brokerage!E$4)+SUMIFS('YTD Purchases'!$H:$H,'YTD Purchases'!$C:$C,Brokerage!$B159,'YTD Purchases'!$G:$G,Brokerage!E$4)</f>
        <v>0</v>
      </c>
      <c r="F159" s="857">
        <f>SUMIFS('YTD Sales'!$N:$N,'YTD Sales'!$B:$B,Brokerage!$B159,'YTD Sales'!$M:$M,Brokerage!F$4)+SUMIFS('YTD Purchases'!$H:$H,'YTD Purchases'!$C:$C,Brokerage!$B159,'YTD Purchases'!$G:$G,Brokerage!F$4)</f>
        <v>0</v>
      </c>
      <c r="G159" s="857">
        <f>SUMIFS('YTD Sales'!$N:$N,'YTD Sales'!$B:$B,Brokerage!$B159,'YTD Sales'!$M:$M,Brokerage!G$4)+SUMIFS('YTD Purchases'!$H:$H,'YTD Purchases'!$C:$C,Brokerage!$B159,'YTD Purchases'!$G:$G,Brokerage!G$4)</f>
        <v>135600</v>
      </c>
      <c r="H159" s="857">
        <f>SUMIFS('YTD Sales'!$N:$N,'YTD Sales'!$B:$B,Brokerage!$B159,'YTD Sales'!$M:$M,Brokerage!H$4)+SUMIFS('YTD Purchases'!$H:$H,'YTD Purchases'!$C:$C,Brokerage!$B159,'YTD Purchases'!$G:$G,Brokerage!H$4)</f>
        <v>0</v>
      </c>
      <c r="I159" s="857">
        <f>SUMIFS('YTD Sales'!$N:$N,'YTD Sales'!$B:$B,Brokerage!$B159,'YTD Sales'!$M:$M,Brokerage!I$4)+SUMIFS('YTD Purchases'!$H:$H,'YTD Purchases'!$C:$C,Brokerage!$B159,'YTD Purchases'!$G:$G,Brokerage!I$4)</f>
        <v>11.360000000000001</v>
      </c>
      <c r="J159" s="857">
        <f>SUMIFS('YTD Sales'!$N:$N,'YTD Sales'!$B:$B,Brokerage!$B159,'YTD Sales'!$M:$M,Brokerage!J$4)+SUMIFS('YTD Purchases'!$H:$H,'YTD Purchases'!$C:$C,Brokerage!$B159,'YTD Purchases'!$G:$G,Brokerage!J$4)</f>
        <v>0</v>
      </c>
      <c r="K159" s="857">
        <f>SUMIFS('YTD Sales'!$N:$N,'YTD Sales'!$B:$B,Brokerage!$B159,'YTD Sales'!$M:$M,Brokerage!K$4)+SUMIFS('YTD Purchases'!$H:$H,'YTD Purchases'!$C:$C,Brokerage!$B159,'YTD Purchases'!$G:$G,Brokerage!K$4)</f>
        <v>0</v>
      </c>
      <c r="L159" s="857">
        <f>SUMIFS('YTD Sales'!$N:$N,'YTD Sales'!$B:$B,Brokerage!$B159,'YTD Sales'!$M:$M,Brokerage!L$4)+SUMIFS('YTD Purchases'!$H:$H,'YTD Purchases'!$C:$C,Brokerage!$B159,'YTD Purchases'!$G:$G,Brokerage!L$4)</f>
        <v>0</v>
      </c>
      <c r="M159" s="857">
        <f>SUMIFS('YTD Sales'!$N:$N,'YTD Sales'!$B:$B,Brokerage!$B159,'YTD Sales'!$M:$M,Brokerage!M$4)+SUMIFS('YTD Purchases'!$H:$H,'YTD Purchases'!$C:$C,Brokerage!$B159,'YTD Purchases'!$G:$G,Brokerage!M$4)</f>
        <v>35253.184999999998</v>
      </c>
      <c r="N159" s="857">
        <f>SUMIFS('YTD Sales'!$N:$N,'YTD Sales'!$B:$B,Brokerage!$B159,'YTD Sales'!$M:$M,Brokerage!N$4)+SUMIFS('YTD Purchases'!$H:$H,'YTD Purchases'!$C:$C,Brokerage!$B159,'YTD Purchases'!$G:$G,Brokerage!N$4)</f>
        <v>4919.99</v>
      </c>
      <c r="O159" s="857">
        <f>SUMIFS('YTD Sales'!$N:$N,'YTD Sales'!$B:$B,Brokerage!$B159,'YTD Sales'!$M:$M,Brokerage!O$4)+SUMIFS('YTD Purchases'!$H:$H,'YTD Purchases'!$C:$C,Brokerage!$B159,'YTD Purchases'!$G:$G,Brokerage!O$4)</f>
        <v>0</v>
      </c>
      <c r="P159" s="857">
        <f>SUMIFS('YTD Sales'!$N:$N,'YTD Sales'!$B:$B,Brokerage!$B159,'YTD Sales'!$M:$M,Brokerage!P$4)+SUMIFS('YTD Purchases'!$H:$H,'YTD Purchases'!$C:$C,Brokerage!$B159,'YTD Purchases'!$G:$G,Brokerage!P$4)</f>
        <v>0</v>
      </c>
      <c r="Q159" s="857">
        <f>SUMIFS('YTD Sales'!$N:$N,'YTD Sales'!$B:$B,Brokerage!$B159,'YTD Sales'!$M:$M,Brokerage!Q$4)+SUMIFS('YTD Purchases'!$H:$H,'YTD Purchases'!$C:$C,Brokerage!$B159,'YTD Purchases'!$G:$G,Brokerage!Q$4)</f>
        <v>0</v>
      </c>
      <c r="R159" s="857">
        <f>SUMIFS('YTD Sales'!$N:$N,'YTD Sales'!$B:$B,Brokerage!$B159,'YTD Sales'!$M:$M,Brokerage!R$4)+SUMIFS('YTD Purchases'!$H:$H,'YTD Purchases'!$C:$C,Brokerage!$B159,'YTD Purchases'!$G:$G,Brokerage!R$4)</f>
        <v>0</v>
      </c>
      <c r="S159" s="857">
        <f>SUMIFS('YTD Sales'!$N:$N,'YTD Sales'!$B:$B,Brokerage!$B159,'YTD Sales'!$M:$M,Brokerage!S$4)+SUMIFS('YTD Purchases'!$H:$H,'YTD Purchases'!$C:$C,Brokerage!$B159,'YTD Purchases'!$G:$G,Brokerage!S$4)</f>
        <v>0</v>
      </c>
      <c r="T159" s="857">
        <f>SUMIFS('YTD Sales'!$N:$N,'YTD Sales'!$B:$B,Brokerage!$B159,'YTD Sales'!$M:$M,Brokerage!T$4)+SUMIFS('YTD Purchases'!$H:$H,'YTD Purchases'!$C:$C,Brokerage!$B159,'YTD Purchases'!$G:$G,Brokerage!T$4)</f>
        <v>0</v>
      </c>
      <c r="U159" s="857">
        <f>SUMIFS('YTD Sales'!$N:$N,'YTD Sales'!$B:$B,Brokerage!$B159,'YTD Sales'!$M:$M,Brokerage!U$4)+SUMIFS('YTD Purchases'!$H:$H,'YTD Purchases'!$C:$C,Brokerage!$B159,'YTD Purchases'!$G:$G,Brokerage!U$4)</f>
        <v>0</v>
      </c>
      <c r="V159" s="857">
        <f>SUMIFS('YTD Sales'!$N:$N,'YTD Sales'!$B:$B,Brokerage!$B159,'YTD Sales'!$M:$M,Brokerage!V$4)+SUMIFS('YTD Purchases'!$H:$H,'YTD Purchases'!$C:$C,Brokerage!$B159,'YTD Purchases'!$G:$G,Brokerage!V$4)</f>
        <v>0</v>
      </c>
      <c r="W159" s="857">
        <f>SUMIFS('YTD Sales'!$N:$N,'YTD Sales'!$B:$B,Brokerage!$B159,'YTD Sales'!$M:$M,Brokerage!W$4)+SUMIFS('YTD Purchases'!$H:$H,'YTD Purchases'!$C:$C,Brokerage!$B159,'YTD Purchases'!$G:$G,Brokerage!W$4)</f>
        <v>0</v>
      </c>
      <c r="X159" s="857">
        <f>SUMIFS('YTD Sales'!$N:$N,'YTD Sales'!$B:$B,Brokerage!$B159,'YTD Sales'!$M:$M,Brokerage!X$4)+SUMIFS('YTD Purchases'!$H:$H,'YTD Purchases'!$C:$C,Brokerage!$B159,'YTD Purchases'!$G:$G,Brokerage!X$4)</f>
        <v>0</v>
      </c>
      <c r="Y159" s="857">
        <f>SUMIFS('YTD Sales'!$N:$N,'YTD Sales'!$B:$B,Brokerage!$B159,'YTD Sales'!$M:$M,Brokerage!Y$4)+SUMIFS('YTD Purchases'!$H:$H,'YTD Purchases'!$C:$C,Brokerage!$B159,'YTD Purchases'!$G:$G,Brokerage!Y$4)</f>
        <v>0</v>
      </c>
      <c r="Z159" s="857">
        <f>SUMIFS('YTD Sales'!$N:$N,'YTD Sales'!$B:$B,Brokerage!$B159,'YTD Sales'!$M:$M,Brokerage!Z$4)+SUMIFS('YTD Purchases'!$H:$H,'YTD Purchases'!$C:$C,Brokerage!$B159,'YTD Purchases'!$G:$G,Brokerage!Z$4)</f>
        <v>0</v>
      </c>
      <c r="AA159" s="857">
        <f>SUMIFS('YTD Sales'!$N:$N,'YTD Sales'!$B:$B,Brokerage!$B159,'YTD Sales'!$M:$M,Brokerage!AA$4)+SUMIFS('YTD Purchases'!$H:$H,'YTD Purchases'!$C:$C,Brokerage!$B159,'YTD Purchases'!$G:$G,Brokerage!AA$4)</f>
        <v>0</v>
      </c>
      <c r="AB159" s="857">
        <f>SUMIFS('YTD Sales'!$N:$N,'YTD Sales'!$B:$B,Brokerage!$B159,'YTD Sales'!$M:$M,Brokerage!AB$4)+SUMIFS('YTD Purchases'!$H:$H,'YTD Purchases'!$C:$C,Brokerage!$B159,'YTD Purchases'!$G:$G,Brokerage!AB$4)</f>
        <v>0</v>
      </c>
      <c r="AC159" s="857">
        <f>SUMIFS('YTD Sales'!$N:$N,'YTD Sales'!$B:$B,Brokerage!$B159,'YTD Sales'!$M:$M,Brokerage!AC$4)+SUMIFS('YTD Purchases'!$H:$H,'YTD Purchases'!$C:$C,Brokerage!$B159,'YTD Purchases'!$G:$G,Brokerage!AC$4)</f>
        <v>0</v>
      </c>
      <c r="AD159" s="857">
        <f>+SUMIFS(PIB!AG:AG,PIB!AF:AF,Brokerage!AD$4,PIB!AA:AA,Brokerage!$B159)+SUMIFS('T-Bills'!AB:AB,'T-Bills'!AA:AA,Brokerage!AD$4,'T-Bills'!V:V,Brokerage!$B159)</f>
        <v>0</v>
      </c>
      <c r="AE159" s="857">
        <f>+SUMIFS(PIB!AH:AH,PIB!AG:AG,Brokerage!AE$4,PIB!AB:AB,Brokerage!$B159)+SUMIFS('T-Bills'!AC:AC,'T-Bills'!AB:AB,Brokerage!AE$4,'T-Bills'!W:W,Brokerage!$B159)</f>
        <v>0</v>
      </c>
      <c r="AF159" s="857">
        <f>+SUMIFS(PIB!AI:AI,PIB!AH:AH,Brokerage!AF$4,PIB!AC:AC,Brokerage!$B159)+SUMIFS('T-Bills'!AD:AD,'T-Bills'!AC:AC,Brokerage!AF$4,'T-Bills'!X:X,Brokerage!$B159)</f>
        <v>0</v>
      </c>
      <c r="AG159" s="857">
        <f t="shared" si="19"/>
        <v>175784.53499999997</v>
      </c>
      <c r="AH159" s="858">
        <f t="shared" si="20"/>
        <v>7</v>
      </c>
    </row>
    <row r="160" spans="2:34" x14ac:dyDescent="0.15">
      <c r="B160" s="661">
        <f t="shared" si="18"/>
        <v>44716</v>
      </c>
      <c r="C160" s="857">
        <f>SUMIFS('YTD Sales'!$N:$N,'YTD Sales'!$B:$B,Brokerage!$B160,'YTD Sales'!$M:$M,Brokerage!C$4)+SUMIFS('YTD Purchases'!$H:$H,'YTD Purchases'!$C:$C,Brokerage!$B160,'YTD Purchases'!$G:$G,Brokerage!C$4)</f>
        <v>0</v>
      </c>
      <c r="D160" s="857">
        <f>SUMIFS('YTD Sales'!$N:$N,'YTD Sales'!$B:$B,Brokerage!$B160,'YTD Sales'!$M:$M,Brokerage!D$4)+SUMIFS('YTD Purchases'!$H:$H,'YTD Purchases'!$C:$C,Brokerage!$B160,'YTD Purchases'!$G:$G,Brokerage!D$4)</f>
        <v>0</v>
      </c>
      <c r="E160" s="857">
        <f>SUMIFS('YTD Sales'!$N:$N,'YTD Sales'!$B:$B,Brokerage!$B160,'YTD Sales'!$M:$M,Brokerage!E$4)+SUMIFS('YTD Purchases'!$H:$H,'YTD Purchases'!$C:$C,Brokerage!$B160,'YTD Purchases'!$G:$G,Brokerage!E$4)</f>
        <v>0</v>
      </c>
      <c r="F160" s="857">
        <f>SUMIFS('YTD Sales'!$N:$N,'YTD Sales'!$B:$B,Brokerage!$B160,'YTD Sales'!$M:$M,Brokerage!F$4)+SUMIFS('YTD Purchases'!$H:$H,'YTD Purchases'!$C:$C,Brokerage!$B160,'YTD Purchases'!$G:$G,Brokerage!F$4)</f>
        <v>0</v>
      </c>
      <c r="G160" s="857">
        <f>SUMIFS('YTD Sales'!$N:$N,'YTD Sales'!$B:$B,Brokerage!$B160,'YTD Sales'!$M:$M,Brokerage!G$4)+SUMIFS('YTD Purchases'!$H:$H,'YTD Purchases'!$C:$C,Brokerage!$B160,'YTD Purchases'!$G:$G,Brokerage!G$4)</f>
        <v>0</v>
      </c>
      <c r="H160" s="857">
        <f>SUMIFS('YTD Sales'!$N:$N,'YTD Sales'!$B:$B,Brokerage!$B160,'YTD Sales'!$M:$M,Brokerage!H$4)+SUMIFS('YTD Purchases'!$H:$H,'YTD Purchases'!$C:$C,Brokerage!$B160,'YTD Purchases'!$G:$G,Brokerage!H$4)</f>
        <v>0</v>
      </c>
      <c r="I160" s="857">
        <f>SUMIFS('YTD Sales'!$N:$N,'YTD Sales'!$B:$B,Brokerage!$B160,'YTD Sales'!$M:$M,Brokerage!I$4)+SUMIFS('YTD Purchases'!$H:$H,'YTD Purchases'!$C:$C,Brokerage!$B160,'YTD Purchases'!$G:$G,Brokerage!I$4)</f>
        <v>0</v>
      </c>
      <c r="J160" s="857">
        <f>SUMIFS('YTD Sales'!$N:$N,'YTD Sales'!$B:$B,Brokerage!$B160,'YTD Sales'!$M:$M,Brokerage!J$4)+SUMIFS('YTD Purchases'!$H:$H,'YTD Purchases'!$C:$C,Brokerage!$B160,'YTD Purchases'!$G:$G,Brokerage!J$4)</f>
        <v>0</v>
      </c>
      <c r="K160" s="857">
        <f>SUMIFS('YTD Sales'!$N:$N,'YTD Sales'!$B:$B,Brokerage!$B160,'YTD Sales'!$M:$M,Brokerage!K$4)+SUMIFS('YTD Purchases'!$H:$H,'YTD Purchases'!$C:$C,Brokerage!$B160,'YTD Purchases'!$G:$G,Brokerage!K$4)</f>
        <v>0</v>
      </c>
      <c r="L160" s="857">
        <f>SUMIFS('YTD Sales'!$N:$N,'YTD Sales'!$B:$B,Brokerage!$B160,'YTD Sales'!$M:$M,Brokerage!L$4)+SUMIFS('YTD Purchases'!$H:$H,'YTD Purchases'!$C:$C,Brokerage!$B160,'YTD Purchases'!$G:$G,Brokerage!L$4)</f>
        <v>0</v>
      </c>
      <c r="M160" s="857">
        <f>SUMIFS('YTD Sales'!$N:$N,'YTD Sales'!$B:$B,Brokerage!$B160,'YTD Sales'!$M:$M,Brokerage!M$4)+SUMIFS('YTD Purchases'!$H:$H,'YTD Purchases'!$C:$C,Brokerage!$B160,'YTD Purchases'!$G:$G,Brokerage!M$4)</f>
        <v>0</v>
      </c>
      <c r="N160" s="857">
        <f>SUMIFS('YTD Sales'!$N:$N,'YTD Sales'!$B:$B,Brokerage!$B160,'YTD Sales'!$M:$M,Brokerage!N$4)+SUMIFS('YTD Purchases'!$H:$H,'YTD Purchases'!$C:$C,Brokerage!$B160,'YTD Purchases'!$G:$G,Brokerage!N$4)</f>
        <v>0</v>
      </c>
      <c r="O160" s="857">
        <f>SUMIFS('YTD Sales'!$N:$N,'YTD Sales'!$B:$B,Brokerage!$B160,'YTD Sales'!$M:$M,Brokerage!O$4)+SUMIFS('YTD Purchases'!$H:$H,'YTD Purchases'!$C:$C,Brokerage!$B160,'YTD Purchases'!$G:$G,Brokerage!O$4)</f>
        <v>0</v>
      </c>
      <c r="P160" s="857">
        <f>SUMIFS('YTD Sales'!$N:$N,'YTD Sales'!$B:$B,Brokerage!$B160,'YTD Sales'!$M:$M,Brokerage!P$4)+SUMIFS('YTD Purchases'!$H:$H,'YTD Purchases'!$C:$C,Brokerage!$B160,'YTD Purchases'!$G:$G,Brokerage!P$4)</f>
        <v>0</v>
      </c>
      <c r="Q160" s="857">
        <f>SUMIFS('YTD Sales'!$N:$N,'YTD Sales'!$B:$B,Brokerage!$B160,'YTD Sales'!$M:$M,Brokerage!Q$4)+SUMIFS('YTD Purchases'!$H:$H,'YTD Purchases'!$C:$C,Brokerage!$B160,'YTD Purchases'!$G:$G,Brokerage!Q$4)</f>
        <v>0</v>
      </c>
      <c r="R160" s="857">
        <f>SUMIFS('YTD Sales'!$N:$N,'YTD Sales'!$B:$B,Brokerage!$B160,'YTD Sales'!$M:$M,Brokerage!R$4)+SUMIFS('YTD Purchases'!$H:$H,'YTD Purchases'!$C:$C,Brokerage!$B160,'YTD Purchases'!$G:$G,Brokerage!R$4)</f>
        <v>0</v>
      </c>
      <c r="S160" s="857">
        <f>SUMIFS('YTD Sales'!$N:$N,'YTD Sales'!$B:$B,Brokerage!$B160,'YTD Sales'!$M:$M,Brokerage!S$4)+SUMIFS('YTD Purchases'!$H:$H,'YTD Purchases'!$C:$C,Brokerage!$B160,'YTD Purchases'!$G:$G,Brokerage!S$4)</f>
        <v>0</v>
      </c>
      <c r="T160" s="857">
        <f>SUMIFS('YTD Sales'!$N:$N,'YTD Sales'!$B:$B,Brokerage!$B160,'YTD Sales'!$M:$M,Brokerage!T$4)+SUMIFS('YTD Purchases'!$H:$H,'YTD Purchases'!$C:$C,Brokerage!$B160,'YTD Purchases'!$G:$G,Brokerage!T$4)</f>
        <v>0</v>
      </c>
      <c r="U160" s="857">
        <f>SUMIFS('YTD Sales'!$N:$N,'YTD Sales'!$B:$B,Brokerage!$B160,'YTD Sales'!$M:$M,Brokerage!U$4)+SUMIFS('YTD Purchases'!$H:$H,'YTD Purchases'!$C:$C,Brokerage!$B160,'YTD Purchases'!$G:$G,Brokerage!U$4)</f>
        <v>0</v>
      </c>
      <c r="V160" s="857">
        <f>SUMIFS('YTD Sales'!$N:$N,'YTD Sales'!$B:$B,Brokerage!$B160,'YTD Sales'!$M:$M,Brokerage!V$4)+SUMIFS('YTD Purchases'!$H:$H,'YTD Purchases'!$C:$C,Brokerage!$B160,'YTD Purchases'!$G:$G,Brokerage!V$4)</f>
        <v>0</v>
      </c>
      <c r="W160" s="857">
        <f>SUMIFS('YTD Sales'!$N:$N,'YTD Sales'!$B:$B,Brokerage!$B160,'YTD Sales'!$M:$M,Brokerage!W$4)+SUMIFS('YTD Purchases'!$H:$H,'YTD Purchases'!$C:$C,Brokerage!$B160,'YTD Purchases'!$G:$G,Brokerage!W$4)</f>
        <v>0</v>
      </c>
      <c r="X160" s="857">
        <f>SUMIFS('YTD Sales'!$N:$N,'YTD Sales'!$B:$B,Brokerage!$B160,'YTD Sales'!$M:$M,Brokerage!X$4)+SUMIFS('YTD Purchases'!$H:$H,'YTD Purchases'!$C:$C,Brokerage!$B160,'YTD Purchases'!$G:$G,Brokerage!X$4)</f>
        <v>0</v>
      </c>
      <c r="Y160" s="857">
        <f>SUMIFS('YTD Sales'!$N:$N,'YTD Sales'!$B:$B,Brokerage!$B160,'YTD Sales'!$M:$M,Brokerage!Y$4)+SUMIFS('YTD Purchases'!$H:$H,'YTD Purchases'!$C:$C,Brokerage!$B160,'YTD Purchases'!$G:$G,Brokerage!Y$4)</f>
        <v>0</v>
      </c>
      <c r="Z160" s="857">
        <f>SUMIFS('YTD Sales'!$N:$N,'YTD Sales'!$B:$B,Brokerage!$B160,'YTD Sales'!$M:$M,Brokerage!Z$4)+SUMIFS('YTD Purchases'!$H:$H,'YTD Purchases'!$C:$C,Brokerage!$B160,'YTD Purchases'!$G:$G,Brokerage!Z$4)</f>
        <v>0</v>
      </c>
      <c r="AA160" s="857">
        <f>SUMIFS('YTD Sales'!$N:$N,'YTD Sales'!$B:$B,Brokerage!$B160,'YTD Sales'!$M:$M,Brokerage!AA$4)+SUMIFS('YTD Purchases'!$H:$H,'YTD Purchases'!$C:$C,Brokerage!$B160,'YTD Purchases'!$G:$G,Brokerage!AA$4)</f>
        <v>0</v>
      </c>
      <c r="AB160" s="857">
        <f>SUMIFS('YTD Sales'!$N:$N,'YTD Sales'!$B:$B,Brokerage!$B160,'YTD Sales'!$M:$M,Brokerage!AB$4)+SUMIFS('YTD Purchases'!$H:$H,'YTD Purchases'!$C:$C,Brokerage!$B160,'YTD Purchases'!$G:$G,Brokerage!AB$4)</f>
        <v>0</v>
      </c>
      <c r="AC160" s="857">
        <f>SUMIFS('YTD Sales'!$N:$N,'YTD Sales'!$B:$B,Brokerage!$B160,'YTD Sales'!$M:$M,Brokerage!AC$4)+SUMIFS('YTD Purchases'!$H:$H,'YTD Purchases'!$C:$C,Brokerage!$B160,'YTD Purchases'!$G:$G,Brokerage!AC$4)</f>
        <v>0</v>
      </c>
      <c r="AD160" s="857">
        <f>+SUMIFS(PIB!AG:AG,PIB!AF:AF,Brokerage!AD$4,PIB!AA:AA,Brokerage!$B160)+SUMIFS('T-Bills'!AB:AB,'T-Bills'!AA:AA,Brokerage!AD$4,'T-Bills'!V:V,Brokerage!$B160)</f>
        <v>0</v>
      </c>
      <c r="AE160" s="857">
        <f>+SUMIFS(PIB!AH:AH,PIB!AG:AG,Brokerage!AE$4,PIB!AB:AB,Brokerage!$B160)+SUMIFS('T-Bills'!AC:AC,'T-Bills'!AB:AB,Brokerage!AE$4,'T-Bills'!W:W,Brokerage!$B160)</f>
        <v>0</v>
      </c>
      <c r="AF160" s="857">
        <f>+SUMIFS(PIB!AI:AI,PIB!AH:AH,Brokerage!AF$4,PIB!AC:AC,Brokerage!$B160)+SUMIFS('T-Bills'!AD:AD,'T-Bills'!AC:AC,Brokerage!AF$4,'T-Bills'!X:X,Brokerage!$B160)</f>
        <v>0</v>
      </c>
      <c r="AG160" s="857">
        <f t="shared" si="19"/>
        <v>0</v>
      </c>
      <c r="AH160" s="858">
        <f t="shared" si="20"/>
        <v>0</v>
      </c>
    </row>
    <row r="161" spans="2:34" x14ac:dyDescent="0.15">
      <c r="B161" s="661">
        <f t="shared" si="18"/>
        <v>44717</v>
      </c>
      <c r="C161" s="857">
        <f>SUMIFS('YTD Sales'!$N:$N,'YTD Sales'!$B:$B,Brokerage!$B161,'YTD Sales'!$M:$M,Brokerage!C$4)+SUMIFS('YTD Purchases'!$H:$H,'YTD Purchases'!$C:$C,Brokerage!$B161,'YTD Purchases'!$G:$G,Brokerage!C$4)</f>
        <v>0</v>
      </c>
      <c r="D161" s="857">
        <f>SUMIFS('YTD Sales'!$N:$N,'YTD Sales'!$B:$B,Brokerage!$B161,'YTD Sales'!$M:$M,Brokerage!D$4)+SUMIFS('YTD Purchases'!$H:$H,'YTD Purchases'!$C:$C,Brokerage!$B161,'YTD Purchases'!$G:$G,Brokerage!D$4)</f>
        <v>0</v>
      </c>
      <c r="E161" s="857">
        <f>SUMIFS('YTD Sales'!$N:$N,'YTD Sales'!$B:$B,Brokerage!$B161,'YTD Sales'!$M:$M,Brokerage!E$4)+SUMIFS('YTD Purchases'!$H:$H,'YTD Purchases'!$C:$C,Brokerage!$B161,'YTD Purchases'!$G:$G,Brokerage!E$4)</f>
        <v>0</v>
      </c>
      <c r="F161" s="857">
        <f>SUMIFS('YTD Sales'!$N:$N,'YTD Sales'!$B:$B,Brokerage!$B161,'YTD Sales'!$M:$M,Brokerage!F$4)+SUMIFS('YTD Purchases'!$H:$H,'YTD Purchases'!$C:$C,Brokerage!$B161,'YTD Purchases'!$G:$G,Brokerage!F$4)</f>
        <v>0</v>
      </c>
      <c r="G161" s="857">
        <f>SUMIFS('YTD Sales'!$N:$N,'YTD Sales'!$B:$B,Brokerage!$B161,'YTD Sales'!$M:$M,Brokerage!G$4)+SUMIFS('YTD Purchases'!$H:$H,'YTD Purchases'!$C:$C,Brokerage!$B161,'YTD Purchases'!$G:$G,Brokerage!G$4)</f>
        <v>0</v>
      </c>
      <c r="H161" s="857">
        <f>SUMIFS('YTD Sales'!$N:$N,'YTD Sales'!$B:$B,Brokerage!$B161,'YTD Sales'!$M:$M,Brokerage!H$4)+SUMIFS('YTD Purchases'!$H:$H,'YTD Purchases'!$C:$C,Brokerage!$B161,'YTD Purchases'!$G:$G,Brokerage!H$4)</f>
        <v>0</v>
      </c>
      <c r="I161" s="857">
        <f>SUMIFS('YTD Sales'!$N:$N,'YTD Sales'!$B:$B,Brokerage!$B161,'YTD Sales'!$M:$M,Brokerage!I$4)+SUMIFS('YTD Purchases'!$H:$H,'YTD Purchases'!$C:$C,Brokerage!$B161,'YTD Purchases'!$G:$G,Brokerage!I$4)</f>
        <v>0</v>
      </c>
      <c r="J161" s="857">
        <f>SUMIFS('YTD Sales'!$N:$N,'YTD Sales'!$B:$B,Brokerage!$B161,'YTD Sales'!$M:$M,Brokerage!J$4)+SUMIFS('YTD Purchases'!$H:$H,'YTD Purchases'!$C:$C,Brokerage!$B161,'YTD Purchases'!$G:$G,Brokerage!J$4)</f>
        <v>0</v>
      </c>
      <c r="K161" s="857">
        <f>SUMIFS('YTD Sales'!$N:$N,'YTD Sales'!$B:$B,Brokerage!$B161,'YTD Sales'!$M:$M,Brokerage!K$4)+SUMIFS('YTD Purchases'!$H:$H,'YTD Purchases'!$C:$C,Brokerage!$B161,'YTD Purchases'!$G:$G,Brokerage!K$4)</f>
        <v>0</v>
      </c>
      <c r="L161" s="857">
        <f>SUMIFS('YTD Sales'!$N:$N,'YTD Sales'!$B:$B,Brokerage!$B161,'YTD Sales'!$M:$M,Brokerage!L$4)+SUMIFS('YTD Purchases'!$H:$H,'YTD Purchases'!$C:$C,Brokerage!$B161,'YTD Purchases'!$G:$G,Brokerage!L$4)</f>
        <v>0</v>
      </c>
      <c r="M161" s="857">
        <f>SUMIFS('YTD Sales'!$N:$N,'YTD Sales'!$B:$B,Brokerage!$B161,'YTD Sales'!$M:$M,Brokerage!M$4)+SUMIFS('YTD Purchases'!$H:$H,'YTD Purchases'!$C:$C,Brokerage!$B161,'YTD Purchases'!$G:$G,Brokerage!M$4)</f>
        <v>0</v>
      </c>
      <c r="N161" s="857">
        <f>SUMIFS('YTD Sales'!$N:$N,'YTD Sales'!$B:$B,Brokerage!$B161,'YTD Sales'!$M:$M,Brokerage!N$4)+SUMIFS('YTD Purchases'!$H:$H,'YTD Purchases'!$C:$C,Brokerage!$B161,'YTD Purchases'!$G:$G,Brokerage!N$4)</f>
        <v>0</v>
      </c>
      <c r="O161" s="857">
        <f>SUMIFS('YTD Sales'!$N:$N,'YTD Sales'!$B:$B,Brokerage!$B161,'YTD Sales'!$M:$M,Brokerage!O$4)+SUMIFS('YTD Purchases'!$H:$H,'YTD Purchases'!$C:$C,Brokerage!$B161,'YTD Purchases'!$G:$G,Brokerage!O$4)</f>
        <v>0</v>
      </c>
      <c r="P161" s="857">
        <f>SUMIFS('YTD Sales'!$N:$N,'YTD Sales'!$B:$B,Brokerage!$B161,'YTD Sales'!$M:$M,Brokerage!P$4)+SUMIFS('YTD Purchases'!$H:$H,'YTD Purchases'!$C:$C,Brokerage!$B161,'YTD Purchases'!$G:$G,Brokerage!P$4)</f>
        <v>0</v>
      </c>
      <c r="Q161" s="857">
        <f>SUMIFS('YTD Sales'!$N:$N,'YTD Sales'!$B:$B,Brokerage!$B161,'YTD Sales'!$M:$M,Brokerage!Q$4)+SUMIFS('YTD Purchases'!$H:$H,'YTD Purchases'!$C:$C,Brokerage!$B161,'YTD Purchases'!$G:$G,Brokerage!Q$4)</f>
        <v>0</v>
      </c>
      <c r="R161" s="857">
        <f>SUMIFS('YTD Sales'!$N:$N,'YTD Sales'!$B:$B,Brokerage!$B161,'YTD Sales'!$M:$M,Brokerage!R$4)+SUMIFS('YTD Purchases'!$H:$H,'YTD Purchases'!$C:$C,Brokerage!$B161,'YTD Purchases'!$G:$G,Brokerage!R$4)</f>
        <v>0</v>
      </c>
      <c r="S161" s="857">
        <f>SUMIFS('YTD Sales'!$N:$N,'YTD Sales'!$B:$B,Brokerage!$B161,'YTD Sales'!$M:$M,Brokerage!S$4)+SUMIFS('YTD Purchases'!$H:$H,'YTD Purchases'!$C:$C,Brokerage!$B161,'YTD Purchases'!$G:$G,Brokerage!S$4)</f>
        <v>0</v>
      </c>
      <c r="T161" s="857">
        <f>SUMIFS('YTD Sales'!$N:$N,'YTD Sales'!$B:$B,Brokerage!$B161,'YTD Sales'!$M:$M,Brokerage!T$4)+SUMIFS('YTD Purchases'!$H:$H,'YTD Purchases'!$C:$C,Brokerage!$B161,'YTD Purchases'!$G:$G,Brokerage!T$4)</f>
        <v>0</v>
      </c>
      <c r="U161" s="857">
        <f>SUMIFS('YTD Sales'!$N:$N,'YTD Sales'!$B:$B,Brokerage!$B161,'YTD Sales'!$M:$M,Brokerage!U$4)+SUMIFS('YTD Purchases'!$H:$H,'YTD Purchases'!$C:$C,Brokerage!$B161,'YTD Purchases'!$G:$G,Brokerage!U$4)</f>
        <v>0</v>
      </c>
      <c r="V161" s="857">
        <f>SUMIFS('YTD Sales'!$N:$N,'YTD Sales'!$B:$B,Brokerage!$B161,'YTD Sales'!$M:$M,Brokerage!V$4)+SUMIFS('YTD Purchases'!$H:$H,'YTD Purchases'!$C:$C,Brokerage!$B161,'YTD Purchases'!$G:$G,Brokerage!V$4)</f>
        <v>0</v>
      </c>
      <c r="W161" s="857">
        <f>SUMIFS('YTD Sales'!$N:$N,'YTD Sales'!$B:$B,Brokerage!$B161,'YTD Sales'!$M:$M,Brokerage!W$4)+SUMIFS('YTD Purchases'!$H:$H,'YTD Purchases'!$C:$C,Brokerage!$B161,'YTD Purchases'!$G:$G,Brokerage!W$4)</f>
        <v>0</v>
      </c>
      <c r="X161" s="857">
        <f>SUMIFS('YTD Sales'!$N:$N,'YTD Sales'!$B:$B,Brokerage!$B161,'YTD Sales'!$M:$M,Brokerage!X$4)+SUMIFS('YTD Purchases'!$H:$H,'YTD Purchases'!$C:$C,Brokerage!$B161,'YTD Purchases'!$G:$G,Brokerage!X$4)</f>
        <v>0</v>
      </c>
      <c r="Y161" s="857">
        <f>SUMIFS('YTD Sales'!$N:$N,'YTD Sales'!$B:$B,Brokerage!$B161,'YTD Sales'!$M:$M,Brokerage!Y$4)+SUMIFS('YTD Purchases'!$H:$H,'YTD Purchases'!$C:$C,Brokerage!$B161,'YTD Purchases'!$G:$G,Brokerage!Y$4)</f>
        <v>0</v>
      </c>
      <c r="Z161" s="857">
        <f>SUMIFS('YTD Sales'!$N:$N,'YTD Sales'!$B:$B,Brokerage!$B161,'YTD Sales'!$M:$M,Brokerage!Z$4)+SUMIFS('YTD Purchases'!$H:$H,'YTD Purchases'!$C:$C,Brokerage!$B161,'YTD Purchases'!$G:$G,Brokerage!Z$4)</f>
        <v>0</v>
      </c>
      <c r="AA161" s="857">
        <f>SUMIFS('YTD Sales'!$N:$N,'YTD Sales'!$B:$B,Brokerage!$B161,'YTD Sales'!$M:$M,Brokerage!AA$4)+SUMIFS('YTD Purchases'!$H:$H,'YTD Purchases'!$C:$C,Brokerage!$B161,'YTD Purchases'!$G:$G,Brokerage!AA$4)</f>
        <v>0</v>
      </c>
      <c r="AB161" s="857">
        <f>SUMIFS('YTD Sales'!$N:$N,'YTD Sales'!$B:$B,Brokerage!$B161,'YTD Sales'!$M:$M,Brokerage!AB$4)+SUMIFS('YTD Purchases'!$H:$H,'YTD Purchases'!$C:$C,Brokerage!$B161,'YTD Purchases'!$G:$G,Brokerage!AB$4)</f>
        <v>0</v>
      </c>
      <c r="AC161" s="857">
        <f>SUMIFS('YTD Sales'!$N:$N,'YTD Sales'!$B:$B,Brokerage!$B161,'YTD Sales'!$M:$M,Brokerage!AC$4)+SUMIFS('YTD Purchases'!$H:$H,'YTD Purchases'!$C:$C,Brokerage!$B161,'YTD Purchases'!$G:$G,Brokerage!AC$4)</f>
        <v>0</v>
      </c>
      <c r="AD161" s="857">
        <f>+SUMIFS(PIB!AG:AG,PIB!AF:AF,Brokerage!AD$4,PIB!AA:AA,Brokerage!$B161)+SUMIFS('T-Bills'!AB:AB,'T-Bills'!AA:AA,Brokerage!AD$4,'T-Bills'!V:V,Brokerage!$B161)</f>
        <v>0</v>
      </c>
      <c r="AE161" s="857">
        <f>+SUMIFS(PIB!AH:AH,PIB!AG:AG,Brokerage!AE$4,PIB!AB:AB,Brokerage!$B161)+SUMIFS('T-Bills'!AC:AC,'T-Bills'!AB:AB,Brokerage!AE$4,'T-Bills'!W:W,Brokerage!$B161)</f>
        <v>0</v>
      </c>
      <c r="AF161" s="857">
        <f>+SUMIFS(PIB!AI:AI,PIB!AH:AH,Brokerage!AF$4,PIB!AC:AC,Brokerage!$B161)+SUMIFS('T-Bills'!AD:AD,'T-Bills'!AC:AC,Brokerage!AF$4,'T-Bills'!X:X,Brokerage!$B161)</f>
        <v>0</v>
      </c>
      <c r="AG161" s="857">
        <f t="shared" si="19"/>
        <v>0</v>
      </c>
      <c r="AH161" s="858">
        <f t="shared" si="20"/>
        <v>0</v>
      </c>
    </row>
    <row r="162" spans="2:34" x14ac:dyDescent="0.15">
      <c r="B162" s="661">
        <f t="shared" si="18"/>
        <v>44718</v>
      </c>
      <c r="C162" s="857">
        <f>SUMIFS('YTD Sales'!$N:$N,'YTD Sales'!$B:$B,Brokerage!$B162,'YTD Sales'!$M:$M,Brokerage!C$4)+SUMIFS('YTD Purchases'!$H:$H,'YTD Purchases'!$C:$C,Brokerage!$B162,'YTD Purchases'!$G:$G,Brokerage!C$4)</f>
        <v>0</v>
      </c>
      <c r="D162" s="857">
        <f>SUMIFS('YTD Sales'!$N:$N,'YTD Sales'!$B:$B,Brokerage!$B162,'YTD Sales'!$M:$M,Brokerage!D$4)+SUMIFS('YTD Purchases'!$H:$H,'YTD Purchases'!$C:$C,Brokerage!$B162,'YTD Purchases'!$G:$G,Brokerage!D$4)</f>
        <v>0</v>
      </c>
      <c r="E162" s="857">
        <f>SUMIFS('YTD Sales'!$N:$N,'YTD Sales'!$B:$B,Brokerage!$B162,'YTD Sales'!$M:$M,Brokerage!E$4)+SUMIFS('YTD Purchases'!$H:$H,'YTD Purchases'!$C:$C,Brokerage!$B162,'YTD Purchases'!$G:$G,Brokerage!E$4)</f>
        <v>0</v>
      </c>
      <c r="F162" s="857">
        <f>SUMIFS('YTD Sales'!$N:$N,'YTD Sales'!$B:$B,Brokerage!$B162,'YTD Sales'!$M:$M,Brokerage!F$4)+SUMIFS('YTD Purchases'!$H:$H,'YTD Purchases'!$C:$C,Brokerage!$B162,'YTD Purchases'!$G:$G,Brokerage!F$4)</f>
        <v>0</v>
      </c>
      <c r="G162" s="857">
        <f>SUMIFS('YTD Sales'!$N:$N,'YTD Sales'!$B:$B,Brokerage!$B162,'YTD Sales'!$M:$M,Brokerage!G$4)+SUMIFS('YTD Purchases'!$H:$H,'YTD Purchases'!$C:$C,Brokerage!$B162,'YTD Purchases'!$G:$G,Brokerage!G$4)</f>
        <v>0</v>
      </c>
      <c r="H162" s="857">
        <f>SUMIFS('YTD Sales'!$N:$N,'YTD Sales'!$B:$B,Brokerage!$B162,'YTD Sales'!$M:$M,Brokerage!H$4)+SUMIFS('YTD Purchases'!$H:$H,'YTD Purchases'!$C:$C,Brokerage!$B162,'YTD Purchases'!$G:$G,Brokerage!H$4)</f>
        <v>0</v>
      </c>
      <c r="I162" s="857">
        <f>SUMIFS('YTD Sales'!$N:$N,'YTD Sales'!$B:$B,Brokerage!$B162,'YTD Sales'!$M:$M,Brokerage!I$4)+SUMIFS('YTD Purchases'!$H:$H,'YTD Purchases'!$C:$C,Brokerage!$B162,'YTD Purchases'!$G:$G,Brokerage!I$4)</f>
        <v>0</v>
      </c>
      <c r="J162" s="857">
        <f>SUMIFS('YTD Sales'!$N:$N,'YTD Sales'!$B:$B,Brokerage!$B162,'YTD Sales'!$M:$M,Brokerage!J$4)+SUMIFS('YTD Purchases'!$H:$H,'YTD Purchases'!$C:$C,Brokerage!$B162,'YTD Purchases'!$G:$G,Brokerage!J$4)</f>
        <v>0</v>
      </c>
      <c r="K162" s="857">
        <f>SUMIFS('YTD Sales'!$N:$N,'YTD Sales'!$B:$B,Brokerage!$B162,'YTD Sales'!$M:$M,Brokerage!K$4)+SUMIFS('YTD Purchases'!$H:$H,'YTD Purchases'!$C:$C,Brokerage!$B162,'YTD Purchases'!$G:$G,Brokerage!K$4)</f>
        <v>0</v>
      </c>
      <c r="L162" s="857">
        <f>SUMIFS('YTD Sales'!$N:$N,'YTD Sales'!$B:$B,Brokerage!$B162,'YTD Sales'!$M:$M,Brokerage!L$4)+SUMIFS('YTD Purchases'!$H:$H,'YTD Purchases'!$C:$C,Brokerage!$B162,'YTD Purchases'!$G:$G,Brokerage!L$4)</f>
        <v>0</v>
      </c>
      <c r="M162" s="857">
        <f>SUMIFS('YTD Sales'!$N:$N,'YTD Sales'!$B:$B,Brokerage!$B162,'YTD Sales'!$M:$M,Brokerage!M$4)+SUMIFS('YTD Purchases'!$H:$H,'YTD Purchases'!$C:$C,Brokerage!$B162,'YTD Purchases'!$G:$G,Brokerage!M$4)</f>
        <v>0</v>
      </c>
      <c r="N162" s="857">
        <f>SUMIFS('YTD Sales'!$N:$N,'YTD Sales'!$B:$B,Brokerage!$B162,'YTD Sales'!$M:$M,Brokerage!N$4)+SUMIFS('YTD Purchases'!$H:$H,'YTD Purchases'!$C:$C,Brokerage!$B162,'YTD Purchases'!$G:$G,Brokerage!N$4)</f>
        <v>0</v>
      </c>
      <c r="O162" s="857">
        <f>SUMIFS('YTD Sales'!$N:$N,'YTD Sales'!$B:$B,Brokerage!$B162,'YTD Sales'!$M:$M,Brokerage!O$4)+SUMIFS('YTD Purchases'!$H:$H,'YTD Purchases'!$C:$C,Brokerage!$B162,'YTD Purchases'!$G:$G,Brokerage!O$4)</f>
        <v>0</v>
      </c>
      <c r="P162" s="857">
        <f>SUMIFS('YTD Sales'!$N:$N,'YTD Sales'!$B:$B,Brokerage!$B162,'YTD Sales'!$M:$M,Brokerage!P$4)+SUMIFS('YTD Purchases'!$H:$H,'YTD Purchases'!$C:$C,Brokerage!$B162,'YTD Purchases'!$G:$G,Brokerage!P$4)</f>
        <v>0</v>
      </c>
      <c r="Q162" s="857">
        <f>SUMIFS('YTD Sales'!$N:$N,'YTD Sales'!$B:$B,Brokerage!$B162,'YTD Sales'!$M:$M,Brokerage!Q$4)+SUMIFS('YTD Purchases'!$H:$H,'YTD Purchases'!$C:$C,Brokerage!$B162,'YTD Purchases'!$G:$G,Brokerage!Q$4)</f>
        <v>0</v>
      </c>
      <c r="R162" s="857">
        <f>SUMIFS('YTD Sales'!$N:$N,'YTD Sales'!$B:$B,Brokerage!$B162,'YTD Sales'!$M:$M,Brokerage!R$4)+SUMIFS('YTD Purchases'!$H:$H,'YTD Purchases'!$C:$C,Brokerage!$B162,'YTD Purchases'!$G:$G,Brokerage!R$4)</f>
        <v>0</v>
      </c>
      <c r="S162" s="857">
        <f>SUMIFS('YTD Sales'!$N:$N,'YTD Sales'!$B:$B,Brokerage!$B162,'YTD Sales'!$M:$M,Brokerage!S$4)+SUMIFS('YTD Purchases'!$H:$H,'YTD Purchases'!$C:$C,Brokerage!$B162,'YTD Purchases'!$G:$G,Brokerage!S$4)</f>
        <v>0</v>
      </c>
      <c r="T162" s="857">
        <f>SUMIFS('YTD Sales'!$N:$N,'YTD Sales'!$B:$B,Brokerage!$B162,'YTD Sales'!$M:$M,Brokerage!T$4)+SUMIFS('YTD Purchases'!$H:$H,'YTD Purchases'!$C:$C,Brokerage!$B162,'YTD Purchases'!$G:$G,Brokerage!T$4)</f>
        <v>0</v>
      </c>
      <c r="U162" s="857">
        <f>SUMIFS('YTD Sales'!$N:$N,'YTD Sales'!$B:$B,Brokerage!$B162,'YTD Sales'!$M:$M,Brokerage!U$4)+SUMIFS('YTD Purchases'!$H:$H,'YTD Purchases'!$C:$C,Brokerage!$B162,'YTD Purchases'!$G:$G,Brokerage!U$4)</f>
        <v>0</v>
      </c>
      <c r="V162" s="857">
        <f>SUMIFS('YTD Sales'!$N:$N,'YTD Sales'!$B:$B,Brokerage!$B162,'YTD Sales'!$M:$M,Brokerage!V$4)+SUMIFS('YTD Purchases'!$H:$H,'YTD Purchases'!$C:$C,Brokerage!$B162,'YTD Purchases'!$G:$G,Brokerage!V$4)</f>
        <v>0</v>
      </c>
      <c r="W162" s="857">
        <f>SUMIFS('YTD Sales'!$N:$N,'YTD Sales'!$B:$B,Brokerage!$B162,'YTD Sales'!$M:$M,Brokerage!W$4)+SUMIFS('YTD Purchases'!$H:$H,'YTD Purchases'!$C:$C,Brokerage!$B162,'YTD Purchases'!$G:$G,Brokerage!W$4)</f>
        <v>0</v>
      </c>
      <c r="X162" s="857">
        <f>SUMIFS('YTD Sales'!$N:$N,'YTD Sales'!$B:$B,Brokerage!$B162,'YTD Sales'!$M:$M,Brokerage!X$4)+SUMIFS('YTD Purchases'!$H:$H,'YTD Purchases'!$C:$C,Brokerage!$B162,'YTD Purchases'!$G:$G,Brokerage!X$4)</f>
        <v>0</v>
      </c>
      <c r="Y162" s="857">
        <f>SUMIFS('YTD Sales'!$N:$N,'YTD Sales'!$B:$B,Brokerage!$B162,'YTD Sales'!$M:$M,Brokerage!Y$4)+SUMIFS('YTD Purchases'!$H:$H,'YTD Purchases'!$C:$C,Brokerage!$B162,'YTD Purchases'!$G:$G,Brokerage!Y$4)</f>
        <v>0</v>
      </c>
      <c r="Z162" s="857">
        <f>SUMIFS('YTD Sales'!$N:$N,'YTD Sales'!$B:$B,Brokerage!$B162,'YTD Sales'!$M:$M,Brokerage!Z$4)+SUMIFS('YTD Purchases'!$H:$H,'YTD Purchases'!$C:$C,Brokerage!$B162,'YTD Purchases'!$G:$G,Brokerage!Z$4)</f>
        <v>0</v>
      </c>
      <c r="AA162" s="857">
        <f>SUMIFS('YTD Sales'!$N:$N,'YTD Sales'!$B:$B,Brokerage!$B162,'YTD Sales'!$M:$M,Brokerage!AA$4)+SUMIFS('YTD Purchases'!$H:$H,'YTD Purchases'!$C:$C,Brokerage!$B162,'YTD Purchases'!$G:$G,Brokerage!AA$4)</f>
        <v>0</v>
      </c>
      <c r="AB162" s="857">
        <f>SUMIFS('YTD Sales'!$N:$N,'YTD Sales'!$B:$B,Brokerage!$B162,'YTD Sales'!$M:$M,Brokerage!AB$4)+SUMIFS('YTD Purchases'!$H:$H,'YTD Purchases'!$C:$C,Brokerage!$B162,'YTD Purchases'!$G:$G,Brokerage!AB$4)</f>
        <v>0</v>
      </c>
      <c r="AC162" s="857">
        <f>SUMIFS('YTD Sales'!$N:$N,'YTD Sales'!$B:$B,Brokerage!$B162,'YTD Sales'!$M:$M,Brokerage!AC$4)+SUMIFS('YTD Purchases'!$H:$H,'YTD Purchases'!$C:$C,Brokerage!$B162,'YTD Purchases'!$G:$G,Brokerage!AC$4)</f>
        <v>0</v>
      </c>
      <c r="AD162" s="857">
        <f>+SUMIFS(PIB!AG:AG,PIB!AF:AF,Brokerage!AD$4,PIB!AA:AA,Brokerage!$B162)+SUMIFS('T-Bills'!AB:AB,'T-Bills'!AA:AA,Brokerage!AD$4,'T-Bills'!V:V,Brokerage!$B162)</f>
        <v>0</v>
      </c>
      <c r="AE162" s="857">
        <f>+SUMIFS(PIB!AH:AH,PIB!AG:AG,Brokerage!AE$4,PIB!AB:AB,Brokerage!$B162)+SUMIFS('T-Bills'!AC:AC,'T-Bills'!AB:AB,Brokerage!AE$4,'T-Bills'!W:W,Brokerage!$B162)</f>
        <v>0</v>
      </c>
      <c r="AF162" s="857">
        <f>+SUMIFS(PIB!AI:AI,PIB!AH:AH,Brokerage!AF$4,PIB!AC:AC,Brokerage!$B162)+SUMIFS('T-Bills'!AD:AD,'T-Bills'!AC:AC,Brokerage!AF$4,'T-Bills'!X:X,Brokerage!$B162)</f>
        <v>0</v>
      </c>
      <c r="AG162" s="857">
        <f t="shared" si="19"/>
        <v>0</v>
      </c>
      <c r="AH162" s="858">
        <f t="shared" si="20"/>
        <v>0</v>
      </c>
    </row>
    <row r="163" spans="2:34" x14ac:dyDescent="0.15">
      <c r="B163" s="661">
        <f t="shared" si="18"/>
        <v>44719</v>
      </c>
      <c r="C163" s="857">
        <f>SUMIFS('YTD Sales'!$N:$N,'YTD Sales'!$B:$B,Brokerage!$B163,'YTD Sales'!$M:$M,Brokerage!C$4)+SUMIFS('YTD Purchases'!$H:$H,'YTD Purchases'!$C:$C,Brokerage!$B163,'YTD Purchases'!$G:$G,Brokerage!C$4)</f>
        <v>0</v>
      </c>
      <c r="D163" s="857">
        <f>SUMIFS('YTD Sales'!$N:$N,'YTD Sales'!$B:$B,Brokerage!$B163,'YTD Sales'!$M:$M,Brokerage!D$4)+SUMIFS('YTD Purchases'!$H:$H,'YTD Purchases'!$C:$C,Brokerage!$B163,'YTD Purchases'!$G:$G,Brokerage!D$4)</f>
        <v>0</v>
      </c>
      <c r="E163" s="857">
        <f>SUMIFS('YTD Sales'!$N:$N,'YTD Sales'!$B:$B,Brokerage!$B163,'YTD Sales'!$M:$M,Brokerage!E$4)+SUMIFS('YTD Purchases'!$H:$H,'YTD Purchases'!$C:$C,Brokerage!$B163,'YTD Purchases'!$G:$G,Brokerage!E$4)</f>
        <v>0</v>
      </c>
      <c r="F163" s="857">
        <f>SUMIFS('YTD Sales'!$N:$N,'YTD Sales'!$B:$B,Brokerage!$B163,'YTD Sales'!$M:$M,Brokerage!F$4)+SUMIFS('YTD Purchases'!$H:$H,'YTD Purchases'!$C:$C,Brokerage!$B163,'YTD Purchases'!$G:$G,Brokerage!F$4)</f>
        <v>0</v>
      </c>
      <c r="G163" s="857">
        <f>SUMIFS('YTD Sales'!$N:$N,'YTD Sales'!$B:$B,Brokerage!$B163,'YTD Sales'!$M:$M,Brokerage!G$4)+SUMIFS('YTD Purchases'!$H:$H,'YTD Purchases'!$C:$C,Brokerage!$B163,'YTD Purchases'!$G:$G,Brokerage!G$4)</f>
        <v>0</v>
      </c>
      <c r="H163" s="857">
        <f>SUMIFS('YTD Sales'!$N:$N,'YTD Sales'!$B:$B,Brokerage!$B163,'YTD Sales'!$M:$M,Brokerage!H$4)+SUMIFS('YTD Purchases'!$H:$H,'YTD Purchases'!$C:$C,Brokerage!$B163,'YTD Purchases'!$G:$G,Brokerage!H$4)</f>
        <v>0</v>
      </c>
      <c r="I163" s="857">
        <f>SUMIFS('YTD Sales'!$N:$N,'YTD Sales'!$B:$B,Brokerage!$B163,'YTD Sales'!$M:$M,Brokerage!I$4)+SUMIFS('YTD Purchases'!$H:$H,'YTD Purchases'!$C:$C,Brokerage!$B163,'YTD Purchases'!$G:$G,Brokerage!I$4)</f>
        <v>0</v>
      </c>
      <c r="J163" s="857">
        <f>SUMIFS('YTD Sales'!$N:$N,'YTD Sales'!$B:$B,Brokerage!$B163,'YTD Sales'!$M:$M,Brokerage!J$4)+SUMIFS('YTD Purchases'!$H:$H,'YTD Purchases'!$C:$C,Brokerage!$B163,'YTD Purchases'!$G:$G,Brokerage!J$4)</f>
        <v>0</v>
      </c>
      <c r="K163" s="857">
        <f>SUMIFS('YTD Sales'!$N:$N,'YTD Sales'!$B:$B,Brokerage!$B163,'YTD Sales'!$M:$M,Brokerage!K$4)+SUMIFS('YTD Purchases'!$H:$H,'YTD Purchases'!$C:$C,Brokerage!$B163,'YTD Purchases'!$G:$G,Brokerage!K$4)</f>
        <v>0</v>
      </c>
      <c r="L163" s="857">
        <f>SUMIFS('YTD Sales'!$N:$N,'YTD Sales'!$B:$B,Brokerage!$B163,'YTD Sales'!$M:$M,Brokerage!L$4)+SUMIFS('YTD Purchases'!$H:$H,'YTD Purchases'!$C:$C,Brokerage!$B163,'YTD Purchases'!$G:$G,Brokerage!L$4)</f>
        <v>0</v>
      </c>
      <c r="M163" s="857">
        <f>SUMIFS('YTD Sales'!$N:$N,'YTD Sales'!$B:$B,Brokerage!$B163,'YTD Sales'!$M:$M,Brokerage!M$4)+SUMIFS('YTD Purchases'!$H:$H,'YTD Purchases'!$C:$C,Brokerage!$B163,'YTD Purchases'!$G:$G,Brokerage!M$4)</f>
        <v>180.52</v>
      </c>
      <c r="N163" s="857">
        <f>SUMIFS('YTD Sales'!$N:$N,'YTD Sales'!$B:$B,Brokerage!$B163,'YTD Sales'!$M:$M,Brokerage!N$4)+SUMIFS('YTD Purchases'!$H:$H,'YTD Purchases'!$C:$C,Brokerage!$B163,'YTD Purchases'!$G:$G,Brokerage!N$4)</f>
        <v>0</v>
      </c>
      <c r="O163" s="857">
        <f>SUMIFS('YTD Sales'!$N:$N,'YTD Sales'!$B:$B,Brokerage!$B163,'YTD Sales'!$M:$M,Brokerage!O$4)+SUMIFS('YTD Purchases'!$H:$H,'YTD Purchases'!$C:$C,Brokerage!$B163,'YTD Purchases'!$G:$G,Brokerage!O$4)</f>
        <v>0</v>
      </c>
      <c r="P163" s="857">
        <f>SUMIFS('YTD Sales'!$N:$N,'YTD Sales'!$B:$B,Brokerage!$B163,'YTD Sales'!$M:$M,Brokerage!P$4)+SUMIFS('YTD Purchases'!$H:$H,'YTD Purchases'!$C:$C,Brokerage!$B163,'YTD Purchases'!$G:$G,Brokerage!P$4)</f>
        <v>0</v>
      </c>
      <c r="Q163" s="857">
        <f>SUMIFS('YTD Sales'!$N:$N,'YTD Sales'!$B:$B,Brokerage!$B163,'YTD Sales'!$M:$M,Brokerage!Q$4)+SUMIFS('YTD Purchases'!$H:$H,'YTD Purchases'!$C:$C,Brokerage!$B163,'YTD Purchases'!$G:$G,Brokerage!Q$4)</f>
        <v>0</v>
      </c>
      <c r="R163" s="857">
        <f>SUMIFS('YTD Sales'!$N:$N,'YTD Sales'!$B:$B,Brokerage!$B163,'YTD Sales'!$M:$M,Brokerage!R$4)+SUMIFS('YTD Purchases'!$H:$H,'YTD Purchases'!$C:$C,Brokerage!$B163,'YTD Purchases'!$G:$G,Brokerage!R$4)</f>
        <v>0</v>
      </c>
      <c r="S163" s="857">
        <f>SUMIFS('YTD Sales'!$N:$N,'YTD Sales'!$B:$B,Brokerage!$B163,'YTD Sales'!$M:$M,Brokerage!S$4)+SUMIFS('YTD Purchases'!$H:$H,'YTD Purchases'!$C:$C,Brokerage!$B163,'YTD Purchases'!$G:$G,Brokerage!S$4)</f>
        <v>0</v>
      </c>
      <c r="T163" s="857">
        <f>SUMIFS('YTD Sales'!$N:$N,'YTD Sales'!$B:$B,Brokerage!$B163,'YTD Sales'!$M:$M,Brokerage!T$4)+SUMIFS('YTD Purchases'!$H:$H,'YTD Purchases'!$C:$C,Brokerage!$B163,'YTD Purchases'!$G:$G,Brokerage!T$4)</f>
        <v>0</v>
      </c>
      <c r="U163" s="857">
        <f>SUMIFS('YTD Sales'!$N:$N,'YTD Sales'!$B:$B,Brokerage!$B163,'YTD Sales'!$M:$M,Brokerage!U$4)+SUMIFS('YTD Purchases'!$H:$H,'YTD Purchases'!$C:$C,Brokerage!$B163,'YTD Purchases'!$G:$G,Brokerage!U$4)</f>
        <v>0</v>
      </c>
      <c r="V163" s="857">
        <f>SUMIFS('YTD Sales'!$N:$N,'YTD Sales'!$B:$B,Brokerage!$B163,'YTD Sales'!$M:$M,Brokerage!V$4)+SUMIFS('YTD Purchases'!$H:$H,'YTD Purchases'!$C:$C,Brokerage!$B163,'YTD Purchases'!$G:$G,Brokerage!V$4)</f>
        <v>0</v>
      </c>
      <c r="W163" s="857">
        <f>SUMIFS('YTD Sales'!$N:$N,'YTD Sales'!$B:$B,Brokerage!$B163,'YTD Sales'!$M:$M,Brokerage!W$4)+SUMIFS('YTD Purchases'!$H:$H,'YTD Purchases'!$C:$C,Brokerage!$B163,'YTD Purchases'!$G:$G,Brokerage!W$4)</f>
        <v>0</v>
      </c>
      <c r="X163" s="857">
        <f>SUMIFS('YTD Sales'!$N:$N,'YTD Sales'!$B:$B,Brokerage!$B163,'YTD Sales'!$M:$M,Brokerage!X$4)+SUMIFS('YTD Purchases'!$H:$H,'YTD Purchases'!$C:$C,Brokerage!$B163,'YTD Purchases'!$G:$G,Brokerage!X$4)</f>
        <v>0</v>
      </c>
      <c r="Y163" s="857">
        <f>SUMIFS('YTD Sales'!$N:$N,'YTD Sales'!$B:$B,Brokerage!$B163,'YTD Sales'!$M:$M,Brokerage!Y$4)+SUMIFS('YTD Purchases'!$H:$H,'YTD Purchases'!$C:$C,Brokerage!$B163,'YTD Purchases'!$G:$G,Brokerage!Y$4)</f>
        <v>0</v>
      </c>
      <c r="Z163" s="857">
        <f>SUMIFS('YTD Sales'!$N:$N,'YTD Sales'!$B:$B,Brokerage!$B163,'YTD Sales'!$M:$M,Brokerage!Z$4)+SUMIFS('YTD Purchases'!$H:$H,'YTD Purchases'!$C:$C,Brokerage!$B163,'YTD Purchases'!$G:$G,Brokerage!Z$4)</f>
        <v>0</v>
      </c>
      <c r="AA163" s="857">
        <f>SUMIFS('YTD Sales'!$N:$N,'YTD Sales'!$B:$B,Brokerage!$B163,'YTD Sales'!$M:$M,Brokerage!AA$4)+SUMIFS('YTD Purchases'!$H:$H,'YTD Purchases'!$C:$C,Brokerage!$B163,'YTD Purchases'!$G:$G,Brokerage!AA$4)</f>
        <v>0</v>
      </c>
      <c r="AB163" s="857">
        <f>SUMIFS('YTD Sales'!$N:$N,'YTD Sales'!$B:$B,Brokerage!$B163,'YTD Sales'!$M:$M,Brokerage!AB$4)+SUMIFS('YTD Purchases'!$H:$H,'YTD Purchases'!$C:$C,Brokerage!$B163,'YTD Purchases'!$G:$G,Brokerage!AB$4)</f>
        <v>0</v>
      </c>
      <c r="AC163" s="857">
        <f>SUMIFS('YTD Sales'!$N:$N,'YTD Sales'!$B:$B,Brokerage!$B163,'YTD Sales'!$M:$M,Brokerage!AC$4)+SUMIFS('YTD Purchases'!$H:$H,'YTD Purchases'!$C:$C,Brokerage!$B163,'YTD Purchases'!$G:$G,Brokerage!AC$4)</f>
        <v>0</v>
      </c>
      <c r="AD163" s="857">
        <f>+SUMIFS(PIB!AG:AG,PIB!AF:AF,Brokerage!AD$4,PIB!AA:AA,Brokerage!$B163)+SUMIFS('T-Bills'!AB:AB,'T-Bills'!AA:AA,Brokerage!AD$4,'T-Bills'!V:V,Brokerage!$B163)</f>
        <v>0</v>
      </c>
      <c r="AE163" s="857">
        <f>+SUMIFS(PIB!AH:AH,PIB!AG:AG,Brokerage!AE$4,PIB!AB:AB,Brokerage!$B163)+SUMIFS('T-Bills'!AC:AC,'T-Bills'!AB:AB,Brokerage!AE$4,'T-Bills'!W:W,Brokerage!$B163)</f>
        <v>0</v>
      </c>
      <c r="AF163" s="857">
        <f>+SUMIFS(PIB!AI:AI,PIB!AH:AH,Brokerage!AF$4,PIB!AC:AC,Brokerage!$B163)+SUMIFS('T-Bills'!AD:AD,'T-Bills'!AC:AC,Brokerage!AF$4,'T-Bills'!X:X,Brokerage!$B163)</f>
        <v>0</v>
      </c>
      <c r="AG163" s="857">
        <f t="shared" si="19"/>
        <v>180.52</v>
      </c>
      <c r="AH163" s="858">
        <f t="shared" si="20"/>
        <v>0</v>
      </c>
    </row>
    <row r="164" spans="2:34" x14ac:dyDescent="0.15">
      <c r="B164" s="661">
        <f t="shared" si="18"/>
        <v>44720</v>
      </c>
      <c r="C164" s="857">
        <f>SUMIFS('YTD Sales'!$N:$N,'YTD Sales'!$B:$B,Brokerage!$B164,'YTD Sales'!$M:$M,Brokerage!C$4)+SUMIFS('YTD Purchases'!$H:$H,'YTD Purchases'!$C:$C,Brokerage!$B164,'YTD Purchases'!$G:$G,Brokerage!C$4)</f>
        <v>0</v>
      </c>
      <c r="D164" s="857">
        <f>SUMIFS('YTD Sales'!$N:$N,'YTD Sales'!$B:$B,Brokerage!$B164,'YTD Sales'!$M:$M,Brokerage!D$4)+SUMIFS('YTD Purchases'!$H:$H,'YTD Purchases'!$C:$C,Brokerage!$B164,'YTD Purchases'!$G:$G,Brokerage!D$4)</f>
        <v>0</v>
      </c>
      <c r="E164" s="857">
        <f>SUMIFS('YTD Sales'!$N:$N,'YTD Sales'!$B:$B,Brokerage!$B164,'YTD Sales'!$M:$M,Brokerage!E$4)+SUMIFS('YTD Purchases'!$H:$H,'YTD Purchases'!$C:$C,Brokerage!$B164,'YTD Purchases'!$G:$G,Brokerage!E$4)</f>
        <v>0</v>
      </c>
      <c r="F164" s="857">
        <f>SUMIFS('YTD Sales'!$N:$N,'YTD Sales'!$B:$B,Brokerage!$B164,'YTD Sales'!$M:$M,Brokerage!F$4)+SUMIFS('YTD Purchases'!$H:$H,'YTD Purchases'!$C:$C,Brokerage!$B164,'YTD Purchases'!$G:$G,Brokerage!F$4)</f>
        <v>0</v>
      </c>
      <c r="G164" s="857">
        <f>SUMIFS('YTD Sales'!$N:$N,'YTD Sales'!$B:$B,Brokerage!$B164,'YTD Sales'!$M:$M,Brokerage!G$4)+SUMIFS('YTD Purchases'!$H:$H,'YTD Purchases'!$C:$C,Brokerage!$B164,'YTD Purchases'!$G:$G,Brokerage!G$4)</f>
        <v>0</v>
      </c>
      <c r="H164" s="857">
        <f>SUMIFS('YTD Sales'!$N:$N,'YTD Sales'!$B:$B,Brokerage!$B164,'YTD Sales'!$M:$M,Brokerage!H$4)+SUMIFS('YTD Purchases'!$H:$H,'YTD Purchases'!$C:$C,Brokerage!$B164,'YTD Purchases'!$G:$G,Brokerage!H$4)</f>
        <v>0</v>
      </c>
      <c r="I164" s="857">
        <f>SUMIFS('YTD Sales'!$N:$N,'YTD Sales'!$B:$B,Brokerage!$B164,'YTD Sales'!$M:$M,Brokerage!I$4)+SUMIFS('YTD Purchases'!$H:$H,'YTD Purchases'!$C:$C,Brokerage!$B164,'YTD Purchases'!$G:$G,Brokerage!I$4)</f>
        <v>0</v>
      </c>
      <c r="J164" s="857">
        <f>SUMIFS('YTD Sales'!$N:$N,'YTD Sales'!$B:$B,Brokerage!$B164,'YTD Sales'!$M:$M,Brokerage!J$4)+SUMIFS('YTD Purchases'!$H:$H,'YTD Purchases'!$C:$C,Brokerage!$B164,'YTD Purchases'!$G:$G,Brokerage!J$4)</f>
        <v>0</v>
      </c>
      <c r="K164" s="857">
        <f>SUMIFS('YTD Sales'!$N:$N,'YTD Sales'!$B:$B,Brokerage!$B164,'YTD Sales'!$M:$M,Brokerage!K$4)+SUMIFS('YTD Purchases'!$H:$H,'YTD Purchases'!$C:$C,Brokerage!$B164,'YTD Purchases'!$G:$G,Brokerage!K$4)</f>
        <v>0</v>
      </c>
      <c r="L164" s="857">
        <f>SUMIFS('YTD Sales'!$N:$N,'YTD Sales'!$B:$B,Brokerage!$B164,'YTD Sales'!$M:$M,Brokerage!L$4)+SUMIFS('YTD Purchases'!$H:$H,'YTD Purchases'!$C:$C,Brokerage!$B164,'YTD Purchases'!$G:$G,Brokerage!L$4)</f>
        <v>0</v>
      </c>
      <c r="M164" s="857">
        <f>SUMIFS('YTD Sales'!$N:$N,'YTD Sales'!$B:$B,Brokerage!$B164,'YTD Sales'!$M:$M,Brokerage!M$4)+SUMIFS('YTD Purchases'!$H:$H,'YTD Purchases'!$C:$C,Brokerage!$B164,'YTD Purchases'!$G:$G,Brokerage!M$4)</f>
        <v>0</v>
      </c>
      <c r="N164" s="857">
        <f>SUMIFS('YTD Sales'!$N:$N,'YTD Sales'!$B:$B,Brokerage!$B164,'YTD Sales'!$M:$M,Brokerage!N$4)+SUMIFS('YTD Purchases'!$H:$H,'YTD Purchases'!$C:$C,Brokerage!$B164,'YTD Purchases'!$G:$G,Brokerage!N$4)</f>
        <v>0</v>
      </c>
      <c r="O164" s="857">
        <f>SUMIFS('YTD Sales'!$N:$N,'YTD Sales'!$B:$B,Brokerage!$B164,'YTD Sales'!$M:$M,Brokerage!O$4)+SUMIFS('YTD Purchases'!$H:$H,'YTD Purchases'!$C:$C,Brokerage!$B164,'YTD Purchases'!$G:$G,Brokerage!O$4)</f>
        <v>0</v>
      </c>
      <c r="P164" s="857">
        <f>SUMIFS('YTD Sales'!$N:$N,'YTD Sales'!$B:$B,Brokerage!$B164,'YTD Sales'!$M:$M,Brokerage!P$4)+SUMIFS('YTD Purchases'!$H:$H,'YTD Purchases'!$C:$C,Brokerage!$B164,'YTD Purchases'!$G:$G,Brokerage!P$4)</f>
        <v>0</v>
      </c>
      <c r="Q164" s="857">
        <f>SUMIFS('YTD Sales'!$N:$N,'YTD Sales'!$B:$B,Brokerage!$B164,'YTD Sales'!$M:$M,Brokerage!Q$4)+SUMIFS('YTD Purchases'!$H:$H,'YTD Purchases'!$C:$C,Brokerage!$B164,'YTD Purchases'!$G:$G,Brokerage!Q$4)</f>
        <v>0</v>
      </c>
      <c r="R164" s="857">
        <f>SUMIFS('YTD Sales'!$N:$N,'YTD Sales'!$B:$B,Brokerage!$B164,'YTD Sales'!$M:$M,Brokerage!R$4)+SUMIFS('YTD Purchases'!$H:$H,'YTD Purchases'!$C:$C,Brokerage!$B164,'YTD Purchases'!$G:$G,Brokerage!R$4)</f>
        <v>0</v>
      </c>
      <c r="S164" s="857">
        <f>SUMIFS('YTD Sales'!$N:$N,'YTD Sales'!$B:$B,Brokerage!$B164,'YTD Sales'!$M:$M,Brokerage!S$4)+SUMIFS('YTD Purchases'!$H:$H,'YTD Purchases'!$C:$C,Brokerage!$B164,'YTD Purchases'!$G:$G,Brokerage!S$4)</f>
        <v>47460</v>
      </c>
      <c r="T164" s="857">
        <f>SUMIFS('YTD Sales'!$N:$N,'YTD Sales'!$B:$B,Brokerage!$B164,'YTD Sales'!$M:$M,Brokerage!T$4)+SUMIFS('YTD Purchases'!$H:$H,'YTD Purchases'!$C:$C,Brokerage!$B164,'YTD Purchases'!$G:$G,Brokerage!T$4)</f>
        <v>0</v>
      </c>
      <c r="U164" s="857">
        <f>SUMIFS('YTD Sales'!$N:$N,'YTD Sales'!$B:$B,Brokerage!$B164,'YTD Sales'!$M:$M,Brokerage!U$4)+SUMIFS('YTD Purchases'!$H:$H,'YTD Purchases'!$C:$C,Brokerage!$B164,'YTD Purchases'!$G:$G,Brokerage!U$4)</f>
        <v>0</v>
      </c>
      <c r="V164" s="857">
        <f>SUMIFS('YTD Sales'!$N:$N,'YTD Sales'!$B:$B,Brokerage!$B164,'YTD Sales'!$M:$M,Brokerage!V$4)+SUMIFS('YTD Purchases'!$H:$H,'YTD Purchases'!$C:$C,Brokerage!$B164,'YTD Purchases'!$G:$G,Brokerage!V$4)</f>
        <v>0</v>
      </c>
      <c r="W164" s="857">
        <f>SUMIFS('YTD Sales'!$N:$N,'YTD Sales'!$B:$B,Brokerage!$B164,'YTD Sales'!$M:$M,Brokerage!W$4)+SUMIFS('YTD Purchases'!$H:$H,'YTD Purchases'!$C:$C,Brokerage!$B164,'YTD Purchases'!$G:$G,Brokerage!W$4)</f>
        <v>0</v>
      </c>
      <c r="X164" s="857">
        <f>SUMIFS('YTD Sales'!$N:$N,'YTD Sales'!$B:$B,Brokerage!$B164,'YTD Sales'!$M:$M,Brokerage!X$4)+SUMIFS('YTD Purchases'!$H:$H,'YTD Purchases'!$C:$C,Brokerage!$B164,'YTD Purchases'!$G:$G,Brokerage!X$4)</f>
        <v>0</v>
      </c>
      <c r="Y164" s="857">
        <f>SUMIFS('YTD Sales'!$N:$N,'YTD Sales'!$B:$B,Brokerage!$B164,'YTD Sales'!$M:$M,Brokerage!Y$4)+SUMIFS('YTD Purchases'!$H:$H,'YTD Purchases'!$C:$C,Brokerage!$B164,'YTD Purchases'!$G:$G,Brokerage!Y$4)</f>
        <v>0</v>
      </c>
      <c r="Z164" s="857">
        <f>SUMIFS('YTD Sales'!$N:$N,'YTD Sales'!$B:$B,Brokerage!$B164,'YTD Sales'!$M:$M,Brokerage!Z$4)+SUMIFS('YTD Purchases'!$H:$H,'YTD Purchases'!$C:$C,Brokerage!$B164,'YTD Purchases'!$G:$G,Brokerage!Z$4)</f>
        <v>0</v>
      </c>
      <c r="AA164" s="857">
        <f>SUMIFS('YTD Sales'!$N:$N,'YTD Sales'!$B:$B,Brokerage!$B164,'YTD Sales'!$M:$M,Brokerage!AA$4)+SUMIFS('YTD Purchases'!$H:$H,'YTD Purchases'!$C:$C,Brokerage!$B164,'YTD Purchases'!$G:$G,Brokerage!AA$4)</f>
        <v>0</v>
      </c>
      <c r="AB164" s="857">
        <f>SUMIFS('YTD Sales'!$N:$N,'YTD Sales'!$B:$B,Brokerage!$B164,'YTD Sales'!$M:$M,Brokerage!AB$4)+SUMIFS('YTD Purchases'!$H:$H,'YTD Purchases'!$C:$C,Brokerage!$B164,'YTD Purchases'!$G:$G,Brokerage!AB$4)</f>
        <v>0</v>
      </c>
      <c r="AC164" s="857">
        <f>SUMIFS('YTD Sales'!$N:$N,'YTD Sales'!$B:$B,Brokerage!$B164,'YTD Sales'!$M:$M,Brokerage!AC$4)+SUMIFS('YTD Purchases'!$H:$H,'YTD Purchases'!$C:$C,Brokerage!$B164,'YTD Purchases'!$G:$G,Brokerage!AC$4)</f>
        <v>0</v>
      </c>
      <c r="AD164" s="857">
        <f>+SUMIFS(PIB!AG:AG,PIB!AF:AF,Brokerage!AD$4,PIB!AA:AA,Brokerage!$B164)+SUMIFS('T-Bills'!AB:AB,'T-Bills'!AA:AA,Brokerage!AD$4,'T-Bills'!V:V,Brokerage!$B164)</f>
        <v>0</v>
      </c>
      <c r="AE164" s="857">
        <f>+SUMIFS(PIB!AH:AH,PIB!AG:AG,Brokerage!AE$4,PIB!AB:AB,Brokerage!$B164)+SUMIFS('T-Bills'!AC:AC,'T-Bills'!AB:AB,Brokerage!AE$4,'T-Bills'!W:W,Brokerage!$B164)+1036</f>
        <v>1036</v>
      </c>
      <c r="AF164" s="857">
        <f>+SUMIFS(PIB!AI:AI,PIB!AH:AH,Brokerage!AF$4,PIB!AC:AC,Brokerage!$B164)+SUMIFS('T-Bills'!AD:AD,'T-Bills'!AC:AC,Brokerage!AF$4,'T-Bills'!X:X,Brokerage!$B164)</f>
        <v>0</v>
      </c>
      <c r="AG164" s="857">
        <f t="shared" si="19"/>
        <v>48496</v>
      </c>
      <c r="AH164" s="858">
        <f t="shared" si="20"/>
        <v>2</v>
      </c>
    </row>
    <row r="165" spans="2:34" x14ac:dyDescent="0.15">
      <c r="B165" s="661">
        <f t="shared" si="18"/>
        <v>44721</v>
      </c>
      <c r="C165" s="857">
        <f>SUMIFS('YTD Sales'!$N:$N,'YTD Sales'!$B:$B,Brokerage!$B165,'YTD Sales'!$M:$M,Brokerage!C$4)+SUMIFS('YTD Purchases'!$H:$H,'YTD Purchases'!$C:$C,Brokerage!$B165,'YTD Purchases'!$G:$G,Brokerage!C$4)</f>
        <v>0</v>
      </c>
      <c r="D165" s="857">
        <f>SUMIFS('YTD Sales'!$N:$N,'YTD Sales'!$B:$B,Brokerage!$B165,'YTD Sales'!$M:$M,Brokerage!D$4)+SUMIFS('YTD Purchases'!$H:$H,'YTD Purchases'!$C:$C,Brokerage!$B165,'YTD Purchases'!$G:$G,Brokerage!D$4)</f>
        <v>0</v>
      </c>
      <c r="E165" s="857">
        <f>SUMIFS('YTD Sales'!$N:$N,'YTD Sales'!$B:$B,Brokerage!$B165,'YTD Sales'!$M:$M,Brokerage!E$4)+SUMIFS('YTD Purchases'!$H:$H,'YTD Purchases'!$C:$C,Brokerage!$B165,'YTD Purchases'!$G:$G,Brokerage!E$4)</f>
        <v>0</v>
      </c>
      <c r="F165" s="857">
        <f>SUMIFS('YTD Sales'!$N:$N,'YTD Sales'!$B:$B,Brokerage!$B165,'YTD Sales'!$M:$M,Brokerage!F$4)+SUMIFS('YTD Purchases'!$H:$H,'YTD Purchases'!$C:$C,Brokerage!$B165,'YTD Purchases'!$G:$G,Brokerage!F$4)</f>
        <v>0</v>
      </c>
      <c r="G165" s="857">
        <f>SUMIFS('YTD Sales'!$N:$N,'YTD Sales'!$B:$B,Brokerage!$B165,'YTD Sales'!$M:$M,Brokerage!G$4)+SUMIFS('YTD Purchases'!$H:$H,'YTD Purchases'!$C:$C,Brokerage!$B165,'YTD Purchases'!$G:$G,Brokerage!G$4)</f>
        <v>0</v>
      </c>
      <c r="H165" s="857">
        <f>SUMIFS('YTD Sales'!$N:$N,'YTD Sales'!$B:$B,Brokerage!$B165,'YTD Sales'!$M:$M,Brokerage!H$4)+SUMIFS('YTD Purchases'!$H:$H,'YTD Purchases'!$C:$C,Brokerage!$B165,'YTD Purchases'!$G:$G,Brokerage!H$4)</f>
        <v>0</v>
      </c>
      <c r="I165" s="857">
        <f>SUMIFS('YTD Sales'!$N:$N,'YTD Sales'!$B:$B,Brokerage!$B165,'YTD Sales'!$M:$M,Brokerage!I$4)+SUMIFS('YTD Purchases'!$H:$H,'YTD Purchases'!$C:$C,Brokerage!$B165,'YTD Purchases'!$G:$G,Brokerage!I$4)</f>
        <v>0</v>
      </c>
      <c r="J165" s="857">
        <f>SUMIFS('YTD Sales'!$N:$N,'YTD Sales'!$B:$B,Brokerage!$B165,'YTD Sales'!$M:$M,Brokerage!J$4)+SUMIFS('YTD Purchases'!$H:$H,'YTD Purchases'!$C:$C,Brokerage!$B165,'YTD Purchases'!$G:$G,Brokerage!J$4)</f>
        <v>0</v>
      </c>
      <c r="K165" s="857">
        <f>SUMIFS('YTD Sales'!$N:$N,'YTD Sales'!$B:$B,Brokerage!$B165,'YTD Sales'!$M:$M,Brokerage!K$4)+SUMIFS('YTD Purchases'!$H:$H,'YTD Purchases'!$C:$C,Brokerage!$B165,'YTD Purchases'!$G:$G,Brokerage!K$4)</f>
        <v>0</v>
      </c>
      <c r="L165" s="857">
        <f>SUMIFS('YTD Sales'!$N:$N,'YTD Sales'!$B:$B,Brokerage!$B165,'YTD Sales'!$M:$M,Brokerage!L$4)+SUMIFS('YTD Purchases'!$H:$H,'YTD Purchases'!$C:$C,Brokerage!$B165,'YTD Purchases'!$G:$G,Brokerage!L$4)</f>
        <v>0</v>
      </c>
      <c r="M165" s="857">
        <f>SUMIFS('YTD Sales'!$N:$N,'YTD Sales'!$B:$B,Brokerage!$B165,'YTD Sales'!$M:$M,Brokerage!M$4)+SUMIFS('YTD Purchases'!$H:$H,'YTD Purchases'!$C:$C,Brokerage!$B165,'YTD Purchases'!$G:$G,Brokerage!M$4)</f>
        <v>0</v>
      </c>
      <c r="N165" s="857">
        <f>SUMIFS('YTD Sales'!$N:$N,'YTD Sales'!$B:$B,Brokerage!$B165,'YTD Sales'!$M:$M,Brokerage!N$4)+SUMIFS('YTD Purchases'!$H:$H,'YTD Purchases'!$C:$C,Brokerage!$B165,'YTD Purchases'!$G:$G,Brokerage!N$4)</f>
        <v>0</v>
      </c>
      <c r="O165" s="857">
        <f>SUMIFS('YTD Sales'!$N:$N,'YTD Sales'!$B:$B,Brokerage!$B165,'YTD Sales'!$M:$M,Brokerage!O$4)+SUMIFS('YTD Purchases'!$H:$H,'YTD Purchases'!$C:$C,Brokerage!$B165,'YTD Purchases'!$G:$G,Brokerage!O$4)</f>
        <v>0</v>
      </c>
      <c r="P165" s="857">
        <f>SUMIFS('YTD Sales'!$N:$N,'YTD Sales'!$B:$B,Brokerage!$B165,'YTD Sales'!$M:$M,Brokerage!P$4)+SUMIFS('YTD Purchases'!$H:$H,'YTD Purchases'!$C:$C,Brokerage!$B165,'YTD Purchases'!$G:$G,Brokerage!P$4)</f>
        <v>0</v>
      </c>
      <c r="Q165" s="857">
        <f>SUMIFS('YTD Sales'!$N:$N,'YTD Sales'!$B:$B,Brokerage!$B165,'YTD Sales'!$M:$M,Brokerage!Q$4)+SUMIFS('YTD Purchases'!$H:$H,'YTD Purchases'!$C:$C,Brokerage!$B165,'YTD Purchases'!$G:$G,Brokerage!Q$4)</f>
        <v>2747.1800000000003</v>
      </c>
      <c r="R165" s="857">
        <f>SUMIFS('YTD Sales'!$N:$N,'YTD Sales'!$B:$B,Brokerage!$B165,'YTD Sales'!$M:$M,Brokerage!R$4)+SUMIFS('YTD Purchases'!$H:$H,'YTD Purchases'!$C:$C,Brokerage!$B165,'YTD Purchases'!$G:$G,Brokerage!R$4)</f>
        <v>0</v>
      </c>
      <c r="S165" s="857">
        <f>SUMIFS('YTD Sales'!$N:$N,'YTD Sales'!$B:$B,Brokerage!$B165,'YTD Sales'!$M:$M,Brokerage!S$4)+SUMIFS('YTD Purchases'!$H:$H,'YTD Purchases'!$C:$C,Brokerage!$B165,'YTD Purchases'!$G:$G,Brokerage!S$4)</f>
        <v>0</v>
      </c>
      <c r="T165" s="857">
        <f>SUMIFS('YTD Sales'!$N:$N,'YTD Sales'!$B:$B,Brokerage!$B165,'YTD Sales'!$M:$M,Brokerage!T$4)+SUMIFS('YTD Purchases'!$H:$H,'YTD Purchases'!$C:$C,Brokerage!$B165,'YTD Purchases'!$G:$G,Brokerage!T$4)</f>
        <v>0</v>
      </c>
      <c r="U165" s="857">
        <f>SUMIFS('YTD Sales'!$N:$N,'YTD Sales'!$B:$B,Brokerage!$B165,'YTD Sales'!$M:$M,Brokerage!U$4)+SUMIFS('YTD Purchases'!$H:$H,'YTD Purchases'!$C:$C,Brokerage!$B165,'YTD Purchases'!$G:$G,Brokerage!U$4)</f>
        <v>0</v>
      </c>
      <c r="V165" s="857">
        <f>SUMIFS('YTD Sales'!$N:$N,'YTD Sales'!$B:$B,Brokerage!$B165,'YTD Sales'!$M:$M,Brokerage!V$4)+SUMIFS('YTD Purchases'!$H:$H,'YTD Purchases'!$C:$C,Brokerage!$B165,'YTD Purchases'!$G:$G,Brokerage!V$4)</f>
        <v>0</v>
      </c>
      <c r="W165" s="857">
        <f>SUMIFS('YTD Sales'!$N:$N,'YTD Sales'!$B:$B,Brokerage!$B165,'YTD Sales'!$M:$M,Brokerage!W$4)+SUMIFS('YTD Purchases'!$H:$H,'YTD Purchases'!$C:$C,Brokerage!$B165,'YTD Purchases'!$G:$G,Brokerage!W$4)</f>
        <v>0</v>
      </c>
      <c r="X165" s="857">
        <f>SUMIFS('YTD Sales'!$N:$N,'YTD Sales'!$B:$B,Brokerage!$B165,'YTD Sales'!$M:$M,Brokerage!X$4)+SUMIFS('YTD Purchases'!$H:$H,'YTD Purchases'!$C:$C,Brokerage!$B165,'YTD Purchases'!$G:$G,Brokerage!X$4)</f>
        <v>0</v>
      </c>
      <c r="Y165" s="857">
        <f>SUMIFS('YTD Sales'!$N:$N,'YTD Sales'!$B:$B,Brokerage!$B165,'YTD Sales'!$M:$M,Brokerage!Y$4)+SUMIFS('YTD Purchases'!$H:$H,'YTD Purchases'!$C:$C,Brokerage!$B165,'YTD Purchases'!$G:$G,Brokerage!Y$4)</f>
        <v>0</v>
      </c>
      <c r="Z165" s="857">
        <f>SUMIFS('YTD Sales'!$N:$N,'YTD Sales'!$B:$B,Brokerage!$B165,'YTD Sales'!$M:$M,Brokerage!Z$4)+SUMIFS('YTD Purchases'!$H:$H,'YTD Purchases'!$C:$C,Brokerage!$B165,'YTD Purchases'!$G:$G,Brokerage!Z$4)</f>
        <v>0</v>
      </c>
      <c r="AA165" s="857">
        <f>SUMIFS('YTD Sales'!$N:$N,'YTD Sales'!$B:$B,Brokerage!$B165,'YTD Sales'!$M:$M,Brokerage!AA$4)+SUMIFS('YTD Purchases'!$H:$H,'YTD Purchases'!$C:$C,Brokerage!$B165,'YTD Purchases'!$G:$G,Brokerage!AA$4)</f>
        <v>0</v>
      </c>
      <c r="AB165" s="857">
        <f>SUMIFS('YTD Sales'!$N:$N,'YTD Sales'!$B:$B,Brokerage!$B165,'YTD Sales'!$M:$M,Brokerage!AB$4)+SUMIFS('YTD Purchases'!$H:$H,'YTD Purchases'!$C:$C,Brokerage!$B165,'YTD Purchases'!$G:$G,Brokerage!AB$4)</f>
        <v>0</v>
      </c>
      <c r="AC165" s="857">
        <f>SUMIFS('YTD Sales'!$N:$N,'YTD Sales'!$B:$B,Brokerage!$B165,'YTD Sales'!$M:$M,Brokerage!AC$4)+SUMIFS('YTD Purchases'!$H:$H,'YTD Purchases'!$C:$C,Brokerage!$B165,'YTD Purchases'!$G:$G,Brokerage!AC$4)</f>
        <v>0</v>
      </c>
      <c r="AD165" s="857">
        <f>+SUMIFS(PIB!AG:AG,PIB!AF:AF,Brokerage!AD$4,PIB!AA:AA,Brokerage!$B165)+SUMIFS('T-Bills'!AB:AB,'T-Bills'!AA:AA,Brokerage!AD$4,'T-Bills'!V:V,Brokerage!$B165)</f>
        <v>0</v>
      </c>
      <c r="AE165" s="857">
        <f>+SUMIFS(PIB!AH:AH,PIB!AG:AG,Brokerage!AE$4,PIB!AB:AB,Brokerage!$B165)+SUMIFS('T-Bills'!AC:AC,'T-Bills'!AB:AB,Brokerage!AE$4,'T-Bills'!W:W,Brokerage!$B165)</f>
        <v>0</v>
      </c>
      <c r="AF165" s="857">
        <f>+SUMIFS(PIB!AI:AI,PIB!AH:AH,Brokerage!AF$4,PIB!AC:AC,Brokerage!$B165)+SUMIFS('T-Bills'!AD:AD,'T-Bills'!AC:AC,Brokerage!AF$4,'T-Bills'!X:X,Brokerage!$B165)</f>
        <v>0</v>
      </c>
      <c r="AG165" s="857">
        <f t="shared" si="19"/>
        <v>2747.1800000000003</v>
      </c>
      <c r="AH165" s="858">
        <f t="shared" si="20"/>
        <v>0</v>
      </c>
    </row>
    <row r="166" spans="2:34" x14ac:dyDescent="0.15">
      <c r="B166" s="661">
        <f t="shared" si="18"/>
        <v>44722</v>
      </c>
      <c r="C166" s="857">
        <f>SUMIFS('YTD Sales'!$N:$N,'YTD Sales'!$B:$B,Brokerage!$B166,'YTD Sales'!$M:$M,Brokerage!C$4)+SUMIFS('YTD Purchases'!$H:$H,'YTD Purchases'!$C:$C,Brokerage!$B166,'YTD Purchases'!$G:$G,Brokerage!C$4)</f>
        <v>2248.9144999999999</v>
      </c>
      <c r="D166" s="857">
        <f>SUMIFS('YTD Sales'!$N:$N,'YTD Sales'!$B:$B,Brokerage!$B166,'YTD Sales'!$M:$M,Brokerage!D$4)+SUMIFS('YTD Purchases'!$H:$H,'YTD Purchases'!$C:$C,Brokerage!$B166,'YTD Purchases'!$G:$G,Brokerage!D$4)</f>
        <v>12198.632</v>
      </c>
      <c r="E166" s="857">
        <f>SUMIFS('YTD Sales'!$N:$N,'YTD Sales'!$B:$B,Brokerage!$B166,'YTD Sales'!$M:$M,Brokerage!E$4)+SUMIFS('YTD Purchases'!$H:$H,'YTD Purchases'!$C:$C,Brokerage!$B166,'YTD Purchases'!$G:$G,Brokerage!E$4)</f>
        <v>0</v>
      </c>
      <c r="F166" s="857">
        <f>SUMIFS('YTD Sales'!$N:$N,'YTD Sales'!$B:$B,Brokerage!$B166,'YTD Sales'!$M:$M,Brokerage!F$4)+SUMIFS('YTD Purchases'!$H:$H,'YTD Purchases'!$C:$C,Brokerage!$B166,'YTD Purchases'!$G:$G,Brokerage!F$4)</f>
        <v>0</v>
      </c>
      <c r="G166" s="857">
        <f>SUMIFS('YTD Sales'!$N:$N,'YTD Sales'!$B:$B,Brokerage!$B166,'YTD Sales'!$M:$M,Brokerage!G$4)+SUMIFS('YTD Purchases'!$H:$H,'YTD Purchases'!$C:$C,Brokerage!$B166,'YTD Purchases'!$G:$G,Brokerage!G$4)</f>
        <v>0</v>
      </c>
      <c r="H166" s="857">
        <f>SUMIFS('YTD Sales'!$N:$N,'YTD Sales'!$B:$B,Brokerage!$B166,'YTD Sales'!$M:$M,Brokerage!H$4)+SUMIFS('YTD Purchases'!$H:$H,'YTD Purchases'!$C:$C,Brokerage!$B166,'YTD Purchases'!$G:$G,Brokerage!H$4)</f>
        <v>0</v>
      </c>
      <c r="I166" s="857">
        <f>SUMIFS('YTD Sales'!$N:$N,'YTD Sales'!$B:$B,Brokerage!$B166,'YTD Sales'!$M:$M,Brokerage!I$4)+SUMIFS('YTD Purchases'!$H:$H,'YTD Purchases'!$C:$C,Brokerage!$B166,'YTD Purchases'!$G:$G,Brokerage!I$4)</f>
        <v>0</v>
      </c>
      <c r="J166" s="857">
        <f>SUMIFS('YTD Sales'!$N:$N,'YTD Sales'!$B:$B,Brokerage!$B166,'YTD Sales'!$M:$M,Brokerage!J$4)+SUMIFS('YTD Purchases'!$H:$H,'YTD Purchases'!$C:$C,Brokerage!$B166,'YTD Purchases'!$G:$G,Brokerage!J$4)</f>
        <v>0</v>
      </c>
      <c r="K166" s="857">
        <f>SUMIFS('YTD Sales'!$N:$N,'YTD Sales'!$B:$B,Brokerage!$B166,'YTD Sales'!$M:$M,Brokerage!K$4)+SUMIFS('YTD Purchases'!$H:$H,'YTD Purchases'!$C:$C,Brokerage!$B166,'YTD Purchases'!$G:$G,Brokerage!K$4)</f>
        <v>0</v>
      </c>
      <c r="L166" s="857">
        <f>SUMIFS('YTD Sales'!$N:$N,'YTD Sales'!$B:$B,Brokerage!$B166,'YTD Sales'!$M:$M,Brokerage!L$4)+SUMIFS('YTD Purchases'!$H:$H,'YTD Purchases'!$C:$C,Brokerage!$B166,'YTD Purchases'!$G:$G,Brokerage!L$4)</f>
        <v>0</v>
      </c>
      <c r="M166" s="857">
        <f>SUMIFS('YTD Sales'!$N:$N,'YTD Sales'!$B:$B,Brokerage!$B166,'YTD Sales'!$M:$M,Brokerage!M$4)+SUMIFS('YTD Purchases'!$H:$H,'YTD Purchases'!$C:$C,Brokerage!$B166,'YTD Purchases'!$G:$G,Brokerage!M$4)</f>
        <v>10062.34375</v>
      </c>
      <c r="N166" s="857">
        <f>SUMIFS('YTD Sales'!$N:$N,'YTD Sales'!$B:$B,Brokerage!$B166,'YTD Sales'!$M:$M,Brokerage!N$4)+SUMIFS('YTD Purchases'!$H:$H,'YTD Purchases'!$C:$C,Brokerage!$B166,'YTD Purchases'!$G:$G,Brokerage!N$4)</f>
        <v>0</v>
      </c>
      <c r="O166" s="857">
        <f>SUMIFS('YTD Sales'!$N:$N,'YTD Sales'!$B:$B,Brokerage!$B166,'YTD Sales'!$M:$M,Brokerage!O$4)+SUMIFS('YTD Purchases'!$H:$H,'YTD Purchases'!$C:$C,Brokerage!$B166,'YTD Purchases'!$G:$G,Brokerage!O$4)</f>
        <v>0</v>
      </c>
      <c r="P166" s="857">
        <f>SUMIFS('YTD Sales'!$N:$N,'YTD Sales'!$B:$B,Brokerage!$B166,'YTD Sales'!$M:$M,Brokerage!P$4)+SUMIFS('YTD Purchases'!$H:$H,'YTD Purchases'!$C:$C,Brokerage!$B166,'YTD Purchases'!$G:$G,Brokerage!P$4)</f>
        <v>0</v>
      </c>
      <c r="Q166" s="857">
        <f>SUMIFS('YTD Sales'!$N:$N,'YTD Sales'!$B:$B,Brokerage!$B166,'YTD Sales'!$M:$M,Brokerage!Q$4)+SUMIFS('YTD Purchases'!$H:$H,'YTD Purchases'!$C:$C,Brokerage!$B166,'YTD Purchases'!$G:$G,Brokerage!Q$4)</f>
        <v>0</v>
      </c>
      <c r="R166" s="857">
        <f>SUMIFS('YTD Sales'!$N:$N,'YTD Sales'!$B:$B,Brokerage!$B166,'YTD Sales'!$M:$M,Brokerage!R$4)+SUMIFS('YTD Purchases'!$H:$H,'YTD Purchases'!$C:$C,Brokerage!$B166,'YTD Purchases'!$G:$G,Brokerage!R$4)</f>
        <v>0</v>
      </c>
      <c r="S166" s="857">
        <f>SUMIFS('YTD Sales'!$N:$N,'YTD Sales'!$B:$B,Brokerage!$B166,'YTD Sales'!$M:$M,Brokerage!S$4)+SUMIFS('YTD Purchases'!$H:$H,'YTD Purchases'!$C:$C,Brokerage!$B166,'YTD Purchases'!$G:$G,Brokerage!S$4)</f>
        <v>0</v>
      </c>
      <c r="T166" s="857">
        <f>SUMIFS('YTD Sales'!$N:$N,'YTD Sales'!$B:$B,Brokerage!$B166,'YTD Sales'!$M:$M,Brokerage!T$4)+SUMIFS('YTD Purchases'!$H:$H,'YTD Purchases'!$C:$C,Brokerage!$B166,'YTD Purchases'!$G:$G,Brokerage!T$4)</f>
        <v>0</v>
      </c>
      <c r="U166" s="857">
        <f>SUMIFS('YTD Sales'!$N:$N,'YTD Sales'!$B:$B,Brokerage!$B166,'YTD Sales'!$M:$M,Brokerage!U$4)+SUMIFS('YTD Purchases'!$H:$H,'YTD Purchases'!$C:$C,Brokerage!$B166,'YTD Purchases'!$G:$G,Brokerage!U$4)</f>
        <v>0</v>
      </c>
      <c r="V166" s="857">
        <f>SUMIFS('YTD Sales'!$N:$N,'YTD Sales'!$B:$B,Brokerage!$B166,'YTD Sales'!$M:$M,Brokerage!V$4)+SUMIFS('YTD Purchases'!$H:$H,'YTD Purchases'!$C:$C,Brokerage!$B166,'YTD Purchases'!$G:$G,Brokerage!V$4)</f>
        <v>0</v>
      </c>
      <c r="W166" s="857">
        <f>SUMIFS('YTD Sales'!$N:$N,'YTD Sales'!$B:$B,Brokerage!$B166,'YTD Sales'!$M:$M,Brokerage!W$4)+SUMIFS('YTD Purchases'!$H:$H,'YTD Purchases'!$C:$C,Brokerage!$B166,'YTD Purchases'!$G:$G,Brokerage!W$4)</f>
        <v>0</v>
      </c>
      <c r="X166" s="857">
        <f>SUMIFS('YTD Sales'!$N:$N,'YTD Sales'!$B:$B,Brokerage!$B166,'YTD Sales'!$M:$M,Brokerage!X$4)+SUMIFS('YTD Purchases'!$H:$H,'YTD Purchases'!$C:$C,Brokerage!$B166,'YTD Purchases'!$G:$G,Brokerage!X$4)</f>
        <v>0</v>
      </c>
      <c r="Y166" s="857">
        <f>SUMIFS('YTD Sales'!$N:$N,'YTD Sales'!$B:$B,Brokerage!$B166,'YTD Sales'!$M:$M,Brokerage!Y$4)+SUMIFS('YTD Purchases'!$H:$H,'YTD Purchases'!$C:$C,Brokerage!$B166,'YTD Purchases'!$G:$G,Brokerage!Y$4)</f>
        <v>0</v>
      </c>
      <c r="Z166" s="857">
        <f>SUMIFS('YTD Sales'!$N:$N,'YTD Sales'!$B:$B,Brokerage!$B166,'YTD Sales'!$M:$M,Brokerage!Z$4)+SUMIFS('YTD Purchases'!$H:$H,'YTD Purchases'!$C:$C,Brokerage!$B166,'YTD Purchases'!$G:$G,Brokerage!Z$4)</f>
        <v>0</v>
      </c>
      <c r="AA166" s="857">
        <f>SUMIFS('YTD Sales'!$N:$N,'YTD Sales'!$B:$B,Brokerage!$B166,'YTD Sales'!$M:$M,Brokerage!AA$4)+SUMIFS('YTD Purchases'!$H:$H,'YTD Purchases'!$C:$C,Brokerage!$B166,'YTD Purchases'!$G:$G,Brokerage!AA$4)</f>
        <v>0</v>
      </c>
      <c r="AB166" s="857">
        <f>SUMIFS('YTD Sales'!$N:$N,'YTD Sales'!$B:$B,Brokerage!$B166,'YTD Sales'!$M:$M,Brokerage!AB$4)+SUMIFS('YTD Purchases'!$H:$H,'YTD Purchases'!$C:$C,Brokerage!$B166,'YTD Purchases'!$G:$G,Brokerage!AB$4)</f>
        <v>0</v>
      </c>
      <c r="AC166" s="857">
        <f>SUMIFS('YTD Sales'!$N:$N,'YTD Sales'!$B:$B,Brokerage!$B166,'YTD Sales'!$M:$M,Brokerage!AC$4)+SUMIFS('YTD Purchases'!$H:$H,'YTD Purchases'!$C:$C,Brokerage!$B166,'YTD Purchases'!$G:$G,Brokerage!AC$4)</f>
        <v>0</v>
      </c>
      <c r="AD166" s="857">
        <f>+SUMIFS(PIB!AG:AG,PIB!AF:AF,Brokerage!AD$4,PIB!AA:AA,Brokerage!$B166)+SUMIFS('T-Bills'!AB:AB,'T-Bills'!AA:AA,Brokerage!AD$4,'T-Bills'!V:V,Brokerage!$B166)</f>
        <v>0</v>
      </c>
      <c r="AE166" s="857">
        <f>+SUMIFS(PIB!AH:AH,PIB!AG:AG,Brokerage!AE$4,PIB!AB:AB,Brokerage!$B166)+SUMIFS('T-Bills'!AC:AC,'T-Bills'!AB:AB,Brokerage!AE$4,'T-Bills'!W:W,Brokerage!$B166)</f>
        <v>0</v>
      </c>
      <c r="AF166" s="857">
        <f>+SUMIFS(PIB!AI:AI,PIB!AH:AH,Brokerage!AF$4,PIB!AC:AC,Brokerage!$B166)+SUMIFS('T-Bills'!AD:AD,'T-Bills'!AC:AC,Brokerage!AF$4,'T-Bills'!X:X,Brokerage!$B166)</f>
        <v>0</v>
      </c>
      <c r="AG166" s="857">
        <f t="shared" si="19"/>
        <v>24509.89025</v>
      </c>
      <c r="AH166" s="858">
        <f t="shared" si="20"/>
        <v>1</v>
      </c>
    </row>
    <row r="167" spans="2:34" x14ac:dyDescent="0.15">
      <c r="B167" s="661">
        <f t="shared" si="18"/>
        <v>44723</v>
      </c>
      <c r="C167" s="857">
        <f>SUMIFS('YTD Sales'!$N:$N,'YTD Sales'!$B:$B,Brokerage!$B167,'YTD Sales'!$M:$M,Brokerage!C$4)+SUMIFS('YTD Purchases'!$H:$H,'YTD Purchases'!$C:$C,Brokerage!$B167,'YTD Purchases'!$G:$G,Brokerage!C$4)</f>
        <v>0</v>
      </c>
      <c r="D167" s="857">
        <f>SUMIFS('YTD Sales'!$N:$N,'YTD Sales'!$B:$B,Brokerage!$B167,'YTD Sales'!$M:$M,Brokerage!D$4)+SUMIFS('YTD Purchases'!$H:$H,'YTD Purchases'!$C:$C,Brokerage!$B167,'YTD Purchases'!$G:$G,Brokerage!D$4)</f>
        <v>0</v>
      </c>
      <c r="E167" s="857">
        <f>SUMIFS('YTD Sales'!$N:$N,'YTD Sales'!$B:$B,Brokerage!$B167,'YTD Sales'!$M:$M,Brokerage!E$4)+SUMIFS('YTD Purchases'!$H:$H,'YTD Purchases'!$C:$C,Brokerage!$B167,'YTD Purchases'!$G:$G,Brokerage!E$4)</f>
        <v>0</v>
      </c>
      <c r="F167" s="857">
        <f>SUMIFS('YTD Sales'!$N:$N,'YTD Sales'!$B:$B,Brokerage!$B167,'YTD Sales'!$M:$M,Brokerage!F$4)+SUMIFS('YTD Purchases'!$H:$H,'YTD Purchases'!$C:$C,Brokerage!$B167,'YTD Purchases'!$G:$G,Brokerage!F$4)</f>
        <v>0</v>
      </c>
      <c r="G167" s="857">
        <f>SUMIFS('YTD Sales'!$N:$N,'YTD Sales'!$B:$B,Brokerage!$B167,'YTD Sales'!$M:$M,Brokerage!G$4)+SUMIFS('YTD Purchases'!$H:$H,'YTD Purchases'!$C:$C,Brokerage!$B167,'YTD Purchases'!$G:$G,Brokerage!G$4)</f>
        <v>0</v>
      </c>
      <c r="H167" s="857">
        <f>SUMIFS('YTD Sales'!$N:$N,'YTD Sales'!$B:$B,Brokerage!$B167,'YTD Sales'!$M:$M,Brokerage!H$4)+SUMIFS('YTD Purchases'!$H:$H,'YTD Purchases'!$C:$C,Brokerage!$B167,'YTD Purchases'!$G:$G,Brokerage!H$4)</f>
        <v>0</v>
      </c>
      <c r="I167" s="857">
        <f>SUMIFS('YTD Sales'!$N:$N,'YTD Sales'!$B:$B,Brokerage!$B167,'YTD Sales'!$M:$M,Brokerage!I$4)+SUMIFS('YTD Purchases'!$H:$H,'YTD Purchases'!$C:$C,Brokerage!$B167,'YTD Purchases'!$G:$G,Brokerage!I$4)</f>
        <v>0</v>
      </c>
      <c r="J167" s="857">
        <f>SUMIFS('YTD Sales'!$N:$N,'YTD Sales'!$B:$B,Brokerage!$B167,'YTD Sales'!$M:$M,Brokerage!J$4)+SUMIFS('YTD Purchases'!$H:$H,'YTD Purchases'!$C:$C,Brokerage!$B167,'YTD Purchases'!$G:$G,Brokerage!J$4)</f>
        <v>0</v>
      </c>
      <c r="K167" s="857">
        <f>SUMIFS('YTD Sales'!$N:$N,'YTD Sales'!$B:$B,Brokerage!$B167,'YTD Sales'!$M:$M,Brokerage!K$4)+SUMIFS('YTD Purchases'!$H:$H,'YTD Purchases'!$C:$C,Brokerage!$B167,'YTD Purchases'!$G:$G,Brokerage!K$4)</f>
        <v>0</v>
      </c>
      <c r="L167" s="857">
        <f>SUMIFS('YTD Sales'!$N:$N,'YTD Sales'!$B:$B,Brokerage!$B167,'YTD Sales'!$M:$M,Brokerage!L$4)+SUMIFS('YTD Purchases'!$H:$H,'YTD Purchases'!$C:$C,Brokerage!$B167,'YTD Purchases'!$G:$G,Brokerage!L$4)</f>
        <v>0</v>
      </c>
      <c r="M167" s="857">
        <f>SUMIFS('YTD Sales'!$N:$N,'YTD Sales'!$B:$B,Brokerage!$B167,'YTD Sales'!$M:$M,Brokerage!M$4)+SUMIFS('YTD Purchases'!$H:$H,'YTD Purchases'!$C:$C,Brokerage!$B167,'YTD Purchases'!$G:$G,Brokerage!M$4)</f>
        <v>0</v>
      </c>
      <c r="N167" s="857">
        <f>SUMIFS('YTD Sales'!$N:$N,'YTD Sales'!$B:$B,Brokerage!$B167,'YTD Sales'!$M:$M,Brokerage!N$4)+SUMIFS('YTD Purchases'!$H:$H,'YTD Purchases'!$C:$C,Brokerage!$B167,'YTD Purchases'!$G:$G,Brokerage!N$4)</f>
        <v>0</v>
      </c>
      <c r="O167" s="857">
        <f>SUMIFS('YTD Sales'!$N:$N,'YTD Sales'!$B:$B,Brokerage!$B167,'YTD Sales'!$M:$M,Brokerage!O$4)+SUMIFS('YTD Purchases'!$H:$H,'YTD Purchases'!$C:$C,Brokerage!$B167,'YTD Purchases'!$G:$G,Brokerage!O$4)</f>
        <v>0</v>
      </c>
      <c r="P167" s="857">
        <f>SUMIFS('YTD Sales'!$N:$N,'YTD Sales'!$B:$B,Brokerage!$B167,'YTD Sales'!$M:$M,Brokerage!P$4)+SUMIFS('YTD Purchases'!$H:$H,'YTD Purchases'!$C:$C,Brokerage!$B167,'YTD Purchases'!$G:$G,Brokerage!P$4)</f>
        <v>0</v>
      </c>
      <c r="Q167" s="857">
        <f>SUMIFS('YTD Sales'!$N:$N,'YTD Sales'!$B:$B,Brokerage!$B167,'YTD Sales'!$M:$M,Brokerage!Q$4)+SUMIFS('YTD Purchases'!$H:$H,'YTD Purchases'!$C:$C,Brokerage!$B167,'YTD Purchases'!$G:$G,Brokerage!Q$4)</f>
        <v>0</v>
      </c>
      <c r="R167" s="857">
        <f>SUMIFS('YTD Sales'!$N:$N,'YTD Sales'!$B:$B,Brokerage!$B167,'YTD Sales'!$M:$M,Brokerage!R$4)+SUMIFS('YTD Purchases'!$H:$H,'YTD Purchases'!$C:$C,Brokerage!$B167,'YTD Purchases'!$G:$G,Brokerage!R$4)</f>
        <v>0</v>
      </c>
      <c r="S167" s="857">
        <f>SUMIFS('YTD Sales'!$N:$N,'YTD Sales'!$B:$B,Brokerage!$B167,'YTD Sales'!$M:$M,Brokerage!S$4)+SUMIFS('YTD Purchases'!$H:$H,'YTD Purchases'!$C:$C,Brokerage!$B167,'YTD Purchases'!$G:$G,Brokerage!S$4)</f>
        <v>0</v>
      </c>
      <c r="T167" s="857">
        <f>SUMIFS('YTD Sales'!$N:$N,'YTD Sales'!$B:$B,Brokerage!$B167,'YTD Sales'!$M:$M,Brokerage!T$4)+SUMIFS('YTD Purchases'!$H:$H,'YTD Purchases'!$C:$C,Brokerage!$B167,'YTD Purchases'!$G:$G,Brokerage!T$4)</f>
        <v>0</v>
      </c>
      <c r="U167" s="857">
        <f>SUMIFS('YTD Sales'!$N:$N,'YTD Sales'!$B:$B,Brokerage!$B167,'YTD Sales'!$M:$M,Brokerage!U$4)+SUMIFS('YTD Purchases'!$H:$H,'YTD Purchases'!$C:$C,Brokerage!$B167,'YTD Purchases'!$G:$G,Brokerage!U$4)</f>
        <v>0</v>
      </c>
      <c r="V167" s="857">
        <f>SUMIFS('YTD Sales'!$N:$N,'YTD Sales'!$B:$B,Brokerage!$B167,'YTD Sales'!$M:$M,Brokerage!V$4)+SUMIFS('YTD Purchases'!$H:$H,'YTD Purchases'!$C:$C,Brokerage!$B167,'YTD Purchases'!$G:$G,Brokerage!V$4)</f>
        <v>0</v>
      </c>
      <c r="W167" s="857">
        <f>SUMIFS('YTD Sales'!$N:$N,'YTD Sales'!$B:$B,Brokerage!$B167,'YTD Sales'!$M:$M,Brokerage!W$4)+SUMIFS('YTD Purchases'!$H:$H,'YTD Purchases'!$C:$C,Brokerage!$B167,'YTD Purchases'!$G:$G,Brokerage!W$4)</f>
        <v>0</v>
      </c>
      <c r="X167" s="857">
        <f>SUMIFS('YTD Sales'!$N:$N,'YTD Sales'!$B:$B,Brokerage!$B167,'YTD Sales'!$M:$M,Brokerage!X$4)+SUMIFS('YTD Purchases'!$H:$H,'YTD Purchases'!$C:$C,Brokerage!$B167,'YTD Purchases'!$G:$G,Brokerage!X$4)</f>
        <v>0</v>
      </c>
      <c r="Y167" s="857">
        <f>SUMIFS('YTD Sales'!$N:$N,'YTD Sales'!$B:$B,Brokerage!$B167,'YTD Sales'!$M:$M,Brokerage!Y$4)+SUMIFS('YTD Purchases'!$H:$H,'YTD Purchases'!$C:$C,Brokerage!$B167,'YTD Purchases'!$G:$G,Brokerage!Y$4)</f>
        <v>0</v>
      </c>
      <c r="Z167" s="857">
        <f>SUMIFS('YTD Sales'!$N:$N,'YTD Sales'!$B:$B,Brokerage!$B167,'YTD Sales'!$M:$M,Brokerage!Z$4)+SUMIFS('YTD Purchases'!$H:$H,'YTD Purchases'!$C:$C,Brokerage!$B167,'YTD Purchases'!$G:$G,Brokerage!Z$4)</f>
        <v>0</v>
      </c>
      <c r="AA167" s="857">
        <f>SUMIFS('YTD Sales'!$N:$N,'YTD Sales'!$B:$B,Brokerage!$B167,'YTD Sales'!$M:$M,Brokerage!AA$4)+SUMIFS('YTD Purchases'!$H:$H,'YTD Purchases'!$C:$C,Brokerage!$B167,'YTD Purchases'!$G:$G,Brokerage!AA$4)</f>
        <v>0</v>
      </c>
      <c r="AB167" s="857">
        <f>SUMIFS('YTD Sales'!$N:$N,'YTD Sales'!$B:$B,Brokerage!$B167,'YTD Sales'!$M:$M,Brokerage!AB$4)+SUMIFS('YTD Purchases'!$H:$H,'YTD Purchases'!$C:$C,Brokerage!$B167,'YTD Purchases'!$G:$G,Brokerage!AB$4)</f>
        <v>0</v>
      </c>
      <c r="AC167" s="857">
        <f>SUMIFS('YTD Sales'!$N:$N,'YTD Sales'!$B:$B,Brokerage!$B167,'YTD Sales'!$M:$M,Brokerage!AC$4)+SUMIFS('YTD Purchases'!$H:$H,'YTD Purchases'!$C:$C,Brokerage!$B167,'YTD Purchases'!$G:$G,Brokerage!AC$4)</f>
        <v>0</v>
      </c>
      <c r="AD167" s="857">
        <f>+SUMIFS(PIB!AG:AG,PIB!AF:AF,Brokerage!AD$4,PIB!AA:AA,Brokerage!$B167)+SUMIFS('T-Bills'!AB:AB,'T-Bills'!AA:AA,Brokerage!AD$4,'T-Bills'!V:V,Brokerage!$B167)</f>
        <v>0</v>
      </c>
      <c r="AE167" s="857">
        <f>+SUMIFS(PIB!AH:AH,PIB!AG:AG,Brokerage!AE$4,PIB!AB:AB,Brokerage!$B167)+SUMIFS('T-Bills'!AC:AC,'T-Bills'!AB:AB,Brokerage!AE$4,'T-Bills'!W:W,Brokerage!$B167)</f>
        <v>0</v>
      </c>
      <c r="AF167" s="857">
        <f>+SUMIFS(PIB!AI:AI,PIB!AH:AH,Brokerage!AF$4,PIB!AC:AC,Brokerage!$B167)+SUMIFS('T-Bills'!AD:AD,'T-Bills'!AC:AC,Brokerage!AF$4,'T-Bills'!X:X,Brokerage!$B167)</f>
        <v>0</v>
      </c>
      <c r="AG167" s="857">
        <f t="shared" si="19"/>
        <v>0</v>
      </c>
      <c r="AH167" s="858">
        <f t="shared" si="20"/>
        <v>0</v>
      </c>
    </row>
    <row r="168" spans="2:34" x14ac:dyDescent="0.15">
      <c r="B168" s="661">
        <f t="shared" si="18"/>
        <v>44724</v>
      </c>
      <c r="C168" s="857">
        <f>SUMIFS('YTD Sales'!$N:$N,'YTD Sales'!$B:$B,Brokerage!$B168,'YTD Sales'!$M:$M,Brokerage!C$4)+SUMIFS('YTD Purchases'!$H:$H,'YTD Purchases'!$C:$C,Brokerage!$B168,'YTD Purchases'!$G:$G,Brokerage!C$4)</f>
        <v>0</v>
      </c>
      <c r="D168" s="857">
        <f>SUMIFS('YTD Sales'!$N:$N,'YTD Sales'!$B:$B,Brokerage!$B168,'YTD Sales'!$M:$M,Brokerage!D$4)+SUMIFS('YTD Purchases'!$H:$H,'YTD Purchases'!$C:$C,Brokerage!$B168,'YTD Purchases'!$G:$G,Brokerage!D$4)</f>
        <v>0</v>
      </c>
      <c r="E168" s="857">
        <f>SUMIFS('YTD Sales'!$N:$N,'YTD Sales'!$B:$B,Brokerage!$B168,'YTD Sales'!$M:$M,Brokerage!E$4)+SUMIFS('YTD Purchases'!$H:$H,'YTD Purchases'!$C:$C,Brokerage!$B168,'YTD Purchases'!$G:$G,Brokerage!E$4)</f>
        <v>0</v>
      </c>
      <c r="F168" s="857">
        <f>SUMIFS('YTD Sales'!$N:$N,'YTD Sales'!$B:$B,Brokerage!$B168,'YTD Sales'!$M:$M,Brokerage!F$4)+SUMIFS('YTD Purchases'!$H:$H,'YTD Purchases'!$C:$C,Brokerage!$B168,'YTD Purchases'!$G:$G,Brokerage!F$4)</f>
        <v>0</v>
      </c>
      <c r="G168" s="857">
        <f>SUMIFS('YTD Sales'!$N:$N,'YTD Sales'!$B:$B,Brokerage!$B168,'YTD Sales'!$M:$M,Brokerage!G$4)+SUMIFS('YTD Purchases'!$H:$H,'YTD Purchases'!$C:$C,Brokerage!$B168,'YTD Purchases'!$G:$G,Brokerage!G$4)</f>
        <v>0</v>
      </c>
      <c r="H168" s="857">
        <f>SUMIFS('YTD Sales'!$N:$N,'YTD Sales'!$B:$B,Brokerage!$B168,'YTD Sales'!$M:$M,Brokerage!H$4)+SUMIFS('YTD Purchases'!$H:$H,'YTD Purchases'!$C:$C,Brokerage!$B168,'YTD Purchases'!$G:$G,Brokerage!H$4)</f>
        <v>0</v>
      </c>
      <c r="I168" s="857">
        <f>SUMIFS('YTD Sales'!$N:$N,'YTD Sales'!$B:$B,Brokerage!$B168,'YTD Sales'!$M:$M,Brokerage!I$4)+SUMIFS('YTD Purchases'!$H:$H,'YTD Purchases'!$C:$C,Brokerage!$B168,'YTD Purchases'!$G:$G,Brokerage!I$4)</f>
        <v>0</v>
      </c>
      <c r="J168" s="857">
        <f>SUMIFS('YTD Sales'!$N:$N,'YTD Sales'!$B:$B,Brokerage!$B168,'YTD Sales'!$M:$M,Brokerage!J$4)+SUMIFS('YTD Purchases'!$H:$H,'YTD Purchases'!$C:$C,Brokerage!$B168,'YTD Purchases'!$G:$G,Brokerage!J$4)</f>
        <v>0</v>
      </c>
      <c r="K168" s="857">
        <f>SUMIFS('YTD Sales'!$N:$N,'YTD Sales'!$B:$B,Brokerage!$B168,'YTD Sales'!$M:$M,Brokerage!K$4)+SUMIFS('YTD Purchases'!$H:$H,'YTD Purchases'!$C:$C,Brokerage!$B168,'YTD Purchases'!$G:$G,Brokerage!K$4)</f>
        <v>0</v>
      </c>
      <c r="L168" s="857">
        <f>SUMIFS('YTD Sales'!$N:$N,'YTD Sales'!$B:$B,Brokerage!$B168,'YTD Sales'!$M:$M,Brokerage!L$4)+SUMIFS('YTD Purchases'!$H:$H,'YTD Purchases'!$C:$C,Brokerage!$B168,'YTD Purchases'!$G:$G,Brokerage!L$4)</f>
        <v>0</v>
      </c>
      <c r="M168" s="857">
        <f>SUMIFS('YTD Sales'!$N:$N,'YTD Sales'!$B:$B,Brokerage!$B168,'YTD Sales'!$M:$M,Brokerage!M$4)+SUMIFS('YTD Purchases'!$H:$H,'YTD Purchases'!$C:$C,Brokerage!$B168,'YTD Purchases'!$G:$G,Brokerage!M$4)</f>
        <v>0</v>
      </c>
      <c r="N168" s="857">
        <f>SUMIFS('YTD Sales'!$N:$N,'YTD Sales'!$B:$B,Brokerage!$B168,'YTD Sales'!$M:$M,Brokerage!N$4)+SUMIFS('YTD Purchases'!$H:$H,'YTD Purchases'!$C:$C,Brokerage!$B168,'YTD Purchases'!$G:$G,Brokerage!N$4)</f>
        <v>0</v>
      </c>
      <c r="O168" s="857">
        <f>SUMIFS('YTD Sales'!$N:$N,'YTD Sales'!$B:$B,Brokerage!$B168,'YTD Sales'!$M:$M,Brokerage!O$4)+SUMIFS('YTD Purchases'!$H:$H,'YTD Purchases'!$C:$C,Brokerage!$B168,'YTD Purchases'!$G:$G,Brokerage!O$4)</f>
        <v>0</v>
      </c>
      <c r="P168" s="857">
        <f>SUMIFS('YTD Sales'!$N:$N,'YTD Sales'!$B:$B,Brokerage!$B168,'YTD Sales'!$M:$M,Brokerage!P$4)+SUMIFS('YTD Purchases'!$H:$H,'YTD Purchases'!$C:$C,Brokerage!$B168,'YTD Purchases'!$G:$G,Brokerage!P$4)</f>
        <v>0</v>
      </c>
      <c r="Q168" s="857">
        <f>SUMIFS('YTD Sales'!$N:$N,'YTD Sales'!$B:$B,Brokerage!$B168,'YTD Sales'!$M:$M,Brokerage!Q$4)+SUMIFS('YTD Purchases'!$H:$H,'YTD Purchases'!$C:$C,Brokerage!$B168,'YTD Purchases'!$G:$G,Brokerage!Q$4)</f>
        <v>0</v>
      </c>
      <c r="R168" s="857">
        <f>SUMIFS('YTD Sales'!$N:$N,'YTD Sales'!$B:$B,Brokerage!$B168,'YTD Sales'!$M:$M,Brokerage!R$4)+SUMIFS('YTD Purchases'!$H:$H,'YTD Purchases'!$C:$C,Brokerage!$B168,'YTD Purchases'!$G:$G,Brokerage!R$4)</f>
        <v>0</v>
      </c>
      <c r="S168" s="857">
        <f>SUMIFS('YTD Sales'!$N:$N,'YTD Sales'!$B:$B,Brokerage!$B168,'YTD Sales'!$M:$M,Brokerage!S$4)+SUMIFS('YTD Purchases'!$H:$H,'YTD Purchases'!$C:$C,Brokerage!$B168,'YTD Purchases'!$G:$G,Brokerage!S$4)</f>
        <v>0</v>
      </c>
      <c r="T168" s="857">
        <f>SUMIFS('YTD Sales'!$N:$N,'YTD Sales'!$B:$B,Brokerage!$B168,'YTD Sales'!$M:$M,Brokerage!T$4)+SUMIFS('YTD Purchases'!$H:$H,'YTD Purchases'!$C:$C,Brokerage!$B168,'YTD Purchases'!$G:$G,Brokerage!T$4)</f>
        <v>0</v>
      </c>
      <c r="U168" s="857">
        <f>SUMIFS('YTD Sales'!$N:$N,'YTD Sales'!$B:$B,Brokerage!$B168,'YTD Sales'!$M:$M,Brokerage!U$4)+SUMIFS('YTD Purchases'!$H:$H,'YTD Purchases'!$C:$C,Brokerage!$B168,'YTD Purchases'!$G:$G,Brokerage!U$4)</f>
        <v>0</v>
      </c>
      <c r="V168" s="857">
        <f>SUMIFS('YTD Sales'!$N:$N,'YTD Sales'!$B:$B,Brokerage!$B168,'YTD Sales'!$M:$M,Brokerage!V$4)+SUMIFS('YTD Purchases'!$H:$H,'YTD Purchases'!$C:$C,Brokerage!$B168,'YTD Purchases'!$G:$G,Brokerage!V$4)</f>
        <v>0</v>
      </c>
      <c r="W168" s="857">
        <f>SUMIFS('YTD Sales'!$N:$N,'YTD Sales'!$B:$B,Brokerage!$B168,'YTD Sales'!$M:$M,Brokerage!W$4)+SUMIFS('YTD Purchases'!$H:$H,'YTD Purchases'!$C:$C,Brokerage!$B168,'YTD Purchases'!$G:$G,Brokerage!W$4)</f>
        <v>0</v>
      </c>
      <c r="X168" s="857">
        <f>SUMIFS('YTD Sales'!$N:$N,'YTD Sales'!$B:$B,Brokerage!$B168,'YTD Sales'!$M:$M,Brokerage!X$4)+SUMIFS('YTD Purchases'!$H:$H,'YTD Purchases'!$C:$C,Brokerage!$B168,'YTD Purchases'!$G:$G,Brokerage!X$4)</f>
        <v>0</v>
      </c>
      <c r="Y168" s="857">
        <f>SUMIFS('YTD Sales'!$N:$N,'YTD Sales'!$B:$B,Brokerage!$B168,'YTD Sales'!$M:$M,Brokerage!Y$4)+SUMIFS('YTD Purchases'!$H:$H,'YTD Purchases'!$C:$C,Brokerage!$B168,'YTD Purchases'!$G:$G,Brokerage!Y$4)</f>
        <v>0</v>
      </c>
      <c r="Z168" s="857">
        <f>SUMIFS('YTD Sales'!$N:$N,'YTD Sales'!$B:$B,Brokerage!$B168,'YTD Sales'!$M:$M,Brokerage!Z$4)+SUMIFS('YTD Purchases'!$H:$H,'YTD Purchases'!$C:$C,Brokerage!$B168,'YTD Purchases'!$G:$G,Brokerage!Z$4)</f>
        <v>0</v>
      </c>
      <c r="AA168" s="857">
        <f>SUMIFS('YTD Sales'!$N:$N,'YTD Sales'!$B:$B,Brokerage!$B168,'YTD Sales'!$M:$M,Brokerage!AA$4)+SUMIFS('YTD Purchases'!$H:$H,'YTD Purchases'!$C:$C,Brokerage!$B168,'YTD Purchases'!$G:$G,Brokerage!AA$4)</f>
        <v>0</v>
      </c>
      <c r="AB168" s="857">
        <f>SUMIFS('YTD Sales'!$N:$N,'YTD Sales'!$B:$B,Brokerage!$B168,'YTD Sales'!$M:$M,Brokerage!AB$4)+SUMIFS('YTD Purchases'!$H:$H,'YTD Purchases'!$C:$C,Brokerage!$B168,'YTD Purchases'!$G:$G,Brokerage!AB$4)</f>
        <v>0</v>
      </c>
      <c r="AC168" s="857">
        <f>SUMIFS('YTD Sales'!$N:$N,'YTD Sales'!$B:$B,Brokerage!$B168,'YTD Sales'!$M:$M,Brokerage!AC$4)+SUMIFS('YTD Purchases'!$H:$H,'YTD Purchases'!$C:$C,Brokerage!$B168,'YTD Purchases'!$G:$G,Brokerage!AC$4)</f>
        <v>0</v>
      </c>
      <c r="AD168" s="857">
        <f>+SUMIFS(PIB!AG:AG,PIB!AF:AF,Brokerage!AD$4,PIB!AA:AA,Brokerage!$B168)+SUMIFS('T-Bills'!AB:AB,'T-Bills'!AA:AA,Brokerage!AD$4,'T-Bills'!V:V,Brokerage!$B168)</f>
        <v>0</v>
      </c>
      <c r="AE168" s="857">
        <f>+SUMIFS(PIB!AH:AH,PIB!AG:AG,Brokerage!AE$4,PIB!AB:AB,Brokerage!$B168)+SUMIFS('T-Bills'!AC:AC,'T-Bills'!AB:AB,Brokerage!AE$4,'T-Bills'!W:W,Brokerage!$B168)</f>
        <v>0</v>
      </c>
      <c r="AF168" s="857">
        <f>+SUMIFS(PIB!AI:AI,PIB!AH:AH,Brokerage!AF$4,PIB!AC:AC,Brokerage!$B168)+SUMIFS('T-Bills'!AD:AD,'T-Bills'!AC:AC,Brokerage!AF$4,'T-Bills'!X:X,Brokerage!$B168)</f>
        <v>0</v>
      </c>
      <c r="AG168" s="857">
        <f t="shared" si="19"/>
        <v>0</v>
      </c>
      <c r="AH168" s="858">
        <f t="shared" si="20"/>
        <v>0</v>
      </c>
    </row>
    <row r="169" spans="2:34" x14ac:dyDescent="0.15">
      <c r="B169" s="661">
        <f t="shared" si="18"/>
        <v>44725</v>
      </c>
      <c r="C169" s="857">
        <f>SUMIFS('YTD Sales'!$N:$N,'YTD Sales'!$B:$B,Brokerage!$B169,'YTD Sales'!$M:$M,Brokerage!C$4)+SUMIFS('YTD Purchases'!$H:$H,'YTD Purchases'!$C:$C,Brokerage!$B169,'YTD Purchases'!$G:$G,Brokerage!C$4)</f>
        <v>0</v>
      </c>
      <c r="D169" s="857">
        <f>SUMIFS('YTD Sales'!$N:$N,'YTD Sales'!$B:$B,Brokerage!$B169,'YTD Sales'!$M:$M,Brokerage!D$4)+SUMIFS('YTD Purchases'!$H:$H,'YTD Purchases'!$C:$C,Brokerage!$B169,'YTD Purchases'!$G:$G,Brokerage!D$4)</f>
        <v>10897.83</v>
      </c>
      <c r="E169" s="857">
        <f>SUMIFS('YTD Sales'!$N:$N,'YTD Sales'!$B:$B,Brokerage!$B169,'YTD Sales'!$M:$M,Brokerage!E$4)+SUMIFS('YTD Purchases'!$H:$H,'YTD Purchases'!$C:$C,Brokerage!$B169,'YTD Purchases'!$G:$G,Brokerage!E$4)</f>
        <v>0</v>
      </c>
      <c r="F169" s="857">
        <f>SUMIFS('YTD Sales'!$N:$N,'YTD Sales'!$B:$B,Brokerage!$B169,'YTD Sales'!$M:$M,Brokerage!F$4)+SUMIFS('YTD Purchases'!$H:$H,'YTD Purchases'!$C:$C,Brokerage!$B169,'YTD Purchases'!$G:$G,Brokerage!F$4)</f>
        <v>0</v>
      </c>
      <c r="G169" s="857">
        <f>SUMIFS('YTD Sales'!$N:$N,'YTD Sales'!$B:$B,Brokerage!$B169,'YTD Sales'!$M:$M,Brokerage!G$4)+SUMIFS('YTD Purchases'!$H:$H,'YTD Purchases'!$C:$C,Brokerage!$B169,'YTD Purchases'!$G:$G,Brokerage!G$4)</f>
        <v>0</v>
      </c>
      <c r="H169" s="857">
        <f>SUMIFS('YTD Sales'!$N:$N,'YTD Sales'!$B:$B,Brokerage!$B169,'YTD Sales'!$M:$M,Brokerage!H$4)+SUMIFS('YTD Purchases'!$H:$H,'YTD Purchases'!$C:$C,Brokerage!$B169,'YTD Purchases'!$G:$G,Brokerage!H$4)</f>
        <v>0</v>
      </c>
      <c r="I169" s="857">
        <f>SUMIFS('YTD Sales'!$N:$N,'YTD Sales'!$B:$B,Brokerage!$B169,'YTD Sales'!$M:$M,Brokerage!I$4)+SUMIFS('YTD Purchases'!$H:$H,'YTD Purchases'!$C:$C,Brokerage!$B169,'YTD Purchases'!$G:$G,Brokerage!I$4)</f>
        <v>0</v>
      </c>
      <c r="J169" s="857">
        <f>SUMIFS('YTD Sales'!$N:$N,'YTD Sales'!$B:$B,Brokerage!$B169,'YTD Sales'!$M:$M,Brokerage!J$4)+SUMIFS('YTD Purchases'!$H:$H,'YTD Purchases'!$C:$C,Brokerage!$B169,'YTD Purchases'!$G:$G,Brokerage!J$4)</f>
        <v>0</v>
      </c>
      <c r="K169" s="857">
        <f>SUMIFS('YTD Sales'!$N:$N,'YTD Sales'!$B:$B,Brokerage!$B169,'YTD Sales'!$M:$M,Brokerage!K$4)+SUMIFS('YTD Purchases'!$H:$H,'YTD Purchases'!$C:$C,Brokerage!$B169,'YTD Purchases'!$G:$G,Brokerage!K$4)</f>
        <v>0</v>
      </c>
      <c r="L169" s="857">
        <f>SUMIFS('YTD Sales'!$N:$N,'YTD Sales'!$B:$B,Brokerage!$B169,'YTD Sales'!$M:$M,Brokerage!L$4)+SUMIFS('YTD Purchases'!$H:$H,'YTD Purchases'!$C:$C,Brokerage!$B169,'YTD Purchases'!$G:$G,Brokerage!L$4)</f>
        <v>0</v>
      </c>
      <c r="M169" s="857">
        <f>SUMIFS('YTD Sales'!$N:$N,'YTD Sales'!$B:$B,Brokerage!$B169,'YTD Sales'!$M:$M,Brokerage!M$4)+SUMIFS('YTD Purchases'!$H:$H,'YTD Purchases'!$C:$C,Brokerage!$B169,'YTD Purchases'!$G:$G,Brokerage!M$4)</f>
        <v>0</v>
      </c>
      <c r="N169" s="857">
        <f>SUMIFS('YTD Sales'!$N:$N,'YTD Sales'!$B:$B,Brokerage!$B169,'YTD Sales'!$M:$M,Brokerage!N$4)+SUMIFS('YTD Purchases'!$H:$H,'YTD Purchases'!$C:$C,Brokerage!$B169,'YTD Purchases'!$G:$G,Brokerage!N$4)</f>
        <v>34980.78</v>
      </c>
      <c r="O169" s="857">
        <f>SUMIFS('YTD Sales'!$N:$N,'YTD Sales'!$B:$B,Brokerage!$B169,'YTD Sales'!$M:$M,Brokerage!O$4)+SUMIFS('YTD Purchases'!$H:$H,'YTD Purchases'!$C:$C,Brokerage!$B169,'YTD Purchases'!$G:$G,Brokerage!O$4)</f>
        <v>0</v>
      </c>
      <c r="P169" s="857">
        <f>SUMIFS('YTD Sales'!$N:$N,'YTD Sales'!$B:$B,Brokerage!$B169,'YTD Sales'!$M:$M,Brokerage!P$4)+SUMIFS('YTD Purchases'!$H:$H,'YTD Purchases'!$C:$C,Brokerage!$B169,'YTD Purchases'!$G:$G,Brokerage!P$4)</f>
        <v>0</v>
      </c>
      <c r="Q169" s="857">
        <f>SUMIFS('YTD Sales'!$N:$N,'YTD Sales'!$B:$B,Brokerage!$B169,'YTD Sales'!$M:$M,Brokerage!Q$4)+SUMIFS('YTD Purchases'!$H:$H,'YTD Purchases'!$C:$C,Brokerage!$B169,'YTD Purchases'!$G:$G,Brokerage!Q$4)</f>
        <v>0</v>
      </c>
      <c r="R169" s="857">
        <f>SUMIFS('YTD Sales'!$N:$N,'YTD Sales'!$B:$B,Brokerage!$B169,'YTD Sales'!$M:$M,Brokerage!R$4)+SUMIFS('YTD Purchases'!$H:$H,'YTD Purchases'!$C:$C,Brokerage!$B169,'YTD Purchases'!$G:$G,Brokerage!R$4)</f>
        <v>0</v>
      </c>
      <c r="S169" s="857">
        <f>SUMIFS('YTD Sales'!$N:$N,'YTD Sales'!$B:$B,Brokerage!$B169,'YTD Sales'!$M:$M,Brokerage!S$4)+SUMIFS('YTD Purchases'!$H:$H,'YTD Purchases'!$C:$C,Brokerage!$B169,'YTD Purchases'!$G:$G,Brokerage!S$4)</f>
        <v>0</v>
      </c>
      <c r="T169" s="857">
        <f>SUMIFS('YTD Sales'!$N:$N,'YTD Sales'!$B:$B,Brokerage!$B169,'YTD Sales'!$M:$M,Brokerage!T$4)+SUMIFS('YTD Purchases'!$H:$H,'YTD Purchases'!$C:$C,Brokerage!$B169,'YTD Purchases'!$G:$G,Brokerage!T$4)</f>
        <v>0</v>
      </c>
      <c r="U169" s="857">
        <f>SUMIFS('YTD Sales'!$N:$N,'YTD Sales'!$B:$B,Brokerage!$B169,'YTD Sales'!$M:$M,Brokerage!U$4)+SUMIFS('YTD Purchases'!$H:$H,'YTD Purchases'!$C:$C,Brokerage!$B169,'YTD Purchases'!$G:$G,Brokerage!U$4)</f>
        <v>0</v>
      </c>
      <c r="V169" s="857">
        <f>SUMIFS('YTD Sales'!$N:$N,'YTD Sales'!$B:$B,Brokerage!$B169,'YTD Sales'!$M:$M,Brokerage!V$4)+SUMIFS('YTD Purchases'!$H:$H,'YTD Purchases'!$C:$C,Brokerage!$B169,'YTD Purchases'!$G:$G,Brokerage!V$4)</f>
        <v>0</v>
      </c>
      <c r="W169" s="857">
        <f>SUMIFS('YTD Sales'!$N:$N,'YTD Sales'!$B:$B,Brokerage!$B169,'YTD Sales'!$M:$M,Brokerage!W$4)+SUMIFS('YTD Purchases'!$H:$H,'YTD Purchases'!$C:$C,Brokerage!$B169,'YTD Purchases'!$G:$G,Brokerage!W$4)</f>
        <v>0</v>
      </c>
      <c r="X169" s="857">
        <f>SUMIFS('YTD Sales'!$N:$N,'YTD Sales'!$B:$B,Brokerage!$B169,'YTD Sales'!$M:$M,Brokerage!X$4)+SUMIFS('YTD Purchases'!$H:$H,'YTD Purchases'!$C:$C,Brokerage!$B169,'YTD Purchases'!$G:$G,Brokerage!X$4)</f>
        <v>0</v>
      </c>
      <c r="Y169" s="857">
        <f>SUMIFS('YTD Sales'!$N:$N,'YTD Sales'!$B:$B,Brokerage!$B169,'YTD Sales'!$M:$M,Brokerage!Y$4)+SUMIFS('YTD Purchases'!$H:$H,'YTD Purchases'!$C:$C,Brokerage!$B169,'YTD Purchases'!$G:$G,Brokerage!Y$4)</f>
        <v>0</v>
      </c>
      <c r="Z169" s="857">
        <f>SUMIFS('YTD Sales'!$N:$N,'YTD Sales'!$B:$B,Brokerage!$B169,'YTD Sales'!$M:$M,Brokerage!Z$4)+SUMIFS('YTD Purchases'!$H:$H,'YTD Purchases'!$C:$C,Brokerage!$B169,'YTD Purchases'!$G:$G,Brokerage!Z$4)</f>
        <v>0</v>
      </c>
      <c r="AA169" s="857">
        <f>SUMIFS('YTD Sales'!$N:$N,'YTD Sales'!$B:$B,Brokerage!$B169,'YTD Sales'!$M:$M,Brokerage!AA$4)+SUMIFS('YTD Purchases'!$H:$H,'YTD Purchases'!$C:$C,Brokerage!$B169,'YTD Purchases'!$G:$G,Brokerage!AA$4)</f>
        <v>0</v>
      </c>
      <c r="AB169" s="857">
        <f>SUMIFS('YTD Sales'!$N:$N,'YTD Sales'!$B:$B,Brokerage!$B169,'YTD Sales'!$M:$M,Brokerage!AB$4)+SUMIFS('YTD Purchases'!$H:$H,'YTD Purchases'!$C:$C,Brokerage!$B169,'YTD Purchases'!$G:$G,Brokerage!AB$4)</f>
        <v>0</v>
      </c>
      <c r="AC169" s="857">
        <f>SUMIFS('YTD Sales'!$N:$N,'YTD Sales'!$B:$B,Brokerage!$B169,'YTD Sales'!$M:$M,Brokerage!AC$4)+SUMIFS('YTD Purchases'!$H:$H,'YTD Purchases'!$C:$C,Brokerage!$B169,'YTD Purchases'!$G:$G,Brokerage!AC$4)</f>
        <v>0</v>
      </c>
      <c r="AD169" s="857">
        <f>+SUMIFS(PIB!AG:AG,PIB!AF:AF,Brokerage!AD$4,PIB!AA:AA,Brokerage!$B169)+SUMIFS('T-Bills'!AB:AB,'T-Bills'!AA:AA,Brokerage!AD$4,'T-Bills'!V:V,Brokerage!$B169)</f>
        <v>0</v>
      </c>
      <c r="AE169" s="857">
        <f>+SUMIFS(PIB!AH:AH,PIB!AG:AG,Brokerage!AE$4,PIB!AB:AB,Brokerage!$B169)+SUMIFS('T-Bills'!AC:AC,'T-Bills'!AB:AB,Brokerage!AE$4,'T-Bills'!W:W,Brokerage!$B169)</f>
        <v>0</v>
      </c>
      <c r="AF169" s="857">
        <f>+SUMIFS(PIB!AI:AI,PIB!AH:AH,Brokerage!AF$4,PIB!AC:AC,Brokerage!$B169)+SUMIFS('T-Bills'!AD:AD,'T-Bills'!AC:AC,Brokerage!AF$4,'T-Bills'!X:X,Brokerage!$B169)</f>
        <v>0</v>
      </c>
      <c r="AG169" s="857">
        <f t="shared" si="19"/>
        <v>45878.61</v>
      </c>
      <c r="AH169" s="858">
        <f t="shared" si="20"/>
        <v>2</v>
      </c>
    </row>
    <row r="170" spans="2:34" x14ac:dyDescent="0.15">
      <c r="B170" s="661">
        <f t="shared" si="18"/>
        <v>44726</v>
      </c>
      <c r="C170" s="857">
        <f>SUMIFS('YTD Sales'!$N:$N,'YTD Sales'!$B:$B,Brokerage!$B170,'YTD Sales'!$M:$M,Brokerage!C$4)+SUMIFS('YTD Purchases'!$H:$H,'YTD Purchases'!$C:$C,Brokerage!$B170,'YTD Purchases'!$G:$G,Brokerage!C$4)</f>
        <v>0</v>
      </c>
      <c r="D170" s="857">
        <f>SUMIFS('YTD Sales'!$N:$N,'YTD Sales'!$B:$B,Brokerage!$B170,'YTD Sales'!$M:$M,Brokerage!D$4)+SUMIFS('YTD Purchases'!$H:$H,'YTD Purchases'!$C:$C,Brokerage!$B170,'YTD Purchases'!$G:$G,Brokerage!D$4)</f>
        <v>0</v>
      </c>
      <c r="E170" s="857">
        <f>SUMIFS('YTD Sales'!$N:$N,'YTD Sales'!$B:$B,Brokerage!$B170,'YTD Sales'!$M:$M,Brokerage!E$4)+SUMIFS('YTD Purchases'!$H:$H,'YTD Purchases'!$C:$C,Brokerage!$B170,'YTD Purchases'!$G:$G,Brokerage!E$4)</f>
        <v>0</v>
      </c>
      <c r="F170" s="857">
        <f>SUMIFS('YTD Sales'!$N:$N,'YTD Sales'!$B:$B,Brokerage!$B170,'YTD Sales'!$M:$M,Brokerage!F$4)+SUMIFS('YTD Purchases'!$H:$H,'YTD Purchases'!$C:$C,Brokerage!$B170,'YTD Purchases'!$G:$G,Brokerage!F$4)</f>
        <v>0</v>
      </c>
      <c r="G170" s="857">
        <f>SUMIFS('YTD Sales'!$N:$N,'YTD Sales'!$B:$B,Brokerage!$B170,'YTD Sales'!$M:$M,Brokerage!G$4)+SUMIFS('YTD Purchases'!$H:$H,'YTD Purchases'!$C:$C,Brokerage!$B170,'YTD Purchases'!$G:$G,Brokerage!G$4)</f>
        <v>0</v>
      </c>
      <c r="H170" s="857">
        <f>SUMIFS('YTD Sales'!$N:$N,'YTD Sales'!$B:$B,Brokerage!$B170,'YTD Sales'!$M:$M,Brokerage!H$4)+SUMIFS('YTD Purchases'!$H:$H,'YTD Purchases'!$C:$C,Brokerage!$B170,'YTD Purchases'!$G:$G,Brokerage!H$4)</f>
        <v>0</v>
      </c>
      <c r="I170" s="857">
        <f>SUMIFS('YTD Sales'!$N:$N,'YTD Sales'!$B:$B,Brokerage!$B170,'YTD Sales'!$M:$M,Brokerage!I$4)+SUMIFS('YTD Purchases'!$H:$H,'YTD Purchases'!$C:$C,Brokerage!$B170,'YTD Purchases'!$G:$G,Brokerage!I$4)</f>
        <v>0</v>
      </c>
      <c r="J170" s="857">
        <f>SUMIFS('YTD Sales'!$N:$N,'YTD Sales'!$B:$B,Brokerage!$B170,'YTD Sales'!$M:$M,Brokerage!J$4)+SUMIFS('YTD Purchases'!$H:$H,'YTD Purchases'!$C:$C,Brokerage!$B170,'YTD Purchases'!$G:$G,Brokerage!J$4)</f>
        <v>0</v>
      </c>
      <c r="K170" s="857">
        <f>SUMIFS('YTD Sales'!$N:$N,'YTD Sales'!$B:$B,Brokerage!$B170,'YTD Sales'!$M:$M,Brokerage!K$4)+SUMIFS('YTD Purchases'!$H:$H,'YTD Purchases'!$C:$C,Brokerage!$B170,'YTD Purchases'!$G:$G,Brokerage!K$4)</f>
        <v>0</v>
      </c>
      <c r="L170" s="857">
        <f>SUMIFS('YTD Sales'!$N:$N,'YTD Sales'!$B:$B,Brokerage!$B170,'YTD Sales'!$M:$M,Brokerage!L$4)+SUMIFS('YTD Purchases'!$H:$H,'YTD Purchases'!$C:$C,Brokerage!$B170,'YTD Purchases'!$G:$G,Brokerage!L$4)</f>
        <v>0</v>
      </c>
      <c r="M170" s="857">
        <f>SUMIFS('YTD Sales'!$N:$N,'YTD Sales'!$B:$B,Brokerage!$B170,'YTD Sales'!$M:$M,Brokerage!M$4)+SUMIFS('YTD Purchases'!$H:$H,'YTD Purchases'!$C:$C,Brokerage!$B170,'YTD Purchases'!$G:$G,Brokerage!M$4)</f>
        <v>11668.42</v>
      </c>
      <c r="N170" s="857">
        <f>SUMIFS('YTD Sales'!$N:$N,'YTD Sales'!$B:$B,Brokerage!$B170,'YTD Sales'!$M:$M,Brokerage!N$4)+SUMIFS('YTD Purchases'!$H:$H,'YTD Purchases'!$C:$C,Brokerage!$B170,'YTD Purchases'!$G:$G,Brokerage!N$4)</f>
        <v>0</v>
      </c>
      <c r="O170" s="857">
        <f>SUMIFS('YTD Sales'!$N:$N,'YTD Sales'!$B:$B,Brokerage!$B170,'YTD Sales'!$M:$M,Brokerage!O$4)+SUMIFS('YTD Purchases'!$H:$H,'YTD Purchases'!$C:$C,Brokerage!$B170,'YTD Purchases'!$G:$G,Brokerage!O$4)</f>
        <v>14085.45</v>
      </c>
      <c r="P170" s="857">
        <f>SUMIFS('YTD Sales'!$N:$N,'YTD Sales'!$B:$B,Brokerage!$B170,'YTD Sales'!$M:$M,Brokerage!P$4)+SUMIFS('YTD Purchases'!$H:$H,'YTD Purchases'!$C:$C,Brokerage!$B170,'YTD Purchases'!$G:$G,Brokerage!P$4)</f>
        <v>0</v>
      </c>
      <c r="Q170" s="857">
        <f>SUMIFS('YTD Sales'!$N:$N,'YTD Sales'!$B:$B,Brokerage!$B170,'YTD Sales'!$M:$M,Brokerage!Q$4)+SUMIFS('YTD Purchases'!$H:$H,'YTD Purchases'!$C:$C,Brokerage!$B170,'YTD Purchases'!$G:$G,Brokerage!Q$4)</f>
        <v>0</v>
      </c>
      <c r="R170" s="857">
        <f>SUMIFS('YTD Sales'!$N:$N,'YTD Sales'!$B:$B,Brokerage!$B170,'YTD Sales'!$M:$M,Brokerage!R$4)+SUMIFS('YTD Purchases'!$H:$H,'YTD Purchases'!$C:$C,Brokerage!$B170,'YTD Purchases'!$G:$G,Brokerage!R$4)</f>
        <v>0</v>
      </c>
      <c r="S170" s="857">
        <f>SUMIFS('YTD Sales'!$N:$N,'YTD Sales'!$B:$B,Brokerage!$B170,'YTD Sales'!$M:$M,Brokerage!S$4)+SUMIFS('YTD Purchases'!$H:$H,'YTD Purchases'!$C:$C,Brokerage!$B170,'YTD Purchases'!$G:$G,Brokerage!S$4)</f>
        <v>0</v>
      </c>
      <c r="T170" s="857">
        <f>SUMIFS('YTD Sales'!$N:$N,'YTD Sales'!$B:$B,Brokerage!$B170,'YTD Sales'!$M:$M,Brokerage!T$4)+SUMIFS('YTD Purchases'!$H:$H,'YTD Purchases'!$C:$C,Brokerage!$B170,'YTD Purchases'!$G:$G,Brokerage!T$4)</f>
        <v>0</v>
      </c>
      <c r="U170" s="857">
        <f>SUMIFS('YTD Sales'!$N:$N,'YTD Sales'!$B:$B,Brokerage!$B170,'YTD Sales'!$M:$M,Brokerage!U$4)+SUMIFS('YTD Purchases'!$H:$H,'YTD Purchases'!$C:$C,Brokerage!$B170,'YTD Purchases'!$G:$G,Brokerage!U$4)</f>
        <v>0</v>
      </c>
      <c r="V170" s="857">
        <f>SUMIFS('YTD Sales'!$N:$N,'YTD Sales'!$B:$B,Brokerage!$B170,'YTD Sales'!$M:$M,Brokerage!V$4)+SUMIFS('YTD Purchases'!$H:$H,'YTD Purchases'!$C:$C,Brokerage!$B170,'YTD Purchases'!$G:$G,Brokerage!V$4)</f>
        <v>0</v>
      </c>
      <c r="W170" s="857">
        <f>SUMIFS('YTD Sales'!$N:$N,'YTD Sales'!$B:$B,Brokerage!$B170,'YTD Sales'!$M:$M,Brokerage!W$4)+SUMIFS('YTD Purchases'!$H:$H,'YTD Purchases'!$C:$C,Brokerage!$B170,'YTD Purchases'!$G:$G,Brokerage!W$4)</f>
        <v>0</v>
      </c>
      <c r="X170" s="857">
        <f>SUMIFS('YTD Sales'!$N:$N,'YTD Sales'!$B:$B,Brokerage!$B170,'YTD Sales'!$M:$M,Brokerage!X$4)+SUMIFS('YTD Purchases'!$H:$H,'YTD Purchases'!$C:$C,Brokerage!$B170,'YTD Purchases'!$G:$G,Brokerage!X$4)</f>
        <v>0</v>
      </c>
      <c r="Y170" s="857">
        <f>SUMIFS('YTD Sales'!$N:$N,'YTD Sales'!$B:$B,Brokerage!$B170,'YTD Sales'!$M:$M,Brokerage!Y$4)+SUMIFS('YTD Purchases'!$H:$H,'YTD Purchases'!$C:$C,Brokerage!$B170,'YTD Purchases'!$G:$G,Brokerage!Y$4)</f>
        <v>0</v>
      </c>
      <c r="Z170" s="857">
        <f>SUMIFS('YTD Sales'!$N:$N,'YTD Sales'!$B:$B,Brokerage!$B170,'YTD Sales'!$M:$M,Brokerage!Z$4)+SUMIFS('YTD Purchases'!$H:$H,'YTD Purchases'!$C:$C,Brokerage!$B170,'YTD Purchases'!$G:$G,Brokerage!Z$4)</f>
        <v>0</v>
      </c>
      <c r="AA170" s="857">
        <f>SUMIFS('YTD Sales'!$N:$N,'YTD Sales'!$B:$B,Brokerage!$B170,'YTD Sales'!$M:$M,Brokerage!AA$4)+SUMIFS('YTD Purchases'!$H:$H,'YTD Purchases'!$C:$C,Brokerage!$B170,'YTD Purchases'!$G:$G,Brokerage!AA$4)</f>
        <v>0</v>
      </c>
      <c r="AB170" s="857">
        <f>SUMIFS('YTD Sales'!$N:$N,'YTD Sales'!$B:$B,Brokerage!$B170,'YTD Sales'!$M:$M,Brokerage!AB$4)+SUMIFS('YTD Purchases'!$H:$H,'YTD Purchases'!$C:$C,Brokerage!$B170,'YTD Purchases'!$G:$G,Brokerage!AB$4)</f>
        <v>0</v>
      </c>
      <c r="AC170" s="857">
        <f>SUMIFS('YTD Sales'!$N:$N,'YTD Sales'!$B:$B,Brokerage!$B170,'YTD Sales'!$M:$M,Brokerage!AC$4)+SUMIFS('YTD Purchases'!$H:$H,'YTD Purchases'!$C:$C,Brokerage!$B170,'YTD Purchases'!$G:$G,Brokerage!AC$4)</f>
        <v>0</v>
      </c>
      <c r="AD170" s="857">
        <f>+SUMIFS(PIB!AG:AG,PIB!AF:AF,Brokerage!AD$4,PIB!AA:AA,Brokerage!$B170)+SUMIFS('T-Bills'!AB:AB,'T-Bills'!AA:AA,Brokerage!AD$4,'T-Bills'!V:V,Brokerage!$B170)</f>
        <v>0</v>
      </c>
      <c r="AE170" s="857">
        <f>+SUMIFS(PIB!AH:AH,PIB!AG:AG,Brokerage!AE$4,PIB!AB:AB,Brokerage!$B170)+SUMIFS('T-Bills'!AC:AC,'T-Bills'!AB:AB,Brokerage!AE$4,'T-Bills'!W:W,Brokerage!$B170)</f>
        <v>0</v>
      </c>
      <c r="AF170" s="857">
        <f>+SUMIFS(PIB!AI:AI,PIB!AH:AH,Brokerage!AF$4,PIB!AC:AC,Brokerage!$B170)+SUMIFS('T-Bills'!AD:AD,'T-Bills'!AC:AC,Brokerage!AF$4,'T-Bills'!X:X,Brokerage!$B170)</f>
        <v>0</v>
      </c>
      <c r="AG170" s="857">
        <f t="shared" si="19"/>
        <v>25753.870000000003</v>
      </c>
      <c r="AH170" s="858">
        <f t="shared" ref="AH170:AH202" si="21">ROUND((AG170*1.5%)/365,0)</f>
        <v>1</v>
      </c>
    </row>
    <row r="171" spans="2:34" x14ac:dyDescent="0.15">
      <c r="B171" s="661">
        <f t="shared" si="18"/>
        <v>44727</v>
      </c>
      <c r="C171" s="857">
        <f>SUMIFS('YTD Sales'!$N:$N,'YTD Sales'!$B:$B,Brokerage!$B171,'YTD Sales'!$M:$M,Brokerage!C$4)+SUMIFS('YTD Purchases'!$H:$H,'YTD Purchases'!$C:$C,Brokerage!$B171,'YTD Purchases'!$G:$G,Brokerage!C$4)</f>
        <v>0</v>
      </c>
      <c r="D171" s="857">
        <f>SUMIFS('YTD Sales'!$N:$N,'YTD Sales'!$B:$B,Brokerage!$B171,'YTD Sales'!$M:$M,Brokerage!D$4)+SUMIFS('YTD Purchases'!$H:$H,'YTD Purchases'!$C:$C,Brokerage!$B171,'YTD Purchases'!$G:$G,Brokerage!D$4)</f>
        <v>0</v>
      </c>
      <c r="E171" s="857">
        <f>SUMIFS('YTD Sales'!$N:$N,'YTD Sales'!$B:$B,Brokerage!$B171,'YTD Sales'!$M:$M,Brokerage!E$4)+SUMIFS('YTD Purchases'!$H:$H,'YTD Purchases'!$C:$C,Brokerage!$B171,'YTD Purchases'!$G:$G,Brokerage!E$4)</f>
        <v>0</v>
      </c>
      <c r="F171" s="857">
        <f>SUMIFS('YTD Sales'!$N:$N,'YTD Sales'!$B:$B,Brokerage!$B171,'YTD Sales'!$M:$M,Brokerage!F$4)+SUMIFS('YTD Purchases'!$H:$H,'YTD Purchases'!$C:$C,Brokerage!$B171,'YTD Purchases'!$G:$G,Brokerage!F$4)</f>
        <v>0</v>
      </c>
      <c r="G171" s="857">
        <f>SUMIFS('YTD Sales'!$N:$N,'YTD Sales'!$B:$B,Brokerage!$B171,'YTD Sales'!$M:$M,Brokerage!G$4)+SUMIFS('YTD Purchases'!$H:$H,'YTD Purchases'!$C:$C,Brokerage!$B171,'YTD Purchases'!$G:$G,Brokerage!G$4)</f>
        <v>0</v>
      </c>
      <c r="H171" s="857">
        <f>SUMIFS('YTD Sales'!$N:$N,'YTD Sales'!$B:$B,Brokerage!$B171,'YTD Sales'!$M:$M,Brokerage!H$4)+SUMIFS('YTD Purchases'!$H:$H,'YTD Purchases'!$C:$C,Brokerage!$B171,'YTD Purchases'!$G:$G,Brokerage!H$4)</f>
        <v>0</v>
      </c>
      <c r="I171" s="857">
        <f>SUMIFS('YTD Sales'!$N:$N,'YTD Sales'!$B:$B,Brokerage!$B171,'YTD Sales'!$M:$M,Brokerage!I$4)+SUMIFS('YTD Purchases'!$H:$H,'YTD Purchases'!$C:$C,Brokerage!$B171,'YTD Purchases'!$G:$G,Brokerage!I$4)</f>
        <v>0</v>
      </c>
      <c r="J171" s="857">
        <f>SUMIFS('YTD Sales'!$N:$N,'YTD Sales'!$B:$B,Brokerage!$B171,'YTD Sales'!$M:$M,Brokerage!J$4)+SUMIFS('YTD Purchases'!$H:$H,'YTD Purchases'!$C:$C,Brokerage!$B171,'YTD Purchases'!$G:$G,Brokerage!J$4)</f>
        <v>0</v>
      </c>
      <c r="K171" s="857">
        <f>SUMIFS('YTD Sales'!$N:$N,'YTD Sales'!$B:$B,Brokerage!$B171,'YTD Sales'!$M:$M,Brokerage!K$4)+SUMIFS('YTD Purchases'!$H:$H,'YTD Purchases'!$C:$C,Brokerage!$B171,'YTD Purchases'!$G:$G,Brokerage!K$4)</f>
        <v>0</v>
      </c>
      <c r="L171" s="857">
        <f>SUMIFS('YTD Sales'!$N:$N,'YTD Sales'!$B:$B,Brokerage!$B171,'YTD Sales'!$M:$M,Brokerage!L$4)+SUMIFS('YTD Purchases'!$H:$H,'YTD Purchases'!$C:$C,Brokerage!$B171,'YTD Purchases'!$G:$G,Brokerage!L$4)</f>
        <v>0</v>
      </c>
      <c r="M171" s="857">
        <f>SUMIFS('YTD Sales'!$N:$N,'YTD Sales'!$B:$B,Brokerage!$B171,'YTD Sales'!$M:$M,Brokerage!M$4)+SUMIFS('YTD Purchases'!$H:$H,'YTD Purchases'!$C:$C,Brokerage!$B171,'YTD Purchases'!$G:$G,Brokerage!M$4)</f>
        <v>0</v>
      </c>
      <c r="N171" s="857">
        <f>SUMIFS('YTD Sales'!$N:$N,'YTD Sales'!$B:$B,Brokerage!$B171,'YTD Sales'!$M:$M,Brokerage!N$4)+SUMIFS('YTD Purchases'!$H:$H,'YTD Purchases'!$C:$C,Brokerage!$B171,'YTD Purchases'!$G:$G,Brokerage!N$4)</f>
        <v>3063.46</v>
      </c>
      <c r="O171" s="857">
        <f>SUMIFS('YTD Sales'!$N:$N,'YTD Sales'!$B:$B,Brokerage!$B171,'YTD Sales'!$M:$M,Brokerage!O$4)+SUMIFS('YTD Purchases'!$H:$H,'YTD Purchases'!$C:$C,Brokerage!$B171,'YTD Purchases'!$G:$G,Brokerage!O$4)</f>
        <v>32611.11</v>
      </c>
      <c r="P171" s="857">
        <f>SUMIFS('YTD Sales'!$N:$N,'YTD Sales'!$B:$B,Brokerage!$B171,'YTD Sales'!$M:$M,Brokerage!P$4)+SUMIFS('YTD Purchases'!$H:$H,'YTD Purchases'!$C:$C,Brokerage!$B171,'YTD Purchases'!$G:$G,Brokerage!P$4)</f>
        <v>65257.5</v>
      </c>
      <c r="Q171" s="857">
        <f>SUMIFS('YTD Sales'!$N:$N,'YTD Sales'!$B:$B,Brokerage!$B171,'YTD Sales'!$M:$M,Brokerage!Q$4)+SUMIFS('YTD Purchases'!$H:$H,'YTD Purchases'!$C:$C,Brokerage!$B171,'YTD Purchases'!$G:$G,Brokerage!Q$4)</f>
        <v>0</v>
      </c>
      <c r="R171" s="857">
        <f>SUMIFS('YTD Sales'!$N:$N,'YTD Sales'!$B:$B,Brokerage!$B171,'YTD Sales'!$M:$M,Brokerage!R$4)+SUMIFS('YTD Purchases'!$H:$H,'YTD Purchases'!$C:$C,Brokerage!$B171,'YTD Purchases'!$G:$G,Brokerage!R$4)</f>
        <v>0</v>
      </c>
      <c r="S171" s="857">
        <f>SUMIFS('YTD Sales'!$N:$N,'YTD Sales'!$B:$B,Brokerage!$B171,'YTD Sales'!$M:$M,Brokerage!S$4)+SUMIFS('YTD Purchases'!$H:$H,'YTD Purchases'!$C:$C,Brokerage!$B171,'YTD Purchases'!$G:$G,Brokerage!S$4)</f>
        <v>0</v>
      </c>
      <c r="T171" s="857">
        <f>SUMIFS('YTD Sales'!$N:$N,'YTD Sales'!$B:$B,Brokerage!$B171,'YTD Sales'!$M:$M,Brokerage!T$4)+SUMIFS('YTD Purchases'!$H:$H,'YTD Purchases'!$C:$C,Brokerage!$B171,'YTD Purchases'!$G:$G,Brokerage!T$4)</f>
        <v>0</v>
      </c>
      <c r="U171" s="857">
        <f>SUMIFS('YTD Sales'!$N:$N,'YTD Sales'!$B:$B,Brokerage!$B171,'YTD Sales'!$M:$M,Brokerage!U$4)+SUMIFS('YTD Purchases'!$H:$H,'YTD Purchases'!$C:$C,Brokerage!$B171,'YTD Purchases'!$G:$G,Brokerage!U$4)</f>
        <v>0</v>
      </c>
      <c r="V171" s="857">
        <f>SUMIFS('YTD Sales'!$N:$N,'YTD Sales'!$B:$B,Brokerage!$B171,'YTD Sales'!$M:$M,Brokerage!V$4)+SUMIFS('YTD Purchases'!$H:$H,'YTD Purchases'!$C:$C,Brokerage!$B171,'YTD Purchases'!$G:$G,Brokerage!V$4)</f>
        <v>0</v>
      </c>
      <c r="W171" s="857">
        <f>SUMIFS('YTD Sales'!$N:$N,'YTD Sales'!$B:$B,Brokerage!$B171,'YTD Sales'!$M:$M,Brokerage!W$4)+SUMIFS('YTD Purchases'!$H:$H,'YTD Purchases'!$C:$C,Brokerage!$B171,'YTD Purchases'!$G:$G,Brokerage!W$4)</f>
        <v>0</v>
      </c>
      <c r="X171" s="857">
        <f>SUMIFS('YTD Sales'!$N:$N,'YTD Sales'!$B:$B,Brokerage!$B171,'YTD Sales'!$M:$M,Brokerage!X$4)+SUMIFS('YTD Purchases'!$H:$H,'YTD Purchases'!$C:$C,Brokerage!$B171,'YTD Purchases'!$G:$G,Brokerage!X$4)</f>
        <v>0</v>
      </c>
      <c r="Y171" s="857">
        <f>SUMIFS('YTD Sales'!$N:$N,'YTD Sales'!$B:$B,Brokerage!$B171,'YTD Sales'!$M:$M,Brokerage!Y$4)+SUMIFS('YTD Purchases'!$H:$H,'YTD Purchases'!$C:$C,Brokerage!$B171,'YTD Purchases'!$G:$G,Brokerage!Y$4)</f>
        <v>0</v>
      </c>
      <c r="Z171" s="857">
        <f>SUMIFS('YTD Sales'!$N:$N,'YTD Sales'!$B:$B,Brokerage!$B171,'YTD Sales'!$M:$M,Brokerage!Z$4)+SUMIFS('YTD Purchases'!$H:$H,'YTD Purchases'!$C:$C,Brokerage!$B171,'YTD Purchases'!$G:$G,Brokerage!Z$4)</f>
        <v>0</v>
      </c>
      <c r="AA171" s="857">
        <f>SUMIFS('YTD Sales'!$N:$N,'YTD Sales'!$B:$B,Brokerage!$B171,'YTD Sales'!$M:$M,Brokerage!AA$4)+SUMIFS('YTD Purchases'!$H:$H,'YTD Purchases'!$C:$C,Brokerage!$B171,'YTD Purchases'!$G:$G,Brokerage!AA$4)</f>
        <v>0</v>
      </c>
      <c r="AB171" s="857">
        <f>SUMIFS('YTD Sales'!$N:$N,'YTD Sales'!$B:$B,Brokerage!$B171,'YTD Sales'!$M:$M,Brokerage!AB$4)+SUMIFS('YTD Purchases'!$H:$H,'YTD Purchases'!$C:$C,Brokerage!$B171,'YTD Purchases'!$G:$G,Brokerage!AB$4)</f>
        <v>0</v>
      </c>
      <c r="AC171" s="857">
        <f>SUMIFS('YTD Sales'!$N:$N,'YTD Sales'!$B:$B,Brokerage!$B171,'YTD Sales'!$M:$M,Brokerage!AC$4)+SUMIFS('YTD Purchases'!$H:$H,'YTD Purchases'!$C:$C,Brokerage!$B171,'YTD Purchases'!$G:$G,Brokerage!AC$4)</f>
        <v>0</v>
      </c>
      <c r="AD171" s="857">
        <f>+SUMIFS(PIB!AG:AG,PIB!AF:AF,Brokerage!AD$4,PIB!AA:AA,Brokerage!$B171)+SUMIFS('T-Bills'!AB:AB,'T-Bills'!AA:AA,Brokerage!AD$4,'T-Bills'!V:V,Brokerage!$B171)</f>
        <v>0</v>
      </c>
      <c r="AE171" s="857">
        <f>+SUMIFS(PIB!AH:AH,PIB!AG:AG,Brokerage!AE$4,PIB!AB:AB,Brokerage!$B171)+SUMIFS('T-Bills'!AC:AC,'T-Bills'!AB:AB,Brokerage!AE$4,'T-Bills'!W:W,Brokerage!$B171)</f>
        <v>0</v>
      </c>
      <c r="AF171" s="857">
        <f>+SUMIFS(PIB!AI:AI,PIB!AH:AH,Brokerage!AF$4,PIB!AC:AC,Brokerage!$B171)+SUMIFS('T-Bills'!AD:AD,'T-Bills'!AC:AC,Brokerage!AF$4,'T-Bills'!X:X,Brokerage!$B171)</f>
        <v>0</v>
      </c>
      <c r="AG171" s="857">
        <f t="shared" si="19"/>
        <v>100932.07</v>
      </c>
      <c r="AH171" s="858">
        <f t="shared" si="21"/>
        <v>4</v>
      </c>
    </row>
    <row r="172" spans="2:34" x14ac:dyDescent="0.15">
      <c r="B172" s="661">
        <f t="shared" si="18"/>
        <v>44728</v>
      </c>
      <c r="C172" s="857">
        <f>SUMIFS('YTD Sales'!$N:$N,'YTD Sales'!$B:$B,Brokerage!$B172,'YTD Sales'!$M:$M,Brokerage!C$4)+SUMIFS('YTD Purchases'!$H:$H,'YTD Purchases'!$C:$C,Brokerage!$B172,'YTD Purchases'!$G:$G,Brokerage!C$4)</f>
        <v>0</v>
      </c>
      <c r="D172" s="857">
        <f>SUMIFS('YTD Sales'!$N:$N,'YTD Sales'!$B:$B,Brokerage!$B172,'YTD Sales'!$M:$M,Brokerage!D$4)+SUMIFS('YTD Purchases'!$H:$H,'YTD Purchases'!$C:$C,Brokerage!$B172,'YTD Purchases'!$G:$G,Brokerage!D$4)</f>
        <v>0</v>
      </c>
      <c r="E172" s="857">
        <f>SUMIFS('YTD Sales'!$N:$N,'YTD Sales'!$B:$B,Brokerage!$B172,'YTD Sales'!$M:$M,Brokerage!E$4)+SUMIFS('YTD Purchases'!$H:$H,'YTD Purchases'!$C:$C,Brokerage!$B172,'YTD Purchases'!$G:$G,Brokerage!E$4)</f>
        <v>0</v>
      </c>
      <c r="F172" s="857">
        <f>SUMIFS('YTD Sales'!$N:$N,'YTD Sales'!$B:$B,Brokerage!$B172,'YTD Sales'!$M:$M,Brokerage!F$4)+SUMIFS('YTD Purchases'!$H:$H,'YTD Purchases'!$C:$C,Brokerage!$B172,'YTD Purchases'!$G:$G,Brokerage!F$4)</f>
        <v>0</v>
      </c>
      <c r="G172" s="857">
        <f>SUMIFS('YTD Sales'!$N:$N,'YTD Sales'!$B:$B,Brokerage!$B172,'YTD Sales'!$M:$M,Brokerage!G$4)+SUMIFS('YTD Purchases'!$H:$H,'YTD Purchases'!$C:$C,Brokerage!$B172,'YTD Purchases'!$G:$G,Brokerage!G$4)</f>
        <v>0</v>
      </c>
      <c r="H172" s="857">
        <f>SUMIFS('YTD Sales'!$N:$N,'YTD Sales'!$B:$B,Brokerage!$B172,'YTD Sales'!$M:$M,Brokerage!H$4)+SUMIFS('YTD Purchases'!$H:$H,'YTD Purchases'!$C:$C,Brokerage!$B172,'YTD Purchases'!$G:$G,Brokerage!H$4)</f>
        <v>0</v>
      </c>
      <c r="I172" s="857">
        <f>SUMIFS('YTD Sales'!$N:$N,'YTD Sales'!$B:$B,Brokerage!$B172,'YTD Sales'!$M:$M,Brokerage!I$4)+SUMIFS('YTD Purchases'!$H:$H,'YTD Purchases'!$C:$C,Brokerage!$B172,'YTD Purchases'!$G:$G,Brokerage!I$4)</f>
        <v>0</v>
      </c>
      <c r="J172" s="857">
        <f>SUMIFS('YTD Sales'!$N:$N,'YTD Sales'!$B:$B,Brokerage!$B172,'YTD Sales'!$M:$M,Brokerage!J$4)+SUMIFS('YTD Purchases'!$H:$H,'YTD Purchases'!$C:$C,Brokerage!$B172,'YTD Purchases'!$G:$G,Brokerage!J$4)</f>
        <v>0</v>
      </c>
      <c r="K172" s="857">
        <f>SUMIFS('YTD Sales'!$N:$N,'YTD Sales'!$B:$B,Brokerage!$B172,'YTD Sales'!$M:$M,Brokerage!K$4)+SUMIFS('YTD Purchases'!$H:$H,'YTD Purchases'!$C:$C,Brokerage!$B172,'YTD Purchases'!$G:$G,Brokerage!K$4)</f>
        <v>0</v>
      </c>
      <c r="L172" s="857">
        <f>SUMIFS('YTD Sales'!$N:$N,'YTD Sales'!$B:$B,Brokerage!$B172,'YTD Sales'!$M:$M,Brokerage!L$4)+SUMIFS('YTD Purchases'!$H:$H,'YTD Purchases'!$C:$C,Brokerage!$B172,'YTD Purchases'!$G:$G,Brokerage!L$4)</f>
        <v>0</v>
      </c>
      <c r="M172" s="857">
        <f>SUMIFS('YTD Sales'!$N:$N,'YTD Sales'!$B:$B,Brokerage!$B172,'YTD Sales'!$M:$M,Brokerage!M$4)+SUMIFS('YTD Purchases'!$H:$H,'YTD Purchases'!$C:$C,Brokerage!$B172,'YTD Purchases'!$G:$G,Brokerage!M$4)</f>
        <v>7198.8600000000006</v>
      </c>
      <c r="N172" s="857">
        <f>SUMIFS('YTD Sales'!$N:$N,'YTD Sales'!$B:$B,Brokerage!$B172,'YTD Sales'!$M:$M,Brokerage!N$4)+SUMIFS('YTD Purchases'!$H:$H,'YTD Purchases'!$C:$C,Brokerage!$B172,'YTD Purchases'!$G:$G,Brokerage!N$4)</f>
        <v>0</v>
      </c>
      <c r="O172" s="857">
        <f>SUMIFS('YTD Sales'!$N:$N,'YTD Sales'!$B:$B,Brokerage!$B172,'YTD Sales'!$M:$M,Brokerage!O$4)+SUMIFS('YTD Purchases'!$H:$H,'YTD Purchases'!$C:$C,Brokerage!$B172,'YTD Purchases'!$G:$G,Brokerage!O$4)</f>
        <v>0</v>
      </c>
      <c r="P172" s="857">
        <f>SUMIFS('YTD Sales'!$N:$N,'YTD Sales'!$B:$B,Brokerage!$B172,'YTD Sales'!$M:$M,Brokerage!P$4)+SUMIFS('YTD Purchases'!$H:$H,'YTD Purchases'!$C:$C,Brokerage!$B172,'YTD Purchases'!$G:$G,Brokerage!P$4)</f>
        <v>0</v>
      </c>
      <c r="Q172" s="857">
        <f>SUMIFS('YTD Sales'!$N:$N,'YTD Sales'!$B:$B,Brokerage!$B172,'YTD Sales'!$M:$M,Brokerage!Q$4)+SUMIFS('YTD Purchases'!$H:$H,'YTD Purchases'!$C:$C,Brokerage!$B172,'YTD Purchases'!$G:$G,Brokerage!Q$4)</f>
        <v>0</v>
      </c>
      <c r="R172" s="857">
        <f>SUMIFS('YTD Sales'!$N:$N,'YTD Sales'!$B:$B,Brokerage!$B172,'YTD Sales'!$M:$M,Brokerage!R$4)+SUMIFS('YTD Purchases'!$H:$H,'YTD Purchases'!$C:$C,Brokerage!$B172,'YTD Purchases'!$G:$G,Brokerage!R$4)</f>
        <v>0</v>
      </c>
      <c r="S172" s="857">
        <f>SUMIFS('YTD Sales'!$N:$N,'YTD Sales'!$B:$B,Brokerage!$B172,'YTD Sales'!$M:$M,Brokerage!S$4)+SUMIFS('YTD Purchases'!$H:$H,'YTD Purchases'!$C:$C,Brokerage!$B172,'YTD Purchases'!$G:$G,Brokerage!S$4)</f>
        <v>0</v>
      </c>
      <c r="T172" s="857">
        <f>SUMIFS('YTD Sales'!$N:$N,'YTD Sales'!$B:$B,Brokerage!$B172,'YTD Sales'!$M:$M,Brokerage!T$4)+SUMIFS('YTD Purchases'!$H:$H,'YTD Purchases'!$C:$C,Brokerage!$B172,'YTD Purchases'!$G:$G,Brokerage!T$4)</f>
        <v>0</v>
      </c>
      <c r="U172" s="857">
        <f>SUMIFS('YTD Sales'!$N:$N,'YTD Sales'!$B:$B,Brokerage!$B172,'YTD Sales'!$M:$M,Brokerage!U$4)+SUMIFS('YTD Purchases'!$H:$H,'YTD Purchases'!$C:$C,Brokerage!$B172,'YTD Purchases'!$G:$G,Brokerage!U$4)</f>
        <v>0</v>
      </c>
      <c r="V172" s="857">
        <f>SUMIFS('YTD Sales'!$N:$N,'YTD Sales'!$B:$B,Brokerage!$B172,'YTD Sales'!$M:$M,Brokerage!V$4)+SUMIFS('YTD Purchases'!$H:$H,'YTD Purchases'!$C:$C,Brokerage!$B172,'YTD Purchases'!$G:$G,Brokerage!V$4)</f>
        <v>0</v>
      </c>
      <c r="W172" s="857">
        <f>SUMIFS('YTD Sales'!$N:$N,'YTD Sales'!$B:$B,Brokerage!$B172,'YTD Sales'!$M:$M,Brokerage!W$4)+SUMIFS('YTD Purchases'!$H:$H,'YTD Purchases'!$C:$C,Brokerage!$B172,'YTD Purchases'!$G:$G,Brokerage!W$4)</f>
        <v>0</v>
      </c>
      <c r="X172" s="857">
        <f>SUMIFS('YTD Sales'!$N:$N,'YTD Sales'!$B:$B,Brokerage!$B172,'YTD Sales'!$M:$M,Brokerage!X$4)+SUMIFS('YTD Purchases'!$H:$H,'YTD Purchases'!$C:$C,Brokerage!$B172,'YTD Purchases'!$G:$G,Brokerage!X$4)</f>
        <v>2456.21</v>
      </c>
      <c r="Y172" s="857">
        <f>SUMIFS('YTD Sales'!$N:$N,'YTD Sales'!$B:$B,Brokerage!$B172,'YTD Sales'!$M:$M,Brokerage!Y$4)+SUMIFS('YTD Purchases'!$H:$H,'YTD Purchases'!$C:$C,Brokerage!$B172,'YTD Purchases'!$G:$G,Brokerage!Y$4)</f>
        <v>18236.645</v>
      </c>
      <c r="Z172" s="857">
        <f>SUMIFS('YTD Sales'!$N:$N,'YTD Sales'!$B:$B,Brokerage!$B172,'YTD Sales'!$M:$M,Brokerage!Z$4)+SUMIFS('YTD Purchases'!$H:$H,'YTD Purchases'!$C:$C,Brokerage!$B172,'YTD Purchases'!$G:$G,Brokerage!Z$4)</f>
        <v>0</v>
      </c>
      <c r="AA172" s="857">
        <f>SUMIFS('YTD Sales'!$N:$N,'YTD Sales'!$B:$B,Brokerage!$B172,'YTD Sales'!$M:$M,Brokerage!AA$4)+SUMIFS('YTD Purchases'!$H:$H,'YTD Purchases'!$C:$C,Brokerage!$B172,'YTD Purchases'!$G:$G,Brokerage!AA$4)</f>
        <v>0</v>
      </c>
      <c r="AB172" s="857">
        <f>SUMIFS('YTD Sales'!$N:$N,'YTD Sales'!$B:$B,Brokerage!$B172,'YTD Sales'!$M:$M,Brokerage!AB$4)+SUMIFS('YTD Purchases'!$H:$H,'YTD Purchases'!$C:$C,Brokerage!$B172,'YTD Purchases'!$G:$G,Brokerage!AB$4)</f>
        <v>0</v>
      </c>
      <c r="AC172" s="857">
        <f>SUMIFS('YTD Sales'!$N:$N,'YTD Sales'!$B:$B,Brokerage!$B172,'YTD Sales'!$M:$M,Brokerage!AC$4)+SUMIFS('YTD Purchases'!$H:$H,'YTD Purchases'!$C:$C,Brokerage!$B172,'YTD Purchases'!$G:$G,Brokerage!AC$4)</f>
        <v>0</v>
      </c>
      <c r="AD172" s="857">
        <f>+SUMIFS(PIB!AG:AG,PIB!AF:AF,Brokerage!AD$4,PIB!AA:AA,Brokerage!$B172)+SUMIFS('T-Bills'!AB:AB,'T-Bills'!AA:AA,Brokerage!AD$4,'T-Bills'!V:V,Brokerage!$B172)</f>
        <v>0</v>
      </c>
      <c r="AE172" s="857">
        <f>+SUMIFS(PIB!AH:AH,PIB!AG:AG,Brokerage!AE$4,PIB!AB:AB,Brokerage!$B172)+SUMIFS('T-Bills'!AC:AC,'T-Bills'!AB:AB,Brokerage!AE$4,'T-Bills'!W:W,Brokerage!$B172)</f>
        <v>0</v>
      </c>
      <c r="AF172" s="857">
        <f>+SUMIFS(PIB!AI:AI,PIB!AH:AH,Brokerage!AF$4,PIB!AC:AC,Brokerage!$B172)+SUMIFS('T-Bills'!AD:AD,'T-Bills'!AC:AC,Brokerage!AF$4,'T-Bills'!X:X,Brokerage!$B172)</f>
        <v>0</v>
      </c>
      <c r="AG172" s="857">
        <f t="shared" si="19"/>
        <v>27891.715</v>
      </c>
      <c r="AH172" s="858">
        <f t="shared" si="21"/>
        <v>1</v>
      </c>
    </row>
    <row r="173" spans="2:34" x14ac:dyDescent="0.15">
      <c r="B173" s="661">
        <f t="shared" si="18"/>
        <v>44729</v>
      </c>
      <c r="C173" s="857">
        <f>SUMIFS('YTD Sales'!$N:$N,'YTD Sales'!$B:$B,Brokerage!$B173,'YTD Sales'!$M:$M,Brokerage!C$4)+SUMIFS('YTD Purchases'!$H:$H,'YTD Purchases'!$C:$C,Brokerage!$B173,'YTD Purchases'!$G:$G,Brokerage!C$4)</f>
        <v>0</v>
      </c>
      <c r="D173" s="857">
        <f>SUMIFS('YTD Sales'!$N:$N,'YTD Sales'!$B:$B,Brokerage!$B173,'YTD Sales'!$M:$M,Brokerage!D$4)+SUMIFS('YTD Purchases'!$H:$H,'YTD Purchases'!$C:$C,Brokerage!$B173,'YTD Purchases'!$G:$G,Brokerage!D$4)</f>
        <v>0</v>
      </c>
      <c r="E173" s="857">
        <f>SUMIFS('YTD Sales'!$N:$N,'YTD Sales'!$B:$B,Brokerage!$B173,'YTD Sales'!$M:$M,Brokerage!E$4)+SUMIFS('YTD Purchases'!$H:$H,'YTD Purchases'!$C:$C,Brokerage!$B173,'YTD Purchases'!$G:$G,Brokerage!E$4)</f>
        <v>0</v>
      </c>
      <c r="F173" s="857">
        <f>SUMIFS('YTD Sales'!$N:$N,'YTD Sales'!$B:$B,Brokerage!$B173,'YTD Sales'!$M:$M,Brokerage!F$4)+SUMIFS('YTD Purchases'!$H:$H,'YTD Purchases'!$C:$C,Brokerage!$B173,'YTD Purchases'!$G:$G,Brokerage!F$4)</f>
        <v>0</v>
      </c>
      <c r="G173" s="857">
        <f>SUMIFS('YTD Sales'!$N:$N,'YTD Sales'!$B:$B,Brokerage!$B173,'YTD Sales'!$M:$M,Brokerage!G$4)+SUMIFS('YTD Purchases'!$H:$H,'YTD Purchases'!$C:$C,Brokerage!$B173,'YTD Purchases'!$G:$G,Brokerage!G$4)</f>
        <v>0</v>
      </c>
      <c r="H173" s="857">
        <f>SUMIFS('YTD Sales'!$N:$N,'YTD Sales'!$B:$B,Brokerage!$B173,'YTD Sales'!$M:$M,Brokerage!H$4)+SUMIFS('YTD Purchases'!$H:$H,'YTD Purchases'!$C:$C,Brokerage!$B173,'YTD Purchases'!$G:$G,Brokerage!H$4)</f>
        <v>4640.4000000000005</v>
      </c>
      <c r="I173" s="857">
        <f>SUMIFS('YTD Sales'!$N:$N,'YTD Sales'!$B:$B,Brokerage!$B173,'YTD Sales'!$M:$M,Brokerage!I$4)+SUMIFS('YTD Purchases'!$H:$H,'YTD Purchases'!$C:$C,Brokerage!$B173,'YTD Purchases'!$G:$G,Brokerage!I$4)</f>
        <v>0</v>
      </c>
      <c r="J173" s="857">
        <f>SUMIFS('YTD Sales'!$N:$N,'YTD Sales'!$B:$B,Brokerage!$B173,'YTD Sales'!$M:$M,Brokerage!J$4)+SUMIFS('YTD Purchases'!$H:$H,'YTD Purchases'!$C:$C,Brokerage!$B173,'YTD Purchases'!$G:$G,Brokerage!J$4)</f>
        <v>0</v>
      </c>
      <c r="K173" s="857">
        <f>SUMIFS('YTD Sales'!$N:$N,'YTD Sales'!$B:$B,Brokerage!$B173,'YTD Sales'!$M:$M,Brokerage!K$4)+SUMIFS('YTD Purchases'!$H:$H,'YTD Purchases'!$C:$C,Brokerage!$B173,'YTD Purchases'!$G:$G,Brokerage!K$4)</f>
        <v>0</v>
      </c>
      <c r="L173" s="857">
        <f>SUMIFS('YTD Sales'!$N:$N,'YTD Sales'!$B:$B,Brokerage!$B173,'YTD Sales'!$M:$M,Brokerage!L$4)+SUMIFS('YTD Purchases'!$H:$H,'YTD Purchases'!$C:$C,Brokerage!$B173,'YTD Purchases'!$G:$G,Brokerage!L$4)</f>
        <v>0</v>
      </c>
      <c r="M173" s="857">
        <f>SUMIFS('YTD Sales'!$N:$N,'YTD Sales'!$B:$B,Brokerage!$B173,'YTD Sales'!$M:$M,Brokerage!M$4)+SUMIFS('YTD Purchases'!$H:$H,'YTD Purchases'!$C:$C,Brokerage!$B173,'YTD Purchases'!$G:$G,Brokerage!M$4)</f>
        <v>20143</v>
      </c>
      <c r="N173" s="857">
        <f>SUMIFS('YTD Sales'!$N:$N,'YTD Sales'!$B:$B,Brokerage!$B173,'YTD Sales'!$M:$M,Brokerage!N$4)+SUMIFS('YTD Purchases'!$H:$H,'YTD Purchases'!$C:$C,Brokerage!$B173,'YTD Purchases'!$G:$G,Brokerage!N$4)</f>
        <v>0</v>
      </c>
      <c r="O173" s="857">
        <f>SUMIFS('YTD Sales'!$N:$N,'YTD Sales'!$B:$B,Brokerage!$B173,'YTD Sales'!$M:$M,Brokerage!O$4)+SUMIFS('YTD Purchases'!$H:$H,'YTD Purchases'!$C:$C,Brokerage!$B173,'YTD Purchases'!$G:$G,Brokerage!O$4)</f>
        <v>51364.448710933335</v>
      </c>
      <c r="P173" s="857">
        <f>SUMIFS('YTD Sales'!$N:$N,'YTD Sales'!$B:$B,Brokerage!$B173,'YTD Sales'!$M:$M,Brokerage!P$4)+SUMIFS('YTD Purchases'!$H:$H,'YTD Purchases'!$C:$C,Brokerage!$B173,'YTD Purchases'!$G:$G,Brokerage!P$4)</f>
        <v>0</v>
      </c>
      <c r="Q173" s="857">
        <f>SUMIFS('YTD Sales'!$N:$N,'YTD Sales'!$B:$B,Brokerage!$B173,'YTD Sales'!$M:$M,Brokerage!Q$4)+SUMIFS('YTD Purchases'!$H:$H,'YTD Purchases'!$C:$C,Brokerage!$B173,'YTD Purchases'!$G:$G,Brokerage!Q$4)</f>
        <v>0</v>
      </c>
      <c r="R173" s="857">
        <f>SUMIFS('YTD Sales'!$N:$N,'YTD Sales'!$B:$B,Brokerage!$B173,'YTD Sales'!$M:$M,Brokerage!R$4)+SUMIFS('YTD Purchases'!$H:$H,'YTD Purchases'!$C:$C,Brokerage!$B173,'YTD Purchases'!$G:$G,Brokerage!R$4)</f>
        <v>0</v>
      </c>
      <c r="S173" s="857">
        <f>SUMIFS('YTD Sales'!$N:$N,'YTD Sales'!$B:$B,Brokerage!$B173,'YTD Sales'!$M:$M,Brokerage!S$4)+SUMIFS('YTD Purchases'!$H:$H,'YTD Purchases'!$C:$C,Brokerage!$B173,'YTD Purchases'!$G:$G,Brokerage!S$4)</f>
        <v>0</v>
      </c>
      <c r="T173" s="857">
        <f>SUMIFS('YTD Sales'!$N:$N,'YTD Sales'!$B:$B,Brokerage!$B173,'YTD Sales'!$M:$M,Brokerage!T$4)+SUMIFS('YTD Purchases'!$H:$H,'YTD Purchases'!$C:$C,Brokerage!$B173,'YTD Purchases'!$G:$G,Brokerage!T$4)</f>
        <v>0</v>
      </c>
      <c r="U173" s="857">
        <f>SUMIFS('YTD Sales'!$N:$N,'YTD Sales'!$B:$B,Brokerage!$B173,'YTD Sales'!$M:$M,Brokerage!U$4)+SUMIFS('YTD Purchases'!$H:$H,'YTD Purchases'!$C:$C,Brokerage!$B173,'YTD Purchases'!$G:$G,Brokerage!U$4)</f>
        <v>0</v>
      </c>
      <c r="V173" s="857">
        <f>SUMIFS('YTD Sales'!$N:$N,'YTD Sales'!$B:$B,Brokerage!$B173,'YTD Sales'!$M:$M,Brokerage!V$4)+SUMIFS('YTD Purchases'!$H:$H,'YTD Purchases'!$C:$C,Brokerage!$B173,'YTD Purchases'!$G:$G,Brokerage!V$4)</f>
        <v>0</v>
      </c>
      <c r="W173" s="857">
        <f>SUMIFS('YTD Sales'!$N:$N,'YTD Sales'!$B:$B,Brokerage!$B173,'YTD Sales'!$M:$M,Brokerage!W$4)+SUMIFS('YTD Purchases'!$H:$H,'YTD Purchases'!$C:$C,Brokerage!$B173,'YTD Purchases'!$G:$G,Brokerage!W$4)</f>
        <v>0</v>
      </c>
      <c r="X173" s="857">
        <f>SUMIFS('YTD Sales'!$N:$N,'YTD Sales'!$B:$B,Brokerage!$B173,'YTD Sales'!$M:$M,Brokerage!X$4)+SUMIFS('YTD Purchases'!$H:$H,'YTD Purchases'!$C:$C,Brokerage!$B173,'YTD Purchases'!$G:$G,Brokerage!X$4)</f>
        <v>0</v>
      </c>
      <c r="Y173" s="857">
        <f>SUMIFS('YTD Sales'!$N:$N,'YTD Sales'!$B:$B,Brokerage!$B173,'YTD Sales'!$M:$M,Brokerage!Y$4)+SUMIFS('YTD Purchases'!$H:$H,'YTD Purchases'!$C:$C,Brokerage!$B173,'YTD Purchases'!$G:$G,Brokerage!Y$4)</f>
        <v>0</v>
      </c>
      <c r="Z173" s="857">
        <f>SUMIFS('YTD Sales'!$N:$N,'YTD Sales'!$B:$B,Brokerage!$B173,'YTD Sales'!$M:$M,Brokerage!Z$4)+SUMIFS('YTD Purchases'!$H:$H,'YTD Purchases'!$C:$C,Brokerage!$B173,'YTD Purchases'!$G:$G,Brokerage!Z$4)</f>
        <v>0</v>
      </c>
      <c r="AA173" s="857">
        <f>SUMIFS('YTD Sales'!$N:$N,'YTD Sales'!$B:$B,Brokerage!$B173,'YTD Sales'!$M:$M,Brokerage!AA$4)+SUMIFS('YTD Purchases'!$H:$H,'YTD Purchases'!$C:$C,Brokerage!$B173,'YTD Purchases'!$G:$G,Brokerage!AA$4)</f>
        <v>2373</v>
      </c>
      <c r="AB173" s="857">
        <f>SUMIFS('YTD Sales'!$N:$N,'YTD Sales'!$B:$B,Brokerage!$B173,'YTD Sales'!$M:$M,Brokerage!AB$4)+SUMIFS('YTD Purchases'!$H:$H,'YTD Purchases'!$C:$C,Brokerage!$B173,'YTD Purchases'!$G:$G,Brokerage!AB$4)</f>
        <v>0</v>
      </c>
      <c r="AC173" s="857">
        <f>SUMIFS('YTD Sales'!$N:$N,'YTD Sales'!$B:$B,Brokerage!$B173,'YTD Sales'!$M:$M,Brokerage!AC$4)+SUMIFS('YTD Purchases'!$H:$H,'YTD Purchases'!$C:$C,Brokerage!$B173,'YTD Purchases'!$G:$G,Brokerage!AC$4)</f>
        <v>0</v>
      </c>
      <c r="AD173" s="857">
        <f>+SUMIFS(PIB!AG:AG,PIB!AF:AF,Brokerage!AD$4,PIB!AA:AA,Brokerage!$B173)+SUMIFS('T-Bills'!AB:AB,'T-Bills'!AA:AA,Brokerage!AD$4,'T-Bills'!V:V,Brokerage!$B173)</f>
        <v>0</v>
      </c>
      <c r="AE173" s="857">
        <f>+SUMIFS(PIB!AH:AH,PIB!AG:AG,Brokerage!AE$4,PIB!AB:AB,Brokerage!$B173)+SUMIFS('T-Bills'!AC:AC,'T-Bills'!AB:AB,Brokerage!AE$4,'T-Bills'!W:W,Brokerage!$B173)</f>
        <v>0</v>
      </c>
      <c r="AF173" s="857">
        <f>+SUMIFS(PIB!AI:AI,PIB!AH:AH,Brokerage!AF$4,PIB!AC:AC,Brokerage!$B173)+SUMIFS('T-Bills'!AD:AD,'T-Bills'!AC:AC,Brokerage!AF$4,'T-Bills'!X:X,Brokerage!$B173)</f>
        <v>0</v>
      </c>
      <c r="AG173" s="857">
        <f t="shared" si="19"/>
        <v>78520.848710933336</v>
      </c>
      <c r="AH173" s="858">
        <f t="shared" si="21"/>
        <v>3</v>
      </c>
    </row>
    <row r="174" spans="2:34" x14ac:dyDescent="0.15">
      <c r="B174" s="661">
        <f t="shared" si="18"/>
        <v>44730</v>
      </c>
      <c r="C174" s="857">
        <f>SUMIFS('YTD Sales'!$N:$N,'YTD Sales'!$B:$B,Brokerage!$B174,'YTD Sales'!$M:$M,Brokerage!C$4)+SUMIFS('YTD Purchases'!$H:$H,'YTD Purchases'!$C:$C,Brokerage!$B174,'YTD Purchases'!$G:$G,Brokerage!C$4)</f>
        <v>0</v>
      </c>
      <c r="D174" s="857">
        <f>SUMIFS('YTD Sales'!$N:$N,'YTD Sales'!$B:$B,Brokerage!$B174,'YTD Sales'!$M:$M,Brokerage!D$4)+SUMIFS('YTD Purchases'!$H:$H,'YTD Purchases'!$C:$C,Brokerage!$B174,'YTD Purchases'!$G:$G,Brokerage!D$4)</f>
        <v>0</v>
      </c>
      <c r="E174" s="857">
        <f>SUMIFS('YTD Sales'!$N:$N,'YTD Sales'!$B:$B,Brokerage!$B174,'YTD Sales'!$M:$M,Brokerage!E$4)+SUMIFS('YTD Purchases'!$H:$H,'YTD Purchases'!$C:$C,Brokerage!$B174,'YTD Purchases'!$G:$G,Brokerage!E$4)</f>
        <v>0</v>
      </c>
      <c r="F174" s="857">
        <f>SUMIFS('YTD Sales'!$N:$N,'YTD Sales'!$B:$B,Brokerage!$B174,'YTD Sales'!$M:$M,Brokerage!F$4)+SUMIFS('YTD Purchases'!$H:$H,'YTD Purchases'!$C:$C,Brokerage!$B174,'YTD Purchases'!$G:$G,Brokerage!F$4)</f>
        <v>0</v>
      </c>
      <c r="G174" s="857">
        <f>SUMIFS('YTD Sales'!$N:$N,'YTD Sales'!$B:$B,Brokerage!$B174,'YTD Sales'!$M:$M,Brokerage!G$4)+SUMIFS('YTD Purchases'!$H:$H,'YTD Purchases'!$C:$C,Brokerage!$B174,'YTD Purchases'!$G:$G,Brokerage!G$4)</f>
        <v>0</v>
      </c>
      <c r="H174" s="857">
        <f>SUMIFS('YTD Sales'!$N:$N,'YTD Sales'!$B:$B,Brokerage!$B174,'YTD Sales'!$M:$M,Brokerage!H$4)+SUMIFS('YTD Purchases'!$H:$H,'YTD Purchases'!$C:$C,Brokerage!$B174,'YTD Purchases'!$G:$G,Brokerage!H$4)</f>
        <v>0</v>
      </c>
      <c r="I174" s="857">
        <f>SUMIFS('YTD Sales'!$N:$N,'YTD Sales'!$B:$B,Brokerage!$B174,'YTD Sales'!$M:$M,Brokerage!I$4)+SUMIFS('YTD Purchases'!$H:$H,'YTD Purchases'!$C:$C,Brokerage!$B174,'YTD Purchases'!$G:$G,Brokerage!I$4)</f>
        <v>0</v>
      </c>
      <c r="J174" s="857">
        <f>SUMIFS('YTD Sales'!$N:$N,'YTD Sales'!$B:$B,Brokerage!$B174,'YTD Sales'!$M:$M,Brokerage!J$4)+SUMIFS('YTD Purchases'!$H:$H,'YTD Purchases'!$C:$C,Brokerage!$B174,'YTD Purchases'!$G:$G,Brokerage!J$4)</f>
        <v>0</v>
      </c>
      <c r="K174" s="857">
        <f>SUMIFS('YTD Sales'!$N:$N,'YTD Sales'!$B:$B,Brokerage!$B174,'YTD Sales'!$M:$M,Brokerage!K$4)+SUMIFS('YTD Purchases'!$H:$H,'YTD Purchases'!$C:$C,Brokerage!$B174,'YTD Purchases'!$G:$G,Brokerage!K$4)</f>
        <v>0</v>
      </c>
      <c r="L174" s="857">
        <f>SUMIFS('YTD Sales'!$N:$N,'YTD Sales'!$B:$B,Brokerage!$B174,'YTD Sales'!$M:$M,Brokerage!L$4)+SUMIFS('YTD Purchases'!$H:$H,'YTD Purchases'!$C:$C,Brokerage!$B174,'YTD Purchases'!$G:$G,Brokerage!L$4)</f>
        <v>0</v>
      </c>
      <c r="M174" s="857">
        <f>SUMIFS('YTD Sales'!$N:$N,'YTD Sales'!$B:$B,Brokerage!$B174,'YTD Sales'!$M:$M,Brokerage!M$4)+SUMIFS('YTD Purchases'!$H:$H,'YTD Purchases'!$C:$C,Brokerage!$B174,'YTD Purchases'!$G:$G,Brokerage!M$4)</f>
        <v>0</v>
      </c>
      <c r="N174" s="857">
        <f>SUMIFS('YTD Sales'!$N:$N,'YTD Sales'!$B:$B,Brokerage!$B174,'YTD Sales'!$M:$M,Brokerage!N$4)+SUMIFS('YTD Purchases'!$H:$H,'YTD Purchases'!$C:$C,Brokerage!$B174,'YTD Purchases'!$G:$G,Brokerage!N$4)</f>
        <v>0</v>
      </c>
      <c r="O174" s="857">
        <f>SUMIFS('YTD Sales'!$N:$N,'YTD Sales'!$B:$B,Brokerage!$B174,'YTD Sales'!$M:$M,Brokerage!O$4)+SUMIFS('YTD Purchases'!$H:$H,'YTD Purchases'!$C:$C,Brokerage!$B174,'YTD Purchases'!$G:$G,Brokerage!O$4)</f>
        <v>0</v>
      </c>
      <c r="P174" s="857">
        <f>SUMIFS('YTD Sales'!$N:$N,'YTD Sales'!$B:$B,Brokerage!$B174,'YTD Sales'!$M:$M,Brokerage!P$4)+SUMIFS('YTD Purchases'!$H:$H,'YTD Purchases'!$C:$C,Brokerage!$B174,'YTD Purchases'!$G:$G,Brokerage!P$4)</f>
        <v>0</v>
      </c>
      <c r="Q174" s="857">
        <f>SUMIFS('YTD Sales'!$N:$N,'YTD Sales'!$B:$B,Brokerage!$B174,'YTD Sales'!$M:$M,Brokerage!Q$4)+SUMIFS('YTD Purchases'!$H:$H,'YTD Purchases'!$C:$C,Brokerage!$B174,'YTD Purchases'!$G:$G,Brokerage!Q$4)</f>
        <v>0</v>
      </c>
      <c r="R174" s="857">
        <f>SUMIFS('YTD Sales'!$N:$N,'YTD Sales'!$B:$B,Brokerage!$B174,'YTD Sales'!$M:$M,Brokerage!R$4)+SUMIFS('YTD Purchases'!$H:$H,'YTD Purchases'!$C:$C,Brokerage!$B174,'YTD Purchases'!$G:$G,Brokerage!R$4)</f>
        <v>0</v>
      </c>
      <c r="S174" s="857">
        <f>SUMIFS('YTD Sales'!$N:$N,'YTD Sales'!$B:$B,Brokerage!$B174,'YTD Sales'!$M:$M,Brokerage!S$4)+SUMIFS('YTD Purchases'!$H:$H,'YTD Purchases'!$C:$C,Brokerage!$B174,'YTD Purchases'!$G:$G,Brokerage!S$4)</f>
        <v>0</v>
      </c>
      <c r="T174" s="857">
        <f>SUMIFS('YTD Sales'!$N:$N,'YTD Sales'!$B:$B,Brokerage!$B174,'YTD Sales'!$M:$M,Brokerage!T$4)+SUMIFS('YTD Purchases'!$H:$H,'YTD Purchases'!$C:$C,Brokerage!$B174,'YTD Purchases'!$G:$G,Brokerage!T$4)</f>
        <v>0</v>
      </c>
      <c r="U174" s="857">
        <f>SUMIFS('YTD Sales'!$N:$N,'YTD Sales'!$B:$B,Brokerage!$B174,'YTD Sales'!$M:$M,Brokerage!U$4)+SUMIFS('YTD Purchases'!$H:$H,'YTD Purchases'!$C:$C,Brokerage!$B174,'YTD Purchases'!$G:$G,Brokerage!U$4)</f>
        <v>0</v>
      </c>
      <c r="V174" s="857">
        <f>SUMIFS('YTD Sales'!$N:$N,'YTD Sales'!$B:$B,Brokerage!$B174,'YTD Sales'!$M:$M,Brokerage!V$4)+SUMIFS('YTD Purchases'!$H:$H,'YTD Purchases'!$C:$C,Brokerage!$B174,'YTD Purchases'!$G:$G,Brokerage!V$4)</f>
        <v>0</v>
      </c>
      <c r="W174" s="857">
        <f>SUMIFS('YTD Sales'!$N:$N,'YTD Sales'!$B:$B,Brokerage!$B174,'YTD Sales'!$M:$M,Brokerage!W$4)+SUMIFS('YTD Purchases'!$H:$H,'YTD Purchases'!$C:$C,Brokerage!$B174,'YTD Purchases'!$G:$G,Brokerage!W$4)</f>
        <v>0</v>
      </c>
      <c r="X174" s="857">
        <f>SUMIFS('YTD Sales'!$N:$N,'YTD Sales'!$B:$B,Brokerage!$B174,'YTD Sales'!$M:$M,Brokerage!X$4)+SUMIFS('YTD Purchases'!$H:$H,'YTD Purchases'!$C:$C,Brokerage!$B174,'YTD Purchases'!$G:$G,Brokerage!X$4)</f>
        <v>0</v>
      </c>
      <c r="Y174" s="857">
        <f>SUMIFS('YTD Sales'!$N:$N,'YTD Sales'!$B:$B,Brokerage!$B174,'YTD Sales'!$M:$M,Brokerage!Y$4)+SUMIFS('YTD Purchases'!$H:$H,'YTD Purchases'!$C:$C,Brokerage!$B174,'YTD Purchases'!$G:$G,Brokerage!Y$4)</f>
        <v>0</v>
      </c>
      <c r="Z174" s="857">
        <f>SUMIFS('YTD Sales'!$N:$N,'YTD Sales'!$B:$B,Brokerage!$B174,'YTD Sales'!$M:$M,Brokerage!Z$4)+SUMIFS('YTD Purchases'!$H:$H,'YTD Purchases'!$C:$C,Brokerage!$B174,'YTD Purchases'!$G:$G,Brokerage!Z$4)</f>
        <v>0</v>
      </c>
      <c r="AA174" s="857">
        <f>SUMIFS('YTD Sales'!$N:$N,'YTD Sales'!$B:$B,Brokerage!$B174,'YTD Sales'!$M:$M,Brokerage!AA$4)+SUMIFS('YTD Purchases'!$H:$H,'YTD Purchases'!$C:$C,Brokerage!$B174,'YTD Purchases'!$G:$G,Brokerage!AA$4)</f>
        <v>0</v>
      </c>
      <c r="AB174" s="857">
        <f>SUMIFS('YTD Sales'!$N:$N,'YTD Sales'!$B:$B,Brokerage!$B174,'YTD Sales'!$M:$M,Brokerage!AB$4)+SUMIFS('YTD Purchases'!$H:$H,'YTD Purchases'!$C:$C,Brokerage!$B174,'YTD Purchases'!$G:$G,Brokerage!AB$4)</f>
        <v>0</v>
      </c>
      <c r="AC174" s="857">
        <f>SUMIFS('YTD Sales'!$N:$N,'YTD Sales'!$B:$B,Brokerage!$B174,'YTD Sales'!$M:$M,Brokerage!AC$4)+SUMIFS('YTD Purchases'!$H:$H,'YTD Purchases'!$C:$C,Brokerage!$B174,'YTD Purchases'!$G:$G,Brokerage!AC$4)</f>
        <v>0</v>
      </c>
      <c r="AD174" s="857">
        <f>+SUMIFS(PIB!AG:AG,PIB!AF:AF,Brokerage!AD$4,PIB!AA:AA,Brokerage!$B174)+SUMIFS('T-Bills'!AB:AB,'T-Bills'!AA:AA,Brokerage!AD$4,'T-Bills'!V:V,Brokerage!$B174)</f>
        <v>0</v>
      </c>
      <c r="AE174" s="857">
        <f>+SUMIFS(PIB!AH:AH,PIB!AG:AG,Brokerage!AE$4,PIB!AB:AB,Brokerage!$B174)+SUMIFS('T-Bills'!AC:AC,'T-Bills'!AB:AB,Brokerage!AE$4,'T-Bills'!W:W,Brokerage!$B174)</f>
        <v>0</v>
      </c>
      <c r="AF174" s="857">
        <f>+SUMIFS(PIB!AI:AI,PIB!AH:AH,Brokerage!AF$4,PIB!AC:AC,Brokerage!$B174)+SUMIFS('T-Bills'!AD:AD,'T-Bills'!AC:AC,Brokerage!AF$4,'T-Bills'!X:X,Brokerage!$B174)</f>
        <v>0</v>
      </c>
      <c r="AG174" s="857">
        <f t="shared" si="19"/>
        <v>0</v>
      </c>
      <c r="AH174" s="858">
        <f t="shared" si="21"/>
        <v>0</v>
      </c>
    </row>
    <row r="175" spans="2:34" x14ac:dyDescent="0.15">
      <c r="B175" s="661">
        <f t="shared" si="18"/>
        <v>44731</v>
      </c>
      <c r="C175" s="857">
        <f>SUMIFS('YTD Sales'!$N:$N,'YTD Sales'!$B:$B,Brokerage!$B175,'YTD Sales'!$M:$M,Brokerage!C$4)+SUMIFS('YTD Purchases'!$H:$H,'YTD Purchases'!$C:$C,Brokerage!$B175,'YTD Purchases'!$G:$G,Brokerage!C$4)</f>
        <v>0</v>
      </c>
      <c r="D175" s="857">
        <f>SUMIFS('YTD Sales'!$N:$N,'YTD Sales'!$B:$B,Brokerage!$B175,'YTD Sales'!$M:$M,Brokerage!D$4)+SUMIFS('YTD Purchases'!$H:$H,'YTD Purchases'!$C:$C,Brokerage!$B175,'YTD Purchases'!$G:$G,Brokerage!D$4)</f>
        <v>0</v>
      </c>
      <c r="E175" s="857">
        <f>SUMIFS('YTD Sales'!$N:$N,'YTD Sales'!$B:$B,Brokerage!$B175,'YTD Sales'!$M:$M,Brokerage!E$4)+SUMIFS('YTD Purchases'!$H:$H,'YTD Purchases'!$C:$C,Brokerage!$B175,'YTD Purchases'!$G:$G,Brokerage!E$4)</f>
        <v>0</v>
      </c>
      <c r="F175" s="857">
        <f>SUMIFS('YTD Sales'!$N:$N,'YTD Sales'!$B:$B,Brokerage!$B175,'YTD Sales'!$M:$M,Brokerage!F$4)+SUMIFS('YTD Purchases'!$H:$H,'YTD Purchases'!$C:$C,Brokerage!$B175,'YTD Purchases'!$G:$G,Brokerage!F$4)</f>
        <v>0</v>
      </c>
      <c r="G175" s="857">
        <f>SUMIFS('YTD Sales'!$N:$N,'YTD Sales'!$B:$B,Brokerage!$B175,'YTD Sales'!$M:$M,Brokerage!G$4)+SUMIFS('YTD Purchases'!$H:$H,'YTD Purchases'!$C:$C,Brokerage!$B175,'YTD Purchases'!$G:$G,Brokerage!G$4)</f>
        <v>0</v>
      </c>
      <c r="H175" s="857">
        <f>SUMIFS('YTD Sales'!$N:$N,'YTD Sales'!$B:$B,Brokerage!$B175,'YTD Sales'!$M:$M,Brokerage!H$4)+SUMIFS('YTD Purchases'!$H:$H,'YTD Purchases'!$C:$C,Brokerage!$B175,'YTD Purchases'!$G:$G,Brokerage!H$4)</f>
        <v>0</v>
      </c>
      <c r="I175" s="857">
        <f>SUMIFS('YTD Sales'!$N:$N,'YTD Sales'!$B:$B,Brokerage!$B175,'YTD Sales'!$M:$M,Brokerage!I$4)+SUMIFS('YTD Purchases'!$H:$H,'YTD Purchases'!$C:$C,Brokerage!$B175,'YTD Purchases'!$G:$G,Brokerage!I$4)</f>
        <v>0</v>
      </c>
      <c r="J175" s="857">
        <f>SUMIFS('YTD Sales'!$N:$N,'YTD Sales'!$B:$B,Brokerage!$B175,'YTD Sales'!$M:$M,Brokerage!J$4)+SUMIFS('YTD Purchases'!$H:$H,'YTD Purchases'!$C:$C,Brokerage!$B175,'YTD Purchases'!$G:$G,Brokerage!J$4)</f>
        <v>0</v>
      </c>
      <c r="K175" s="857">
        <f>SUMIFS('YTD Sales'!$N:$N,'YTD Sales'!$B:$B,Brokerage!$B175,'YTD Sales'!$M:$M,Brokerage!K$4)+SUMIFS('YTD Purchases'!$H:$H,'YTD Purchases'!$C:$C,Brokerage!$B175,'YTD Purchases'!$G:$G,Brokerage!K$4)</f>
        <v>0</v>
      </c>
      <c r="L175" s="857">
        <f>SUMIFS('YTD Sales'!$N:$N,'YTD Sales'!$B:$B,Brokerage!$B175,'YTD Sales'!$M:$M,Brokerage!L$4)+SUMIFS('YTD Purchases'!$H:$H,'YTD Purchases'!$C:$C,Brokerage!$B175,'YTD Purchases'!$G:$G,Brokerage!L$4)</f>
        <v>0</v>
      </c>
      <c r="M175" s="857">
        <f>SUMIFS('YTD Sales'!$N:$N,'YTD Sales'!$B:$B,Brokerage!$B175,'YTD Sales'!$M:$M,Brokerage!M$4)+SUMIFS('YTD Purchases'!$H:$H,'YTD Purchases'!$C:$C,Brokerage!$B175,'YTD Purchases'!$G:$G,Brokerage!M$4)</f>
        <v>0</v>
      </c>
      <c r="N175" s="857">
        <f>SUMIFS('YTD Sales'!$N:$N,'YTD Sales'!$B:$B,Brokerage!$B175,'YTD Sales'!$M:$M,Brokerage!N$4)+SUMIFS('YTD Purchases'!$H:$H,'YTD Purchases'!$C:$C,Brokerage!$B175,'YTD Purchases'!$G:$G,Brokerage!N$4)</f>
        <v>0</v>
      </c>
      <c r="O175" s="857">
        <f>SUMIFS('YTD Sales'!$N:$N,'YTD Sales'!$B:$B,Brokerage!$B175,'YTD Sales'!$M:$M,Brokerage!O$4)+SUMIFS('YTD Purchases'!$H:$H,'YTD Purchases'!$C:$C,Brokerage!$B175,'YTD Purchases'!$G:$G,Brokerage!O$4)</f>
        <v>0</v>
      </c>
      <c r="P175" s="857">
        <f>SUMIFS('YTD Sales'!$N:$N,'YTD Sales'!$B:$B,Brokerage!$B175,'YTD Sales'!$M:$M,Brokerage!P$4)+SUMIFS('YTD Purchases'!$H:$H,'YTD Purchases'!$C:$C,Brokerage!$B175,'YTD Purchases'!$G:$G,Brokerage!P$4)</f>
        <v>0</v>
      </c>
      <c r="Q175" s="857">
        <f>SUMIFS('YTD Sales'!$N:$N,'YTD Sales'!$B:$B,Brokerage!$B175,'YTD Sales'!$M:$M,Brokerage!Q$4)+SUMIFS('YTD Purchases'!$H:$H,'YTD Purchases'!$C:$C,Brokerage!$B175,'YTD Purchases'!$G:$G,Brokerage!Q$4)</f>
        <v>0</v>
      </c>
      <c r="R175" s="857">
        <f>SUMIFS('YTD Sales'!$N:$N,'YTD Sales'!$B:$B,Brokerage!$B175,'YTD Sales'!$M:$M,Brokerage!R$4)+SUMIFS('YTD Purchases'!$H:$H,'YTD Purchases'!$C:$C,Brokerage!$B175,'YTD Purchases'!$G:$G,Brokerage!R$4)</f>
        <v>0</v>
      </c>
      <c r="S175" s="857">
        <f>SUMIFS('YTD Sales'!$N:$N,'YTD Sales'!$B:$B,Brokerage!$B175,'YTD Sales'!$M:$M,Brokerage!S$4)+SUMIFS('YTD Purchases'!$H:$H,'YTD Purchases'!$C:$C,Brokerage!$B175,'YTD Purchases'!$G:$G,Brokerage!S$4)</f>
        <v>0</v>
      </c>
      <c r="T175" s="857">
        <f>SUMIFS('YTD Sales'!$N:$N,'YTD Sales'!$B:$B,Brokerage!$B175,'YTD Sales'!$M:$M,Brokerage!T$4)+SUMIFS('YTD Purchases'!$H:$H,'YTD Purchases'!$C:$C,Brokerage!$B175,'YTD Purchases'!$G:$G,Brokerage!T$4)</f>
        <v>0</v>
      </c>
      <c r="U175" s="857">
        <f>SUMIFS('YTD Sales'!$N:$N,'YTD Sales'!$B:$B,Brokerage!$B175,'YTD Sales'!$M:$M,Brokerage!U$4)+SUMIFS('YTD Purchases'!$H:$H,'YTD Purchases'!$C:$C,Brokerage!$B175,'YTD Purchases'!$G:$G,Brokerage!U$4)</f>
        <v>0</v>
      </c>
      <c r="V175" s="857">
        <f>SUMIFS('YTD Sales'!$N:$N,'YTD Sales'!$B:$B,Brokerage!$B175,'YTD Sales'!$M:$M,Brokerage!V$4)+SUMIFS('YTD Purchases'!$H:$H,'YTD Purchases'!$C:$C,Brokerage!$B175,'YTD Purchases'!$G:$G,Brokerage!V$4)</f>
        <v>0</v>
      </c>
      <c r="W175" s="857">
        <f>SUMIFS('YTD Sales'!$N:$N,'YTD Sales'!$B:$B,Brokerage!$B175,'YTD Sales'!$M:$M,Brokerage!W$4)+SUMIFS('YTD Purchases'!$H:$H,'YTD Purchases'!$C:$C,Brokerage!$B175,'YTD Purchases'!$G:$G,Brokerage!W$4)</f>
        <v>0</v>
      </c>
      <c r="X175" s="857">
        <f>SUMIFS('YTD Sales'!$N:$N,'YTD Sales'!$B:$B,Brokerage!$B175,'YTD Sales'!$M:$M,Brokerage!X$4)+SUMIFS('YTD Purchases'!$H:$H,'YTD Purchases'!$C:$C,Brokerage!$B175,'YTD Purchases'!$G:$G,Brokerage!X$4)</f>
        <v>0</v>
      </c>
      <c r="Y175" s="857">
        <f>SUMIFS('YTD Sales'!$N:$N,'YTD Sales'!$B:$B,Brokerage!$B175,'YTD Sales'!$M:$M,Brokerage!Y$4)+SUMIFS('YTD Purchases'!$H:$H,'YTD Purchases'!$C:$C,Brokerage!$B175,'YTD Purchases'!$G:$G,Brokerage!Y$4)</f>
        <v>0</v>
      </c>
      <c r="Z175" s="857">
        <f>SUMIFS('YTD Sales'!$N:$N,'YTD Sales'!$B:$B,Brokerage!$B175,'YTD Sales'!$M:$M,Brokerage!Z$4)+SUMIFS('YTD Purchases'!$H:$H,'YTD Purchases'!$C:$C,Brokerage!$B175,'YTD Purchases'!$G:$G,Brokerage!Z$4)</f>
        <v>0</v>
      </c>
      <c r="AA175" s="857">
        <f>SUMIFS('YTD Sales'!$N:$N,'YTD Sales'!$B:$B,Brokerage!$B175,'YTD Sales'!$M:$M,Brokerage!AA$4)+SUMIFS('YTD Purchases'!$H:$H,'YTD Purchases'!$C:$C,Brokerage!$B175,'YTD Purchases'!$G:$G,Brokerage!AA$4)</f>
        <v>0</v>
      </c>
      <c r="AB175" s="857">
        <f>SUMIFS('YTD Sales'!$N:$N,'YTD Sales'!$B:$B,Brokerage!$B175,'YTD Sales'!$M:$M,Brokerage!AB$4)+SUMIFS('YTD Purchases'!$H:$H,'YTD Purchases'!$C:$C,Brokerage!$B175,'YTD Purchases'!$G:$G,Brokerage!AB$4)</f>
        <v>0</v>
      </c>
      <c r="AC175" s="857">
        <f>SUMIFS('YTD Sales'!$N:$N,'YTD Sales'!$B:$B,Brokerage!$B175,'YTD Sales'!$M:$M,Brokerage!AC$4)+SUMIFS('YTD Purchases'!$H:$H,'YTD Purchases'!$C:$C,Brokerage!$B175,'YTD Purchases'!$G:$G,Brokerage!AC$4)</f>
        <v>0</v>
      </c>
      <c r="AD175" s="857">
        <f>+SUMIFS(PIB!AG:AG,PIB!AF:AF,Brokerage!AD$4,PIB!AA:AA,Brokerage!$B175)+SUMIFS('T-Bills'!AB:AB,'T-Bills'!AA:AA,Brokerage!AD$4,'T-Bills'!V:V,Brokerage!$B175)</f>
        <v>0</v>
      </c>
      <c r="AE175" s="857">
        <f>+SUMIFS(PIB!AH:AH,PIB!AG:AG,Brokerage!AE$4,PIB!AB:AB,Brokerage!$B175)+SUMIFS('T-Bills'!AC:AC,'T-Bills'!AB:AB,Brokerage!AE$4,'T-Bills'!W:W,Brokerage!$B175)</f>
        <v>0</v>
      </c>
      <c r="AF175" s="857">
        <f>+SUMIFS(PIB!AI:AI,PIB!AH:AH,Brokerage!AF$4,PIB!AC:AC,Brokerage!$B175)+SUMIFS('T-Bills'!AD:AD,'T-Bills'!AC:AC,Brokerage!AF$4,'T-Bills'!X:X,Brokerage!$B175)</f>
        <v>0</v>
      </c>
      <c r="AG175" s="857">
        <f t="shared" si="19"/>
        <v>0</v>
      </c>
      <c r="AH175" s="858">
        <f t="shared" si="21"/>
        <v>0</v>
      </c>
    </row>
    <row r="176" spans="2:34" x14ac:dyDescent="0.15">
      <c r="B176" s="661">
        <f t="shared" si="18"/>
        <v>44732</v>
      </c>
      <c r="C176" s="857">
        <f>SUMIFS('YTD Sales'!$N:$N,'YTD Sales'!$B:$B,Brokerage!$B176,'YTD Sales'!$M:$M,Brokerage!C$4)+SUMIFS('YTD Purchases'!$H:$H,'YTD Purchases'!$C:$C,Brokerage!$B176,'YTD Purchases'!$G:$G,Brokerage!C$4)</f>
        <v>0</v>
      </c>
      <c r="D176" s="857">
        <f>SUMIFS('YTD Sales'!$N:$N,'YTD Sales'!$B:$B,Brokerage!$B176,'YTD Sales'!$M:$M,Brokerage!D$4)+SUMIFS('YTD Purchases'!$H:$H,'YTD Purchases'!$C:$C,Brokerage!$B176,'YTD Purchases'!$G:$G,Brokerage!D$4)</f>
        <v>4547.1000000000004</v>
      </c>
      <c r="E176" s="857">
        <f>SUMIFS('YTD Sales'!$N:$N,'YTD Sales'!$B:$B,Brokerage!$B176,'YTD Sales'!$M:$M,Brokerage!E$4)+SUMIFS('YTD Purchases'!$H:$H,'YTD Purchases'!$C:$C,Brokerage!$B176,'YTD Purchases'!$G:$G,Brokerage!E$4)</f>
        <v>0</v>
      </c>
      <c r="F176" s="857">
        <f>SUMIFS('YTD Sales'!$N:$N,'YTD Sales'!$B:$B,Brokerage!$B176,'YTD Sales'!$M:$M,Brokerage!F$4)+SUMIFS('YTD Purchases'!$H:$H,'YTD Purchases'!$C:$C,Brokerage!$B176,'YTD Purchases'!$G:$G,Brokerage!F$4)</f>
        <v>0</v>
      </c>
      <c r="G176" s="857">
        <f>SUMIFS('YTD Sales'!$N:$N,'YTD Sales'!$B:$B,Brokerage!$B176,'YTD Sales'!$M:$M,Brokerage!G$4)+SUMIFS('YTD Purchases'!$H:$H,'YTD Purchases'!$C:$C,Brokerage!$B176,'YTD Purchases'!$G:$G,Brokerage!G$4)</f>
        <v>0</v>
      </c>
      <c r="H176" s="857">
        <f>SUMIFS('YTD Sales'!$N:$N,'YTD Sales'!$B:$B,Brokerage!$B176,'YTD Sales'!$M:$M,Brokerage!H$4)+SUMIFS('YTD Purchases'!$H:$H,'YTD Purchases'!$C:$C,Brokerage!$B176,'YTD Purchases'!$G:$G,Brokerage!H$4)</f>
        <v>0</v>
      </c>
      <c r="I176" s="857">
        <f>SUMIFS('YTD Sales'!$N:$N,'YTD Sales'!$B:$B,Brokerage!$B176,'YTD Sales'!$M:$M,Brokerage!I$4)+SUMIFS('YTD Purchases'!$H:$H,'YTD Purchases'!$C:$C,Brokerage!$B176,'YTD Purchases'!$G:$G,Brokerage!I$4)</f>
        <v>0</v>
      </c>
      <c r="J176" s="857">
        <f>SUMIFS('YTD Sales'!$N:$N,'YTD Sales'!$B:$B,Brokerage!$B176,'YTD Sales'!$M:$M,Brokerage!J$4)+SUMIFS('YTD Purchases'!$H:$H,'YTD Purchases'!$C:$C,Brokerage!$B176,'YTD Purchases'!$G:$G,Brokerage!J$4)</f>
        <v>0</v>
      </c>
      <c r="K176" s="857">
        <f>SUMIFS('YTD Sales'!$N:$N,'YTD Sales'!$B:$B,Brokerage!$B176,'YTD Sales'!$M:$M,Brokerage!K$4)+SUMIFS('YTD Purchases'!$H:$H,'YTD Purchases'!$C:$C,Brokerage!$B176,'YTD Purchases'!$G:$G,Brokerage!K$4)</f>
        <v>0</v>
      </c>
      <c r="L176" s="857">
        <f>SUMIFS('YTD Sales'!$N:$N,'YTD Sales'!$B:$B,Brokerage!$B176,'YTD Sales'!$M:$M,Brokerage!L$4)+SUMIFS('YTD Purchases'!$H:$H,'YTD Purchases'!$C:$C,Brokerage!$B176,'YTD Purchases'!$G:$G,Brokerage!L$4)</f>
        <v>0</v>
      </c>
      <c r="M176" s="857">
        <f>SUMIFS('YTD Sales'!$N:$N,'YTD Sales'!$B:$B,Brokerage!$B176,'YTD Sales'!$M:$M,Brokerage!M$4)+SUMIFS('YTD Purchases'!$H:$H,'YTD Purchases'!$C:$C,Brokerage!$B176,'YTD Purchases'!$G:$G,Brokerage!M$4)</f>
        <v>7313.08</v>
      </c>
      <c r="N176" s="857">
        <f>SUMIFS('YTD Sales'!$N:$N,'YTD Sales'!$B:$B,Brokerage!$B176,'YTD Sales'!$M:$M,Brokerage!N$4)+SUMIFS('YTD Purchases'!$H:$H,'YTD Purchases'!$C:$C,Brokerage!$B176,'YTD Purchases'!$G:$G,Brokerage!N$4)</f>
        <v>2303.6099999999997</v>
      </c>
      <c r="O176" s="857">
        <f>SUMIFS('YTD Sales'!$N:$N,'YTD Sales'!$B:$B,Brokerage!$B176,'YTD Sales'!$M:$M,Brokerage!O$4)+SUMIFS('YTD Purchases'!$H:$H,'YTD Purchases'!$C:$C,Brokerage!$B176,'YTD Purchases'!$G:$G,Brokerage!O$4)</f>
        <v>0</v>
      </c>
      <c r="P176" s="857">
        <f>SUMIFS('YTD Sales'!$N:$N,'YTD Sales'!$B:$B,Brokerage!$B176,'YTD Sales'!$M:$M,Brokerage!P$4)+SUMIFS('YTD Purchases'!$H:$H,'YTD Purchases'!$C:$C,Brokerage!$B176,'YTD Purchases'!$G:$G,Brokerage!P$4)</f>
        <v>0</v>
      </c>
      <c r="Q176" s="857">
        <f>SUMIFS('YTD Sales'!$N:$N,'YTD Sales'!$B:$B,Brokerage!$B176,'YTD Sales'!$M:$M,Brokerage!Q$4)+SUMIFS('YTD Purchases'!$H:$H,'YTD Purchases'!$C:$C,Brokerage!$B176,'YTD Purchases'!$G:$G,Brokerage!Q$4)</f>
        <v>0</v>
      </c>
      <c r="R176" s="857">
        <f>SUMIFS('YTD Sales'!$N:$N,'YTD Sales'!$B:$B,Brokerage!$B176,'YTD Sales'!$M:$M,Brokerage!R$4)+SUMIFS('YTD Purchases'!$H:$H,'YTD Purchases'!$C:$C,Brokerage!$B176,'YTD Purchases'!$G:$G,Brokerage!R$4)</f>
        <v>0</v>
      </c>
      <c r="S176" s="857">
        <f>SUMIFS('YTD Sales'!$N:$N,'YTD Sales'!$B:$B,Brokerage!$B176,'YTD Sales'!$M:$M,Brokerage!S$4)+SUMIFS('YTD Purchases'!$H:$H,'YTD Purchases'!$C:$C,Brokerage!$B176,'YTD Purchases'!$G:$G,Brokerage!S$4)</f>
        <v>0</v>
      </c>
      <c r="T176" s="857">
        <f>SUMIFS('YTD Sales'!$N:$N,'YTD Sales'!$B:$B,Brokerage!$B176,'YTD Sales'!$M:$M,Brokerage!T$4)+SUMIFS('YTD Purchases'!$H:$H,'YTD Purchases'!$C:$C,Brokerage!$B176,'YTD Purchases'!$G:$G,Brokerage!T$4)</f>
        <v>0</v>
      </c>
      <c r="U176" s="857">
        <f>SUMIFS('YTD Sales'!$N:$N,'YTD Sales'!$B:$B,Brokerage!$B176,'YTD Sales'!$M:$M,Brokerage!U$4)+SUMIFS('YTD Purchases'!$H:$H,'YTD Purchases'!$C:$C,Brokerage!$B176,'YTD Purchases'!$G:$G,Brokerage!U$4)</f>
        <v>0</v>
      </c>
      <c r="V176" s="857">
        <f>SUMIFS('YTD Sales'!$N:$N,'YTD Sales'!$B:$B,Brokerage!$B176,'YTD Sales'!$M:$M,Brokerage!V$4)+SUMIFS('YTD Purchases'!$H:$H,'YTD Purchases'!$C:$C,Brokerage!$B176,'YTD Purchases'!$G:$G,Brokerage!V$4)</f>
        <v>0</v>
      </c>
      <c r="W176" s="857">
        <f>SUMIFS('YTD Sales'!$N:$N,'YTD Sales'!$B:$B,Brokerage!$B176,'YTD Sales'!$M:$M,Brokerage!W$4)+SUMIFS('YTD Purchases'!$H:$H,'YTD Purchases'!$C:$C,Brokerage!$B176,'YTD Purchases'!$G:$G,Brokerage!W$4)</f>
        <v>0</v>
      </c>
      <c r="X176" s="857">
        <f>SUMIFS('YTD Sales'!$N:$N,'YTD Sales'!$B:$B,Brokerage!$B176,'YTD Sales'!$M:$M,Brokerage!X$4)+SUMIFS('YTD Purchases'!$H:$H,'YTD Purchases'!$C:$C,Brokerage!$B176,'YTD Purchases'!$G:$G,Brokerage!X$4)</f>
        <v>0</v>
      </c>
      <c r="Y176" s="857">
        <f>SUMIFS('YTD Sales'!$N:$N,'YTD Sales'!$B:$B,Brokerage!$B176,'YTD Sales'!$M:$M,Brokerage!Y$4)+SUMIFS('YTD Purchases'!$H:$H,'YTD Purchases'!$C:$C,Brokerage!$B176,'YTD Purchases'!$G:$G,Brokerage!Y$4)</f>
        <v>0</v>
      </c>
      <c r="Z176" s="857">
        <f>SUMIFS('YTD Sales'!$N:$N,'YTD Sales'!$B:$B,Brokerage!$B176,'YTD Sales'!$M:$M,Brokerage!Z$4)+SUMIFS('YTD Purchases'!$H:$H,'YTD Purchases'!$C:$C,Brokerage!$B176,'YTD Purchases'!$G:$G,Brokerage!Z$4)</f>
        <v>0</v>
      </c>
      <c r="AA176" s="857">
        <f>SUMIFS('YTD Sales'!$N:$N,'YTD Sales'!$B:$B,Brokerage!$B176,'YTD Sales'!$M:$M,Brokerage!AA$4)+SUMIFS('YTD Purchases'!$H:$H,'YTD Purchases'!$C:$C,Brokerage!$B176,'YTD Purchases'!$G:$G,Brokerage!AA$4)</f>
        <v>0</v>
      </c>
      <c r="AB176" s="857">
        <f>SUMIFS('YTD Sales'!$N:$N,'YTD Sales'!$B:$B,Brokerage!$B176,'YTD Sales'!$M:$M,Brokerage!AB$4)+SUMIFS('YTD Purchases'!$H:$H,'YTD Purchases'!$C:$C,Brokerage!$B176,'YTD Purchases'!$G:$G,Brokerage!AB$4)</f>
        <v>0</v>
      </c>
      <c r="AC176" s="857">
        <f>SUMIFS('YTD Sales'!$N:$N,'YTD Sales'!$B:$B,Brokerage!$B176,'YTD Sales'!$M:$M,Brokerage!AC$4)+SUMIFS('YTD Purchases'!$H:$H,'YTD Purchases'!$C:$C,Brokerage!$B176,'YTD Purchases'!$G:$G,Brokerage!AC$4)</f>
        <v>0</v>
      </c>
      <c r="AD176" s="857">
        <f>+SUMIFS(PIB!AG:AG,PIB!AF:AF,Brokerage!AD$4,PIB!AA:AA,Brokerage!$B176)+SUMIFS('T-Bills'!AB:AB,'T-Bills'!AA:AA,Brokerage!AD$4,'T-Bills'!V:V,Brokerage!$B176)</f>
        <v>0</v>
      </c>
      <c r="AE176" s="857">
        <f>+SUMIFS(PIB!AH:AH,PIB!AG:AG,Brokerage!AE$4,PIB!AB:AB,Brokerage!$B176)+SUMIFS('T-Bills'!AC:AC,'T-Bills'!AB:AB,Brokerage!AE$4,'T-Bills'!W:W,Brokerage!$B176)</f>
        <v>0</v>
      </c>
      <c r="AF176" s="857">
        <f>+SUMIFS(PIB!AI:AI,PIB!AH:AH,Brokerage!AF$4,PIB!AC:AC,Brokerage!$B176)+SUMIFS('T-Bills'!AD:AD,'T-Bills'!AC:AC,Brokerage!AF$4,'T-Bills'!X:X,Brokerage!$B176)</f>
        <v>0</v>
      </c>
      <c r="AG176" s="857">
        <f t="shared" si="19"/>
        <v>14163.79</v>
      </c>
      <c r="AH176" s="858">
        <f t="shared" si="21"/>
        <v>1</v>
      </c>
    </row>
    <row r="177" spans="2:34" x14ac:dyDescent="0.15">
      <c r="B177" s="661">
        <f t="shared" si="18"/>
        <v>44733</v>
      </c>
      <c r="C177" s="857">
        <f>SUMIFS('YTD Sales'!$N:$N,'YTD Sales'!$B:$B,Brokerage!$B177,'YTD Sales'!$M:$M,Brokerage!C$4)+SUMIFS('YTD Purchases'!$H:$H,'YTD Purchases'!$C:$C,Brokerage!$B177,'YTD Purchases'!$G:$G,Brokerage!C$4)</f>
        <v>0</v>
      </c>
      <c r="D177" s="857">
        <f>SUMIFS('YTD Sales'!$N:$N,'YTD Sales'!$B:$B,Brokerage!$B177,'YTD Sales'!$M:$M,Brokerage!D$4)+SUMIFS('YTD Purchases'!$H:$H,'YTD Purchases'!$C:$C,Brokerage!$B177,'YTD Purchases'!$G:$G,Brokerage!D$4)</f>
        <v>12537.33</v>
      </c>
      <c r="E177" s="857">
        <f>SUMIFS('YTD Sales'!$N:$N,'YTD Sales'!$B:$B,Brokerage!$B177,'YTD Sales'!$M:$M,Brokerage!E$4)+SUMIFS('YTD Purchases'!$H:$H,'YTD Purchases'!$C:$C,Brokerage!$B177,'YTD Purchases'!$G:$G,Brokerage!E$4)</f>
        <v>0</v>
      </c>
      <c r="F177" s="857">
        <f>SUMIFS('YTD Sales'!$N:$N,'YTD Sales'!$B:$B,Brokerage!$B177,'YTD Sales'!$M:$M,Brokerage!F$4)+SUMIFS('YTD Purchases'!$H:$H,'YTD Purchases'!$C:$C,Brokerage!$B177,'YTD Purchases'!$G:$G,Brokerage!F$4)</f>
        <v>0</v>
      </c>
      <c r="G177" s="857">
        <f>SUMIFS('YTD Sales'!$N:$N,'YTD Sales'!$B:$B,Brokerage!$B177,'YTD Sales'!$M:$M,Brokerage!G$4)+SUMIFS('YTD Purchases'!$H:$H,'YTD Purchases'!$C:$C,Brokerage!$B177,'YTD Purchases'!$G:$G,Brokerage!G$4)</f>
        <v>0</v>
      </c>
      <c r="H177" s="857">
        <f>SUMIFS('YTD Sales'!$N:$N,'YTD Sales'!$B:$B,Brokerage!$B177,'YTD Sales'!$M:$M,Brokerage!H$4)+SUMIFS('YTD Purchases'!$H:$H,'YTD Purchases'!$C:$C,Brokerage!$B177,'YTD Purchases'!$G:$G,Brokerage!H$4)</f>
        <v>0</v>
      </c>
      <c r="I177" s="857">
        <f>SUMIFS('YTD Sales'!$N:$N,'YTD Sales'!$B:$B,Brokerage!$B177,'YTD Sales'!$M:$M,Brokerage!I$4)+SUMIFS('YTD Purchases'!$H:$H,'YTD Purchases'!$C:$C,Brokerage!$B177,'YTD Purchases'!$G:$G,Brokerage!I$4)</f>
        <v>0</v>
      </c>
      <c r="J177" s="857">
        <f>SUMIFS('YTD Sales'!$N:$N,'YTD Sales'!$B:$B,Brokerage!$B177,'YTD Sales'!$M:$M,Brokerage!J$4)+SUMIFS('YTD Purchases'!$H:$H,'YTD Purchases'!$C:$C,Brokerage!$B177,'YTD Purchases'!$G:$G,Brokerage!J$4)</f>
        <v>0</v>
      </c>
      <c r="K177" s="857">
        <f>SUMIFS('YTD Sales'!$N:$N,'YTD Sales'!$B:$B,Brokerage!$B177,'YTD Sales'!$M:$M,Brokerage!K$4)+SUMIFS('YTD Purchases'!$H:$H,'YTD Purchases'!$C:$C,Brokerage!$B177,'YTD Purchases'!$G:$G,Brokerage!K$4)</f>
        <v>0</v>
      </c>
      <c r="L177" s="857">
        <f>SUMIFS('YTD Sales'!$N:$N,'YTD Sales'!$B:$B,Brokerage!$B177,'YTD Sales'!$M:$M,Brokerage!L$4)+SUMIFS('YTD Purchases'!$H:$H,'YTD Purchases'!$C:$C,Brokerage!$B177,'YTD Purchases'!$G:$G,Brokerage!L$4)</f>
        <v>0</v>
      </c>
      <c r="M177" s="857">
        <f>SUMIFS('YTD Sales'!$N:$N,'YTD Sales'!$B:$B,Brokerage!$B177,'YTD Sales'!$M:$M,Brokerage!M$4)+SUMIFS('YTD Purchases'!$H:$H,'YTD Purchases'!$C:$C,Brokerage!$B177,'YTD Purchases'!$G:$G,Brokerage!M$4)</f>
        <v>13610.140000000001</v>
      </c>
      <c r="N177" s="857">
        <f>SUMIFS('YTD Sales'!$N:$N,'YTD Sales'!$B:$B,Brokerage!$B177,'YTD Sales'!$M:$M,Brokerage!N$4)+SUMIFS('YTD Purchases'!$H:$H,'YTD Purchases'!$C:$C,Brokerage!$B177,'YTD Purchases'!$G:$G,Brokerage!N$4)</f>
        <v>0</v>
      </c>
      <c r="O177" s="857">
        <f>SUMIFS('YTD Sales'!$N:$N,'YTD Sales'!$B:$B,Brokerage!$B177,'YTD Sales'!$M:$M,Brokerage!O$4)+SUMIFS('YTD Purchases'!$H:$H,'YTD Purchases'!$C:$C,Brokerage!$B177,'YTD Purchases'!$G:$G,Brokerage!O$4)</f>
        <v>0</v>
      </c>
      <c r="P177" s="857">
        <f>SUMIFS('YTD Sales'!$N:$N,'YTD Sales'!$B:$B,Brokerage!$B177,'YTD Sales'!$M:$M,Brokerage!P$4)+SUMIFS('YTD Purchases'!$H:$H,'YTD Purchases'!$C:$C,Brokerage!$B177,'YTD Purchases'!$G:$G,Brokerage!P$4)</f>
        <v>0</v>
      </c>
      <c r="Q177" s="857">
        <f>SUMIFS('YTD Sales'!$N:$N,'YTD Sales'!$B:$B,Brokerage!$B177,'YTD Sales'!$M:$M,Brokerage!Q$4)+SUMIFS('YTD Purchases'!$H:$H,'YTD Purchases'!$C:$C,Brokerage!$B177,'YTD Purchases'!$G:$G,Brokerage!Q$4)</f>
        <v>0</v>
      </c>
      <c r="R177" s="857">
        <f>SUMIFS('YTD Sales'!$N:$N,'YTD Sales'!$B:$B,Brokerage!$B177,'YTD Sales'!$M:$M,Brokerage!R$4)+SUMIFS('YTD Purchases'!$H:$H,'YTD Purchases'!$C:$C,Brokerage!$B177,'YTD Purchases'!$G:$G,Brokerage!R$4)</f>
        <v>0</v>
      </c>
      <c r="S177" s="857">
        <f>SUMIFS('YTD Sales'!$N:$N,'YTD Sales'!$B:$B,Brokerage!$B177,'YTD Sales'!$M:$M,Brokerage!S$4)+SUMIFS('YTD Purchases'!$H:$H,'YTD Purchases'!$C:$C,Brokerage!$B177,'YTD Purchases'!$G:$G,Brokerage!S$4)</f>
        <v>0</v>
      </c>
      <c r="T177" s="857">
        <f>SUMIFS('YTD Sales'!$N:$N,'YTD Sales'!$B:$B,Brokerage!$B177,'YTD Sales'!$M:$M,Brokerage!T$4)+SUMIFS('YTD Purchases'!$H:$H,'YTD Purchases'!$C:$C,Brokerage!$B177,'YTD Purchases'!$G:$G,Brokerage!T$4)</f>
        <v>0</v>
      </c>
      <c r="U177" s="857">
        <f>SUMIFS('YTD Sales'!$N:$N,'YTD Sales'!$B:$B,Brokerage!$B177,'YTD Sales'!$M:$M,Brokerage!U$4)+SUMIFS('YTD Purchases'!$H:$H,'YTD Purchases'!$C:$C,Brokerage!$B177,'YTD Purchases'!$G:$G,Brokerage!U$4)</f>
        <v>0</v>
      </c>
      <c r="V177" s="857">
        <f>SUMIFS('YTD Sales'!$N:$N,'YTD Sales'!$B:$B,Brokerage!$B177,'YTD Sales'!$M:$M,Brokerage!V$4)+SUMIFS('YTD Purchases'!$H:$H,'YTD Purchases'!$C:$C,Brokerage!$B177,'YTD Purchases'!$G:$G,Brokerage!V$4)</f>
        <v>0</v>
      </c>
      <c r="W177" s="857">
        <f>SUMIFS('YTD Sales'!$N:$N,'YTD Sales'!$B:$B,Brokerage!$B177,'YTD Sales'!$M:$M,Brokerage!W$4)+SUMIFS('YTD Purchases'!$H:$H,'YTD Purchases'!$C:$C,Brokerage!$B177,'YTD Purchases'!$G:$G,Brokerage!W$4)</f>
        <v>0</v>
      </c>
      <c r="X177" s="857">
        <f>SUMIFS('YTD Sales'!$N:$N,'YTD Sales'!$B:$B,Brokerage!$B177,'YTD Sales'!$M:$M,Brokerage!X$4)+SUMIFS('YTD Purchases'!$H:$H,'YTD Purchases'!$C:$C,Brokerage!$B177,'YTD Purchases'!$G:$G,Brokerage!X$4)</f>
        <v>15780.039073569482</v>
      </c>
      <c r="Y177" s="857">
        <f>SUMIFS('YTD Sales'!$N:$N,'YTD Sales'!$B:$B,Brokerage!$B177,'YTD Sales'!$M:$M,Brokerage!Y$4)+SUMIFS('YTD Purchases'!$H:$H,'YTD Purchases'!$C:$C,Brokerage!$B177,'YTD Purchases'!$G:$G,Brokerage!Y$4)</f>
        <v>0</v>
      </c>
      <c r="Z177" s="857">
        <f>SUMIFS('YTD Sales'!$N:$N,'YTD Sales'!$B:$B,Brokerage!$B177,'YTD Sales'!$M:$M,Brokerage!Z$4)+SUMIFS('YTD Purchases'!$H:$H,'YTD Purchases'!$C:$C,Brokerage!$B177,'YTD Purchases'!$G:$G,Brokerage!Z$4)</f>
        <v>0</v>
      </c>
      <c r="AA177" s="857">
        <f>SUMIFS('YTD Sales'!$N:$N,'YTD Sales'!$B:$B,Brokerage!$B177,'YTD Sales'!$M:$M,Brokerage!AA$4)+SUMIFS('YTD Purchases'!$H:$H,'YTD Purchases'!$C:$C,Brokerage!$B177,'YTD Purchases'!$G:$G,Brokerage!AA$4)</f>
        <v>0</v>
      </c>
      <c r="AB177" s="857">
        <f>SUMIFS('YTD Sales'!$N:$N,'YTD Sales'!$B:$B,Brokerage!$B177,'YTD Sales'!$M:$M,Brokerage!AB$4)+SUMIFS('YTD Purchases'!$H:$H,'YTD Purchases'!$C:$C,Brokerage!$B177,'YTD Purchases'!$G:$G,Brokerage!AB$4)</f>
        <v>0</v>
      </c>
      <c r="AC177" s="857">
        <f>SUMIFS('YTD Sales'!$N:$N,'YTD Sales'!$B:$B,Brokerage!$B177,'YTD Sales'!$M:$M,Brokerage!AC$4)+SUMIFS('YTD Purchases'!$H:$H,'YTD Purchases'!$C:$C,Brokerage!$B177,'YTD Purchases'!$G:$G,Brokerage!AC$4)</f>
        <v>0</v>
      </c>
      <c r="AD177" s="857">
        <f>+SUMIFS(PIB!AG:AG,PIB!AF:AF,Brokerage!AD$4,PIB!AA:AA,Brokerage!$B177)+SUMIFS('T-Bills'!AB:AB,'T-Bills'!AA:AA,Brokerage!AD$4,'T-Bills'!V:V,Brokerage!$B177)</f>
        <v>0</v>
      </c>
      <c r="AE177" s="857">
        <f>+SUMIFS(PIB!AH:AH,PIB!AG:AG,Brokerage!AE$4,PIB!AB:AB,Brokerage!$B177)+SUMIFS('T-Bills'!AC:AC,'T-Bills'!AB:AB,Brokerage!AE$4,'T-Bills'!W:W,Brokerage!$B177)</f>
        <v>0</v>
      </c>
      <c r="AF177" s="857">
        <f>+SUMIFS(PIB!AI:AI,PIB!AH:AH,Brokerage!AF$4,PIB!AC:AC,Brokerage!$B177)+SUMIFS('T-Bills'!AD:AD,'T-Bills'!AC:AC,Brokerage!AF$4,'T-Bills'!X:X,Brokerage!$B177)</f>
        <v>0</v>
      </c>
      <c r="AG177" s="857">
        <f t="shared" si="19"/>
        <v>41927.509073569483</v>
      </c>
      <c r="AH177" s="858">
        <f t="shared" si="21"/>
        <v>2</v>
      </c>
    </row>
    <row r="178" spans="2:34" x14ac:dyDescent="0.15">
      <c r="B178" s="661">
        <f t="shared" si="18"/>
        <v>44734</v>
      </c>
      <c r="C178" s="857">
        <f>SUMIFS('YTD Sales'!$N:$N,'YTD Sales'!$B:$B,Brokerage!$B178,'YTD Sales'!$M:$M,Brokerage!C$4)+SUMIFS('YTD Purchases'!$H:$H,'YTD Purchases'!$C:$C,Brokerage!$B178,'YTD Purchases'!$G:$G,Brokerage!C$4)</f>
        <v>0</v>
      </c>
      <c r="D178" s="857">
        <f>SUMIFS('YTD Sales'!$N:$N,'YTD Sales'!$B:$B,Brokerage!$B178,'YTD Sales'!$M:$M,Brokerage!D$4)+SUMIFS('YTD Purchases'!$H:$H,'YTD Purchases'!$C:$C,Brokerage!$B178,'YTD Purchases'!$G:$G,Brokerage!D$4)</f>
        <v>8432.48</v>
      </c>
      <c r="E178" s="857">
        <f>SUMIFS('YTD Sales'!$N:$N,'YTD Sales'!$B:$B,Brokerage!$B178,'YTD Sales'!$M:$M,Brokerage!E$4)+SUMIFS('YTD Purchases'!$H:$H,'YTD Purchases'!$C:$C,Brokerage!$B178,'YTD Purchases'!$G:$G,Brokerage!E$4)</f>
        <v>0</v>
      </c>
      <c r="F178" s="857">
        <f>SUMIFS('YTD Sales'!$N:$N,'YTD Sales'!$B:$B,Brokerage!$B178,'YTD Sales'!$M:$M,Brokerage!F$4)+SUMIFS('YTD Purchases'!$H:$H,'YTD Purchases'!$C:$C,Brokerage!$B178,'YTD Purchases'!$G:$G,Brokerage!F$4)</f>
        <v>0</v>
      </c>
      <c r="G178" s="857">
        <f>SUMIFS('YTD Sales'!$N:$N,'YTD Sales'!$B:$B,Brokerage!$B178,'YTD Sales'!$M:$M,Brokerage!G$4)+SUMIFS('YTD Purchases'!$H:$H,'YTD Purchases'!$C:$C,Brokerage!$B178,'YTD Purchases'!$G:$G,Brokerage!G$4)</f>
        <v>0</v>
      </c>
      <c r="H178" s="857">
        <f>SUMIFS('YTD Sales'!$N:$N,'YTD Sales'!$B:$B,Brokerage!$B178,'YTD Sales'!$M:$M,Brokerage!H$4)+SUMIFS('YTD Purchases'!$H:$H,'YTD Purchases'!$C:$C,Brokerage!$B178,'YTD Purchases'!$G:$G,Brokerage!H$4)</f>
        <v>8978.26</v>
      </c>
      <c r="I178" s="857">
        <f>SUMIFS('YTD Sales'!$N:$N,'YTD Sales'!$B:$B,Brokerage!$B178,'YTD Sales'!$M:$M,Brokerage!I$4)+SUMIFS('YTD Purchases'!$H:$H,'YTD Purchases'!$C:$C,Brokerage!$B178,'YTD Purchases'!$G:$G,Brokerage!I$4)</f>
        <v>0</v>
      </c>
      <c r="J178" s="857">
        <f>SUMIFS('YTD Sales'!$N:$N,'YTD Sales'!$B:$B,Brokerage!$B178,'YTD Sales'!$M:$M,Brokerage!J$4)+SUMIFS('YTD Purchases'!$H:$H,'YTD Purchases'!$C:$C,Brokerage!$B178,'YTD Purchases'!$G:$G,Brokerage!J$4)</f>
        <v>0</v>
      </c>
      <c r="K178" s="857">
        <f>SUMIFS('YTD Sales'!$N:$N,'YTD Sales'!$B:$B,Brokerage!$B178,'YTD Sales'!$M:$M,Brokerage!K$4)+SUMIFS('YTD Purchases'!$H:$H,'YTD Purchases'!$C:$C,Brokerage!$B178,'YTD Purchases'!$G:$G,Brokerage!K$4)</f>
        <v>0</v>
      </c>
      <c r="L178" s="857">
        <f>SUMIFS('YTD Sales'!$N:$N,'YTD Sales'!$B:$B,Brokerage!$B178,'YTD Sales'!$M:$M,Brokerage!L$4)+SUMIFS('YTD Purchases'!$H:$H,'YTD Purchases'!$C:$C,Brokerage!$B178,'YTD Purchases'!$G:$G,Brokerage!L$4)</f>
        <v>0</v>
      </c>
      <c r="M178" s="857">
        <f>SUMIFS('YTD Sales'!$N:$N,'YTD Sales'!$B:$B,Brokerage!$B178,'YTD Sales'!$M:$M,Brokerage!M$4)+SUMIFS('YTD Purchases'!$H:$H,'YTD Purchases'!$C:$C,Brokerage!$B178,'YTD Purchases'!$G:$G,Brokerage!M$4)</f>
        <v>0</v>
      </c>
      <c r="N178" s="857">
        <f>SUMIFS('YTD Sales'!$N:$N,'YTD Sales'!$B:$B,Brokerage!$B178,'YTD Sales'!$M:$M,Brokerage!N$4)+SUMIFS('YTD Purchases'!$H:$H,'YTD Purchases'!$C:$C,Brokerage!$B178,'YTD Purchases'!$G:$G,Brokerage!N$4)</f>
        <v>0</v>
      </c>
      <c r="O178" s="857">
        <f>SUMIFS('YTD Sales'!$N:$N,'YTD Sales'!$B:$B,Brokerage!$B178,'YTD Sales'!$M:$M,Brokerage!O$4)+SUMIFS('YTD Purchases'!$H:$H,'YTD Purchases'!$C:$C,Brokerage!$B178,'YTD Purchases'!$G:$G,Brokerage!O$4)</f>
        <v>0</v>
      </c>
      <c r="P178" s="857">
        <f>SUMIFS('YTD Sales'!$N:$N,'YTD Sales'!$B:$B,Brokerage!$B178,'YTD Sales'!$M:$M,Brokerage!P$4)+SUMIFS('YTD Purchases'!$H:$H,'YTD Purchases'!$C:$C,Brokerage!$B178,'YTD Purchases'!$G:$G,Brokerage!P$4)</f>
        <v>0</v>
      </c>
      <c r="Q178" s="857">
        <f>SUMIFS('YTD Sales'!$N:$N,'YTD Sales'!$B:$B,Brokerage!$B178,'YTD Sales'!$M:$M,Brokerage!Q$4)+SUMIFS('YTD Purchases'!$H:$H,'YTD Purchases'!$C:$C,Brokerage!$B178,'YTD Purchases'!$G:$G,Brokerage!Q$4)</f>
        <v>0</v>
      </c>
      <c r="R178" s="857">
        <f>SUMIFS('YTD Sales'!$N:$N,'YTD Sales'!$B:$B,Brokerage!$B178,'YTD Sales'!$M:$M,Brokerage!R$4)+SUMIFS('YTD Purchases'!$H:$H,'YTD Purchases'!$C:$C,Brokerage!$B178,'YTD Purchases'!$G:$G,Brokerage!R$4)</f>
        <v>0</v>
      </c>
      <c r="S178" s="857">
        <f>SUMIFS('YTD Sales'!$N:$N,'YTD Sales'!$B:$B,Brokerage!$B178,'YTD Sales'!$M:$M,Brokerage!S$4)+SUMIFS('YTD Purchases'!$H:$H,'YTD Purchases'!$C:$C,Brokerage!$B178,'YTD Purchases'!$G:$G,Brokerage!S$4)</f>
        <v>6274.84</v>
      </c>
      <c r="T178" s="857">
        <f>SUMIFS('YTD Sales'!$N:$N,'YTD Sales'!$B:$B,Brokerage!$B178,'YTD Sales'!$M:$M,Brokerage!T$4)+SUMIFS('YTD Purchases'!$H:$H,'YTD Purchases'!$C:$C,Brokerage!$B178,'YTD Purchases'!$G:$G,Brokerage!T$4)</f>
        <v>0</v>
      </c>
      <c r="U178" s="857">
        <f>SUMIFS('YTD Sales'!$N:$N,'YTD Sales'!$B:$B,Brokerage!$B178,'YTD Sales'!$M:$M,Brokerage!U$4)+SUMIFS('YTD Purchases'!$H:$H,'YTD Purchases'!$C:$C,Brokerage!$B178,'YTD Purchases'!$G:$G,Brokerage!U$4)</f>
        <v>0</v>
      </c>
      <c r="V178" s="857">
        <f>SUMIFS('YTD Sales'!$N:$N,'YTD Sales'!$B:$B,Brokerage!$B178,'YTD Sales'!$M:$M,Brokerage!V$4)+SUMIFS('YTD Purchases'!$H:$H,'YTD Purchases'!$C:$C,Brokerage!$B178,'YTD Purchases'!$G:$G,Brokerage!V$4)</f>
        <v>0</v>
      </c>
      <c r="W178" s="857">
        <f>SUMIFS('YTD Sales'!$N:$N,'YTD Sales'!$B:$B,Brokerage!$B178,'YTD Sales'!$M:$M,Brokerage!W$4)+SUMIFS('YTD Purchases'!$H:$H,'YTD Purchases'!$C:$C,Brokerage!$B178,'YTD Purchases'!$G:$G,Brokerage!W$4)</f>
        <v>0</v>
      </c>
      <c r="X178" s="857">
        <f>SUMIFS('YTD Sales'!$N:$N,'YTD Sales'!$B:$B,Brokerage!$B178,'YTD Sales'!$M:$M,Brokerage!X$4)+SUMIFS('YTD Purchases'!$H:$H,'YTD Purchases'!$C:$C,Brokerage!$B178,'YTD Purchases'!$G:$G,Brokerage!X$4)</f>
        <v>0</v>
      </c>
      <c r="Y178" s="857">
        <f>SUMIFS('YTD Sales'!$N:$N,'YTD Sales'!$B:$B,Brokerage!$B178,'YTD Sales'!$M:$M,Brokerage!Y$4)+SUMIFS('YTD Purchases'!$H:$H,'YTD Purchases'!$C:$C,Brokerage!$B178,'YTD Purchases'!$G:$G,Brokerage!Y$4)</f>
        <v>0</v>
      </c>
      <c r="Z178" s="857">
        <f>SUMIFS('YTD Sales'!$N:$N,'YTD Sales'!$B:$B,Brokerage!$B178,'YTD Sales'!$M:$M,Brokerage!Z$4)+SUMIFS('YTD Purchases'!$H:$H,'YTD Purchases'!$C:$C,Brokerage!$B178,'YTD Purchases'!$G:$G,Brokerage!Z$4)</f>
        <v>0</v>
      </c>
      <c r="AA178" s="857">
        <f>SUMIFS('YTD Sales'!$N:$N,'YTD Sales'!$B:$B,Brokerage!$B178,'YTD Sales'!$M:$M,Brokerage!AA$4)+SUMIFS('YTD Purchases'!$H:$H,'YTD Purchases'!$C:$C,Brokerage!$B178,'YTD Purchases'!$G:$G,Brokerage!AA$4)</f>
        <v>0</v>
      </c>
      <c r="AB178" s="857">
        <f>SUMIFS('YTD Sales'!$N:$N,'YTD Sales'!$B:$B,Brokerage!$B178,'YTD Sales'!$M:$M,Brokerage!AB$4)+SUMIFS('YTD Purchases'!$H:$H,'YTD Purchases'!$C:$C,Brokerage!$B178,'YTD Purchases'!$G:$G,Brokerage!AB$4)</f>
        <v>0</v>
      </c>
      <c r="AC178" s="857">
        <f>SUMIFS('YTD Sales'!$N:$N,'YTD Sales'!$B:$B,Brokerage!$B178,'YTD Sales'!$M:$M,Brokerage!AC$4)+SUMIFS('YTD Purchases'!$H:$H,'YTD Purchases'!$C:$C,Brokerage!$B178,'YTD Purchases'!$G:$G,Brokerage!AC$4)</f>
        <v>0</v>
      </c>
      <c r="AD178" s="857">
        <f>+SUMIFS(PIB!AG:AG,PIB!AF:AF,Brokerage!AD$4,PIB!AA:AA,Brokerage!$B178)+SUMIFS('T-Bills'!AB:AB,'T-Bills'!AA:AA,Brokerage!AD$4,'T-Bills'!V:V,Brokerage!$B178)</f>
        <v>0</v>
      </c>
      <c r="AE178" s="857">
        <f>+SUMIFS(PIB!AH:AH,PIB!AG:AG,Brokerage!AE$4,PIB!AB:AB,Brokerage!$B178)+SUMIFS('T-Bills'!AC:AC,'T-Bills'!AB:AB,Brokerage!AE$4,'T-Bills'!W:W,Brokerage!$B178)</f>
        <v>0</v>
      </c>
      <c r="AF178" s="857">
        <f>+SUMIFS(PIB!AI:AI,PIB!AH:AH,Brokerage!AF$4,PIB!AC:AC,Brokerage!$B178)+SUMIFS('T-Bills'!AD:AD,'T-Bills'!AC:AC,Brokerage!AF$4,'T-Bills'!X:X,Brokerage!$B178)</f>
        <v>0</v>
      </c>
      <c r="AG178" s="857">
        <f t="shared" si="19"/>
        <v>23685.579999999998</v>
      </c>
      <c r="AH178" s="858">
        <f t="shared" si="21"/>
        <v>1</v>
      </c>
    </row>
    <row r="179" spans="2:34" x14ac:dyDescent="0.15">
      <c r="B179" s="661">
        <f t="shared" si="18"/>
        <v>44735</v>
      </c>
      <c r="C179" s="857">
        <f>SUMIFS('YTD Sales'!$N:$N,'YTD Sales'!$B:$B,Brokerage!$B179,'YTD Sales'!$M:$M,Brokerage!C$4)+SUMIFS('YTD Purchases'!$H:$H,'YTD Purchases'!$C:$C,Brokerage!$B179,'YTD Purchases'!$G:$G,Brokerage!C$4)</f>
        <v>0</v>
      </c>
      <c r="D179" s="857">
        <f>SUMIFS('YTD Sales'!$N:$N,'YTD Sales'!$B:$B,Brokerage!$B179,'YTD Sales'!$M:$M,Brokerage!D$4)+SUMIFS('YTD Purchases'!$H:$H,'YTD Purchases'!$C:$C,Brokerage!$B179,'YTD Purchases'!$G:$G,Brokerage!D$4)</f>
        <v>2269.3200000000002</v>
      </c>
      <c r="E179" s="857">
        <f>SUMIFS('YTD Sales'!$N:$N,'YTD Sales'!$B:$B,Brokerage!$B179,'YTD Sales'!$M:$M,Brokerage!E$4)+SUMIFS('YTD Purchases'!$H:$H,'YTD Purchases'!$C:$C,Brokerage!$B179,'YTD Purchases'!$G:$G,Brokerage!E$4)</f>
        <v>0</v>
      </c>
      <c r="F179" s="857">
        <f>SUMIFS('YTD Sales'!$N:$N,'YTD Sales'!$B:$B,Brokerage!$B179,'YTD Sales'!$M:$M,Brokerage!F$4)+SUMIFS('YTD Purchases'!$H:$H,'YTD Purchases'!$C:$C,Brokerage!$B179,'YTD Purchases'!$G:$G,Brokerage!F$4)</f>
        <v>0</v>
      </c>
      <c r="G179" s="857">
        <f>SUMIFS('YTD Sales'!$N:$N,'YTD Sales'!$B:$B,Brokerage!$B179,'YTD Sales'!$M:$M,Brokerage!G$4)+SUMIFS('YTD Purchases'!$H:$H,'YTD Purchases'!$C:$C,Brokerage!$B179,'YTD Purchases'!$G:$G,Brokerage!G$4)</f>
        <v>0</v>
      </c>
      <c r="H179" s="857">
        <f>SUMIFS('YTD Sales'!$N:$N,'YTD Sales'!$B:$B,Brokerage!$B179,'YTD Sales'!$M:$M,Brokerage!H$4)+SUMIFS('YTD Purchases'!$H:$H,'YTD Purchases'!$C:$C,Brokerage!$B179,'YTD Purchases'!$G:$G,Brokerage!H$4)</f>
        <v>0</v>
      </c>
      <c r="I179" s="857">
        <f>SUMIFS('YTD Sales'!$N:$N,'YTD Sales'!$B:$B,Brokerage!$B179,'YTD Sales'!$M:$M,Brokerage!I$4)+SUMIFS('YTD Purchases'!$H:$H,'YTD Purchases'!$C:$C,Brokerage!$B179,'YTD Purchases'!$G:$G,Brokerage!I$4)</f>
        <v>0</v>
      </c>
      <c r="J179" s="857">
        <f>SUMIFS('YTD Sales'!$N:$N,'YTD Sales'!$B:$B,Brokerage!$B179,'YTD Sales'!$M:$M,Brokerage!J$4)+SUMIFS('YTD Purchases'!$H:$H,'YTD Purchases'!$C:$C,Brokerage!$B179,'YTD Purchases'!$G:$G,Brokerage!J$4)</f>
        <v>0</v>
      </c>
      <c r="K179" s="857">
        <f>SUMIFS('YTD Sales'!$N:$N,'YTD Sales'!$B:$B,Brokerage!$B179,'YTD Sales'!$M:$M,Brokerage!K$4)+SUMIFS('YTD Purchases'!$H:$H,'YTD Purchases'!$C:$C,Brokerage!$B179,'YTD Purchases'!$G:$G,Brokerage!K$4)</f>
        <v>0</v>
      </c>
      <c r="L179" s="857">
        <f>SUMIFS('YTD Sales'!$N:$N,'YTD Sales'!$B:$B,Brokerage!$B179,'YTD Sales'!$M:$M,Brokerage!L$4)+SUMIFS('YTD Purchases'!$H:$H,'YTD Purchases'!$C:$C,Brokerage!$B179,'YTD Purchases'!$G:$G,Brokerage!L$4)</f>
        <v>0</v>
      </c>
      <c r="M179" s="857">
        <f>SUMIFS('YTD Sales'!$N:$N,'YTD Sales'!$B:$B,Brokerage!$B179,'YTD Sales'!$M:$M,Brokerage!M$4)+SUMIFS('YTD Purchases'!$H:$H,'YTD Purchases'!$C:$C,Brokerage!$B179,'YTD Purchases'!$G:$G,Brokerage!M$4)</f>
        <v>0</v>
      </c>
      <c r="N179" s="857">
        <f>SUMIFS('YTD Sales'!$N:$N,'YTD Sales'!$B:$B,Brokerage!$B179,'YTD Sales'!$M:$M,Brokerage!N$4)+SUMIFS('YTD Purchases'!$H:$H,'YTD Purchases'!$C:$C,Brokerage!$B179,'YTD Purchases'!$G:$G,Brokerage!N$4)</f>
        <v>0</v>
      </c>
      <c r="O179" s="857">
        <f>SUMIFS('YTD Sales'!$N:$N,'YTD Sales'!$B:$B,Brokerage!$B179,'YTD Sales'!$M:$M,Brokerage!O$4)+SUMIFS('YTD Purchases'!$H:$H,'YTD Purchases'!$C:$C,Brokerage!$B179,'YTD Purchases'!$G:$G,Brokerage!O$4)</f>
        <v>0</v>
      </c>
      <c r="P179" s="857">
        <f>SUMIFS('YTD Sales'!$N:$N,'YTD Sales'!$B:$B,Brokerage!$B179,'YTD Sales'!$M:$M,Brokerage!P$4)+SUMIFS('YTD Purchases'!$H:$H,'YTD Purchases'!$C:$C,Brokerage!$B179,'YTD Purchases'!$G:$G,Brokerage!P$4)</f>
        <v>0</v>
      </c>
      <c r="Q179" s="857">
        <f>SUMIFS('YTD Sales'!$N:$N,'YTD Sales'!$B:$B,Brokerage!$B179,'YTD Sales'!$M:$M,Brokerage!Q$4)+SUMIFS('YTD Purchases'!$H:$H,'YTD Purchases'!$C:$C,Brokerage!$B179,'YTD Purchases'!$G:$G,Brokerage!Q$4)</f>
        <v>0</v>
      </c>
      <c r="R179" s="857">
        <f>SUMIFS('YTD Sales'!$N:$N,'YTD Sales'!$B:$B,Brokerage!$B179,'YTD Sales'!$M:$M,Brokerage!R$4)+SUMIFS('YTD Purchases'!$H:$H,'YTD Purchases'!$C:$C,Brokerage!$B179,'YTD Purchases'!$G:$G,Brokerage!R$4)</f>
        <v>0</v>
      </c>
      <c r="S179" s="857">
        <f>SUMIFS('YTD Sales'!$N:$N,'YTD Sales'!$B:$B,Brokerage!$B179,'YTD Sales'!$M:$M,Brokerage!S$4)+SUMIFS('YTD Purchases'!$H:$H,'YTD Purchases'!$C:$C,Brokerage!$B179,'YTD Purchases'!$G:$G,Brokerage!S$4)</f>
        <v>0</v>
      </c>
      <c r="T179" s="857">
        <f>SUMIFS('YTD Sales'!$N:$N,'YTD Sales'!$B:$B,Brokerage!$B179,'YTD Sales'!$M:$M,Brokerage!T$4)+SUMIFS('YTD Purchases'!$H:$H,'YTD Purchases'!$C:$C,Brokerage!$B179,'YTD Purchases'!$G:$G,Brokerage!T$4)</f>
        <v>0</v>
      </c>
      <c r="U179" s="857">
        <f>SUMIFS('YTD Sales'!$N:$N,'YTD Sales'!$B:$B,Brokerage!$B179,'YTD Sales'!$M:$M,Brokerage!U$4)+SUMIFS('YTD Purchases'!$H:$H,'YTD Purchases'!$C:$C,Brokerage!$B179,'YTD Purchases'!$G:$G,Brokerage!U$4)</f>
        <v>0</v>
      </c>
      <c r="V179" s="857">
        <f>SUMIFS('YTD Sales'!$N:$N,'YTD Sales'!$B:$B,Brokerage!$B179,'YTD Sales'!$M:$M,Brokerage!V$4)+SUMIFS('YTD Purchases'!$H:$H,'YTD Purchases'!$C:$C,Brokerage!$B179,'YTD Purchases'!$G:$G,Brokerage!V$4)</f>
        <v>0</v>
      </c>
      <c r="W179" s="857">
        <f>SUMIFS('YTD Sales'!$N:$N,'YTD Sales'!$B:$B,Brokerage!$B179,'YTD Sales'!$M:$M,Brokerage!W$4)+SUMIFS('YTD Purchases'!$H:$H,'YTD Purchases'!$C:$C,Brokerage!$B179,'YTD Purchases'!$G:$G,Brokerage!W$4)</f>
        <v>0</v>
      </c>
      <c r="X179" s="857">
        <f>SUMIFS('YTD Sales'!$N:$N,'YTD Sales'!$B:$B,Brokerage!$B179,'YTD Sales'!$M:$M,Brokerage!X$4)+SUMIFS('YTD Purchases'!$H:$H,'YTD Purchases'!$C:$C,Brokerage!$B179,'YTD Purchases'!$G:$G,Brokerage!X$4)</f>
        <v>0</v>
      </c>
      <c r="Y179" s="857">
        <f>SUMIFS('YTD Sales'!$N:$N,'YTD Sales'!$B:$B,Brokerage!$B179,'YTD Sales'!$M:$M,Brokerage!Y$4)+SUMIFS('YTD Purchases'!$H:$H,'YTD Purchases'!$C:$C,Brokerage!$B179,'YTD Purchases'!$G:$G,Brokerage!Y$4)</f>
        <v>0</v>
      </c>
      <c r="Z179" s="857">
        <f>SUMIFS('YTD Sales'!$N:$N,'YTD Sales'!$B:$B,Brokerage!$B179,'YTD Sales'!$M:$M,Brokerage!Z$4)+SUMIFS('YTD Purchases'!$H:$H,'YTD Purchases'!$C:$C,Brokerage!$B179,'YTD Purchases'!$G:$G,Brokerage!Z$4)</f>
        <v>0</v>
      </c>
      <c r="AA179" s="857">
        <f>SUMIFS('YTD Sales'!$N:$N,'YTD Sales'!$B:$B,Brokerage!$B179,'YTD Sales'!$M:$M,Brokerage!AA$4)+SUMIFS('YTD Purchases'!$H:$H,'YTD Purchases'!$C:$C,Brokerage!$B179,'YTD Purchases'!$G:$G,Brokerage!AA$4)</f>
        <v>0</v>
      </c>
      <c r="AB179" s="857">
        <f>SUMIFS('YTD Sales'!$N:$N,'YTD Sales'!$B:$B,Brokerage!$B179,'YTD Sales'!$M:$M,Brokerage!AB$4)+SUMIFS('YTD Purchases'!$H:$H,'YTD Purchases'!$C:$C,Brokerage!$B179,'YTD Purchases'!$G:$G,Brokerage!AB$4)</f>
        <v>0</v>
      </c>
      <c r="AC179" s="857">
        <f>SUMIFS('YTD Sales'!$N:$N,'YTD Sales'!$B:$B,Brokerage!$B179,'YTD Sales'!$M:$M,Brokerage!AC$4)+SUMIFS('YTD Purchases'!$H:$H,'YTD Purchases'!$C:$C,Brokerage!$B179,'YTD Purchases'!$G:$G,Brokerage!AC$4)</f>
        <v>0</v>
      </c>
      <c r="AD179" s="857">
        <f>+SUMIFS(PIB!AG:AG,PIB!AF:AF,Brokerage!AD$4,PIB!AA:AA,Brokerage!$B179)+SUMIFS('T-Bills'!AB:AB,'T-Bills'!AA:AA,Brokerage!AD$4,'T-Bills'!V:V,Brokerage!$B179)</f>
        <v>0</v>
      </c>
      <c r="AE179" s="857">
        <f>+SUMIFS(PIB!AH:AH,PIB!AG:AG,Brokerage!AE$4,PIB!AB:AB,Brokerage!$B179)+SUMIFS('T-Bills'!AC:AC,'T-Bills'!AB:AB,Brokerage!AE$4,'T-Bills'!W:W,Brokerage!$B179)</f>
        <v>0</v>
      </c>
      <c r="AF179" s="857">
        <f>+SUMIFS(PIB!AI:AI,PIB!AH:AH,Brokerage!AF$4,PIB!AC:AC,Brokerage!$B179)+SUMIFS('T-Bills'!AD:AD,'T-Bills'!AC:AC,Brokerage!AF$4,'T-Bills'!X:X,Brokerage!$B179)</f>
        <v>0</v>
      </c>
      <c r="AG179" s="857">
        <f t="shared" si="19"/>
        <v>2269.3200000000002</v>
      </c>
      <c r="AH179" s="858">
        <f t="shared" si="21"/>
        <v>0</v>
      </c>
    </row>
    <row r="180" spans="2:34" x14ac:dyDescent="0.15">
      <c r="B180" s="661">
        <f t="shared" si="18"/>
        <v>44736</v>
      </c>
      <c r="C180" s="857">
        <f>SUMIFS('YTD Sales'!$N:$N,'YTD Sales'!$B:$B,Brokerage!$B180,'YTD Sales'!$M:$M,Brokerage!C$4)+SUMIFS('YTD Purchases'!$H:$H,'YTD Purchases'!$C:$C,Brokerage!$B180,'YTD Purchases'!$G:$G,Brokerage!C$4)</f>
        <v>0</v>
      </c>
      <c r="D180" s="857">
        <f>SUMIFS('YTD Sales'!$N:$N,'YTD Sales'!$B:$B,Brokerage!$B180,'YTD Sales'!$M:$M,Brokerage!D$4)+SUMIFS('YTD Purchases'!$H:$H,'YTD Purchases'!$C:$C,Brokerage!$B180,'YTD Purchases'!$G:$G,Brokerage!D$4)</f>
        <v>11562.07</v>
      </c>
      <c r="E180" s="857">
        <f>SUMIFS('YTD Sales'!$N:$N,'YTD Sales'!$B:$B,Brokerage!$B180,'YTD Sales'!$M:$M,Brokerage!E$4)+SUMIFS('YTD Purchases'!$H:$H,'YTD Purchases'!$C:$C,Brokerage!$B180,'YTD Purchases'!$G:$G,Brokerage!E$4)</f>
        <v>0</v>
      </c>
      <c r="F180" s="857">
        <f>SUMIFS('YTD Sales'!$N:$N,'YTD Sales'!$B:$B,Brokerage!$B180,'YTD Sales'!$M:$M,Brokerage!F$4)+SUMIFS('YTD Purchases'!$H:$H,'YTD Purchases'!$C:$C,Brokerage!$B180,'YTD Purchases'!$G:$G,Brokerage!F$4)</f>
        <v>0</v>
      </c>
      <c r="G180" s="857">
        <f>SUMIFS('YTD Sales'!$N:$N,'YTD Sales'!$B:$B,Brokerage!$B180,'YTD Sales'!$M:$M,Brokerage!G$4)+SUMIFS('YTD Purchases'!$H:$H,'YTD Purchases'!$C:$C,Brokerage!$B180,'YTD Purchases'!$G:$G,Brokerage!G$4)</f>
        <v>0</v>
      </c>
      <c r="H180" s="857">
        <f>SUMIFS('YTD Sales'!$N:$N,'YTD Sales'!$B:$B,Brokerage!$B180,'YTD Sales'!$M:$M,Brokerage!H$4)+SUMIFS('YTD Purchases'!$H:$H,'YTD Purchases'!$C:$C,Brokerage!$B180,'YTD Purchases'!$G:$G,Brokerage!H$4)</f>
        <v>0</v>
      </c>
      <c r="I180" s="857">
        <f>SUMIFS('YTD Sales'!$N:$N,'YTD Sales'!$B:$B,Brokerage!$B180,'YTD Sales'!$M:$M,Brokerage!I$4)+SUMIFS('YTD Purchases'!$H:$H,'YTD Purchases'!$C:$C,Brokerage!$B180,'YTD Purchases'!$G:$G,Brokerage!I$4)</f>
        <v>0</v>
      </c>
      <c r="J180" s="857">
        <f>SUMIFS('YTD Sales'!$N:$N,'YTD Sales'!$B:$B,Brokerage!$B180,'YTD Sales'!$M:$M,Brokerage!J$4)+SUMIFS('YTD Purchases'!$H:$H,'YTD Purchases'!$C:$C,Brokerage!$B180,'YTD Purchases'!$G:$G,Brokerage!J$4)</f>
        <v>0</v>
      </c>
      <c r="K180" s="857">
        <f>SUMIFS('YTD Sales'!$N:$N,'YTD Sales'!$B:$B,Brokerage!$B180,'YTD Sales'!$M:$M,Brokerage!K$4)+SUMIFS('YTD Purchases'!$H:$H,'YTD Purchases'!$C:$C,Brokerage!$B180,'YTD Purchases'!$G:$G,Brokerage!K$4)</f>
        <v>0</v>
      </c>
      <c r="L180" s="857">
        <f>SUMIFS('YTD Sales'!$N:$N,'YTD Sales'!$B:$B,Brokerage!$B180,'YTD Sales'!$M:$M,Brokerage!L$4)+SUMIFS('YTD Purchases'!$H:$H,'YTD Purchases'!$C:$C,Brokerage!$B180,'YTD Purchases'!$G:$G,Brokerage!L$4)</f>
        <v>0</v>
      </c>
      <c r="M180" s="857">
        <f>SUMIFS('YTD Sales'!$N:$N,'YTD Sales'!$B:$B,Brokerage!$B180,'YTD Sales'!$M:$M,Brokerage!M$4)+SUMIFS('YTD Purchases'!$H:$H,'YTD Purchases'!$C:$C,Brokerage!$B180,'YTD Purchases'!$G:$G,Brokerage!M$4)</f>
        <v>9055.33</v>
      </c>
      <c r="N180" s="857">
        <f>SUMIFS('YTD Sales'!$N:$N,'YTD Sales'!$B:$B,Brokerage!$B180,'YTD Sales'!$M:$M,Brokerage!N$4)+SUMIFS('YTD Purchases'!$H:$H,'YTD Purchases'!$C:$C,Brokerage!$B180,'YTD Purchases'!$G:$G,Brokerage!N$4)</f>
        <v>0</v>
      </c>
      <c r="O180" s="857">
        <f>SUMIFS('YTD Sales'!$N:$N,'YTD Sales'!$B:$B,Brokerage!$B180,'YTD Sales'!$M:$M,Brokerage!O$4)+SUMIFS('YTD Purchases'!$H:$H,'YTD Purchases'!$C:$C,Brokerage!$B180,'YTD Purchases'!$G:$G,Brokerage!O$4)</f>
        <v>0</v>
      </c>
      <c r="P180" s="857">
        <f>SUMIFS('YTD Sales'!$N:$N,'YTD Sales'!$B:$B,Brokerage!$B180,'YTD Sales'!$M:$M,Brokerage!P$4)+SUMIFS('YTD Purchases'!$H:$H,'YTD Purchases'!$C:$C,Brokerage!$B180,'YTD Purchases'!$G:$G,Brokerage!P$4)</f>
        <v>0</v>
      </c>
      <c r="Q180" s="857">
        <f>SUMIFS('YTD Sales'!$N:$N,'YTD Sales'!$B:$B,Brokerage!$B180,'YTD Sales'!$M:$M,Brokerage!Q$4)+SUMIFS('YTD Purchases'!$H:$H,'YTD Purchases'!$C:$C,Brokerage!$B180,'YTD Purchases'!$G:$G,Brokerage!Q$4)</f>
        <v>0</v>
      </c>
      <c r="R180" s="857">
        <f>SUMIFS('YTD Sales'!$N:$N,'YTD Sales'!$B:$B,Brokerage!$B180,'YTD Sales'!$M:$M,Brokerage!R$4)+SUMIFS('YTD Purchases'!$H:$H,'YTD Purchases'!$C:$C,Brokerage!$B180,'YTD Purchases'!$G:$G,Brokerage!R$4)</f>
        <v>0</v>
      </c>
      <c r="S180" s="857">
        <f>SUMIFS('YTD Sales'!$N:$N,'YTD Sales'!$B:$B,Brokerage!$B180,'YTD Sales'!$M:$M,Brokerage!S$4)+SUMIFS('YTD Purchases'!$H:$H,'YTD Purchases'!$C:$C,Brokerage!$B180,'YTD Purchases'!$G:$G,Brokerage!S$4)</f>
        <v>0</v>
      </c>
      <c r="T180" s="857">
        <f>SUMIFS('YTD Sales'!$N:$N,'YTD Sales'!$B:$B,Brokerage!$B180,'YTD Sales'!$M:$M,Brokerage!T$4)+SUMIFS('YTD Purchases'!$H:$H,'YTD Purchases'!$C:$C,Brokerage!$B180,'YTD Purchases'!$G:$G,Brokerage!T$4)</f>
        <v>0</v>
      </c>
      <c r="U180" s="857">
        <f>SUMIFS('YTD Sales'!$N:$N,'YTD Sales'!$B:$B,Brokerage!$B180,'YTD Sales'!$M:$M,Brokerage!U$4)+SUMIFS('YTD Purchases'!$H:$H,'YTD Purchases'!$C:$C,Brokerage!$B180,'YTD Purchases'!$G:$G,Brokerage!U$4)</f>
        <v>0</v>
      </c>
      <c r="V180" s="857">
        <f>SUMIFS('YTD Sales'!$N:$N,'YTD Sales'!$B:$B,Brokerage!$B180,'YTD Sales'!$M:$M,Brokerage!V$4)+SUMIFS('YTD Purchases'!$H:$H,'YTD Purchases'!$C:$C,Brokerage!$B180,'YTD Purchases'!$G:$G,Brokerage!V$4)</f>
        <v>0</v>
      </c>
      <c r="W180" s="857">
        <f>SUMIFS('YTD Sales'!$N:$N,'YTD Sales'!$B:$B,Brokerage!$B180,'YTD Sales'!$M:$M,Brokerage!W$4)+SUMIFS('YTD Purchases'!$H:$H,'YTD Purchases'!$C:$C,Brokerage!$B180,'YTD Purchases'!$G:$G,Brokerage!W$4)</f>
        <v>0</v>
      </c>
      <c r="X180" s="857">
        <f>SUMIFS('YTD Sales'!$N:$N,'YTD Sales'!$B:$B,Brokerage!$B180,'YTD Sales'!$M:$M,Brokerage!X$4)+SUMIFS('YTD Purchases'!$H:$H,'YTD Purchases'!$C:$C,Brokerage!$B180,'YTD Purchases'!$G:$G,Brokerage!X$4)</f>
        <v>0</v>
      </c>
      <c r="Y180" s="857">
        <f>SUMIFS('YTD Sales'!$N:$N,'YTD Sales'!$B:$B,Brokerage!$B180,'YTD Sales'!$M:$M,Brokerage!Y$4)+SUMIFS('YTD Purchases'!$H:$H,'YTD Purchases'!$C:$C,Brokerage!$B180,'YTD Purchases'!$G:$G,Brokerage!Y$4)</f>
        <v>0</v>
      </c>
      <c r="Z180" s="857">
        <f>SUMIFS('YTD Sales'!$N:$N,'YTD Sales'!$B:$B,Brokerage!$B180,'YTD Sales'!$M:$M,Brokerage!Z$4)+SUMIFS('YTD Purchases'!$H:$H,'YTD Purchases'!$C:$C,Brokerage!$B180,'YTD Purchases'!$G:$G,Brokerage!Z$4)</f>
        <v>0</v>
      </c>
      <c r="AA180" s="857">
        <f>SUMIFS('YTD Sales'!$N:$N,'YTD Sales'!$B:$B,Brokerage!$B180,'YTD Sales'!$M:$M,Brokerage!AA$4)+SUMIFS('YTD Purchases'!$H:$H,'YTD Purchases'!$C:$C,Brokerage!$B180,'YTD Purchases'!$G:$G,Brokerage!AA$4)</f>
        <v>0</v>
      </c>
      <c r="AB180" s="857">
        <f>SUMIFS('YTD Sales'!$N:$N,'YTD Sales'!$B:$B,Brokerage!$B180,'YTD Sales'!$M:$M,Brokerage!AB$4)+SUMIFS('YTD Purchases'!$H:$H,'YTD Purchases'!$C:$C,Brokerage!$B180,'YTD Purchases'!$G:$G,Brokerage!AB$4)</f>
        <v>0</v>
      </c>
      <c r="AC180" s="857">
        <f>SUMIFS('YTD Sales'!$N:$N,'YTD Sales'!$B:$B,Brokerage!$B180,'YTD Sales'!$M:$M,Brokerage!AC$4)+SUMIFS('YTD Purchases'!$H:$H,'YTD Purchases'!$C:$C,Brokerage!$B180,'YTD Purchases'!$G:$G,Brokerage!AC$4)</f>
        <v>0</v>
      </c>
      <c r="AD180" s="857">
        <f>+SUMIFS(PIB!AG:AG,PIB!AF:AF,Brokerage!AD$4,PIB!AA:AA,Brokerage!$B180)+SUMIFS('T-Bills'!AB:AB,'T-Bills'!AA:AA,Brokerage!AD$4,'T-Bills'!V:V,Brokerage!$B180)</f>
        <v>0</v>
      </c>
      <c r="AE180" s="857">
        <f>+SUMIFS(PIB!AH:AH,PIB!AG:AG,Brokerage!AE$4,PIB!AB:AB,Brokerage!$B180)+SUMIFS('T-Bills'!AC:AC,'T-Bills'!AB:AB,Brokerage!AE$4,'T-Bills'!W:W,Brokerage!$B180)</f>
        <v>0</v>
      </c>
      <c r="AF180" s="857">
        <f>+SUMIFS(PIB!AI:AI,PIB!AH:AH,Brokerage!AF$4,PIB!AC:AC,Brokerage!$B180)+SUMIFS('T-Bills'!AD:AD,'T-Bills'!AC:AC,Brokerage!AF$4,'T-Bills'!X:X,Brokerage!$B180)</f>
        <v>0</v>
      </c>
      <c r="AG180" s="857">
        <f t="shared" si="19"/>
        <v>20617.400000000001</v>
      </c>
      <c r="AH180" s="858">
        <f t="shared" si="21"/>
        <v>1</v>
      </c>
    </row>
    <row r="181" spans="2:34" x14ac:dyDescent="0.15">
      <c r="B181" s="661">
        <f t="shared" si="18"/>
        <v>44737</v>
      </c>
      <c r="C181" s="857">
        <f>SUMIFS('YTD Sales'!$N:$N,'YTD Sales'!$B:$B,Brokerage!$B181,'YTD Sales'!$M:$M,Brokerage!C$4)+SUMIFS('YTD Purchases'!$H:$H,'YTD Purchases'!$C:$C,Brokerage!$B181,'YTD Purchases'!$G:$G,Brokerage!C$4)</f>
        <v>0</v>
      </c>
      <c r="D181" s="857">
        <f>SUMIFS('YTD Sales'!$N:$N,'YTD Sales'!$B:$B,Brokerage!$B181,'YTD Sales'!$M:$M,Brokerage!D$4)+SUMIFS('YTD Purchases'!$H:$H,'YTD Purchases'!$C:$C,Brokerage!$B181,'YTD Purchases'!$G:$G,Brokerage!D$4)</f>
        <v>0</v>
      </c>
      <c r="E181" s="857">
        <f>SUMIFS('YTD Sales'!$N:$N,'YTD Sales'!$B:$B,Brokerage!$B181,'YTD Sales'!$M:$M,Brokerage!E$4)+SUMIFS('YTD Purchases'!$H:$H,'YTD Purchases'!$C:$C,Brokerage!$B181,'YTD Purchases'!$G:$G,Brokerage!E$4)</f>
        <v>0</v>
      </c>
      <c r="F181" s="857">
        <f>SUMIFS('YTD Sales'!$N:$N,'YTD Sales'!$B:$B,Brokerage!$B181,'YTD Sales'!$M:$M,Brokerage!F$4)+SUMIFS('YTD Purchases'!$H:$H,'YTD Purchases'!$C:$C,Brokerage!$B181,'YTD Purchases'!$G:$G,Brokerage!F$4)</f>
        <v>0</v>
      </c>
      <c r="G181" s="857">
        <f>SUMIFS('YTD Sales'!$N:$N,'YTD Sales'!$B:$B,Brokerage!$B181,'YTD Sales'!$M:$M,Brokerage!G$4)+SUMIFS('YTD Purchases'!$H:$H,'YTD Purchases'!$C:$C,Brokerage!$B181,'YTD Purchases'!$G:$G,Brokerage!G$4)</f>
        <v>0</v>
      </c>
      <c r="H181" s="857">
        <f>SUMIFS('YTD Sales'!$N:$N,'YTD Sales'!$B:$B,Brokerage!$B181,'YTD Sales'!$M:$M,Brokerage!H$4)+SUMIFS('YTD Purchases'!$H:$H,'YTD Purchases'!$C:$C,Brokerage!$B181,'YTD Purchases'!$G:$G,Brokerage!H$4)</f>
        <v>0</v>
      </c>
      <c r="I181" s="857">
        <f>SUMIFS('YTD Sales'!$N:$N,'YTD Sales'!$B:$B,Brokerage!$B181,'YTD Sales'!$M:$M,Brokerage!I$4)+SUMIFS('YTD Purchases'!$H:$H,'YTD Purchases'!$C:$C,Brokerage!$B181,'YTD Purchases'!$G:$G,Brokerage!I$4)</f>
        <v>0</v>
      </c>
      <c r="J181" s="857">
        <f>SUMIFS('YTD Sales'!$N:$N,'YTD Sales'!$B:$B,Brokerage!$B181,'YTD Sales'!$M:$M,Brokerage!J$4)+SUMIFS('YTD Purchases'!$H:$H,'YTD Purchases'!$C:$C,Brokerage!$B181,'YTD Purchases'!$G:$G,Brokerage!J$4)</f>
        <v>0</v>
      </c>
      <c r="K181" s="857">
        <f>SUMIFS('YTD Sales'!$N:$N,'YTD Sales'!$B:$B,Brokerage!$B181,'YTD Sales'!$M:$M,Brokerage!K$4)+SUMIFS('YTD Purchases'!$H:$H,'YTD Purchases'!$C:$C,Brokerage!$B181,'YTD Purchases'!$G:$G,Brokerage!K$4)</f>
        <v>0</v>
      </c>
      <c r="L181" s="857">
        <f>SUMIFS('YTD Sales'!$N:$N,'YTD Sales'!$B:$B,Brokerage!$B181,'YTD Sales'!$M:$M,Brokerage!L$4)+SUMIFS('YTD Purchases'!$H:$H,'YTD Purchases'!$C:$C,Brokerage!$B181,'YTD Purchases'!$G:$G,Brokerage!L$4)</f>
        <v>0</v>
      </c>
      <c r="M181" s="857">
        <f>SUMIFS('YTD Sales'!$N:$N,'YTD Sales'!$B:$B,Brokerage!$B181,'YTD Sales'!$M:$M,Brokerage!M$4)+SUMIFS('YTD Purchases'!$H:$H,'YTD Purchases'!$C:$C,Brokerage!$B181,'YTD Purchases'!$G:$G,Brokerage!M$4)</f>
        <v>0</v>
      </c>
      <c r="N181" s="857">
        <f>SUMIFS('YTD Sales'!$N:$N,'YTD Sales'!$B:$B,Brokerage!$B181,'YTD Sales'!$M:$M,Brokerage!N$4)+SUMIFS('YTD Purchases'!$H:$H,'YTD Purchases'!$C:$C,Brokerage!$B181,'YTD Purchases'!$G:$G,Brokerage!N$4)</f>
        <v>0</v>
      </c>
      <c r="O181" s="857">
        <f>SUMIFS('YTD Sales'!$N:$N,'YTD Sales'!$B:$B,Brokerage!$B181,'YTD Sales'!$M:$M,Brokerage!O$4)+SUMIFS('YTD Purchases'!$H:$H,'YTD Purchases'!$C:$C,Brokerage!$B181,'YTD Purchases'!$G:$G,Brokerage!O$4)</f>
        <v>0</v>
      </c>
      <c r="P181" s="857">
        <f>SUMIFS('YTD Sales'!$N:$N,'YTD Sales'!$B:$B,Brokerage!$B181,'YTD Sales'!$M:$M,Brokerage!P$4)+SUMIFS('YTD Purchases'!$H:$H,'YTD Purchases'!$C:$C,Brokerage!$B181,'YTD Purchases'!$G:$G,Brokerage!P$4)</f>
        <v>0</v>
      </c>
      <c r="Q181" s="857">
        <f>SUMIFS('YTD Sales'!$N:$N,'YTD Sales'!$B:$B,Brokerage!$B181,'YTD Sales'!$M:$M,Brokerage!Q$4)+SUMIFS('YTD Purchases'!$H:$H,'YTD Purchases'!$C:$C,Brokerage!$B181,'YTD Purchases'!$G:$G,Brokerage!Q$4)</f>
        <v>0</v>
      </c>
      <c r="R181" s="857">
        <f>SUMIFS('YTD Sales'!$N:$N,'YTD Sales'!$B:$B,Brokerage!$B181,'YTD Sales'!$M:$M,Brokerage!R$4)+SUMIFS('YTD Purchases'!$H:$H,'YTD Purchases'!$C:$C,Brokerage!$B181,'YTD Purchases'!$G:$G,Brokerage!R$4)</f>
        <v>0</v>
      </c>
      <c r="S181" s="857">
        <f>SUMIFS('YTD Sales'!$N:$N,'YTD Sales'!$B:$B,Brokerage!$B181,'YTD Sales'!$M:$M,Brokerage!S$4)+SUMIFS('YTD Purchases'!$H:$H,'YTD Purchases'!$C:$C,Brokerage!$B181,'YTD Purchases'!$G:$G,Brokerage!S$4)</f>
        <v>0</v>
      </c>
      <c r="T181" s="857">
        <f>SUMIFS('YTD Sales'!$N:$N,'YTD Sales'!$B:$B,Brokerage!$B181,'YTD Sales'!$M:$M,Brokerage!T$4)+SUMIFS('YTD Purchases'!$H:$H,'YTD Purchases'!$C:$C,Brokerage!$B181,'YTD Purchases'!$G:$G,Brokerage!T$4)</f>
        <v>0</v>
      </c>
      <c r="U181" s="857">
        <f>SUMIFS('YTD Sales'!$N:$N,'YTD Sales'!$B:$B,Brokerage!$B181,'YTD Sales'!$M:$M,Brokerage!U$4)+SUMIFS('YTD Purchases'!$H:$H,'YTD Purchases'!$C:$C,Brokerage!$B181,'YTD Purchases'!$G:$G,Brokerage!U$4)</f>
        <v>0</v>
      </c>
      <c r="V181" s="857">
        <f>SUMIFS('YTD Sales'!$N:$N,'YTD Sales'!$B:$B,Brokerage!$B181,'YTD Sales'!$M:$M,Brokerage!V$4)+SUMIFS('YTD Purchases'!$H:$H,'YTD Purchases'!$C:$C,Brokerage!$B181,'YTD Purchases'!$G:$G,Brokerage!V$4)</f>
        <v>0</v>
      </c>
      <c r="W181" s="857">
        <f>SUMIFS('YTD Sales'!$N:$N,'YTD Sales'!$B:$B,Brokerage!$B181,'YTD Sales'!$M:$M,Brokerage!W$4)+SUMIFS('YTD Purchases'!$H:$H,'YTD Purchases'!$C:$C,Brokerage!$B181,'YTD Purchases'!$G:$G,Brokerage!W$4)</f>
        <v>0</v>
      </c>
      <c r="X181" s="857">
        <f>SUMIFS('YTD Sales'!$N:$N,'YTD Sales'!$B:$B,Brokerage!$B181,'YTD Sales'!$M:$M,Brokerage!X$4)+SUMIFS('YTD Purchases'!$H:$H,'YTD Purchases'!$C:$C,Brokerage!$B181,'YTD Purchases'!$G:$G,Brokerage!X$4)</f>
        <v>0</v>
      </c>
      <c r="Y181" s="857">
        <f>SUMIFS('YTD Sales'!$N:$N,'YTD Sales'!$B:$B,Brokerage!$B181,'YTD Sales'!$M:$M,Brokerage!Y$4)+SUMIFS('YTD Purchases'!$H:$H,'YTD Purchases'!$C:$C,Brokerage!$B181,'YTD Purchases'!$G:$G,Brokerage!Y$4)</f>
        <v>0</v>
      </c>
      <c r="Z181" s="857">
        <f>SUMIFS('YTD Sales'!$N:$N,'YTD Sales'!$B:$B,Brokerage!$B181,'YTD Sales'!$M:$M,Brokerage!Z$4)+SUMIFS('YTD Purchases'!$H:$H,'YTD Purchases'!$C:$C,Brokerage!$B181,'YTD Purchases'!$G:$G,Brokerage!Z$4)</f>
        <v>0</v>
      </c>
      <c r="AA181" s="857">
        <f>SUMIFS('YTD Sales'!$N:$N,'YTD Sales'!$B:$B,Brokerage!$B181,'YTD Sales'!$M:$M,Brokerage!AA$4)+SUMIFS('YTD Purchases'!$H:$H,'YTD Purchases'!$C:$C,Brokerage!$B181,'YTD Purchases'!$G:$G,Brokerage!AA$4)</f>
        <v>0</v>
      </c>
      <c r="AB181" s="857">
        <f>SUMIFS('YTD Sales'!$N:$N,'YTD Sales'!$B:$B,Brokerage!$B181,'YTD Sales'!$M:$M,Brokerage!AB$4)+SUMIFS('YTD Purchases'!$H:$H,'YTD Purchases'!$C:$C,Brokerage!$B181,'YTD Purchases'!$G:$G,Brokerage!AB$4)</f>
        <v>0</v>
      </c>
      <c r="AC181" s="857">
        <f>SUMIFS('YTD Sales'!$N:$N,'YTD Sales'!$B:$B,Brokerage!$B181,'YTD Sales'!$M:$M,Brokerage!AC$4)+SUMIFS('YTD Purchases'!$H:$H,'YTD Purchases'!$C:$C,Brokerage!$B181,'YTD Purchases'!$G:$G,Brokerage!AC$4)</f>
        <v>0</v>
      </c>
      <c r="AD181" s="857">
        <f>+SUMIFS(PIB!AG:AG,PIB!AF:AF,Brokerage!AD$4,PIB!AA:AA,Brokerage!$B181)+SUMIFS('T-Bills'!AB:AB,'T-Bills'!AA:AA,Brokerage!AD$4,'T-Bills'!V:V,Brokerage!$B181)</f>
        <v>0</v>
      </c>
      <c r="AE181" s="857">
        <f>+SUMIFS(PIB!AH:AH,PIB!AG:AG,Brokerage!AE$4,PIB!AB:AB,Brokerage!$B181)+SUMIFS('T-Bills'!AC:AC,'T-Bills'!AB:AB,Brokerage!AE$4,'T-Bills'!W:W,Brokerage!$B181)</f>
        <v>0</v>
      </c>
      <c r="AF181" s="857">
        <f>+SUMIFS(PIB!AI:AI,PIB!AH:AH,Brokerage!AF$4,PIB!AC:AC,Brokerage!$B181)+SUMIFS('T-Bills'!AD:AD,'T-Bills'!AC:AC,Brokerage!AF$4,'T-Bills'!X:X,Brokerage!$B181)</f>
        <v>0</v>
      </c>
      <c r="AG181" s="857">
        <f t="shared" si="19"/>
        <v>0</v>
      </c>
      <c r="AH181" s="858">
        <f t="shared" si="21"/>
        <v>0</v>
      </c>
    </row>
    <row r="182" spans="2:34" x14ac:dyDescent="0.15">
      <c r="B182" s="661">
        <f t="shared" si="18"/>
        <v>44738</v>
      </c>
      <c r="C182" s="857">
        <f>SUMIFS('YTD Sales'!$N:$N,'YTD Sales'!$B:$B,Brokerage!$B182,'YTD Sales'!$M:$M,Brokerage!C$4)+SUMIFS('YTD Purchases'!$H:$H,'YTD Purchases'!$C:$C,Brokerage!$B182,'YTD Purchases'!$G:$G,Brokerage!C$4)</f>
        <v>0</v>
      </c>
      <c r="D182" s="857">
        <f>SUMIFS('YTD Sales'!$N:$N,'YTD Sales'!$B:$B,Brokerage!$B182,'YTD Sales'!$M:$M,Brokerage!D$4)+SUMIFS('YTD Purchases'!$H:$H,'YTD Purchases'!$C:$C,Brokerage!$B182,'YTD Purchases'!$G:$G,Brokerage!D$4)</f>
        <v>0</v>
      </c>
      <c r="E182" s="857">
        <f>SUMIFS('YTD Sales'!$N:$N,'YTD Sales'!$B:$B,Brokerage!$B182,'YTD Sales'!$M:$M,Brokerage!E$4)+SUMIFS('YTD Purchases'!$H:$H,'YTD Purchases'!$C:$C,Brokerage!$B182,'YTD Purchases'!$G:$G,Brokerage!E$4)</f>
        <v>0</v>
      </c>
      <c r="F182" s="857">
        <f>SUMIFS('YTD Sales'!$N:$N,'YTD Sales'!$B:$B,Brokerage!$B182,'YTD Sales'!$M:$M,Brokerage!F$4)+SUMIFS('YTD Purchases'!$H:$H,'YTD Purchases'!$C:$C,Brokerage!$B182,'YTD Purchases'!$G:$G,Brokerage!F$4)</f>
        <v>0</v>
      </c>
      <c r="G182" s="857">
        <f>SUMIFS('YTD Sales'!$N:$N,'YTD Sales'!$B:$B,Brokerage!$B182,'YTD Sales'!$M:$M,Brokerage!G$4)+SUMIFS('YTD Purchases'!$H:$H,'YTD Purchases'!$C:$C,Brokerage!$B182,'YTD Purchases'!$G:$G,Brokerage!G$4)</f>
        <v>0</v>
      </c>
      <c r="H182" s="857">
        <f>SUMIFS('YTD Sales'!$N:$N,'YTD Sales'!$B:$B,Brokerage!$B182,'YTD Sales'!$M:$M,Brokerage!H$4)+SUMIFS('YTD Purchases'!$H:$H,'YTD Purchases'!$C:$C,Brokerage!$B182,'YTD Purchases'!$G:$G,Brokerage!H$4)</f>
        <v>0</v>
      </c>
      <c r="I182" s="857">
        <f>SUMIFS('YTD Sales'!$N:$N,'YTD Sales'!$B:$B,Brokerage!$B182,'YTD Sales'!$M:$M,Brokerage!I$4)+SUMIFS('YTD Purchases'!$H:$H,'YTD Purchases'!$C:$C,Brokerage!$B182,'YTD Purchases'!$G:$G,Brokerage!I$4)</f>
        <v>0</v>
      </c>
      <c r="J182" s="857">
        <f>SUMIFS('YTD Sales'!$N:$N,'YTD Sales'!$B:$B,Brokerage!$B182,'YTD Sales'!$M:$M,Brokerage!J$4)+SUMIFS('YTD Purchases'!$H:$H,'YTD Purchases'!$C:$C,Brokerage!$B182,'YTD Purchases'!$G:$G,Brokerage!J$4)</f>
        <v>0</v>
      </c>
      <c r="K182" s="857">
        <f>SUMIFS('YTD Sales'!$N:$N,'YTD Sales'!$B:$B,Brokerage!$B182,'YTD Sales'!$M:$M,Brokerage!K$4)+SUMIFS('YTD Purchases'!$H:$H,'YTD Purchases'!$C:$C,Brokerage!$B182,'YTD Purchases'!$G:$G,Brokerage!K$4)</f>
        <v>0</v>
      </c>
      <c r="L182" s="857">
        <f>SUMIFS('YTD Sales'!$N:$N,'YTD Sales'!$B:$B,Brokerage!$B182,'YTD Sales'!$M:$M,Brokerage!L$4)+SUMIFS('YTD Purchases'!$H:$H,'YTD Purchases'!$C:$C,Brokerage!$B182,'YTD Purchases'!$G:$G,Brokerage!L$4)</f>
        <v>0</v>
      </c>
      <c r="M182" s="857">
        <f>SUMIFS('YTD Sales'!$N:$N,'YTD Sales'!$B:$B,Brokerage!$B182,'YTD Sales'!$M:$M,Brokerage!M$4)+SUMIFS('YTD Purchases'!$H:$H,'YTD Purchases'!$C:$C,Brokerage!$B182,'YTD Purchases'!$G:$G,Brokerage!M$4)</f>
        <v>0</v>
      </c>
      <c r="N182" s="857">
        <f>SUMIFS('YTD Sales'!$N:$N,'YTD Sales'!$B:$B,Brokerage!$B182,'YTD Sales'!$M:$M,Brokerage!N$4)+SUMIFS('YTD Purchases'!$H:$H,'YTD Purchases'!$C:$C,Brokerage!$B182,'YTD Purchases'!$G:$G,Brokerage!N$4)</f>
        <v>0</v>
      </c>
      <c r="O182" s="857">
        <f>SUMIFS('YTD Sales'!$N:$N,'YTD Sales'!$B:$B,Brokerage!$B182,'YTD Sales'!$M:$M,Brokerage!O$4)+SUMIFS('YTD Purchases'!$H:$H,'YTD Purchases'!$C:$C,Brokerage!$B182,'YTD Purchases'!$G:$G,Brokerage!O$4)</f>
        <v>0</v>
      </c>
      <c r="P182" s="857">
        <f>SUMIFS('YTD Sales'!$N:$N,'YTD Sales'!$B:$B,Brokerage!$B182,'YTD Sales'!$M:$M,Brokerage!P$4)+SUMIFS('YTD Purchases'!$H:$H,'YTD Purchases'!$C:$C,Brokerage!$B182,'YTD Purchases'!$G:$G,Brokerage!P$4)</f>
        <v>0</v>
      </c>
      <c r="Q182" s="857">
        <f>SUMIFS('YTD Sales'!$N:$N,'YTD Sales'!$B:$B,Brokerage!$B182,'YTD Sales'!$M:$M,Brokerage!Q$4)+SUMIFS('YTD Purchases'!$H:$H,'YTD Purchases'!$C:$C,Brokerage!$B182,'YTD Purchases'!$G:$G,Brokerage!Q$4)</f>
        <v>0</v>
      </c>
      <c r="R182" s="857">
        <f>SUMIFS('YTD Sales'!$N:$N,'YTD Sales'!$B:$B,Brokerage!$B182,'YTD Sales'!$M:$M,Brokerage!R$4)+SUMIFS('YTD Purchases'!$H:$H,'YTD Purchases'!$C:$C,Brokerage!$B182,'YTD Purchases'!$G:$G,Brokerage!R$4)</f>
        <v>0</v>
      </c>
      <c r="S182" s="857">
        <f>SUMIFS('YTD Sales'!$N:$N,'YTD Sales'!$B:$B,Brokerage!$B182,'YTD Sales'!$M:$M,Brokerage!S$4)+SUMIFS('YTD Purchases'!$H:$H,'YTD Purchases'!$C:$C,Brokerage!$B182,'YTD Purchases'!$G:$G,Brokerage!S$4)</f>
        <v>0</v>
      </c>
      <c r="T182" s="857">
        <f>SUMIFS('YTD Sales'!$N:$N,'YTD Sales'!$B:$B,Brokerage!$B182,'YTD Sales'!$M:$M,Brokerage!T$4)+SUMIFS('YTD Purchases'!$H:$H,'YTD Purchases'!$C:$C,Brokerage!$B182,'YTD Purchases'!$G:$G,Brokerage!T$4)</f>
        <v>0</v>
      </c>
      <c r="U182" s="857">
        <f>SUMIFS('YTD Sales'!$N:$N,'YTD Sales'!$B:$B,Brokerage!$B182,'YTD Sales'!$M:$M,Brokerage!U$4)+SUMIFS('YTD Purchases'!$H:$H,'YTD Purchases'!$C:$C,Brokerage!$B182,'YTD Purchases'!$G:$G,Brokerage!U$4)</f>
        <v>0</v>
      </c>
      <c r="V182" s="857">
        <f>SUMIFS('YTD Sales'!$N:$N,'YTD Sales'!$B:$B,Brokerage!$B182,'YTD Sales'!$M:$M,Brokerage!V$4)+SUMIFS('YTD Purchases'!$H:$H,'YTD Purchases'!$C:$C,Brokerage!$B182,'YTD Purchases'!$G:$G,Brokerage!V$4)</f>
        <v>0</v>
      </c>
      <c r="W182" s="857">
        <f>SUMIFS('YTD Sales'!$N:$N,'YTD Sales'!$B:$B,Brokerage!$B182,'YTD Sales'!$M:$M,Brokerage!W$4)+SUMIFS('YTD Purchases'!$H:$H,'YTD Purchases'!$C:$C,Brokerage!$B182,'YTD Purchases'!$G:$G,Brokerage!W$4)</f>
        <v>0</v>
      </c>
      <c r="X182" s="857">
        <f>SUMIFS('YTD Sales'!$N:$N,'YTD Sales'!$B:$B,Brokerage!$B182,'YTD Sales'!$M:$M,Brokerage!X$4)+SUMIFS('YTD Purchases'!$H:$H,'YTD Purchases'!$C:$C,Brokerage!$B182,'YTD Purchases'!$G:$G,Brokerage!X$4)</f>
        <v>0</v>
      </c>
      <c r="Y182" s="857">
        <f>SUMIFS('YTD Sales'!$N:$N,'YTD Sales'!$B:$B,Brokerage!$B182,'YTD Sales'!$M:$M,Brokerage!Y$4)+SUMIFS('YTD Purchases'!$H:$H,'YTD Purchases'!$C:$C,Brokerage!$B182,'YTD Purchases'!$G:$G,Brokerage!Y$4)</f>
        <v>0</v>
      </c>
      <c r="Z182" s="857">
        <f>SUMIFS('YTD Sales'!$N:$N,'YTD Sales'!$B:$B,Brokerage!$B182,'YTD Sales'!$M:$M,Brokerage!Z$4)+SUMIFS('YTD Purchases'!$H:$H,'YTD Purchases'!$C:$C,Brokerage!$B182,'YTD Purchases'!$G:$G,Brokerage!Z$4)</f>
        <v>0</v>
      </c>
      <c r="AA182" s="857">
        <f>SUMIFS('YTD Sales'!$N:$N,'YTD Sales'!$B:$B,Brokerage!$B182,'YTD Sales'!$M:$M,Brokerage!AA$4)+SUMIFS('YTD Purchases'!$H:$H,'YTD Purchases'!$C:$C,Brokerage!$B182,'YTD Purchases'!$G:$G,Brokerage!AA$4)</f>
        <v>0</v>
      </c>
      <c r="AB182" s="857">
        <f>SUMIFS('YTD Sales'!$N:$N,'YTD Sales'!$B:$B,Brokerage!$B182,'YTD Sales'!$M:$M,Brokerage!AB$4)+SUMIFS('YTD Purchases'!$H:$H,'YTD Purchases'!$C:$C,Brokerage!$B182,'YTD Purchases'!$G:$G,Brokerage!AB$4)</f>
        <v>0</v>
      </c>
      <c r="AC182" s="857">
        <f>SUMIFS('YTD Sales'!$N:$N,'YTD Sales'!$B:$B,Brokerage!$B182,'YTD Sales'!$M:$M,Brokerage!AC$4)+SUMIFS('YTD Purchases'!$H:$H,'YTD Purchases'!$C:$C,Brokerage!$B182,'YTD Purchases'!$G:$G,Brokerage!AC$4)</f>
        <v>0</v>
      </c>
      <c r="AD182" s="857">
        <f>+SUMIFS(PIB!AG:AG,PIB!AF:AF,Brokerage!AD$4,PIB!AA:AA,Brokerage!$B182)+SUMIFS('T-Bills'!AB:AB,'T-Bills'!AA:AA,Brokerage!AD$4,'T-Bills'!V:V,Brokerage!$B182)</f>
        <v>0</v>
      </c>
      <c r="AE182" s="857">
        <f>+SUMIFS(PIB!AH:AH,PIB!AG:AG,Brokerage!AE$4,PIB!AB:AB,Brokerage!$B182)+SUMIFS('T-Bills'!AC:AC,'T-Bills'!AB:AB,Brokerage!AE$4,'T-Bills'!W:W,Brokerage!$B182)</f>
        <v>0</v>
      </c>
      <c r="AF182" s="857">
        <f>+SUMIFS(PIB!AI:AI,PIB!AH:AH,Brokerage!AF$4,PIB!AC:AC,Brokerage!$B182)+SUMIFS('T-Bills'!AD:AD,'T-Bills'!AC:AC,Brokerage!AF$4,'T-Bills'!X:X,Brokerage!$B182)</f>
        <v>0</v>
      </c>
      <c r="AG182" s="857">
        <f t="shared" si="19"/>
        <v>0</v>
      </c>
      <c r="AH182" s="858">
        <f t="shared" si="21"/>
        <v>0</v>
      </c>
    </row>
    <row r="183" spans="2:34" x14ac:dyDescent="0.15">
      <c r="B183" s="661">
        <f t="shared" si="18"/>
        <v>44739</v>
      </c>
      <c r="C183" s="857">
        <f>SUMIFS('YTD Sales'!$N:$N,'YTD Sales'!$B:$B,Brokerage!$B183,'YTD Sales'!$M:$M,Brokerage!C$4)+SUMIFS('YTD Purchases'!$H:$H,'YTD Purchases'!$C:$C,Brokerage!$B183,'YTD Purchases'!$G:$G,Brokerage!C$4)</f>
        <v>0</v>
      </c>
      <c r="D183" s="857">
        <f>SUMIFS('YTD Sales'!$N:$N,'YTD Sales'!$B:$B,Brokerage!$B183,'YTD Sales'!$M:$M,Brokerage!D$4)+SUMIFS('YTD Purchases'!$H:$H,'YTD Purchases'!$C:$C,Brokerage!$B183,'YTD Purchases'!$G:$G,Brokerage!D$4)</f>
        <v>0</v>
      </c>
      <c r="E183" s="857">
        <f>SUMIFS('YTD Sales'!$N:$N,'YTD Sales'!$B:$B,Brokerage!$B183,'YTD Sales'!$M:$M,Brokerage!E$4)+SUMIFS('YTD Purchases'!$H:$H,'YTD Purchases'!$C:$C,Brokerage!$B183,'YTD Purchases'!$G:$G,Brokerage!E$4)</f>
        <v>0</v>
      </c>
      <c r="F183" s="857">
        <f>SUMIFS('YTD Sales'!$N:$N,'YTD Sales'!$B:$B,Brokerage!$B183,'YTD Sales'!$M:$M,Brokerage!F$4)+SUMIFS('YTD Purchases'!$H:$H,'YTD Purchases'!$C:$C,Brokerage!$B183,'YTD Purchases'!$G:$G,Brokerage!F$4)</f>
        <v>0</v>
      </c>
      <c r="G183" s="857">
        <f>SUMIFS('YTD Sales'!$N:$N,'YTD Sales'!$B:$B,Brokerage!$B183,'YTD Sales'!$M:$M,Brokerage!G$4)+SUMIFS('YTD Purchases'!$H:$H,'YTD Purchases'!$C:$C,Brokerage!$B183,'YTD Purchases'!$G:$G,Brokerage!G$4)</f>
        <v>0</v>
      </c>
      <c r="H183" s="857">
        <f>SUMIFS('YTD Sales'!$N:$N,'YTD Sales'!$B:$B,Brokerage!$B183,'YTD Sales'!$M:$M,Brokerage!H$4)+SUMIFS('YTD Purchases'!$H:$H,'YTD Purchases'!$C:$C,Brokerage!$B183,'YTD Purchases'!$G:$G,Brokerage!H$4)</f>
        <v>0</v>
      </c>
      <c r="I183" s="857">
        <f>SUMIFS('YTD Sales'!$N:$N,'YTD Sales'!$B:$B,Brokerage!$B183,'YTD Sales'!$M:$M,Brokerage!I$4)+SUMIFS('YTD Purchases'!$H:$H,'YTD Purchases'!$C:$C,Brokerage!$B183,'YTD Purchases'!$G:$G,Brokerage!I$4)</f>
        <v>0</v>
      </c>
      <c r="J183" s="857">
        <f>SUMIFS('YTD Sales'!$N:$N,'YTD Sales'!$B:$B,Brokerage!$B183,'YTD Sales'!$M:$M,Brokerage!J$4)+SUMIFS('YTD Purchases'!$H:$H,'YTD Purchases'!$C:$C,Brokerage!$B183,'YTD Purchases'!$G:$G,Brokerage!J$4)</f>
        <v>0</v>
      </c>
      <c r="K183" s="857">
        <f>SUMIFS('YTD Sales'!$N:$N,'YTD Sales'!$B:$B,Brokerage!$B183,'YTD Sales'!$M:$M,Brokerage!K$4)+SUMIFS('YTD Purchases'!$H:$H,'YTD Purchases'!$C:$C,Brokerage!$B183,'YTD Purchases'!$G:$G,Brokerage!K$4)</f>
        <v>0</v>
      </c>
      <c r="L183" s="857">
        <f>SUMIFS('YTD Sales'!$N:$N,'YTD Sales'!$B:$B,Brokerage!$B183,'YTD Sales'!$M:$M,Brokerage!L$4)+SUMIFS('YTD Purchases'!$H:$H,'YTD Purchases'!$C:$C,Brokerage!$B183,'YTD Purchases'!$G:$G,Brokerage!L$4)</f>
        <v>0</v>
      </c>
      <c r="M183" s="857">
        <f>SUMIFS('YTD Sales'!$N:$N,'YTD Sales'!$B:$B,Brokerage!$B183,'YTD Sales'!$M:$M,Brokerage!M$4)+SUMIFS('YTD Purchases'!$H:$H,'YTD Purchases'!$C:$C,Brokerage!$B183,'YTD Purchases'!$G:$G,Brokerage!M$4)</f>
        <v>19691.97</v>
      </c>
      <c r="N183" s="857">
        <f>SUMIFS('YTD Sales'!$N:$N,'YTD Sales'!$B:$B,Brokerage!$B183,'YTD Sales'!$M:$M,Brokerage!N$4)+SUMIFS('YTD Purchases'!$H:$H,'YTD Purchases'!$C:$C,Brokerage!$B183,'YTD Purchases'!$G:$G,Brokerage!N$4)</f>
        <v>0</v>
      </c>
      <c r="O183" s="857">
        <f>SUMIFS('YTD Sales'!$N:$N,'YTD Sales'!$B:$B,Brokerage!$B183,'YTD Sales'!$M:$M,Brokerage!O$4)+SUMIFS('YTD Purchases'!$H:$H,'YTD Purchases'!$C:$C,Brokerage!$B183,'YTD Purchases'!$G:$G,Brokerage!O$4)</f>
        <v>0</v>
      </c>
      <c r="P183" s="857">
        <f>SUMIFS('YTD Sales'!$N:$N,'YTD Sales'!$B:$B,Brokerage!$B183,'YTD Sales'!$M:$M,Brokerage!P$4)+SUMIFS('YTD Purchases'!$H:$H,'YTD Purchases'!$C:$C,Brokerage!$B183,'YTD Purchases'!$G:$G,Brokerage!P$4)</f>
        <v>0</v>
      </c>
      <c r="Q183" s="857">
        <f>SUMIFS('YTD Sales'!$N:$N,'YTD Sales'!$B:$B,Brokerage!$B183,'YTD Sales'!$M:$M,Brokerage!Q$4)+SUMIFS('YTD Purchases'!$H:$H,'YTD Purchases'!$C:$C,Brokerage!$B183,'YTD Purchases'!$G:$G,Brokerage!Q$4)</f>
        <v>0</v>
      </c>
      <c r="R183" s="857">
        <f>SUMIFS('YTD Sales'!$N:$N,'YTD Sales'!$B:$B,Brokerage!$B183,'YTD Sales'!$M:$M,Brokerage!R$4)+SUMIFS('YTD Purchases'!$H:$H,'YTD Purchases'!$C:$C,Brokerage!$B183,'YTD Purchases'!$G:$G,Brokerage!R$4)</f>
        <v>0</v>
      </c>
      <c r="S183" s="857">
        <f>SUMIFS('YTD Sales'!$N:$N,'YTD Sales'!$B:$B,Brokerage!$B183,'YTD Sales'!$M:$M,Brokerage!S$4)+SUMIFS('YTD Purchases'!$H:$H,'YTD Purchases'!$C:$C,Brokerage!$B183,'YTD Purchases'!$G:$G,Brokerage!S$4)</f>
        <v>2218.21</v>
      </c>
      <c r="T183" s="857">
        <f>SUMIFS('YTD Sales'!$N:$N,'YTD Sales'!$B:$B,Brokerage!$B183,'YTD Sales'!$M:$M,Brokerage!T$4)+SUMIFS('YTD Purchases'!$H:$H,'YTD Purchases'!$C:$C,Brokerage!$B183,'YTD Purchases'!$G:$G,Brokerage!T$4)</f>
        <v>0</v>
      </c>
      <c r="U183" s="857">
        <f>SUMIFS('YTD Sales'!$N:$N,'YTD Sales'!$B:$B,Brokerage!$B183,'YTD Sales'!$M:$M,Brokerage!U$4)+SUMIFS('YTD Purchases'!$H:$H,'YTD Purchases'!$C:$C,Brokerage!$B183,'YTD Purchases'!$G:$G,Brokerage!U$4)</f>
        <v>0</v>
      </c>
      <c r="V183" s="857">
        <f>SUMIFS('YTD Sales'!$N:$N,'YTD Sales'!$B:$B,Brokerage!$B183,'YTD Sales'!$M:$M,Brokerage!V$4)+SUMIFS('YTD Purchases'!$H:$H,'YTD Purchases'!$C:$C,Brokerage!$B183,'YTD Purchases'!$G:$G,Brokerage!V$4)</f>
        <v>0</v>
      </c>
      <c r="W183" s="857">
        <f>SUMIFS('YTD Sales'!$N:$N,'YTD Sales'!$B:$B,Brokerage!$B183,'YTD Sales'!$M:$M,Brokerage!W$4)+SUMIFS('YTD Purchases'!$H:$H,'YTD Purchases'!$C:$C,Brokerage!$B183,'YTD Purchases'!$G:$G,Brokerage!W$4)</f>
        <v>0</v>
      </c>
      <c r="X183" s="857">
        <f>SUMIFS('YTD Sales'!$N:$N,'YTD Sales'!$B:$B,Brokerage!$B183,'YTD Sales'!$M:$M,Brokerage!X$4)+SUMIFS('YTD Purchases'!$H:$H,'YTD Purchases'!$C:$C,Brokerage!$B183,'YTD Purchases'!$G:$G,Brokerage!X$4)</f>
        <v>11268.36</v>
      </c>
      <c r="Y183" s="857">
        <f>SUMIFS('YTD Sales'!$N:$N,'YTD Sales'!$B:$B,Brokerage!$B183,'YTD Sales'!$M:$M,Brokerage!Y$4)+SUMIFS('YTD Purchases'!$H:$H,'YTD Purchases'!$C:$C,Brokerage!$B183,'YTD Purchases'!$G:$G,Brokerage!Y$4)</f>
        <v>0</v>
      </c>
      <c r="Z183" s="857">
        <f>SUMIFS('YTD Sales'!$N:$N,'YTD Sales'!$B:$B,Brokerage!$B183,'YTD Sales'!$M:$M,Brokerage!Z$4)+SUMIFS('YTD Purchases'!$H:$H,'YTD Purchases'!$C:$C,Brokerage!$B183,'YTD Purchases'!$G:$G,Brokerage!Z$4)</f>
        <v>0</v>
      </c>
      <c r="AA183" s="857">
        <f>SUMIFS('YTD Sales'!$N:$N,'YTD Sales'!$B:$B,Brokerage!$B183,'YTD Sales'!$M:$M,Brokerage!AA$4)+SUMIFS('YTD Purchases'!$H:$H,'YTD Purchases'!$C:$C,Brokerage!$B183,'YTD Purchases'!$G:$G,Brokerage!AA$4)</f>
        <v>0</v>
      </c>
      <c r="AB183" s="857">
        <f>SUMIFS('YTD Sales'!$N:$N,'YTD Sales'!$B:$B,Brokerage!$B183,'YTD Sales'!$M:$M,Brokerage!AB$4)+SUMIFS('YTD Purchases'!$H:$H,'YTD Purchases'!$C:$C,Brokerage!$B183,'YTD Purchases'!$G:$G,Brokerage!AB$4)</f>
        <v>0</v>
      </c>
      <c r="AC183" s="857">
        <f>SUMIFS('YTD Sales'!$N:$N,'YTD Sales'!$B:$B,Brokerage!$B183,'YTD Sales'!$M:$M,Brokerage!AC$4)+SUMIFS('YTD Purchases'!$H:$H,'YTD Purchases'!$C:$C,Brokerage!$B183,'YTD Purchases'!$G:$G,Brokerage!AC$4)</f>
        <v>0</v>
      </c>
      <c r="AD183" s="857">
        <f>+SUMIFS(PIB!AG:AG,PIB!AF:AF,Brokerage!AD$4,PIB!AA:AA,Brokerage!$B183)+SUMIFS('T-Bills'!AB:AB,'T-Bills'!AA:AA,Brokerage!AD$4,'T-Bills'!V:V,Brokerage!$B183)</f>
        <v>0</v>
      </c>
      <c r="AE183" s="857">
        <f>+SUMIFS(PIB!AH:AH,PIB!AG:AG,Brokerage!AE$4,PIB!AB:AB,Brokerage!$B183)+SUMIFS('T-Bills'!AC:AC,'T-Bills'!AB:AB,Brokerage!AE$4,'T-Bills'!W:W,Brokerage!$B183)</f>
        <v>0</v>
      </c>
      <c r="AF183" s="857">
        <f>+SUMIFS(PIB!AI:AI,PIB!AH:AH,Brokerage!AF$4,PIB!AC:AC,Brokerage!$B183)+SUMIFS('T-Bills'!AD:AD,'T-Bills'!AC:AC,Brokerage!AF$4,'T-Bills'!X:X,Brokerage!$B183)</f>
        <v>0</v>
      </c>
      <c r="AG183" s="857">
        <f t="shared" si="19"/>
        <v>33178.54</v>
      </c>
      <c r="AH183" s="858">
        <f t="shared" si="21"/>
        <v>1</v>
      </c>
    </row>
    <row r="184" spans="2:34" x14ac:dyDescent="0.15">
      <c r="B184" s="661">
        <f t="shared" si="18"/>
        <v>44740</v>
      </c>
      <c r="C184" s="857">
        <f>SUMIFS('YTD Sales'!$N:$N,'YTD Sales'!$B:$B,Brokerage!$B184,'YTD Sales'!$M:$M,Brokerage!C$4)+SUMIFS('YTD Purchases'!$H:$H,'YTD Purchases'!$C:$C,Brokerage!$B184,'YTD Purchases'!$G:$G,Brokerage!C$4)</f>
        <v>0</v>
      </c>
      <c r="D184" s="857">
        <f>SUMIFS('YTD Sales'!$N:$N,'YTD Sales'!$B:$B,Brokerage!$B184,'YTD Sales'!$M:$M,Brokerage!D$4)+SUMIFS('YTD Purchases'!$H:$H,'YTD Purchases'!$C:$C,Brokerage!$B184,'YTD Purchases'!$G:$G,Brokerage!D$4)</f>
        <v>0</v>
      </c>
      <c r="E184" s="857">
        <f>SUMIFS('YTD Sales'!$N:$N,'YTD Sales'!$B:$B,Brokerage!$B184,'YTD Sales'!$M:$M,Brokerage!E$4)+SUMIFS('YTD Purchases'!$H:$H,'YTD Purchases'!$C:$C,Brokerage!$B184,'YTD Purchases'!$G:$G,Brokerage!E$4)</f>
        <v>0</v>
      </c>
      <c r="F184" s="857">
        <f>SUMIFS('YTD Sales'!$N:$N,'YTD Sales'!$B:$B,Brokerage!$B184,'YTD Sales'!$M:$M,Brokerage!F$4)+SUMIFS('YTD Purchases'!$H:$H,'YTD Purchases'!$C:$C,Brokerage!$B184,'YTD Purchases'!$G:$G,Brokerage!F$4)</f>
        <v>0</v>
      </c>
      <c r="G184" s="857">
        <f>SUMIFS('YTD Sales'!$N:$N,'YTD Sales'!$B:$B,Brokerage!$B184,'YTD Sales'!$M:$M,Brokerage!G$4)+SUMIFS('YTD Purchases'!$H:$H,'YTD Purchases'!$C:$C,Brokerage!$B184,'YTD Purchases'!$G:$G,Brokerage!G$4)</f>
        <v>0</v>
      </c>
      <c r="H184" s="857">
        <f>SUMIFS('YTD Sales'!$N:$N,'YTD Sales'!$B:$B,Brokerage!$B184,'YTD Sales'!$M:$M,Brokerage!H$4)+SUMIFS('YTD Purchases'!$H:$H,'YTD Purchases'!$C:$C,Brokerage!$B184,'YTD Purchases'!$G:$G,Brokerage!H$4)</f>
        <v>6652.8093637931033</v>
      </c>
      <c r="I184" s="857">
        <f>SUMIFS('YTD Sales'!$N:$N,'YTD Sales'!$B:$B,Brokerage!$B184,'YTD Sales'!$M:$M,Brokerage!I$4)+SUMIFS('YTD Purchases'!$H:$H,'YTD Purchases'!$C:$C,Brokerage!$B184,'YTD Purchases'!$G:$G,Brokerage!I$4)</f>
        <v>0</v>
      </c>
      <c r="J184" s="857">
        <f>SUMIFS('YTD Sales'!$N:$N,'YTD Sales'!$B:$B,Brokerage!$B184,'YTD Sales'!$M:$M,Brokerage!J$4)+SUMIFS('YTD Purchases'!$H:$H,'YTD Purchases'!$C:$C,Brokerage!$B184,'YTD Purchases'!$G:$G,Brokerage!J$4)</f>
        <v>0</v>
      </c>
      <c r="K184" s="857">
        <f>SUMIFS('YTD Sales'!$N:$N,'YTD Sales'!$B:$B,Brokerage!$B184,'YTD Sales'!$M:$M,Brokerage!K$4)+SUMIFS('YTD Purchases'!$H:$H,'YTD Purchases'!$C:$C,Brokerage!$B184,'YTD Purchases'!$G:$G,Brokerage!K$4)</f>
        <v>0</v>
      </c>
      <c r="L184" s="857">
        <f>SUMIFS('YTD Sales'!$N:$N,'YTD Sales'!$B:$B,Brokerage!$B184,'YTD Sales'!$M:$M,Brokerage!L$4)+SUMIFS('YTD Purchases'!$H:$H,'YTD Purchases'!$C:$C,Brokerage!$B184,'YTD Purchases'!$G:$G,Brokerage!L$4)</f>
        <v>0</v>
      </c>
      <c r="M184" s="857">
        <f>SUMIFS('YTD Sales'!$N:$N,'YTD Sales'!$B:$B,Brokerage!$B184,'YTD Sales'!$M:$M,Brokerage!M$4)+SUMIFS('YTD Purchases'!$H:$H,'YTD Purchases'!$C:$C,Brokerage!$B184,'YTD Purchases'!$G:$G,Brokerage!M$4)</f>
        <v>4368.34</v>
      </c>
      <c r="N184" s="857">
        <f>SUMIFS('YTD Sales'!$N:$N,'YTD Sales'!$B:$B,Brokerage!$B184,'YTD Sales'!$M:$M,Brokerage!N$4)+SUMIFS('YTD Purchases'!$H:$H,'YTD Purchases'!$C:$C,Brokerage!$B184,'YTD Purchases'!$G:$G,Brokerage!N$4)</f>
        <v>0</v>
      </c>
      <c r="O184" s="857">
        <f>SUMIFS('YTD Sales'!$N:$N,'YTD Sales'!$B:$B,Brokerage!$B184,'YTD Sales'!$M:$M,Brokerage!O$4)+SUMIFS('YTD Purchases'!$H:$H,'YTD Purchases'!$C:$C,Brokerage!$B184,'YTD Purchases'!$G:$G,Brokerage!O$4)</f>
        <v>0</v>
      </c>
      <c r="P184" s="857">
        <f>SUMIFS('YTD Sales'!$N:$N,'YTD Sales'!$B:$B,Brokerage!$B184,'YTD Sales'!$M:$M,Brokerage!P$4)+SUMIFS('YTD Purchases'!$H:$H,'YTD Purchases'!$C:$C,Brokerage!$B184,'YTD Purchases'!$G:$G,Brokerage!P$4)</f>
        <v>0</v>
      </c>
      <c r="Q184" s="857">
        <f>SUMIFS('YTD Sales'!$N:$N,'YTD Sales'!$B:$B,Brokerage!$B184,'YTD Sales'!$M:$M,Brokerage!Q$4)+SUMIFS('YTD Purchases'!$H:$H,'YTD Purchases'!$C:$C,Brokerage!$B184,'YTD Purchases'!$G:$G,Brokerage!Q$4)</f>
        <v>0</v>
      </c>
      <c r="R184" s="857">
        <f>SUMIFS('YTD Sales'!$N:$N,'YTD Sales'!$B:$B,Brokerage!$B184,'YTD Sales'!$M:$M,Brokerage!R$4)+SUMIFS('YTD Purchases'!$H:$H,'YTD Purchases'!$C:$C,Brokerage!$B184,'YTD Purchases'!$G:$G,Brokerage!R$4)</f>
        <v>0</v>
      </c>
      <c r="S184" s="857">
        <f>SUMIFS('YTD Sales'!$N:$N,'YTD Sales'!$B:$B,Brokerage!$B184,'YTD Sales'!$M:$M,Brokerage!S$4)+SUMIFS('YTD Purchases'!$H:$H,'YTD Purchases'!$C:$C,Brokerage!$B184,'YTD Purchases'!$G:$G,Brokerage!S$4)</f>
        <v>0</v>
      </c>
      <c r="T184" s="857">
        <f>SUMIFS('YTD Sales'!$N:$N,'YTD Sales'!$B:$B,Brokerage!$B184,'YTD Sales'!$M:$M,Brokerage!T$4)+SUMIFS('YTD Purchases'!$H:$H,'YTD Purchases'!$C:$C,Brokerage!$B184,'YTD Purchases'!$G:$G,Brokerage!T$4)</f>
        <v>0</v>
      </c>
      <c r="U184" s="857">
        <f>SUMIFS('YTD Sales'!$N:$N,'YTD Sales'!$B:$B,Brokerage!$B184,'YTD Sales'!$M:$M,Brokerage!U$4)+SUMIFS('YTD Purchases'!$H:$H,'YTD Purchases'!$C:$C,Brokerage!$B184,'YTD Purchases'!$G:$G,Brokerage!U$4)</f>
        <v>0</v>
      </c>
      <c r="V184" s="857">
        <f>SUMIFS('YTD Sales'!$N:$N,'YTD Sales'!$B:$B,Brokerage!$B184,'YTD Sales'!$M:$M,Brokerage!V$4)+SUMIFS('YTD Purchases'!$H:$H,'YTD Purchases'!$C:$C,Brokerage!$B184,'YTD Purchases'!$G:$G,Brokerage!V$4)</f>
        <v>0</v>
      </c>
      <c r="W184" s="857">
        <f>SUMIFS('YTD Sales'!$N:$N,'YTD Sales'!$B:$B,Brokerage!$B184,'YTD Sales'!$M:$M,Brokerage!W$4)+SUMIFS('YTD Purchases'!$H:$H,'YTD Purchases'!$C:$C,Brokerage!$B184,'YTD Purchases'!$G:$G,Brokerage!W$4)</f>
        <v>0</v>
      </c>
      <c r="X184" s="857">
        <f>SUMIFS('YTD Sales'!$N:$N,'YTD Sales'!$B:$B,Brokerage!$B184,'YTD Sales'!$M:$M,Brokerage!X$4)+SUMIFS('YTD Purchases'!$H:$H,'YTD Purchases'!$C:$C,Brokerage!$B184,'YTD Purchases'!$G:$G,Brokerage!X$4)</f>
        <v>580.48</v>
      </c>
      <c r="Y184" s="857">
        <f>SUMIFS('YTD Sales'!$N:$N,'YTD Sales'!$B:$B,Brokerage!$B184,'YTD Sales'!$M:$M,Brokerage!Y$4)+SUMIFS('YTD Purchases'!$H:$H,'YTD Purchases'!$C:$C,Brokerage!$B184,'YTD Purchases'!$G:$G,Brokerage!Y$4)</f>
        <v>0</v>
      </c>
      <c r="Z184" s="857">
        <f>SUMIFS('YTD Sales'!$N:$N,'YTD Sales'!$B:$B,Brokerage!$B184,'YTD Sales'!$M:$M,Brokerage!Z$4)+SUMIFS('YTD Purchases'!$H:$H,'YTD Purchases'!$C:$C,Brokerage!$B184,'YTD Purchases'!$G:$G,Brokerage!Z$4)</f>
        <v>0</v>
      </c>
      <c r="AA184" s="857">
        <f>SUMIFS('YTD Sales'!$N:$N,'YTD Sales'!$B:$B,Brokerage!$B184,'YTD Sales'!$M:$M,Brokerage!AA$4)+SUMIFS('YTD Purchases'!$H:$H,'YTD Purchases'!$C:$C,Brokerage!$B184,'YTD Purchases'!$G:$G,Brokerage!AA$4)</f>
        <v>0</v>
      </c>
      <c r="AB184" s="857">
        <f>SUMIFS('YTD Sales'!$N:$N,'YTD Sales'!$B:$B,Brokerage!$B184,'YTD Sales'!$M:$M,Brokerage!AB$4)+SUMIFS('YTD Purchases'!$H:$H,'YTD Purchases'!$C:$C,Brokerage!$B184,'YTD Purchases'!$G:$G,Brokerage!AB$4)</f>
        <v>0</v>
      </c>
      <c r="AC184" s="857">
        <f>SUMIFS('YTD Sales'!$N:$N,'YTD Sales'!$B:$B,Brokerage!$B184,'YTD Sales'!$M:$M,Brokerage!AC$4)+SUMIFS('YTD Purchases'!$H:$H,'YTD Purchases'!$C:$C,Brokerage!$B184,'YTD Purchases'!$G:$G,Brokerage!AC$4)</f>
        <v>0</v>
      </c>
      <c r="AD184" s="857">
        <f>+SUMIFS(PIB!AG:AG,PIB!AF:AF,Brokerage!AD$4,PIB!AA:AA,Brokerage!$B184)+SUMIFS('T-Bills'!AB:AB,'T-Bills'!AA:AA,Brokerage!AD$4,'T-Bills'!V:V,Brokerage!$B184)</f>
        <v>0</v>
      </c>
      <c r="AE184" s="857">
        <f>+SUMIFS(PIB!AH:AH,PIB!AG:AG,Brokerage!AE$4,PIB!AB:AB,Brokerage!$B184)+SUMIFS('T-Bills'!AC:AC,'T-Bills'!AB:AB,Brokerage!AE$4,'T-Bills'!W:W,Brokerage!$B184)</f>
        <v>0</v>
      </c>
      <c r="AF184" s="857">
        <f>+SUMIFS(PIB!AI:AI,PIB!AH:AH,Brokerage!AF$4,PIB!AC:AC,Brokerage!$B184)+SUMIFS('T-Bills'!AD:AD,'T-Bills'!AC:AC,Brokerage!AF$4,'T-Bills'!X:X,Brokerage!$B184)</f>
        <v>0</v>
      </c>
      <c r="AG184" s="857">
        <f t="shared" si="19"/>
        <v>11601.629363793103</v>
      </c>
      <c r="AH184" s="858">
        <f t="shared" si="21"/>
        <v>0</v>
      </c>
    </row>
    <row r="185" spans="2:34" x14ac:dyDescent="0.15">
      <c r="B185" s="661">
        <f t="shared" si="18"/>
        <v>44741</v>
      </c>
      <c r="C185" s="857">
        <f>SUMIFS('YTD Sales'!$N:$N,'YTD Sales'!$B:$B,Brokerage!$B185,'YTD Sales'!$M:$M,Brokerage!C$4)+SUMIFS('YTD Purchases'!$H:$H,'YTD Purchases'!$C:$C,Brokerage!$B185,'YTD Purchases'!$G:$G,Brokerage!C$4)</f>
        <v>847.5</v>
      </c>
      <c r="D185" s="857">
        <f>SUMIFS('YTD Sales'!$N:$N,'YTD Sales'!$B:$B,Brokerage!$B185,'YTD Sales'!$M:$M,Brokerage!D$4)+SUMIFS('YTD Purchases'!$H:$H,'YTD Purchases'!$C:$C,Brokerage!$B185,'YTD Purchases'!$G:$G,Brokerage!D$4)</f>
        <v>0</v>
      </c>
      <c r="E185" s="857">
        <f>SUMIFS('YTD Sales'!$N:$N,'YTD Sales'!$B:$B,Brokerage!$B185,'YTD Sales'!$M:$M,Brokerage!E$4)+SUMIFS('YTD Purchases'!$H:$H,'YTD Purchases'!$C:$C,Brokerage!$B185,'YTD Purchases'!$G:$G,Brokerage!E$4)</f>
        <v>0</v>
      </c>
      <c r="F185" s="857">
        <f>SUMIFS('YTD Sales'!$N:$N,'YTD Sales'!$B:$B,Brokerage!$B185,'YTD Sales'!$M:$M,Brokerage!F$4)+SUMIFS('YTD Purchases'!$H:$H,'YTD Purchases'!$C:$C,Brokerage!$B185,'YTD Purchases'!$G:$G,Brokerage!F$4)</f>
        <v>0</v>
      </c>
      <c r="G185" s="857">
        <f>SUMIFS('YTD Sales'!$N:$N,'YTD Sales'!$B:$B,Brokerage!$B185,'YTD Sales'!$M:$M,Brokerage!G$4)+SUMIFS('YTD Purchases'!$H:$H,'YTD Purchases'!$C:$C,Brokerage!$B185,'YTD Purchases'!$G:$G,Brokerage!G$4)</f>
        <v>0</v>
      </c>
      <c r="H185" s="857">
        <f>SUMIFS('YTD Sales'!$N:$N,'YTD Sales'!$B:$B,Brokerage!$B185,'YTD Sales'!$M:$M,Brokerage!H$4)+SUMIFS('YTD Purchases'!$H:$H,'YTD Purchases'!$C:$C,Brokerage!$B185,'YTD Purchases'!$G:$G,Brokerage!H$4)</f>
        <v>0</v>
      </c>
      <c r="I185" s="857">
        <f>SUMIFS('YTD Sales'!$N:$N,'YTD Sales'!$B:$B,Brokerage!$B185,'YTD Sales'!$M:$M,Brokerage!I$4)+SUMIFS('YTD Purchases'!$H:$H,'YTD Purchases'!$C:$C,Brokerage!$B185,'YTD Purchases'!$G:$G,Brokerage!I$4)</f>
        <v>0</v>
      </c>
      <c r="J185" s="857">
        <f>SUMIFS('YTD Sales'!$N:$N,'YTD Sales'!$B:$B,Brokerage!$B185,'YTD Sales'!$M:$M,Brokerage!J$4)+SUMIFS('YTD Purchases'!$H:$H,'YTD Purchases'!$C:$C,Brokerage!$B185,'YTD Purchases'!$G:$G,Brokerage!J$4)</f>
        <v>0</v>
      </c>
      <c r="K185" s="857">
        <f>SUMIFS('YTD Sales'!$N:$N,'YTD Sales'!$B:$B,Brokerage!$B185,'YTD Sales'!$M:$M,Brokerage!K$4)+SUMIFS('YTD Purchases'!$H:$H,'YTD Purchases'!$C:$C,Brokerage!$B185,'YTD Purchases'!$G:$G,Brokerage!K$4)</f>
        <v>0</v>
      </c>
      <c r="L185" s="857">
        <f>SUMIFS('YTD Sales'!$N:$N,'YTD Sales'!$B:$B,Brokerage!$B185,'YTD Sales'!$M:$M,Brokerage!L$4)+SUMIFS('YTD Purchases'!$H:$H,'YTD Purchases'!$C:$C,Brokerage!$B185,'YTD Purchases'!$G:$G,Brokerage!L$4)</f>
        <v>0</v>
      </c>
      <c r="M185" s="857">
        <f>SUMIFS('YTD Sales'!$N:$N,'YTD Sales'!$B:$B,Brokerage!$B185,'YTD Sales'!$M:$M,Brokerage!M$4)+SUMIFS('YTD Purchases'!$H:$H,'YTD Purchases'!$C:$C,Brokerage!$B185,'YTD Purchases'!$G:$G,Brokerage!M$4)</f>
        <v>0</v>
      </c>
      <c r="N185" s="857">
        <f>SUMIFS('YTD Sales'!$N:$N,'YTD Sales'!$B:$B,Brokerage!$B185,'YTD Sales'!$M:$M,Brokerage!N$4)+SUMIFS('YTD Purchases'!$H:$H,'YTD Purchases'!$C:$C,Brokerage!$B185,'YTD Purchases'!$G:$G,Brokerage!N$4)</f>
        <v>0</v>
      </c>
      <c r="O185" s="857">
        <f>SUMIFS('YTD Sales'!$N:$N,'YTD Sales'!$B:$B,Brokerage!$B185,'YTD Sales'!$M:$M,Brokerage!O$4)+SUMIFS('YTD Purchases'!$H:$H,'YTD Purchases'!$C:$C,Brokerage!$B185,'YTD Purchases'!$G:$G,Brokerage!O$4)</f>
        <v>0</v>
      </c>
      <c r="P185" s="857">
        <f>SUMIFS('YTD Sales'!$N:$N,'YTD Sales'!$B:$B,Brokerage!$B185,'YTD Sales'!$M:$M,Brokerage!P$4)+SUMIFS('YTD Purchases'!$H:$H,'YTD Purchases'!$C:$C,Brokerage!$B185,'YTD Purchases'!$G:$G,Brokerage!P$4)</f>
        <v>0</v>
      </c>
      <c r="Q185" s="857">
        <f>SUMIFS('YTD Sales'!$N:$N,'YTD Sales'!$B:$B,Brokerage!$B185,'YTD Sales'!$M:$M,Brokerage!Q$4)+SUMIFS('YTD Purchases'!$H:$H,'YTD Purchases'!$C:$C,Brokerage!$B185,'YTD Purchases'!$G:$G,Brokerage!Q$4)</f>
        <v>0</v>
      </c>
      <c r="R185" s="857">
        <f>SUMIFS('YTD Sales'!$N:$N,'YTD Sales'!$B:$B,Brokerage!$B185,'YTD Sales'!$M:$M,Brokerage!R$4)+SUMIFS('YTD Purchases'!$H:$H,'YTD Purchases'!$C:$C,Brokerage!$B185,'YTD Purchases'!$G:$G,Brokerage!R$4)</f>
        <v>0</v>
      </c>
      <c r="S185" s="857">
        <f>SUMIFS('YTD Sales'!$N:$N,'YTD Sales'!$B:$B,Brokerage!$B185,'YTD Sales'!$M:$M,Brokerage!S$4)+SUMIFS('YTD Purchases'!$H:$H,'YTD Purchases'!$C:$C,Brokerage!$B185,'YTD Purchases'!$G:$G,Brokerage!S$4)</f>
        <v>0</v>
      </c>
      <c r="T185" s="857">
        <f>SUMIFS('YTD Sales'!$N:$N,'YTD Sales'!$B:$B,Brokerage!$B185,'YTD Sales'!$M:$M,Brokerage!T$4)+SUMIFS('YTD Purchases'!$H:$H,'YTD Purchases'!$C:$C,Brokerage!$B185,'YTD Purchases'!$G:$G,Brokerage!T$4)</f>
        <v>0</v>
      </c>
      <c r="U185" s="857">
        <f>SUMIFS('YTD Sales'!$N:$N,'YTD Sales'!$B:$B,Brokerage!$B185,'YTD Sales'!$M:$M,Brokerage!U$4)+SUMIFS('YTD Purchases'!$H:$H,'YTD Purchases'!$C:$C,Brokerage!$B185,'YTD Purchases'!$G:$G,Brokerage!U$4)</f>
        <v>0</v>
      </c>
      <c r="V185" s="857">
        <f>SUMIFS('YTD Sales'!$N:$N,'YTD Sales'!$B:$B,Brokerage!$B185,'YTD Sales'!$M:$M,Brokerage!V$4)+SUMIFS('YTD Purchases'!$H:$H,'YTD Purchases'!$C:$C,Brokerage!$B185,'YTD Purchases'!$G:$G,Brokerage!V$4)</f>
        <v>0</v>
      </c>
      <c r="W185" s="857">
        <f>SUMIFS('YTD Sales'!$N:$N,'YTD Sales'!$B:$B,Brokerage!$B185,'YTD Sales'!$M:$M,Brokerage!W$4)+SUMIFS('YTD Purchases'!$H:$H,'YTD Purchases'!$C:$C,Brokerage!$B185,'YTD Purchases'!$G:$G,Brokerage!W$4)</f>
        <v>0</v>
      </c>
      <c r="X185" s="857">
        <f>SUMIFS('YTD Sales'!$N:$N,'YTD Sales'!$B:$B,Brokerage!$B185,'YTD Sales'!$M:$M,Brokerage!X$4)+SUMIFS('YTD Purchases'!$H:$H,'YTD Purchases'!$C:$C,Brokerage!$B185,'YTD Purchases'!$G:$G,Brokerage!X$4)</f>
        <v>0</v>
      </c>
      <c r="Y185" s="857">
        <f>SUMIFS('YTD Sales'!$N:$N,'YTD Sales'!$B:$B,Brokerage!$B185,'YTD Sales'!$M:$M,Brokerage!Y$4)+SUMIFS('YTD Purchases'!$H:$H,'YTD Purchases'!$C:$C,Brokerage!$B185,'YTD Purchases'!$G:$G,Brokerage!Y$4)</f>
        <v>0</v>
      </c>
      <c r="Z185" s="857">
        <f>SUMIFS('YTD Sales'!$N:$N,'YTD Sales'!$B:$B,Brokerage!$B185,'YTD Sales'!$M:$M,Brokerage!Z$4)+SUMIFS('YTD Purchases'!$H:$H,'YTD Purchases'!$C:$C,Brokerage!$B185,'YTD Purchases'!$G:$G,Brokerage!Z$4)</f>
        <v>0</v>
      </c>
      <c r="AA185" s="857">
        <f>SUMIFS('YTD Sales'!$N:$N,'YTD Sales'!$B:$B,Brokerage!$B185,'YTD Sales'!$M:$M,Brokerage!AA$4)+SUMIFS('YTD Purchases'!$H:$H,'YTD Purchases'!$C:$C,Brokerage!$B185,'YTD Purchases'!$G:$G,Brokerage!AA$4)</f>
        <v>0</v>
      </c>
      <c r="AB185" s="857">
        <f>SUMIFS('YTD Sales'!$N:$N,'YTD Sales'!$B:$B,Brokerage!$B185,'YTD Sales'!$M:$M,Brokerage!AB$4)+SUMIFS('YTD Purchases'!$H:$H,'YTD Purchases'!$C:$C,Brokerage!$B185,'YTD Purchases'!$G:$G,Brokerage!AB$4)</f>
        <v>6736.88</v>
      </c>
      <c r="AC185" s="857">
        <f>SUMIFS('YTD Sales'!$N:$N,'YTD Sales'!$B:$B,Brokerage!$B185,'YTD Sales'!$M:$M,Brokerage!AC$4)+SUMIFS('YTD Purchases'!$H:$H,'YTD Purchases'!$C:$C,Brokerage!$B185,'YTD Purchases'!$G:$G,Brokerage!AC$4)</f>
        <v>0</v>
      </c>
      <c r="AD185" s="857">
        <f>+SUMIFS(PIB!AG:AG,PIB!AF:AF,Brokerage!AD$4,PIB!AA:AA,Brokerage!$B185)+SUMIFS('T-Bills'!AB:AB,'T-Bills'!AA:AA,Brokerage!AD$4,'T-Bills'!V:V,Brokerage!$B185)</f>
        <v>0</v>
      </c>
      <c r="AE185" s="857">
        <f>+SUMIFS(PIB!AH:AH,PIB!AG:AG,Brokerage!AE$4,PIB!AB:AB,Brokerage!$B185)+SUMIFS('T-Bills'!AC:AC,'T-Bills'!AB:AB,Brokerage!AE$4,'T-Bills'!W:W,Brokerage!$B185)</f>
        <v>0</v>
      </c>
      <c r="AF185" s="857">
        <f>+SUMIFS(PIB!AI:AI,PIB!AH:AH,Brokerage!AF$4,PIB!AC:AC,Brokerage!$B185)+SUMIFS('T-Bills'!AD:AD,'T-Bills'!AC:AC,Brokerage!AF$4,'T-Bills'!X:X,Brokerage!$B185)</f>
        <v>0</v>
      </c>
      <c r="AG185" s="857">
        <f t="shared" si="19"/>
        <v>7584.38</v>
      </c>
      <c r="AH185" s="858">
        <f t="shared" si="21"/>
        <v>0</v>
      </c>
    </row>
    <row r="186" spans="2:34" x14ac:dyDescent="0.15">
      <c r="B186" s="661">
        <f t="shared" si="18"/>
        <v>44742</v>
      </c>
      <c r="C186" s="857">
        <f>SUMIFS('YTD Sales'!$N:$N,'YTD Sales'!$B:$B,Brokerage!$B186,'YTD Sales'!$M:$M,Brokerage!C$4)+SUMIFS('YTD Purchases'!$H:$H,'YTD Purchases'!$C:$C,Brokerage!$B186,'YTD Purchases'!$G:$G,Brokerage!C$4)</f>
        <v>0</v>
      </c>
      <c r="D186" s="857">
        <f>SUMIFS('YTD Sales'!$N:$N,'YTD Sales'!$B:$B,Brokerage!$B186,'YTD Sales'!$M:$M,Brokerage!D$4)+SUMIFS('YTD Purchases'!$H:$H,'YTD Purchases'!$C:$C,Brokerage!$B186,'YTD Purchases'!$G:$G,Brokerage!D$4)</f>
        <v>0</v>
      </c>
      <c r="E186" s="857">
        <f>SUMIFS('YTD Sales'!$N:$N,'YTD Sales'!$B:$B,Brokerage!$B186,'YTD Sales'!$M:$M,Brokerage!E$4)+SUMIFS('YTD Purchases'!$H:$H,'YTD Purchases'!$C:$C,Brokerage!$B186,'YTD Purchases'!$G:$G,Brokerage!E$4)</f>
        <v>0</v>
      </c>
      <c r="F186" s="857">
        <f>SUMIFS('YTD Sales'!$N:$N,'YTD Sales'!$B:$B,Brokerage!$B186,'YTD Sales'!$M:$M,Brokerage!F$4)+SUMIFS('YTD Purchases'!$H:$H,'YTD Purchases'!$C:$C,Brokerage!$B186,'YTD Purchases'!$G:$G,Brokerage!F$4)</f>
        <v>0</v>
      </c>
      <c r="G186" s="857">
        <f>SUMIFS('YTD Sales'!$N:$N,'YTD Sales'!$B:$B,Brokerage!$B186,'YTD Sales'!$M:$M,Brokerage!G$4)+SUMIFS('YTD Purchases'!$H:$H,'YTD Purchases'!$C:$C,Brokerage!$B186,'YTD Purchases'!$G:$G,Brokerage!G$4)</f>
        <v>0</v>
      </c>
      <c r="H186" s="857">
        <f>SUMIFS('YTD Sales'!$N:$N,'YTD Sales'!$B:$B,Brokerage!$B186,'YTD Sales'!$M:$M,Brokerage!H$4)+SUMIFS('YTD Purchases'!$H:$H,'YTD Purchases'!$C:$C,Brokerage!$B186,'YTD Purchases'!$G:$G,Brokerage!H$4)</f>
        <v>0</v>
      </c>
      <c r="I186" s="857">
        <f>SUMIFS('YTD Sales'!$N:$N,'YTD Sales'!$B:$B,Brokerage!$B186,'YTD Sales'!$M:$M,Brokerage!I$4)+SUMIFS('YTD Purchases'!$H:$H,'YTD Purchases'!$C:$C,Brokerage!$B186,'YTD Purchases'!$G:$G,Brokerage!I$4)</f>
        <v>0</v>
      </c>
      <c r="J186" s="857">
        <f>SUMIFS('YTD Sales'!$N:$N,'YTD Sales'!$B:$B,Brokerage!$B186,'YTD Sales'!$M:$M,Brokerage!J$4)+SUMIFS('YTD Purchases'!$H:$H,'YTD Purchases'!$C:$C,Brokerage!$B186,'YTD Purchases'!$G:$G,Brokerage!J$4)</f>
        <v>0</v>
      </c>
      <c r="K186" s="857">
        <f>SUMIFS('YTD Sales'!$N:$N,'YTD Sales'!$B:$B,Brokerage!$B186,'YTD Sales'!$M:$M,Brokerage!K$4)+SUMIFS('YTD Purchases'!$H:$H,'YTD Purchases'!$C:$C,Brokerage!$B186,'YTD Purchases'!$G:$G,Brokerage!K$4)</f>
        <v>0</v>
      </c>
      <c r="L186" s="857">
        <f>SUMIFS('YTD Sales'!$N:$N,'YTD Sales'!$B:$B,Brokerage!$B186,'YTD Sales'!$M:$M,Brokerage!L$4)+SUMIFS('YTD Purchases'!$H:$H,'YTD Purchases'!$C:$C,Brokerage!$B186,'YTD Purchases'!$G:$G,Brokerage!L$4)</f>
        <v>0</v>
      </c>
      <c r="M186" s="857">
        <f>SUMIFS('YTD Sales'!$N:$N,'YTD Sales'!$B:$B,Brokerage!$B186,'YTD Sales'!$M:$M,Brokerage!M$4)+SUMIFS('YTD Purchases'!$H:$H,'YTD Purchases'!$C:$C,Brokerage!$B186,'YTD Purchases'!$G:$G,Brokerage!M$4)</f>
        <v>0</v>
      </c>
      <c r="N186" s="857">
        <f>SUMIFS('YTD Sales'!$N:$N,'YTD Sales'!$B:$B,Brokerage!$B186,'YTD Sales'!$M:$M,Brokerage!N$4)+SUMIFS('YTD Purchases'!$H:$H,'YTD Purchases'!$C:$C,Brokerage!$B186,'YTD Purchases'!$G:$G,Brokerage!N$4)</f>
        <v>0</v>
      </c>
      <c r="O186" s="857">
        <f>SUMIFS('YTD Sales'!$N:$N,'YTD Sales'!$B:$B,Brokerage!$B186,'YTD Sales'!$M:$M,Brokerage!O$4)+SUMIFS('YTD Purchases'!$H:$H,'YTD Purchases'!$C:$C,Brokerage!$B186,'YTD Purchases'!$G:$G,Brokerage!O$4)</f>
        <v>0</v>
      </c>
      <c r="P186" s="857">
        <f>SUMIFS('YTD Sales'!$N:$N,'YTD Sales'!$B:$B,Brokerage!$B186,'YTD Sales'!$M:$M,Brokerage!P$4)+SUMIFS('YTD Purchases'!$H:$H,'YTD Purchases'!$C:$C,Brokerage!$B186,'YTD Purchases'!$G:$G,Brokerage!P$4)</f>
        <v>45405.539000000004</v>
      </c>
      <c r="Q186" s="857">
        <f>SUMIFS('YTD Sales'!$N:$N,'YTD Sales'!$B:$B,Brokerage!$B186,'YTD Sales'!$M:$M,Brokerage!Q$4)+SUMIFS('YTD Purchases'!$H:$H,'YTD Purchases'!$C:$C,Brokerage!$B186,'YTD Purchases'!$G:$G,Brokerage!Q$4)</f>
        <v>0</v>
      </c>
      <c r="R186" s="857">
        <f>SUMIFS('YTD Sales'!$N:$N,'YTD Sales'!$B:$B,Brokerage!$B186,'YTD Sales'!$M:$M,Brokerage!R$4)+SUMIFS('YTD Purchases'!$H:$H,'YTD Purchases'!$C:$C,Brokerage!$B186,'YTD Purchases'!$G:$G,Brokerage!R$4)</f>
        <v>0</v>
      </c>
      <c r="S186" s="857">
        <f>SUMIFS('YTD Sales'!$N:$N,'YTD Sales'!$B:$B,Brokerage!$B186,'YTD Sales'!$M:$M,Brokerage!S$4)+SUMIFS('YTD Purchases'!$H:$H,'YTD Purchases'!$C:$C,Brokerage!$B186,'YTD Purchases'!$G:$G,Brokerage!S$4)</f>
        <v>0</v>
      </c>
      <c r="T186" s="857">
        <f>SUMIFS('YTD Sales'!$N:$N,'YTD Sales'!$B:$B,Brokerage!$B186,'YTD Sales'!$M:$M,Brokerage!T$4)+SUMIFS('YTD Purchases'!$H:$H,'YTD Purchases'!$C:$C,Brokerage!$B186,'YTD Purchases'!$G:$G,Brokerage!T$4)</f>
        <v>0</v>
      </c>
      <c r="U186" s="857">
        <f>SUMIFS('YTD Sales'!$N:$N,'YTD Sales'!$B:$B,Brokerage!$B186,'YTD Sales'!$M:$M,Brokerage!U$4)+SUMIFS('YTD Purchases'!$H:$H,'YTD Purchases'!$C:$C,Brokerage!$B186,'YTD Purchases'!$G:$G,Brokerage!U$4)</f>
        <v>0</v>
      </c>
      <c r="V186" s="857">
        <f>SUMIFS('YTD Sales'!$N:$N,'YTD Sales'!$B:$B,Brokerage!$B186,'YTD Sales'!$M:$M,Brokerage!V$4)+SUMIFS('YTD Purchases'!$H:$H,'YTD Purchases'!$C:$C,Brokerage!$B186,'YTD Purchases'!$G:$G,Brokerage!V$4)</f>
        <v>0</v>
      </c>
      <c r="W186" s="857">
        <f>SUMIFS('YTD Sales'!$N:$N,'YTD Sales'!$B:$B,Brokerage!$B186,'YTD Sales'!$M:$M,Brokerage!W$4)+SUMIFS('YTD Purchases'!$H:$H,'YTD Purchases'!$C:$C,Brokerage!$B186,'YTD Purchases'!$G:$G,Brokerage!W$4)</f>
        <v>0</v>
      </c>
      <c r="X186" s="857">
        <f>SUMIFS('YTD Sales'!$N:$N,'YTD Sales'!$B:$B,Brokerage!$B186,'YTD Sales'!$M:$M,Brokerage!X$4)+SUMIFS('YTD Purchases'!$H:$H,'YTD Purchases'!$C:$C,Brokerage!$B186,'YTD Purchases'!$G:$G,Brokerage!X$4)</f>
        <v>177337.495</v>
      </c>
      <c r="Y186" s="857">
        <f>SUMIFS('YTD Sales'!$N:$N,'YTD Sales'!$B:$B,Brokerage!$B186,'YTD Sales'!$M:$M,Brokerage!Y$4)+SUMIFS('YTD Purchases'!$H:$H,'YTD Purchases'!$C:$C,Brokerage!$B186,'YTD Purchases'!$G:$G,Brokerage!Y$4)</f>
        <v>0</v>
      </c>
      <c r="Z186" s="857">
        <f>SUMIFS('YTD Sales'!$N:$N,'YTD Sales'!$B:$B,Brokerage!$B186,'YTD Sales'!$M:$M,Brokerage!Z$4)+SUMIFS('YTD Purchases'!$H:$H,'YTD Purchases'!$C:$C,Brokerage!$B186,'YTD Purchases'!$G:$G,Brokerage!Z$4)</f>
        <v>0</v>
      </c>
      <c r="AA186" s="857">
        <f>SUMIFS('YTD Sales'!$N:$N,'YTD Sales'!$B:$B,Brokerage!$B186,'YTD Sales'!$M:$M,Brokerage!AA$4)+SUMIFS('YTD Purchases'!$H:$H,'YTD Purchases'!$C:$C,Brokerage!$B186,'YTD Purchases'!$G:$G,Brokerage!AA$4)</f>
        <v>101700</v>
      </c>
      <c r="AB186" s="857">
        <f>SUMIFS('YTD Sales'!$N:$N,'YTD Sales'!$B:$B,Brokerage!$B186,'YTD Sales'!$M:$M,Brokerage!AB$4)+SUMIFS('YTD Purchases'!$H:$H,'YTD Purchases'!$C:$C,Brokerage!$B186,'YTD Purchases'!$G:$G,Brokerage!AB$4)</f>
        <v>0</v>
      </c>
      <c r="AC186" s="857">
        <f>SUMIFS('YTD Sales'!$N:$N,'YTD Sales'!$B:$B,Brokerage!$B186,'YTD Sales'!$M:$M,Brokerage!AC$4)+SUMIFS('YTD Purchases'!$H:$H,'YTD Purchases'!$C:$C,Brokerage!$B186,'YTD Purchases'!$G:$G,Brokerage!AC$4)</f>
        <v>0</v>
      </c>
      <c r="AD186" s="857">
        <f>+SUMIFS(PIB!AG:AG,PIB!AF:AF,Brokerage!AD$4,PIB!AA:AA,Brokerage!$B186)+SUMIFS('T-Bills'!AB:AB,'T-Bills'!AA:AA,Brokerage!AD$4,'T-Bills'!V:V,Brokerage!$B186)</f>
        <v>0</v>
      </c>
      <c r="AE186" s="857">
        <f>+SUMIFS(PIB!AH:AH,PIB!AG:AG,Brokerage!AE$4,PIB!AB:AB,Brokerage!$B186)+SUMIFS('T-Bills'!AC:AC,'T-Bills'!AB:AB,Brokerage!AE$4,'T-Bills'!W:W,Brokerage!$B186)</f>
        <v>0</v>
      </c>
      <c r="AF186" s="857">
        <f>+SUMIFS(PIB!AI:AI,PIB!AH:AH,Brokerage!AF$4,PIB!AC:AC,Brokerage!$B186)+SUMIFS('T-Bills'!AD:AD,'T-Bills'!AC:AC,Brokerage!AF$4,'T-Bills'!X:X,Brokerage!$B186)</f>
        <v>0</v>
      </c>
      <c r="AG186" s="857">
        <f t="shared" si="19"/>
        <v>324443.03399999999</v>
      </c>
      <c r="AH186" s="858">
        <f t="shared" si="21"/>
        <v>13</v>
      </c>
    </row>
    <row r="187" spans="2:34" x14ac:dyDescent="0.15">
      <c r="B187" s="661">
        <f t="shared" si="18"/>
        <v>44743</v>
      </c>
      <c r="C187" s="857">
        <f>SUMIFS('YTD Sales'!$N:$N,'YTD Sales'!$B:$B,Brokerage!$B187,'YTD Sales'!$M:$M,Brokerage!C$4)+SUMIFS('YTD Purchases'!$H:$H,'YTD Purchases'!$C:$C,Brokerage!$B187,'YTD Purchases'!$G:$G,Brokerage!C$4)</f>
        <v>0</v>
      </c>
      <c r="D187" s="857">
        <f>SUMIFS('YTD Sales'!$N:$N,'YTD Sales'!$B:$B,Brokerage!$B187,'YTD Sales'!$M:$M,Brokerage!D$4)+SUMIFS('YTD Purchases'!$H:$H,'YTD Purchases'!$C:$C,Brokerage!$B187,'YTD Purchases'!$G:$G,Brokerage!D$4)</f>
        <v>2395.0375000000004</v>
      </c>
      <c r="E187" s="857">
        <f>SUMIFS('YTD Sales'!$N:$N,'YTD Sales'!$B:$B,Brokerage!$B187,'YTD Sales'!$M:$M,Brokerage!E$4)+SUMIFS('YTD Purchases'!$H:$H,'YTD Purchases'!$C:$C,Brokerage!$B187,'YTD Purchases'!$G:$G,Brokerage!E$4)</f>
        <v>0</v>
      </c>
      <c r="F187" s="857">
        <f>SUMIFS('YTD Sales'!$N:$N,'YTD Sales'!$B:$B,Brokerage!$B187,'YTD Sales'!$M:$M,Brokerage!F$4)+SUMIFS('YTD Purchases'!$H:$H,'YTD Purchases'!$C:$C,Brokerage!$B187,'YTD Purchases'!$G:$G,Brokerage!F$4)</f>
        <v>0</v>
      </c>
      <c r="G187" s="857">
        <f>SUMIFS('YTD Sales'!$N:$N,'YTD Sales'!$B:$B,Brokerage!$B187,'YTD Sales'!$M:$M,Brokerage!G$4)+SUMIFS('YTD Purchases'!$H:$H,'YTD Purchases'!$C:$C,Brokerage!$B187,'YTD Purchases'!$G:$G,Brokerage!G$4)</f>
        <v>0</v>
      </c>
      <c r="H187" s="857">
        <f>SUMIFS('YTD Sales'!$N:$N,'YTD Sales'!$B:$B,Brokerage!$B187,'YTD Sales'!$M:$M,Brokerage!H$4)+SUMIFS('YTD Purchases'!$H:$H,'YTD Purchases'!$C:$C,Brokerage!$B187,'YTD Purchases'!$G:$G,Brokerage!H$4)</f>
        <v>0</v>
      </c>
      <c r="I187" s="857">
        <f>SUMIFS('YTD Sales'!$N:$N,'YTD Sales'!$B:$B,Brokerage!$B187,'YTD Sales'!$M:$M,Brokerage!I$4)+SUMIFS('YTD Purchases'!$H:$H,'YTD Purchases'!$C:$C,Brokerage!$B187,'YTD Purchases'!$G:$G,Brokerage!I$4)</f>
        <v>0</v>
      </c>
      <c r="J187" s="857">
        <f>SUMIFS('YTD Sales'!$N:$N,'YTD Sales'!$B:$B,Brokerage!$B187,'YTD Sales'!$M:$M,Brokerage!J$4)+SUMIFS('YTD Purchases'!$H:$H,'YTD Purchases'!$C:$C,Brokerage!$B187,'YTD Purchases'!$G:$G,Brokerage!J$4)</f>
        <v>0</v>
      </c>
      <c r="K187" s="857">
        <f>SUMIFS('YTD Sales'!$N:$N,'YTD Sales'!$B:$B,Brokerage!$B187,'YTD Sales'!$M:$M,Brokerage!K$4)+SUMIFS('YTD Purchases'!$H:$H,'YTD Purchases'!$C:$C,Brokerage!$B187,'YTD Purchases'!$G:$G,Brokerage!K$4)</f>
        <v>0</v>
      </c>
      <c r="L187" s="857">
        <f>SUMIFS('YTD Sales'!$N:$N,'YTD Sales'!$B:$B,Brokerage!$B187,'YTD Sales'!$M:$M,Brokerage!L$4)+SUMIFS('YTD Purchases'!$H:$H,'YTD Purchases'!$C:$C,Brokerage!$B187,'YTD Purchases'!$G:$G,Brokerage!L$4)</f>
        <v>0</v>
      </c>
      <c r="M187" s="857">
        <f>SUMIFS('YTD Sales'!$N:$N,'YTD Sales'!$B:$B,Brokerage!$B187,'YTD Sales'!$M:$M,Brokerage!M$4)+SUMIFS('YTD Purchases'!$H:$H,'YTD Purchases'!$C:$C,Brokerage!$B187,'YTD Purchases'!$G:$G,Brokerage!M$4)</f>
        <v>7586.9900000000007</v>
      </c>
      <c r="N187" s="857">
        <f>SUMIFS('YTD Sales'!$N:$N,'YTD Sales'!$B:$B,Brokerage!$B187,'YTD Sales'!$M:$M,Brokerage!N$4)+SUMIFS('YTD Purchases'!$H:$H,'YTD Purchases'!$C:$C,Brokerage!$B187,'YTD Purchases'!$G:$G,Brokerage!N$4)</f>
        <v>0</v>
      </c>
      <c r="O187" s="857">
        <f>SUMIFS('YTD Sales'!$N:$N,'YTD Sales'!$B:$B,Brokerage!$B187,'YTD Sales'!$M:$M,Brokerage!O$4)+SUMIFS('YTD Purchases'!$H:$H,'YTD Purchases'!$C:$C,Brokerage!$B187,'YTD Purchases'!$G:$G,Brokerage!O$4)</f>
        <v>0</v>
      </c>
      <c r="P187" s="857">
        <f>SUMIFS('YTD Sales'!$N:$N,'YTD Sales'!$B:$B,Brokerage!$B187,'YTD Sales'!$M:$M,Brokerage!P$4)+SUMIFS('YTD Purchases'!$H:$H,'YTD Purchases'!$C:$C,Brokerage!$B187,'YTD Purchases'!$G:$G,Brokerage!P$4)</f>
        <v>0</v>
      </c>
      <c r="Q187" s="857">
        <f>SUMIFS('YTD Sales'!$N:$N,'YTD Sales'!$B:$B,Brokerage!$B187,'YTD Sales'!$M:$M,Brokerage!Q$4)+SUMIFS('YTD Purchases'!$H:$H,'YTD Purchases'!$C:$C,Brokerage!$B187,'YTD Purchases'!$G:$G,Brokerage!Q$4)</f>
        <v>142505.97</v>
      </c>
      <c r="R187" s="857">
        <f>SUMIFS('YTD Sales'!$N:$N,'YTD Sales'!$B:$B,Brokerage!$B187,'YTD Sales'!$M:$M,Brokerage!R$4)+SUMIFS('YTD Purchases'!$H:$H,'YTD Purchases'!$C:$C,Brokerage!$B187,'YTD Purchases'!$G:$G,Brokerage!R$4)</f>
        <v>0</v>
      </c>
      <c r="S187" s="857">
        <f>SUMIFS('YTD Sales'!$N:$N,'YTD Sales'!$B:$B,Brokerage!$B187,'YTD Sales'!$M:$M,Brokerage!S$4)+SUMIFS('YTD Purchases'!$H:$H,'YTD Purchases'!$C:$C,Brokerage!$B187,'YTD Purchases'!$G:$G,Brokerage!S$4)</f>
        <v>160038.59999999995</v>
      </c>
      <c r="T187" s="857">
        <f>SUMIFS('YTD Sales'!$N:$N,'YTD Sales'!$B:$B,Brokerage!$B187,'YTD Sales'!$M:$M,Brokerage!T$4)+SUMIFS('YTD Purchases'!$H:$H,'YTD Purchases'!$C:$C,Brokerage!$B187,'YTD Purchases'!$G:$G,Brokerage!T$4)</f>
        <v>0</v>
      </c>
      <c r="U187" s="857">
        <f>SUMIFS('YTD Sales'!$N:$N,'YTD Sales'!$B:$B,Brokerage!$B187,'YTD Sales'!$M:$M,Brokerage!U$4)+SUMIFS('YTD Purchases'!$H:$H,'YTD Purchases'!$C:$C,Brokerage!$B187,'YTD Purchases'!$G:$G,Brokerage!U$4)</f>
        <v>0</v>
      </c>
      <c r="V187" s="857">
        <f>SUMIFS('YTD Sales'!$N:$N,'YTD Sales'!$B:$B,Brokerage!$B187,'YTD Sales'!$M:$M,Brokerage!V$4)+SUMIFS('YTD Purchases'!$H:$H,'YTD Purchases'!$C:$C,Brokerage!$B187,'YTD Purchases'!$G:$G,Brokerage!V$4)</f>
        <v>0</v>
      </c>
      <c r="W187" s="857">
        <f>SUMIFS('YTD Sales'!$N:$N,'YTD Sales'!$B:$B,Brokerage!$B187,'YTD Sales'!$M:$M,Brokerage!W$4)+SUMIFS('YTD Purchases'!$H:$H,'YTD Purchases'!$C:$C,Brokerage!$B187,'YTD Purchases'!$G:$G,Brokerage!W$4)</f>
        <v>0</v>
      </c>
      <c r="X187" s="857">
        <f>SUMIFS('YTD Sales'!$N:$N,'YTD Sales'!$B:$B,Brokerage!$B187,'YTD Sales'!$M:$M,Brokerage!X$4)+SUMIFS('YTD Purchases'!$H:$H,'YTD Purchases'!$C:$C,Brokerage!$B187,'YTD Purchases'!$G:$G,Brokerage!X$4)</f>
        <v>0</v>
      </c>
      <c r="Y187" s="857">
        <f>SUMIFS('YTD Sales'!$N:$N,'YTD Sales'!$B:$B,Brokerage!$B187,'YTD Sales'!$M:$M,Brokerage!Y$4)+SUMIFS('YTD Purchases'!$H:$H,'YTD Purchases'!$C:$C,Brokerage!$B187,'YTD Purchases'!$G:$G,Brokerage!Y$4)</f>
        <v>0</v>
      </c>
      <c r="Z187" s="857">
        <f>SUMIFS('YTD Sales'!$N:$N,'YTD Sales'!$B:$B,Brokerage!$B187,'YTD Sales'!$M:$M,Brokerage!Z$4)+SUMIFS('YTD Purchases'!$H:$H,'YTD Purchases'!$C:$C,Brokerage!$B187,'YTD Purchases'!$G:$G,Brokerage!Z$4)</f>
        <v>0</v>
      </c>
      <c r="AA187" s="857">
        <f>SUMIFS('YTD Sales'!$N:$N,'YTD Sales'!$B:$B,Brokerage!$B187,'YTD Sales'!$M:$M,Brokerage!AA$4)+SUMIFS('YTD Purchases'!$H:$H,'YTD Purchases'!$C:$C,Brokerage!$B187,'YTD Purchases'!$G:$G,Brokerage!AA$4)</f>
        <v>0</v>
      </c>
      <c r="AB187" s="857">
        <f>SUMIFS('YTD Sales'!$N:$N,'YTD Sales'!$B:$B,Brokerage!$B187,'YTD Sales'!$M:$M,Brokerage!AB$4)+SUMIFS('YTD Purchases'!$H:$H,'YTD Purchases'!$C:$C,Brokerage!$B187,'YTD Purchases'!$G:$G,Brokerage!AB$4)</f>
        <v>0</v>
      </c>
      <c r="AC187" s="857">
        <f>SUMIFS('YTD Sales'!$N:$N,'YTD Sales'!$B:$B,Brokerage!$B187,'YTD Sales'!$M:$M,Brokerage!AC$4)+SUMIFS('YTD Purchases'!$H:$H,'YTD Purchases'!$C:$C,Brokerage!$B187,'YTD Purchases'!$G:$G,Brokerage!AC$4)</f>
        <v>0</v>
      </c>
      <c r="AD187" s="857">
        <f>+SUMIFS(PIB!AG:AG,PIB!AF:AF,Brokerage!AD$4,PIB!AA:AA,Brokerage!$B187)+SUMIFS('T-Bills'!AB:AB,'T-Bills'!AA:AA,Brokerage!AD$4,'T-Bills'!V:V,Brokerage!$B187)</f>
        <v>0</v>
      </c>
      <c r="AE187" s="857">
        <f>+SUMIFS(PIB!AH:AH,PIB!AG:AG,Brokerage!AE$4,PIB!AB:AB,Brokerage!$B187)+SUMIFS('T-Bills'!AC:AC,'T-Bills'!AB:AB,Brokerage!AE$4,'T-Bills'!W:W,Brokerage!$B187)</f>
        <v>0</v>
      </c>
      <c r="AF187" s="857">
        <f>+SUMIFS(PIB!AI:AI,PIB!AH:AH,Brokerage!AF$4,PIB!AC:AC,Brokerage!$B187)+SUMIFS('T-Bills'!AD:AD,'T-Bills'!AC:AC,Brokerage!AF$4,'T-Bills'!X:X,Brokerage!$B187)</f>
        <v>0</v>
      </c>
      <c r="AG187" s="857">
        <f t="shared" si="19"/>
        <v>312526.59749999992</v>
      </c>
      <c r="AH187" s="858">
        <f t="shared" si="21"/>
        <v>13</v>
      </c>
    </row>
    <row r="188" spans="2:34" x14ac:dyDescent="0.15">
      <c r="B188" s="661">
        <f t="shared" si="18"/>
        <v>44744</v>
      </c>
      <c r="C188" s="857">
        <f>SUMIFS('YTD Sales'!$N:$N,'YTD Sales'!$B:$B,Brokerage!$B188,'YTD Sales'!$M:$M,Brokerage!C$4)+SUMIFS('YTD Purchases'!$H:$H,'YTD Purchases'!$C:$C,Brokerage!$B188,'YTD Purchases'!$G:$G,Brokerage!C$4)</f>
        <v>0</v>
      </c>
      <c r="D188" s="857">
        <f>SUMIFS('YTD Sales'!$N:$N,'YTD Sales'!$B:$B,Brokerage!$B188,'YTD Sales'!$M:$M,Brokerage!D$4)+SUMIFS('YTD Purchases'!$H:$H,'YTD Purchases'!$C:$C,Brokerage!$B188,'YTD Purchases'!$G:$G,Brokerage!D$4)</f>
        <v>0</v>
      </c>
      <c r="E188" s="857">
        <f>SUMIFS('YTD Sales'!$N:$N,'YTD Sales'!$B:$B,Brokerage!$B188,'YTD Sales'!$M:$M,Brokerage!E$4)+SUMIFS('YTD Purchases'!$H:$H,'YTD Purchases'!$C:$C,Brokerage!$B188,'YTD Purchases'!$G:$G,Brokerage!E$4)</f>
        <v>0</v>
      </c>
      <c r="F188" s="857">
        <f>SUMIFS('YTD Sales'!$N:$N,'YTD Sales'!$B:$B,Brokerage!$B188,'YTD Sales'!$M:$M,Brokerage!F$4)+SUMIFS('YTD Purchases'!$H:$H,'YTD Purchases'!$C:$C,Brokerage!$B188,'YTD Purchases'!$G:$G,Brokerage!F$4)</f>
        <v>0</v>
      </c>
      <c r="G188" s="857">
        <f>SUMIFS('YTD Sales'!$N:$N,'YTD Sales'!$B:$B,Brokerage!$B188,'YTD Sales'!$M:$M,Brokerage!G$4)+SUMIFS('YTD Purchases'!$H:$H,'YTD Purchases'!$C:$C,Brokerage!$B188,'YTD Purchases'!$G:$G,Brokerage!G$4)</f>
        <v>0</v>
      </c>
      <c r="H188" s="857">
        <f>SUMIFS('YTD Sales'!$N:$N,'YTD Sales'!$B:$B,Brokerage!$B188,'YTD Sales'!$M:$M,Brokerage!H$4)+SUMIFS('YTD Purchases'!$H:$H,'YTD Purchases'!$C:$C,Brokerage!$B188,'YTD Purchases'!$G:$G,Brokerage!H$4)</f>
        <v>0</v>
      </c>
      <c r="I188" s="857">
        <f>SUMIFS('YTD Sales'!$N:$N,'YTD Sales'!$B:$B,Brokerage!$B188,'YTD Sales'!$M:$M,Brokerage!I$4)+SUMIFS('YTD Purchases'!$H:$H,'YTD Purchases'!$C:$C,Brokerage!$B188,'YTD Purchases'!$G:$G,Brokerage!I$4)</f>
        <v>0</v>
      </c>
      <c r="J188" s="857">
        <f>SUMIFS('YTD Sales'!$N:$N,'YTD Sales'!$B:$B,Brokerage!$B188,'YTD Sales'!$M:$M,Brokerage!J$4)+SUMIFS('YTD Purchases'!$H:$H,'YTD Purchases'!$C:$C,Brokerage!$B188,'YTD Purchases'!$G:$G,Brokerage!J$4)</f>
        <v>0</v>
      </c>
      <c r="K188" s="857">
        <f>SUMIFS('YTD Sales'!$N:$N,'YTD Sales'!$B:$B,Brokerage!$B188,'YTD Sales'!$M:$M,Brokerage!K$4)+SUMIFS('YTD Purchases'!$H:$H,'YTD Purchases'!$C:$C,Brokerage!$B188,'YTD Purchases'!$G:$G,Brokerage!K$4)</f>
        <v>0</v>
      </c>
      <c r="L188" s="857">
        <f>SUMIFS('YTD Sales'!$N:$N,'YTD Sales'!$B:$B,Brokerage!$B188,'YTD Sales'!$M:$M,Brokerage!L$4)+SUMIFS('YTD Purchases'!$H:$H,'YTD Purchases'!$C:$C,Brokerage!$B188,'YTD Purchases'!$G:$G,Brokerage!L$4)</f>
        <v>0</v>
      </c>
      <c r="M188" s="857">
        <f>SUMIFS('YTD Sales'!$N:$N,'YTD Sales'!$B:$B,Brokerage!$B188,'YTD Sales'!$M:$M,Brokerage!M$4)+SUMIFS('YTD Purchases'!$H:$H,'YTD Purchases'!$C:$C,Brokerage!$B188,'YTD Purchases'!$G:$G,Brokerage!M$4)</f>
        <v>0</v>
      </c>
      <c r="N188" s="857">
        <f>SUMIFS('YTD Sales'!$N:$N,'YTD Sales'!$B:$B,Brokerage!$B188,'YTD Sales'!$M:$M,Brokerage!N$4)+SUMIFS('YTD Purchases'!$H:$H,'YTD Purchases'!$C:$C,Brokerage!$B188,'YTD Purchases'!$G:$G,Brokerage!N$4)</f>
        <v>0</v>
      </c>
      <c r="O188" s="857">
        <f>SUMIFS('YTD Sales'!$N:$N,'YTD Sales'!$B:$B,Brokerage!$B188,'YTD Sales'!$M:$M,Brokerage!O$4)+SUMIFS('YTD Purchases'!$H:$H,'YTD Purchases'!$C:$C,Brokerage!$B188,'YTD Purchases'!$G:$G,Brokerage!O$4)</f>
        <v>0</v>
      </c>
      <c r="P188" s="857">
        <f>SUMIFS('YTD Sales'!$N:$N,'YTD Sales'!$B:$B,Brokerage!$B188,'YTD Sales'!$M:$M,Brokerage!P$4)+SUMIFS('YTD Purchases'!$H:$H,'YTD Purchases'!$C:$C,Brokerage!$B188,'YTD Purchases'!$G:$G,Brokerage!P$4)</f>
        <v>0</v>
      </c>
      <c r="Q188" s="857">
        <f>SUMIFS('YTD Sales'!$N:$N,'YTD Sales'!$B:$B,Brokerage!$B188,'YTD Sales'!$M:$M,Brokerage!Q$4)+SUMIFS('YTD Purchases'!$H:$H,'YTD Purchases'!$C:$C,Brokerage!$B188,'YTD Purchases'!$G:$G,Brokerage!Q$4)</f>
        <v>0</v>
      </c>
      <c r="R188" s="857">
        <f>SUMIFS('YTD Sales'!$N:$N,'YTD Sales'!$B:$B,Brokerage!$B188,'YTD Sales'!$M:$M,Brokerage!R$4)+SUMIFS('YTD Purchases'!$H:$H,'YTD Purchases'!$C:$C,Brokerage!$B188,'YTD Purchases'!$G:$G,Brokerage!R$4)</f>
        <v>0</v>
      </c>
      <c r="S188" s="857">
        <f>SUMIFS('YTD Sales'!$N:$N,'YTD Sales'!$B:$B,Brokerage!$B188,'YTD Sales'!$M:$M,Brokerage!S$4)+SUMIFS('YTD Purchases'!$H:$H,'YTD Purchases'!$C:$C,Brokerage!$B188,'YTD Purchases'!$G:$G,Brokerage!S$4)</f>
        <v>0</v>
      </c>
      <c r="T188" s="857">
        <f>SUMIFS('YTD Sales'!$N:$N,'YTD Sales'!$B:$B,Brokerage!$B188,'YTD Sales'!$M:$M,Brokerage!T$4)+SUMIFS('YTD Purchases'!$H:$H,'YTD Purchases'!$C:$C,Brokerage!$B188,'YTD Purchases'!$G:$G,Brokerage!T$4)</f>
        <v>0</v>
      </c>
      <c r="U188" s="857">
        <f>SUMIFS('YTD Sales'!$N:$N,'YTD Sales'!$B:$B,Brokerage!$B188,'YTD Sales'!$M:$M,Brokerage!U$4)+SUMIFS('YTD Purchases'!$H:$H,'YTD Purchases'!$C:$C,Brokerage!$B188,'YTD Purchases'!$G:$G,Brokerage!U$4)</f>
        <v>0</v>
      </c>
      <c r="V188" s="857">
        <f>SUMIFS('YTD Sales'!$N:$N,'YTD Sales'!$B:$B,Brokerage!$B188,'YTD Sales'!$M:$M,Brokerage!V$4)+SUMIFS('YTD Purchases'!$H:$H,'YTD Purchases'!$C:$C,Brokerage!$B188,'YTD Purchases'!$G:$G,Brokerage!V$4)</f>
        <v>0</v>
      </c>
      <c r="W188" s="857">
        <f>SUMIFS('YTD Sales'!$N:$N,'YTD Sales'!$B:$B,Brokerage!$B188,'YTD Sales'!$M:$M,Brokerage!W$4)+SUMIFS('YTD Purchases'!$H:$H,'YTD Purchases'!$C:$C,Brokerage!$B188,'YTD Purchases'!$G:$G,Brokerage!W$4)</f>
        <v>0</v>
      </c>
      <c r="X188" s="857">
        <f>SUMIFS('YTD Sales'!$N:$N,'YTD Sales'!$B:$B,Brokerage!$B188,'YTD Sales'!$M:$M,Brokerage!X$4)+SUMIFS('YTD Purchases'!$H:$H,'YTD Purchases'!$C:$C,Brokerage!$B188,'YTD Purchases'!$G:$G,Brokerage!X$4)</f>
        <v>0</v>
      </c>
      <c r="Y188" s="857">
        <f>SUMIFS('YTD Sales'!$N:$N,'YTD Sales'!$B:$B,Brokerage!$B188,'YTD Sales'!$M:$M,Brokerage!Y$4)+SUMIFS('YTD Purchases'!$H:$H,'YTD Purchases'!$C:$C,Brokerage!$B188,'YTD Purchases'!$G:$G,Brokerage!Y$4)</f>
        <v>0</v>
      </c>
      <c r="Z188" s="857">
        <f>SUMIFS('YTD Sales'!$N:$N,'YTD Sales'!$B:$B,Brokerage!$B188,'YTD Sales'!$M:$M,Brokerage!Z$4)+SUMIFS('YTD Purchases'!$H:$H,'YTD Purchases'!$C:$C,Brokerage!$B188,'YTD Purchases'!$G:$G,Brokerage!Z$4)</f>
        <v>0</v>
      </c>
      <c r="AA188" s="857">
        <f>SUMIFS('YTD Sales'!$N:$N,'YTD Sales'!$B:$B,Brokerage!$B188,'YTD Sales'!$M:$M,Brokerage!AA$4)+SUMIFS('YTD Purchases'!$H:$H,'YTD Purchases'!$C:$C,Brokerage!$B188,'YTD Purchases'!$G:$G,Brokerage!AA$4)</f>
        <v>0</v>
      </c>
      <c r="AB188" s="857">
        <f>SUMIFS('YTD Sales'!$N:$N,'YTD Sales'!$B:$B,Brokerage!$B188,'YTD Sales'!$M:$M,Brokerage!AB$4)+SUMIFS('YTD Purchases'!$H:$H,'YTD Purchases'!$C:$C,Brokerage!$B188,'YTD Purchases'!$G:$G,Brokerage!AB$4)</f>
        <v>0</v>
      </c>
      <c r="AC188" s="857">
        <f>SUMIFS('YTD Sales'!$N:$N,'YTD Sales'!$B:$B,Brokerage!$B188,'YTD Sales'!$M:$M,Brokerage!AC$4)+SUMIFS('YTD Purchases'!$H:$H,'YTD Purchases'!$C:$C,Brokerage!$B188,'YTD Purchases'!$G:$G,Brokerage!AC$4)</f>
        <v>0</v>
      </c>
      <c r="AD188" s="857">
        <f>+SUMIFS(PIB!AG:AG,PIB!AF:AF,Brokerage!AD$4,PIB!AA:AA,Brokerage!$B188)+SUMIFS('T-Bills'!AB:AB,'T-Bills'!AA:AA,Brokerage!AD$4,'T-Bills'!V:V,Brokerage!$B188)</f>
        <v>0</v>
      </c>
      <c r="AE188" s="857">
        <f>+SUMIFS(PIB!AH:AH,PIB!AG:AG,Brokerage!AE$4,PIB!AB:AB,Brokerage!$B188)+SUMIFS('T-Bills'!AC:AC,'T-Bills'!AB:AB,Brokerage!AE$4,'T-Bills'!W:W,Brokerage!$B188)</f>
        <v>0</v>
      </c>
      <c r="AF188" s="857">
        <f>+SUMIFS(PIB!AI:AI,PIB!AH:AH,Brokerage!AF$4,PIB!AC:AC,Brokerage!$B188)+SUMIFS('T-Bills'!AD:AD,'T-Bills'!AC:AC,Brokerage!AF$4,'T-Bills'!X:X,Brokerage!$B188)</f>
        <v>0</v>
      </c>
      <c r="AG188" s="857">
        <f t="shared" si="19"/>
        <v>0</v>
      </c>
      <c r="AH188" s="858">
        <f t="shared" si="21"/>
        <v>0</v>
      </c>
    </row>
    <row r="189" spans="2:34" x14ac:dyDescent="0.15">
      <c r="B189" s="661">
        <f t="shared" si="18"/>
        <v>44745</v>
      </c>
      <c r="C189" s="857">
        <f>SUMIFS('YTD Sales'!$N:$N,'YTD Sales'!$B:$B,Brokerage!$B189,'YTD Sales'!$M:$M,Brokerage!C$4)+SUMIFS('YTD Purchases'!$H:$H,'YTD Purchases'!$C:$C,Brokerage!$B189,'YTD Purchases'!$G:$G,Brokerage!C$4)</f>
        <v>0</v>
      </c>
      <c r="D189" s="857">
        <f>SUMIFS('YTD Sales'!$N:$N,'YTD Sales'!$B:$B,Brokerage!$B189,'YTD Sales'!$M:$M,Brokerage!D$4)+SUMIFS('YTD Purchases'!$H:$H,'YTD Purchases'!$C:$C,Brokerage!$B189,'YTD Purchases'!$G:$G,Brokerage!D$4)</f>
        <v>0</v>
      </c>
      <c r="E189" s="857">
        <f>SUMIFS('YTD Sales'!$N:$N,'YTD Sales'!$B:$B,Brokerage!$B189,'YTD Sales'!$M:$M,Brokerage!E$4)+SUMIFS('YTD Purchases'!$H:$H,'YTD Purchases'!$C:$C,Brokerage!$B189,'YTD Purchases'!$G:$G,Brokerage!E$4)</f>
        <v>0</v>
      </c>
      <c r="F189" s="857">
        <f>SUMIFS('YTD Sales'!$N:$N,'YTD Sales'!$B:$B,Brokerage!$B189,'YTD Sales'!$M:$M,Brokerage!F$4)+SUMIFS('YTD Purchases'!$H:$H,'YTD Purchases'!$C:$C,Brokerage!$B189,'YTD Purchases'!$G:$G,Brokerage!F$4)</f>
        <v>0</v>
      </c>
      <c r="G189" s="857">
        <f>SUMIFS('YTD Sales'!$N:$N,'YTD Sales'!$B:$B,Brokerage!$B189,'YTD Sales'!$M:$M,Brokerage!G$4)+SUMIFS('YTD Purchases'!$H:$H,'YTD Purchases'!$C:$C,Brokerage!$B189,'YTD Purchases'!$G:$G,Brokerage!G$4)</f>
        <v>0</v>
      </c>
      <c r="H189" s="857">
        <f>SUMIFS('YTD Sales'!$N:$N,'YTD Sales'!$B:$B,Brokerage!$B189,'YTD Sales'!$M:$M,Brokerage!H$4)+SUMIFS('YTD Purchases'!$H:$H,'YTD Purchases'!$C:$C,Brokerage!$B189,'YTD Purchases'!$G:$G,Brokerage!H$4)</f>
        <v>0</v>
      </c>
      <c r="I189" s="857">
        <f>SUMIFS('YTD Sales'!$N:$N,'YTD Sales'!$B:$B,Brokerage!$B189,'YTD Sales'!$M:$M,Brokerage!I$4)+SUMIFS('YTD Purchases'!$H:$H,'YTD Purchases'!$C:$C,Brokerage!$B189,'YTD Purchases'!$G:$G,Brokerage!I$4)</f>
        <v>0</v>
      </c>
      <c r="J189" s="857">
        <f>SUMIFS('YTD Sales'!$N:$N,'YTD Sales'!$B:$B,Brokerage!$B189,'YTD Sales'!$M:$M,Brokerage!J$4)+SUMIFS('YTD Purchases'!$H:$H,'YTD Purchases'!$C:$C,Brokerage!$B189,'YTD Purchases'!$G:$G,Brokerage!J$4)</f>
        <v>0</v>
      </c>
      <c r="K189" s="857">
        <f>SUMIFS('YTD Sales'!$N:$N,'YTD Sales'!$B:$B,Brokerage!$B189,'YTD Sales'!$M:$M,Brokerage!K$4)+SUMIFS('YTD Purchases'!$H:$H,'YTD Purchases'!$C:$C,Brokerage!$B189,'YTD Purchases'!$G:$G,Brokerage!K$4)</f>
        <v>0</v>
      </c>
      <c r="L189" s="857">
        <f>SUMIFS('YTD Sales'!$N:$N,'YTD Sales'!$B:$B,Brokerage!$B189,'YTD Sales'!$M:$M,Brokerage!L$4)+SUMIFS('YTD Purchases'!$H:$H,'YTD Purchases'!$C:$C,Brokerage!$B189,'YTD Purchases'!$G:$G,Brokerage!L$4)</f>
        <v>0</v>
      </c>
      <c r="M189" s="857">
        <f>SUMIFS('YTD Sales'!$N:$N,'YTD Sales'!$B:$B,Brokerage!$B189,'YTD Sales'!$M:$M,Brokerage!M$4)+SUMIFS('YTD Purchases'!$H:$H,'YTD Purchases'!$C:$C,Brokerage!$B189,'YTD Purchases'!$G:$G,Brokerage!M$4)</f>
        <v>0</v>
      </c>
      <c r="N189" s="857">
        <f>SUMIFS('YTD Sales'!$N:$N,'YTD Sales'!$B:$B,Brokerage!$B189,'YTD Sales'!$M:$M,Brokerage!N$4)+SUMIFS('YTD Purchases'!$H:$H,'YTD Purchases'!$C:$C,Brokerage!$B189,'YTD Purchases'!$G:$G,Brokerage!N$4)</f>
        <v>0</v>
      </c>
      <c r="O189" s="857">
        <f>SUMIFS('YTD Sales'!$N:$N,'YTD Sales'!$B:$B,Brokerage!$B189,'YTD Sales'!$M:$M,Brokerage!O$4)+SUMIFS('YTD Purchases'!$H:$H,'YTD Purchases'!$C:$C,Brokerage!$B189,'YTD Purchases'!$G:$G,Brokerage!O$4)</f>
        <v>0</v>
      </c>
      <c r="P189" s="857">
        <f>SUMIFS('YTD Sales'!$N:$N,'YTD Sales'!$B:$B,Brokerage!$B189,'YTD Sales'!$M:$M,Brokerage!P$4)+SUMIFS('YTD Purchases'!$H:$H,'YTD Purchases'!$C:$C,Brokerage!$B189,'YTD Purchases'!$G:$G,Brokerage!P$4)</f>
        <v>0</v>
      </c>
      <c r="Q189" s="857">
        <f>SUMIFS('YTD Sales'!$N:$N,'YTD Sales'!$B:$B,Brokerage!$B189,'YTD Sales'!$M:$M,Brokerage!Q$4)+SUMIFS('YTD Purchases'!$H:$H,'YTD Purchases'!$C:$C,Brokerage!$B189,'YTD Purchases'!$G:$G,Brokerage!Q$4)</f>
        <v>0</v>
      </c>
      <c r="R189" s="857">
        <f>SUMIFS('YTD Sales'!$N:$N,'YTD Sales'!$B:$B,Brokerage!$B189,'YTD Sales'!$M:$M,Brokerage!R$4)+SUMIFS('YTD Purchases'!$H:$H,'YTD Purchases'!$C:$C,Brokerage!$B189,'YTD Purchases'!$G:$G,Brokerage!R$4)</f>
        <v>0</v>
      </c>
      <c r="S189" s="857">
        <f>SUMIFS('YTD Sales'!$N:$N,'YTD Sales'!$B:$B,Brokerage!$B189,'YTD Sales'!$M:$M,Brokerage!S$4)+SUMIFS('YTD Purchases'!$H:$H,'YTD Purchases'!$C:$C,Brokerage!$B189,'YTD Purchases'!$G:$G,Brokerage!S$4)</f>
        <v>0</v>
      </c>
      <c r="T189" s="857">
        <f>SUMIFS('YTD Sales'!$N:$N,'YTD Sales'!$B:$B,Brokerage!$B189,'YTD Sales'!$M:$M,Brokerage!T$4)+SUMIFS('YTD Purchases'!$H:$H,'YTD Purchases'!$C:$C,Brokerage!$B189,'YTD Purchases'!$G:$G,Brokerage!T$4)</f>
        <v>0</v>
      </c>
      <c r="U189" s="857">
        <f>SUMIFS('YTD Sales'!$N:$N,'YTD Sales'!$B:$B,Brokerage!$B189,'YTD Sales'!$M:$M,Brokerage!U$4)+SUMIFS('YTD Purchases'!$H:$H,'YTD Purchases'!$C:$C,Brokerage!$B189,'YTD Purchases'!$G:$G,Brokerage!U$4)</f>
        <v>0</v>
      </c>
      <c r="V189" s="857">
        <f>SUMIFS('YTD Sales'!$N:$N,'YTD Sales'!$B:$B,Brokerage!$B189,'YTD Sales'!$M:$M,Brokerage!V$4)+SUMIFS('YTD Purchases'!$H:$H,'YTD Purchases'!$C:$C,Brokerage!$B189,'YTD Purchases'!$G:$G,Brokerage!V$4)</f>
        <v>0</v>
      </c>
      <c r="W189" s="857">
        <f>SUMIFS('YTD Sales'!$N:$N,'YTD Sales'!$B:$B,Brokerage!$B189,'YTD Sales'!$M:$M,Brokerage!W$4)+SUMIFS('YTD Purchases'!$H:$H,'YTD Purchases'!$C:$C,Brokerage!$B189,'YTD Purchases'!$G:$G,Brokerage!W$4)</f>
        <v>0</v>
      </c>
      <c r="X189" s="857">
        <f>SUMIFS('YTD Sales'!$N:$N,'YTD Sales'!$B:$B,Brokerage!$B189,'YTD Sales'!$M:$M,Brokerage!X$4)+SUMIFS('YTD Purchases'!$H:$H,'YTD Purchases'!$C:$C,Brokerage!$B189,'YTD Purchases'!$G:$G,Brokerage!X$4)</f>
        <v>0</v>
      </c>
      <c r="Y189" s="857">
        <f>SUMIFS('YTD Sales'!$N:$N,'YTD Sales'!$B:$B,Brokerage!$B189,'YTD Sales'!$M:$M,Brokerage!Y$4)+SUMIFS('YTD Purchases'!$H:$H,'YTD Purchases'!$C:$C,Brokerage!$B189,'YTD Purchases'!$G:$G,Brokerage!Y$4)</f>
        <v>0</v>
      </c>
      <c r="Z189" s="857">
        <f>SUMIFS('YTD Sales'!$N:$N,'YTD Sales'!$B:$B,Brokerage!$B189,'YTD Sales'!$M:$M,Brokerage!Z$4)+SUMIFS('YTD Purchases'!$H:$H,'YTD Purchases'!$C:$C,Brokerage!$B189,'YTD Purchases'!$G:$G,Brokerage!Z$4)</f>
        <v>0</v>
      </c>
      <c r="AA189" s="857">
        <f>SUMIFS('YTD Sales'!$N:$N,'YTD Sales'!$B:$B,Brokerage!$B189,'YTD Sales'!$M:$M,Brokerage!AA$4)+SUMIFS('YTD Purchases'!$H:$H,'YTD Purchases'!$C:$C,Brokerage!$B189,'YTD Purchases'!$G:$G,Brokerage!AA$4)</f>
        <v>0</v>
      </c>
      <c r="AB189" s="857">
        <f>SUMIFS('YTD Sales'!$N:$N,'YTD Sales'!$B:$B,Brokerage!$B189,'YTD Sales'!$M:$M,Brokerage!AB$4)+SUMIFS('YTD Purchases'!$H:$H,'YTD Purchases'!$C:$C,Brokerage!$B189,'YTD Purchases'!$G:$G,Brokerage!AB$4)</f>
        <v>0</v>
      </c>
      <c r="AC189" s="857">
        <f>SUMIFS('YTD Sales'!$N:$N,'YTD Sales'!$B:$B,Brokerage!$B189,'YTD Sales'!$M:$M,Brokerage!AC$4)+SUMIFS('YTD Purchases'!$H:$H,'YTD Purchases'!$C:$C,Brokerage!$B189,'YTD Purchases'!$G:$G,Brokerage!AC$4)</f>
        <v>0</v>
      </c>
      <c r="AD189" s="857">
        <f>+SUMIFS(PIB!AG:AG,PIB!AF:AF,Brokerage!AD$4,PIB!AA:AA,Brokerage!$B189)+SUMIFS('T-Bills'!AB:AB,'T-Bills'!AA:AA,Brokerage!AD$4,'T-Bills'!V:V,Brokerage!$B189)</f>
        <v>0</v>
      </c>
      <c r="AE189" s="857">
        <f>+SUMIFS(PIB!AH:AH,PIB!AG:AG,Brokerage!AE$4,PIB!AB:AB,Brokerage!$B189)+SUMIFS('T-Bills'!AC:AC,'T-Bills'!AB:AB,Brokerage!AE$4,'T-Bills'!W:W,Brokerage!$B189)</f>
        <v>0</v>
      </c>
      <c r="AF189" s="857">
        <f>+SUMIFS(PIB!AI:AI,PIB!AH:AH,Brokerage!AF$4,PIB!AC:AC,Brokerage!$B189)+SUMIFS('T-Bills'!AD:AD,'T-Bills'!AC:AC,Brokerage!AF$4,'T-Bills'!X:X,Brokerage!$B189)</f>
        <v>0</v>
      </c>
      <c r="AG189" s="857">
        <f t="shared" si="19"/>
        <v>0</v>
      </c>
      <c r="AH189" s="858">
        <f t="shared" si="21"/>
        <v>0</v>
      </c>
    </row>
    <row r="190" spans="2:34" x14ac:dyDescent="0.15">
      <c r="B190" s="661">
        <f t="shared" si="18"/>
        <v>44746</v>
      </c>
      <c r="C190" s="857">
        <f>SUMIFS('YTD Sales'!$N:$N,'YTD Sales'!$B:$B,Brokerage!$B190,'YTD Sales'!$M:$M,Brokerage!C$4)+SUMIFS('YTD Purchases'!$H:$H,'YTD Purchases'!$C:$C,Brokerage!$B190,'YTD Purchases'!$G:$G,Brokerage!C$4)</f>
        <v>0</v>
      </c>
      <c r="D190" s="857">
        <f>SUMIFS('YTD Sales'!$N:$N,'YTD Sales'!$B:$B,Brokerage!$B190,'YTD Sales'!$M:$M,Brokerage!D$4)+SUMIFS('YTD Purchases'!$H:$H,'YTD Purchases'!$C:$C,Brokerage!$B190,'YTD Purchases'!$G:$G,Brokerage!D$4)</f>
        <v>0</v>
      </c>
      <c r="E190" s="857">
        <f>SUMIFS('YTD Sales'!$N:$N,'YTD Sales'!$B:$B,Brokerage!$B190,'YTD Sales'!$M:$M,Brokerage!E$4)+SUMIFS('YTD Purchases'!$H:$H,'YTD Purchases'!$C:$C,Brokerage!$B190,'YTD Purchases'!$G:$G,Brokerage!E$4)</f>
        <v>0</v>
      </c>
      <c r="F190" s="857">
        <f>SUMIFS('YTD Sales'!$N:$N,'YTD Sales'!$B:$B,Brokerage!$B190,'YTD Sales'!$M:$M,Brokerage!F$4)+SUMIFS('YTD Purchases'!$H:$H,'YTD Purchases'!$C:$C,Brokerage!$B190,'YTD Purchases'!$G:$G,Brokerage!F$4)</f>
        <v>0</v>
      </c>
      <c r="G190" s="857">
        <f>SUMIFS('YTD Sales'!$N:$N,'YTD Sales'!$B:$B,Brokerage!$B190,'YTD Sales'!$M:$M,Brokerage!G$4)+SUMIFS('YTD Purchases'!$H:$H,'YTD Purchases'!$C:$C,Brokerage!$B190,'YTD Purchases'!$G:$G,Brokerage!G$4)</f>
        <v>0</v>
      </c>
      <c r="H190" s="857">
        <f>SUMIFS('YTD Sales'!$N:$N,'YTD Sales'!$B:$B,Brokerage!$B190,'YTD Sales'!$M:$M,Brokerage!H$4)+SUMIFS('YTD Purchases'!$H:$H,'YTD Purchases'!$C:$C,Brokerage!$B190,'YTD Purchases'!$G:$G,Brokerage!H$4)</f>
        <v>0</v>
      </c>
      <c r="I190" s="857">
        <f>SUMIFS('YTD Sales'!$N:$N,'YTD Sales'!$B:$B,Brokerage!$B190,'YTD Sales'!$M:$M,Brokerage!I$4)+SUMIFS('YTD Purchases'!$H:$H,'YTD Purchases'!$C:$C,Brokerage!$B190,'YTD Purchases'!$G:$G,Brokerage!I$4)</f>
        <v>0</v>
      </c>
      <c r="J190" s="857">
        <f>SUMIFS('YTD Sales'!$N:$N,'YTD Sales'!$B:$B,Brokerage!$B190,'YTD Sales'!$M:$M,Brokerage!J$4)+SUMIFS('YTD Purchases'!$H:$H,'YTD Purchases'!$C:$C,Brokerage!$B190,'YTD Purchases'!$G:$G,Brokerage!J$4)</f>
        <v>0</v>
      </c>
      <c r="K190" s="857">
        <f>SUMIFS('YTD Sales'!$N:$N,'YTD Sales'!$B:$B,Brokerage!$B190,'YTD Sales'!$M:$M,Brokerage!K$4)+SUMIFS('YTD Purchases'!$H:$H,'YTD Purchases'!$C:$C,Brokerage!$B190,'YTD Purchases'!$G:$G,Brokerage!K$4)</f>
        <v>22159.589999999997</v>
      </c>
      <c r="L190" s="857">
        <f>SUMIFS('YTD Sales'!$N:$N,'YTD Sales'!$B:$B,Brokerage!$B190,'YTD Sales'!$M:$M,Brokerage!L$4)+SUMIFS('YTD Purchases'!$H:$H,'YTD Purchases'!$C:$C,Brokerage!$B190,'YTD Purchases'!$G:$G,Brokerage!L$4)</f>
        <v>0</v>
      </c>
      <c r="M190" s="857">
        <f>SUMIFS('YTD Sales'!$N:$N,'YTD Sales'!$B:$B,Brokerage!$B190,'YTD Sales'!$M:$M,Brokerage!M$4)+SUMIFS('YTD Purchases'!$H:$H,'YTD Purchases'!$C:$C,Brokerage!$B190,'YTD Purchases'!$G:$G,Brokerage!M$4)</f>
        <v>1126.51</v>
      </c>
      <c r="N190" s="857">
        <f>SUMIFS('YTD Sales'!$N:$N,'YTD Sales'!$B:$B,Brokerage!$B190,'YTD Sales'!$M:$M,Brokerage!N$4)+SUMIFS('YTD Purchases'!$H:$H,'YTD Purchases'!$C:$C,Brokerage!$B190,'YTD Purchases'!$G:$G,Brokerage!N$4)</f>
        <v>0</v>
      </c>
      <c r="O190" s="857">
        <f>SUMIFS('YTD Sales'!$N:$N,'YTD Sales'!$B:$B,Brokerage!$B190,'YTD Sales'!$M:$M,Brokerage!O$4)+SUMIFS('YTD Purchases'!$H:$H,'YTD Purchases'!$C:$C,Brokerage!$B190,'YTD Purchases'!$G:$G,Brokerage!O$4)</f>
        <v>0</v>
      </c>
      <c r="P190" s="857">
        <f>SUMIFS('YTD Sales'!$N:$N,'YTD Sales'!$B:$B,Brokerage!$B190,'YTD Sales'!$M:$M,Brokerage!P$4)+SUMIFS('YTD Purchases'!$H:$H,'YTD Purchases'!$C:$C,Brokerage!$B190,'YTD Purchases'!$G:$G,Brokerage!P$4)</f>
        <v>0</v>
      </c>
      <c r="Q190" s="857">
        <f>SUMIFS('YTD Sales'!$N:$N,'YTD Sales'!$B:$B,Brokerage!$B190,'YTD Sales'!$M:$M,Brokerage!Q$4)+SUMIFS('YTD Purchases'!$H:$H,'YTD Purchases'!$C:$C,Brokerage!$B190,'YTD Purchases'!$G:$G,Brokerage!Q$4)</f>
        <v>0</v>
      </c>
      <c r="R190" s="857">
        <f>SUMIFS('YTD Sales'!$N:$N,'YTD Sales'!$B:$B,Brokerage!$B190,'YTD Sales'!$M:$M,Brokerage!R$4)+SUMIFS('YTD Purchases'!$H:$H,'YTD Purchases'!$C:$C,Brokerage!$B190,'YTD Purchases'!$G:$G,Brokerage!R$4)</f>
        <v>0</v>
      </c>
      <c r="S190" s="857">
        <f>SUMIFS('YTD Sales'!$N:$N,'YTD Sales'!$B:$B,Brokerage!$B190,'YTD Sales'!$M:$M,Brokerage!S$4)+SUMIFS('YTD Purchases'!$H:$H,'YTD Purchases'!$C:$C,Brokerage!$B190,'YTD Purchases'!$G:$G,Brokerage!S$4)</f>
        <v>7263.16</v>
      </c>
      <c r="T190" s="857">
        <f>SUMIFS('YTD Sales'!$N:$N,'YTD Sales'!$B:$B,Brokerage!$B190,'YTD Sales'!$M:$M,Brokerage!T$4)+SUMIFS('YTD Purchases'!$H:$H,'YTD Purchases'!$C:$C,Brokerage!$B190,'YTD Purchases'!$G:$G,Brokerage!T$4)</f>
        <v>0</v>
      </c>
      <c r="U190" s="857">
        <f>SUMIFS('YTD Sales'!$N:$N,'YTD Sales'!$B:$B,Brokerage!$B190,'YTD Sales'!$M:$M,Brokerage!U$4)+SUMIFS('YTD Purchases'!$H:$H,'YTD Purchases'!$C:$C,Brokerage!$B190,'YTD Purchases'!$G:$G,Brokerage!U$4)</f>
        <v>0</v>
      </c>
      <c r="V190" s="857">
        <f>SUMIFS('YTD Sales'!$N:$N,'YTD Sales'!$B:$B,Brokerage!$B190,'YTD Sales'!$M:$M,Brokerage!V$4)+SUMIFS('YTD Purchases'!$H:$H,'YTD Purchases'!$C:$C,Brokerage!$B190,'YTD Purchases'!$G:$G,Brokerage!V$4)</f>
        <v>0</v>
      </c>
      <c r="W190" s="857">
        <f>SUMIFS('YTD Sales'!$N:$N,'YTD Sales'!$B:$B,Brokerage!$B190,'YTD Sales'!$M:$M,Brokerage!W$4)+SUMIFS('YTD Purchases'!$H:$H,'YTD Purchases'!$C:$C,Brokerage!$B190,'YTD Purchases'!$G:$G,Brokerage!W$4)</f>
        <v>0</v>
      </c>
      <c r="X190" s="857">
        <f>SUMIFS('YTD Sales'!$N:$N,'YTD Sales'!$B:$B,Brokerage!$B190,'YTD Sales'!$M:$M,Brokerage!X$4)+SUMIFS('YTD Purchases'!$H:$H,'YTD Purchases'!$C:$C,Brokerage!$B190,'YTD Purchases'!$G:$G,Brokerage!X$4)</f>
        <v>0</v>
      </c>
      <c r="Y190" s="857">
        <f>SUMIFS('YTD Sales'!$N:$N,'YTD Sales'!$B:$B,Brokerage!$B190,'YTD Sales'!$M:$M,Brokerage!Y$4)+SUMIFS('YTD Purchases'!$H:$H,'YTD Purchases'!$C:$C,Brokerage!$B190,'YTD Purchases'!$G:$G,Brokerage!Y$4)</f>
        <v>0</v>
      </c>
      <c r="Z190" s="857">
        <f>SUMIFS('YTD Sales'!$N:$N,'YTD Sales'!$B:$B,Brokerage!$B190,'YTD Sales'!$M:$M,Brokerage!Z$4)+SUMIFS('YTD Purchases'!$H:$H,'YTD Purchases'!$C:$C,Brokerage!$B190,'YTD Purchases'!$G:$G,Brokerage!Z$4)</f>
        <v>0</v>
      </c>
      <c r="AA190" s="857">
        <f>SUMIFS('YTD Sales'!$N:$N,'YTD Sales'!$B:$B,Brokerage!$B190,'YTD Sales'!$M:$M,Brokerage!AA$4)+SUMIFS('YTD Purchases'!$H:$H,'YTD Purchases'!$C:$C,Brokerage!$B190,'YTD Purchases'!$G:$G,Brokerage!AA$4)</f>
        <v>0</v>
      </c>
      <c r="AB190" s="857">
        <f>SUMIFS('YTD Sales'!$N:$N,'YTD Sales'!$B:$B,Brokerage!$B190,'YTD Sales'!$M:$M,Brokerage!AB$4)+SUMIFS('YTD Purchases'!$H:$H,'YTD Purchases'!$C:$C,Brokerage!$B190,'YTD Purchases'!$G:$G,Brokerage!AB$4)</f>
        <v>0</v>
      </c>
      <c r="AC190" s="857">
        <f>SUMIFS('YTD Sales'!$N:$N,'YTD Sales'!$B:$B,Brokerage!$B190,'YTD Sales'!$M:$M,Brokerage!AC$4)+SUMIFS('YTD Purchases'!$H:$H,'YTD Purchases'!$C:$C,Brokerage!$B190,'YTD Purchases'!$G:$G,Brokerage!AC$4)</f>
        <v>0</v>
      </c>
      <c r="AD190" s="857">
        <f>+SUMIFS(PIB!AG:AG,PIB!AF:AF,Brokerage!AD$4,PIB!AA:AA,Brokerage!$B190)+SUMIFS('T-Bills'!AB:AB,'T-Bills'!AA:AA,Brokerage!AD$4,'T-Bills'!V:V,Brokerage!$B190)</f>
        <v>0</v>
      </c>
      <c r="AE190" s="857">
        <f>+SUMIFS(PIB!AH:AH,PIB!AG:AG,Brokerage!AE$4,PIB!AB:AB,Brokerage!$B190)+SUMIFS('T-Bills'!AC:AC,'T-Bills'!AB:AB,Brokerage!AE$4,'T-Bills'!W:W,Brokerage!$B190)</f>
        <v>0</v>
      </c>
      <c r="AF190" s="857">
        <f>+SUMIFS(PIB!AI:AI,PIB!AH:AH,Brokerage!AF$4,PIB!AC:AC,Brokerage!$B190)+SUMIFS('T-Bills'!AD:AD,'T-Bills'!AC:AC,Brokerage!AF$4,'T-Bills'!X:X,Brokerage!$B190)</f>
        <v>0</v>
      </c>
      <c r="AG190" s="857">
        <f t="shared" si="19"/>
        <v>30549.259999999995</v>
      </c>
      <c r="AH190" s="858">
        <f t="shared" si="21"/>
        <v>1</v>
      </c>
    </row>
    <row r="191" spans="2:34" x14ac:dyDescent="0.15">
      <c r="B191" s="661">
        <f t="shared" si="18"/>
        <v>44747</v>
      </c>
      <c r="C191" s="857">
        <f>SUMIFS('YTD Sales'!$N:$N,'YTD Sales'!$B:$B,Brokerage!$B191,'YTD Sales'!$M:$M,Brokerage!C$4)+SUMIFS('YTD Purchases'!$H:$H,'YTD Purchases'!$C:$C,Brokerage!$B191,'YTD Purchases'!$G:$G,Brokerage!C$4)</f>
        <v>0</v>
      </c>
      <c r="D191" s="857">
        <f>SUMIFS('YTD Sales'!$N:$N,'YTD Sales'!$B:$B,Brokerage!$B191,'YTD Sales'!$M:$M,Brokerage!D$4)+SUMIFS('YTD Purchases'!$H:$H,'YTD Purchases'!$C:$C,Brokerage!$B191,'YTD Purchases'!$G:$G,Brokerage!D$4)</f>
        <v>0</v>
      </c>
      <c r="E191" s="857">
        <f>SUMIFS('YTD Sales'!$N:$N,'YTD Sales'!$B:$B,Brokerage!$B191,'YTD Sales'!$M:$M,Brokerage!E$4)+SUMIFS('YTD Purchases'!$H:$H,'YTD Purchases'!$C:$C,Brokerage!$B191,'YTD Purchases'!$G:$G,Brokerage!E$4)</f>
        <v>0</v>
      </c>
      <c r="F191" s="857">
        <f>SUMIFS('YTD Sales'!$N:$N,'YTD Sales'!$B:$B,Brokerage!$B191,'YTD Sales'!$M:$M,Brokerage!F$4)+SUMIFS('YTD Purchases'!$H:$H,'YTD Purchases'!$C:$C,Brokerage!$B191,'YTD Purchases'!$G:$G,Brokerage!F$4)</f>
        <v>0</v>
      </c>
      <c r="G191" s="857">
        <f>SUMIFS('YTD Sales'!$N:$N,'YTD Sales'!$B:$B,Brokerage!$B191,'YTD Sales'!$M:$M,Brokerage!G$4)+SUMIFS('YTD Purchases'!$H:$H,'YTD Purchases'!$C:$C,Brokerage!$B191,'YTD Purchases'!$G:$G,Brokerage!G$4)</f>
        <v>315.61</v>
      </c>
      <c r="H191" s="857">
        <f>SUMIFS('YTD Sales'!$N:$N,'YTD Sales'!$B:$B,Brokerage!$B191,'YTD Sales'!$M:$M,Brokerage!H$4)+SUMIFS('YTD Purchases'!$H:$H,'YTD Purchases'!$C:$C,Brokerage!$B191,'YTD Purchases'!$G:$G,Brokerage!H$4)</f>
        <v>0</v>
      </c>
      <c r="I191" s="857">
        <f>SUMIFS('YTD Sales'!$N:$N,'YTD Sales'!$B:$B,Brokerage!$B191,'YTD Sales'!$M:$M,Brokerage!I$4)+SUMIFS('YTD Purchases'!$H:$H,'YTD Purchases'!$C:$C,Brokerage!$B191,'YTD Purchases'!$G:$G,Brokerage!I$4)</f>
        <v>0</v>
      </c>
      <c r="J191" s="857">
        <f>SUMIFS('YTD Sales'!$N:$N,'YTD Sales'!$B:$B,Brokerage!$B191,'YTD Sales'!$M:$M,Brokerage!J$4)+SUMIFS('YTD Purchases'!$H:$H,'YTD Purchases'!$C:$C,Brokerage!$B191,'YTD Purchases'!$G:$G,Brokerage!J$4)</f>
        <v>0</v>
      </c>
      <c r="K191" s="857">
        <f>SUMIFS('YTD Sales'!$N:$N,'YTD Sales'!$B:$B,Brokerage!$B191,'YTD Sales'!$M:$M,Brokerage!K$4)+SUMIFS('YTD Purchases'!$H:$H,'YTD Purchases'!$C:$C,Brokerage!$B191,'YTD Purchases'!$G:$G,Brokerage!K$4)</f>
        <v>16718.02</v>
      </c>
      <c r="L191" s="857">
        <f>SUMIFS('YTD Sales'!$N:$N,'YTD Sales'!$B:$B,Brokerage!$B191,'YTD Sales'!$M:$M,Brokerage!L$4)+SUMIFS('YTD Purchases'!$H:$H,'YTD Purchases'!$C:$C,Brokerage!$B191,'YTD Purchases'!$G:$G,Brokerage!L$4)</f>
        <v>0</v>
      </c>
      <c r="M191" s="857">
        <f>SUMIFS('YTD Sales'!$N:$N,'YTD Sales'!$B:$B,Brokerage!$B191,'YTD Sales'!$M:$M,Brokerage!M$4)+SUMIFS('YTD Purchases'!$H:$H,'YTD Purchases'!$C:$C,Brokerage!$B191,'YTD Purchases'!$G:$G,Brokerage!M$4)</f>
        <v>0</v>
      </c>
      <c r="N191" s="857">
        <f>SUMIFS('YTD Sales'!$N:$N,'YTD Sales'!$B:$B,Brokerage!$B191,'YTD Sales'!$M:$M,Brokerage!N$4)+SUMIFS('YTD Purchases'!$H:$H,'YTD Purchases'!$C:$C,Brokerage!$B191,'YTD Purchases'!$G:$G,Brokerage!N$4)</f>
        <v>0</v>
      </c>
      <c r="O191" s="857">
        <f>SUMIFS('YTD Sales'!$N:$N,'YTD Sales'!$B:$B,Brokerage!$B191,'YTD Sales'!$M:$M,Brokerage!O$4)+SUMIFS('YTD Purchases'!$H:$H,'YTD Purchases'!$C:$C,Brokerage!$B191,'YTD Purchases'!$G:$G,Brokerage!O$4)</f>
        <v>0</v>
      </c>
      <c r="P191" s="857">
        <f>SUMIFS('YTD Sales'!$N:$N,'YTD Sales'!$B:$B,Brokerage!$B191,'YTD Sales'!$M:$M,Brokerage!P$4)+SUMIFS('YTD Purchases'!$H:$H,'YTD Purchases'!$C:$C,Brokerage!$B191,'YTD Purchases'!$G:$G,Brokerage!P$4)</f>
        <v>0</v>
      </c>
      <c r="Q191" s="857">
        <f>SUMIFS('YTD Sales'!$N:$N,'YTD Sales'!$B:$B,Brokerage!$B191,'YTD Sales'!$M:$M,Brokerage!Q$4)+SUMIFS('YTD Purchases'!$H:$H,'YTD Purchases'!$C:$C,Brokerage!$B191,'YTD Purchases'!$G:$G,Brokerage!Q$4)</f>
        <v>0</v>
      </c>
      <c r="R191" s="857">
        <f>SUMIFS('YTD Sales'!$N:$N,'YTD Sales'!$B:$B,Brokerage!$B191,'YTD Sales'!$M:$M,Brokerage!R$4)+SUMIFS('YTD Purchases'!$H:$H,'YTD Purchases'!$C:$C,Brokerage!$B191,'YTD Purchases'!$G:$G,Brokerage!R$4)</f>
        <v>0</v>
      </c>
      <c r="S191" s="857">
        <f>SUMIFS('YTD Sales'!$N:$N,'YTD Sales'!$B:$B,Brokerage!$B191,'YTD Sales'!$M:$M,Brokerage!S$4)+SUMIFS('YTD Purchases'!$H:$H,'YTD Purchases'!$C:$C,Brokerage!$B191,'YTD Purchases'!$G:$G,Brokerage!S$4)</f>
        <v>0</v>
      </c>
      <c r="T191" s="857">
        <f>SUMIFS('YTD Sales'!$N:$N,'YTD Sales'!$B:$B,Brokerage!$B191,'YTD Sales'!$M:$M,Brokerage!T$4)+SUMIFS('YTD Purchases'!$H:$H,'YTD Purchases'!$C:$C,Brokerage!$B191,'YTD Purchases'!$G:$G,Brokerage!T$4)</f>
        <v>0</v>
      </c>
      <c r="U191" s="857">
        <f>SUMIFS('YTD Sales'!$N:$N,'YTD Sales'!$B:$B,Brokerage!$B191,'YTD Sales'!$M:$M,Brokerage!U$4)+SUMIFS('YTD Purchases'!$H:$H,'YTD Purchases'!$C:$C,Brokerage!$B191,'YTD Purchases'!$G:$G,Brokerage!U$4)</f>
        <v>0</v>
      </c>
      <c r="V191" s="857">
        <f>SUMIFS('YTD Sales'!$N:$N,'YTD Sales'!$B:$B,Brokerage!$B191,'YTD Sales'!$M:$M,Brokerage!V$4)+SUMIFS('YTD Purchases'!$H:$H,'YTD Purchases'!$C:$C,Brokerage!$B191,'YTD Purchases'!$G:$G,Brokerage!V$4)</f>
        <v>0</v>
      </c>
      <c r="W191" s="857">
        <f>SUMIFS('YTD Sales'!$N:$N,'YTD Sales'!$B:$B,Brokerage!$B191,'YTD Sales'!$M:$M,Brokerage!W$4)+SUMIFS('YTD Purchases'!$H:$H,'YTD Purchases'!$C:$C,Brokerage!$B191,'YTD Purchases'!$G:$G,Brokerage!W$4)</f>
        <v>0</v>
      </c>
      <c r="X191" s="857">
        <f>SUMIFS('YTD Sales'!$N:$N,'YTD Sales'!$B:$B,Brokerage!$B191,'YTD Sales'!$M:$M,Brokerage!X$4)+SUMIFS('YTD Purchases'!$H:$H,'YTD Purchases'!$C:$C,Brokerage!$B191,'YTD Purchases'!$G:$G,Brokerage!X$4)</f>
        <v>0</v>
      </c>
      <c r="Y191" s="857">
        <f>SUMIFS('YTD Sales'!$N:$N,'YTD Sales'!$B:$B,Brokerage!$B191,'YTD Sales'!$M:$M,Brokerage!Y$4)+SUMIFS('YTD Purchases'!$H:$H,'YTD Purchases'!$C:$C,Brokerage!$B191,'YTD Purchases'!$G:$G,Brokerage!Y$4)</f>
        <v>0</v>
      </c>
      <c r="Z191" s="857">
        <f>SUMIFS('YTD Sales'!$N:$N,'YTD Sales'!$B:$B,Brokerage!$B191,'YTD Sales'!$M:$M,Brokerage!Z$4)+SUMIFS('YTD Purchases'!$H:$H,'YTD Purchases'!$C:$C,Brokerage!$B191,'YTD Purchases'!$G:$G,Brokerage!Z$4)</f>
        <v>0</v>
      </c>
      <c r="AA191" s="857">
        <f>SUMIFS('YTD Sales'!$N:$N,'YTD Sales'!$B:$B,Brokerage!$B191,'YTD Sales'!$M:$M,Brokerage!AA$4)+SUMIFS('YTD Purchases'!$H:$H,'YTD Purchases'!$C:$C,Brokerage!$B191,'YTD Purchases'!$G:$G,Brokerage!AA$4)</f>
        <v>0</v>
      </c>
      <c r="AB191" s="857">
        <f>SUMIFS('YTD Sales'!$N:$N,'YTD Sales'!$B:$B,Brokerage!$B191,'YTD Sales'!$M:$M,Brokerage!AB$4)+SUMIFS('YTD Purchases'!$H:$H,'YTD Purchases'!$C:$C,Brokerage!$B191,'YTD Purchases'!$G:$G,Brokerage!AB$4)</f>
        <v>0</v>
      </c>
      <c r="AC191" s="857">
        <f>SUMIFS('YTD Sales'!$N:$N,'YTD Sales'!$B:$B,Brokerage!$B191,'YTD Sales'!$M:$M,Brokerage!AC$4)+SUMIFS('YTD Purchases'!$H:$H,'YTD Purchases'!$C:$C,Brokerage!$B191,'YTD Purchases'!$G:$G,Brokerage!AC$4)</f>
        <v>0</v>
      </c>
      <c r="AD191" s="857">
        <f>+SUMIFS(PIB!AG:AG,PIB!AF:AF,Brokerage!AD$4,PIB!AA:AA,Brokerage!$B191)+SUMIFS('T-Bills'!AB:AB,'T-Bills'!AA:AA,Brokerage!AD$4,'T-Bills'!V:V,Brokerage!$B191)</f>
        <v>0</v>
      </c>
      <c r="AE191" s="857">
        <f>+SUMIFS(PIB!AH:AH,PIB!AG:AG,Brokerage!AE$4,PIB!AB:AB,Brokerage!$B191)+SUMIFS('T-Bills'!AC:AC,'T-Bills'!AB:AB,Brokerage!AE$4,'T-Bills'!W:W,Brokerage!$B191)</f>
        <v>0</v>
      </c>
      <c r="AF191" s="857">
        <f>+SUMIFS(PIB!AI:AI,PIB!AH:AH,Brokerage!AF$4,PIB!AC:AC,Brokerage!$B191)+SUMIFS('T-Bills'!AD:AD,'T-Bills'!AC:AC,Brokerage!AF$4,'T-Bills'!X:X,Brokerage!$B191)</f>
        <v>0</v>
      </c>
      <c r="AG191" s="857">
        <f t="shared" si="19"/>
        <v>17033.63</v>
      </c>
      <c r="AH191" s="858">
        <f t="shared" si="21"/>
        <v>1</v>
      </c>
    </row>
    <row r="192" spans="2:34" x14ac:dyDescent="0.15">
      <c r="B192" s="661">
        <f t="shared" si="18"/>
        <v>44748</v>
      </c>
      <c r="C192" s="857">
        <f>SUMIFS('YTD Sales'!$N:$N,'YTD Sales'!$B:$B,Brokerage!$B192,'YTD Sales'!$M:$M,Brokerage!C$4)+SUMIFS('YTD Purchases'!$H:$H,'YTD Purchases'!$C:$C,Brokerage!$B192,'YTD Purchases'!$G:$G,Brokerage!C$4)</f>
        <v>0</v>
      </c>
      <c r="D192" s="857">
        <f>SUMIFS('YTD Sales'!$N:$N,'YTD Sales'!$B:$B,Brokerage!$B192,'YTD Sales'!$M:$M,Brokerage!D$4)+SUMIFS('YTD Purchases'!$H:$H,'YTD Purchases'!$C:$C,Brokerage!$B192,'YTD Purchases'!$G:$G,Brokerage!D$4)</f>
        <v>0</v>
      </c>
      <c r="E192" s="857">
        <f>SUMIFS('YTD Sales'!$N:$N,'YTD Sales'!$B:$B,Brokerage!$B192,'YTD Sales'!$M:$M,Brokerage!E$4)+SUMIFS('YTD Purchases'!$H:$H,'YTD Purchases'!$C:$C,Brokerage!$B192,'YTD Purchases'!$G:$G,Brokerage!E$4)</f>
        <v>0</v>
      </c>
      <c r="F192" s="857">
        <f>SUMIFS('YTD Sales'!$N:$N,'YTD Sales'!$B:$B,Brokerage!$B192,'YTD Sales'!$M:$M,Brokerage!F$4)+SUMIFS('YTD Purchases'!$H:$H,'YTD Purchases'!$C:$C,Brokerage!$B192,'YTD Purchases'!$G:$G,Brokerage!F$4)</f>
        <v>0</v>
      </c>
      <c r="G192" s="857">
        <f>SUMIFS('YTD Sales'!$N:$N,'YTD Sales'!$B:$B,Brokerage!$B192,'YTD Sales'!$M:$M,Brokerage!G$4)+SUMIFS('YTD Purchases'!$H:$H,'YTD Purchases'!$C:$C,Brokerage!$B192,'YTD Purchases'!$G:$G,Brokerage!G$4)</f>
        <v>0</v>
      </c>
      <c r="H192" s="857">
        <f>SUMIFS('YTD Sales'!$N:$N,'YTD Sales'!$B:$B,Brokerage!$B192,'YTD Sales'!$M:$M,Brokerage!H$4)+SUMIFS('YTD Purchases'!$H:$H,'YTD Purchases'!$C:$C,Brokerage!$B192,'YTD Purchases'!$G:$G,Brokerage!H$4)</f>
        <v>0</v>
      </c>
      <c r="I192" s="857">
        <f>SUMIFS('YTD Sales'!$N:$N,'YTD Sales'!$B:$B,Brokerage!$B192,'YTD Sales'!$M:$M,Brokerage!I$4)+SUMIFS('YTD Purchases'!$H:$H,'YTD Purchases'!$C:$C,Brokerage!$B192,'YTD Purchases'!$G:$G,Brokerage!I$4)</f>
        <v>0</v>
      </c>
      <c r="J192" s="857">
        <f>SUMIFS('YTD Sales'!$N:$N,'YTD Sales'!$B:$B,Brokerage!$B192,'YTD Sales'!$M:$M,Brokerage!J$4)+SUMIFS('YTD Purchases'!$H:$H,'YTD Purchases'!$C:$C,Brokerage!$B192,'YTD Purchases'!$G:$G,Brokerage!J$4)</f>
        <v>0</v>
      </c>
      <c r="K192" s="857">
        <f>SUMIFS('YTD Sales'!$N:$N,'YTD Sales'!$B:$B,Brokerage!$B192,'YTD Sales'!$M:$M,Brokerage!K$4)+SUMIFS('YTD Purchases'!$H:$H,'YTD Purchases'!$C:$C,Brokerage!$B192,'YTD Purchases'!$G:$G,Brokerage!K$4)</f>
        <v>0</v>
      </c>
      <c r="L192" s="857">
        <f>SUMIFS('YTD Sales'!$N:$N,'YTD Sales'!$B:$B,Brokerage!$B192,'YTD Sales'!$M:$M,Brokerage!L$4)+SUMIFS('YTD Purchases'!$H:$H,'YTD Purchases'!$C:$C,Brokerage!$B192,'YTD Purchases'!$G:$G,Brokerage!L$4)</f>
        <v>0</v>
      </c>
      <c r="M192" s="857">
        <f>SUMIFS('YTD Sales'!$N:$N,'YTD Sales'!$B:$B,Brokerage!$B192,'YTD Sales'!$M:$M,Brokerage!M$4)+SUMIFS('YTD Purchases'!$H:$H,'YTD Purchases'!$C:$C,Brokerage!$B192,'YTD Purchases'!$G:$G,Brokerage!M$4)</f>
        <v>784.34</v>
      </c>
      <c r="N192" s="857">
        <f>SUMIFS('YTD Sales'!$N:$N,'YTD Sales'!$B:$B,Brokerage!$B192,'YTD Sales'!$M:$M,Brokerage!N$4)+SUMIFS('YTD Purchases'!$H:$H,'YTD Purchases'!$C:$C,Brokerage!$B192,'YTD Purchases'!$G:$G,Brokerage!N$4)</f>
        <v>0</v>
      </c>
      <c r="O192" s="857">
        <f>SUMIFS('YTD Sales'!$N:$N,'YTD Sales'!$B:$B,Brokerage!$B192,'YTD Sales'!$M:$M,Brokerage!O$4)+SUMIFS('YTD Purchases'!$H:$H,'YTD Purchases'!$C:$C,Brokerage!$B192,'YTD Purchases'!$G:$G,Brokerage!O$4)</f>
        <v>0</v>
      </c>
      <c r="P192" s="857">
        <f>SUMIFS('YTD Sales'!$N:$N,'YTD Sales'!$B:$B,Brokerage!$B192,'YTD Sales'!$M:$M,Brokerage!P$4)+SUMIFS('YTD Purchases'!$H:$H,'YTD Purchases'!$C:$C,Brokerage!$B192,'YTD Purchases'!$G:$G,Brokerage!P$4)</f>
        <v>0</v>
      </c>
      <c r="Q192" s="857">
        <f>SUMIFS('YTD Sales'!$N:$N,'YTD Sales'!$B:$B,Brokerage!$B192,'YTD Sales'!$M:$M,Brokerage!Q$4)+SUMIFS('YTD Purchases'!$H:$H,'YTD Purchases'!$C:$C,Brokerage!$B192,'YTD Purchases'!$G:$G,Brokerage!Q$4)</f>
        <v>0</v>
      </c>
      <c r="R192" s="857">
        <f>SUMIFS('YTD Sales'!$N:$N,'YTD Sales'!$B:$B,Brokerage!$B192,'YTD Sales'!$M:$M,Brokerage!R$4)+SUMIFS('YTD Purchases'!$H:$H,'YTD Purchases'!$C:$C,Brokerage!$B192,'YTD Purchases'!$G:$G,Brokerage!R$4)</f>
        <v>0</v>
      </c>
      <c r="S192" s="857">
        <f>SUMIFS('YTD Sales'!$N:$N,'YTD Sales'!$B:$B,Brokerage!$B192,'YTD Sales'!$M:$M,Brokerage!S$4)+SUMIFS('YTD Purchases'!$H:$H,'YTD Purchases'!$C:$C,Brokerage!$B192,'YTD Purchases'!$G:$G,Brokerage!S$4)</f>
        <v>1547.54</v>
      </c>
      <c r="T192" s="857">
        <f>SUMIFS('YTD Sales'!$N:$N,'YTD Sales'!$B:$B,Brokerage!$B192,'YTD Sales'!$M:$M,Brokerage!T$4)+SUMIFS('YTD Purchases'!$H:$H,'YTD Purchases'!$C:$C,Brokerage!$B192,'YTD Purchases'!$G:$G,Brokerage!T$4)</f>
        <v>0</v>
      </c>
      <c r="U192" s="857">
        <f>SUMIFS('YTD Sales'!$N:$N,'YTD Sales'!$B:$B,Brokerage!$B192,'YTD Sales'!$M:$M,Brokerage!U$4)+SUMIFS('YTD Purchases'!$H:$H,'YTD Purchases'!$C:$C,Brokerage!$B192,'YTD Purchases'!$G:$G,Brokerage!U$4)</f>
        <v>0</v>
      </c>
      <c r="V192" s="857">
        <f>SUMIFS('YTD Sales'!$N:$N,'YTD Sales'!$B:$B,Brokerage!$B192,'YTD Sales'!$M:$M,Brokerage!V$4)+SUMIFS('YTD Purchases'!$H:$H,'YTD Purchases'!$C:$C,Brokerage!$B192,'YTD Purchases'!$G:$G,Brokerage!V$4)</f>
        <v>0</v>
      </c>
      <c r="W192" s="857">
        <f>SUMIFS('YTD Sales'!$N:$N,'YTD Sales'!$B:$B,Brokerage!$B192,'YTD Sales'!$M:$M,Brokerage!W$4)+SUMIFS('YTD Purchases'!$H:$H,'YTD Purchases'!$C:$C,Brokerage!$B192,'YTD Purchases'!$G:$G,Brokerage!W$4)</f>
        <v>0</v>
      </c>
      <c r="X192" s="857">
        <f>SUMIFS('YTD Sales'!$N:$N,'YTD Sales'!$B:$B,Brokerage!$B192,'YTD Sales'!$M:$M,Brokerage!X$4)+SUMIFS('YTD Purchases'!$H:$H,'YTD Purchases'!$C:$C,Brokerage!$B192,'YTD Purchases'!$G:$G,Brokerage!X$4)</f>
        <v>0</v>
      </c>
      <c r="Y192" s="857">
        <f>SUMIFS('YTD Sales'!$N:$N,'YTD Sales'!$B:$B,Brokerage!$B192,'YTD Sales'!$M:$M,Brokerage!Y$4)+SUMIFS('YTD Purchases'!$H:$H,'YTD Purchases'!$C:$C,Brokerage!$B192,'YTD Purchases'!$G:$G,Brokerage!Y$4)</f>
        <v>0</v>
      </c>
      <c r="Z192" s="857">
        <f>SUMIFS('YTD Sales'!$N:$N,'YTD Sales'!$B:$B,Brokerage!$B192,'YTD Sales'!$M:$M,Brokerage!Z$4)+SUMIFS('YTD Purchases'!$H:$H,'YTD Purchases'!$C:$C,Brokerage!$B192,'YTD Purchases'!$G:$G,Brokerage!Z$4)</f>
        <v>0</v>
      </c>
      <c r="AA192" s="857">
        <f>SUMIFS('YTD Sales'!$N:$N,'YTD Sales'!$B:$B,Brokerage!$B192,'YTD Sales'!$M:$M,Brokerage!AA$4)+SUMIFS('YTD Purchases'!$H:$H,'YTD Purchases'!$C:$C,Brokerage!$B192,'YTD Purchases'!$G:$G,Brokerage!AA$4)</f>
        <v>0</v>
      </c>
      <c r="AB192" s="857">
        <f>SUMIFS('YTD Sales'!$N:$N,'YTD Sales'!$B:$B,Brokerage!$B192,'YTD Sales'!$M:$M,Brokerage!AB$4)+SUMIFS('YTD Purchases'!$H:$H,'YTD Purchases'!$C:$C,Brokerage!$B192,'YTD Purchases'!$G:$G,Brokerage!AB$4)</f>
        <v>0</v>
      </c>
      <c r="AC192" s="857">
        <f>SUMIFS('YTD Sales'!$N:$N,'YTD Sales'!$B:$B,Brokerage!$B192,'YTD Sales'!$M:$M,Brokerage!AC$4)+SUMIFS('YTD Purchases'!$H:$H,'YTD Purchases'!$C:$C,Brokerage!$B192,'YTD Purchases'!$G:$G,Brokerage!AC$4)</f>
        <v>0</v>
      </c>
      <c r="AD192" s="857">
        <f>+SUMIFS(PIB!AG:AG,PIB!AF:AF,Brokerage!AD$4,PIB!AA:AA,Brokerage!$B192)+SUMIFS('T-Bills'!AB:AB,'T-Bills'!AA:AA,Brokerage!AD$4,'T-Bills'!V:V,Brokerage!$B192)</f>
        <v>0</v>
      </c>
      <c r="AE192" s="857">
        <f>+SUMIFS(PIB!AH:AH,PIB!AG:AG,Brokerage!AE$4,PIB!AB:AB,Brokerage!$B192)+SUMIFS('T-Bills'!AC:AC,'T-Bills'!AB:AB,Brokerage!AE$4,'T-Bills'!W:W,Brokerage!$B192)</f>
        <v>0</v>
      </c>
      <c r="AF192" s="857">
        <f>+SUMIFS(PIB!AI:AI,PIB!AH:AH,Brokerage!AF$4,PIB!AC:AC,Brokerage!$B192)+SUMIFS('T-Bills'!AD:AD,'T-Bills'!AC:AC,Brokerage!AF$4,'T-Bills'!X:X,Brokerage!$B192)</f>
        <v>0</v>
      </c>
      <c r="AG192" s="857">
        <f t="shared" si="19"/>
        <v>2331.88</v>
      </c>
      <c r="AH192" s="858">
        <f t="shared" si="21"/>
        <v>0</v>
      </c>
    </row>
    <row r="193" spans="2:34" x14ac:dyDescent="0.15">
      <c r="B193" s="661">
        <f t="shared" si="18"/>
        <v>44749</v>
      </c>
      <c r="C193" s="857">
        <f>SUMIFS('YTD Sales'!$N:$N,'YTD Sales'!$B:$B,Brokerage!$B193,'YTD Sales'!$M:$M,Brokerage!C$4)+SUMIFS('YTD Purchases'!$H:$H,'YTD Purchases'!$C:$C,Brokerage!$B193,'YTD Purchases'!$G:$G,Brokerage!C$4)</f>
        <v>0</v>
      </c>
      <c r="D193" s="857">
        <f>SUMIFS('YTD Sales'!$N:$N,'YTD Sales'!$B:$B,Brokerage!$B193,'YTD Sales'!$M:$M,Brokerage!D$4)+SUMIFS('YTD Purchases'!$H:$H,'YTD Purchases'!$C:$C,Brokerage!$B193,'YTD Purchases'!$G:$G,Brokerage!D$4)</f>
        <v>0</v>
      </c>
      <c r="E193" s="857">
        <f>SUMIFS('YTD Sales'!$N:$N,'YTD Sales'!$B:$B,Brokerage!$B193,'YTD Sales'!$M:$M,Brokerage!E$4)+SUMIFS('YTD Purchases'!$H:$H,'YTD Purchases'!$C:$C,Brokerage!$B193,'YTD Purchases'!$G:$G,Brokerage!E$4)</f>
        <v>0</v>
      </c>
      <c r="F193" s="857">
        <f>SUMIFS('YTD Sales'!$N:$N,'YTD Sales'!$B:$B,Brokerage!$B193,'YTD Sales'!$M:$M,Brokerage!F$4)+SUMIFS('YTD Purchases'!$H:$H,'YTD Purchases'!$C:$C,Brokerage!$B193,'YTD Purchases'!$G:$G,Brokerage!F$4)</f>
        <v>0</v>
      </c>
      <c r="G193" s="857">
        <f>SUMIFS('YTD Sales'!$N:$N,'YTD Sales'!$B:$B,Brokerage!$B193,'YTD Sales'!$M:$M,Brokerage!G$4)+SUMIFS('YTD Purchases'!$H:$H,'YTD Purchases'!$C:$C,Brokerage!$B193,'YTD Purchases'!$G:$G,Brokerage!G$4)</f>
        <v>15550.086681818182</v>
      </c>
      <c r="H193" s="857">
        <f>SUMIFS('YTD Sales'!$N:$N,'YTD Sales'!$B:$B,Brokerage!$B193,'YTD Sales'!$M:$M,Brokerage!H$4)+SUMIFS('YTD Purchases'!$H:$H,'YTD Purchases'!$C:$C,Brokerage!$B193,'YTD Purchases'!$G:$G,Brokerage!H$4)</f>
        <v>0</v>
      </c>
      <c r="I193" s="857">
        <f>SUMIFS('YTD Sales'!$N:$N,'YTD Sales'!$B:$B,Brokerage!$B193,'YTD Sales'!$M:$M,Brokerage!I$4)+SUMIFS('YTD Purchases'!$H:$H,'YTD Purchases'!$C:$C,Brokerage!$B193,'YTD Purchases'!$G:$G,Brokerage!I$4)</f>
        <v>0</v>
      </c>
      <c r="J193" s="857">
        <f>SUMIFS('YTD Sales'!$N:$N,'YTD Sales'!$B:$B,Brokerage!$B193,'YTD Sales'!$M:$M,Brokerage!J$4)+SUMIFS('YTD Purchases'!$H:$H,'YTD Purchases'!$C:$C,Brokerage!$B193,'YTD Purchases'!$G:$G,Brokerage!J$4)</f>
        <v>0</v>
      </c>
      <c r="K193" s="857">
        <f>SUMIFS('YTD Sales'!$N:$N,'YTD Sales'!$B:$B,Brokerage!$B193,'YTD Sales'!$M:$M,Brokerage!K$4)+SUMIFS('YTD Purchases'!$H:$H,'YTD Purchases'!$C:$C,Brokerage!$B193,'YTD Purchases'!$G:$G,Brokerage!K$4)</f>
        <v>0</v>
      </c>
      <c r="L193" s="857">
        <f>SUMIFS('YTD Sales'!$N:$N,'YTD Sales'!$B:$B,Brokerage!$B193,'YTD Sales'!$M:$M,Brokerage!L$4)+SUMIFS('YTD Purchases'!$H:$H,'YTD Purchases'!$C:$C,Brokerage!$B193,'YTD Purchases'!$G:$G,Brokerage!L$4)</f>
        <v>0</v>
      </c>
      <c r="M193" s="857">
        <f>SUMIFS('YTD Sales'!$N:$N,'YTD Sales'!$B:$B,Brokerage!$B193,'YTD Sales'!$M:$M,Brokerage!M$4)+SUMIFS('YTD Purchases'!$H:$H,'YTD Purchases'!$C:$C,Brokerage!$B193,'YTD Purchases'!$G:$G,Brokerage!M$4)</f>
        <v>2039.0300000000002</v>
      </c>
      <c r="N193" s="857">
        <f>SUMIFS('YTD Sales'!$N:$N,'YTD Sales'!$B:$B,Brokerage!$B193,'YTD Sales'!$M:$M,Brokerage!N$4)+SUMIFS('YTD Purchases'!$H:$H,'YTD Purchases'!$C:$C,Brokerage!$B193,'YTD Purchases'!$G:$G,Brokerage!N$4)</f>
        <v>0</v>
      </c>
      <c r="O193" s="857">
        <f>SUMIFS('YTD Sales'!$N:$N,'YTD Sales'!$B:$B,Brokerage!$B193,'YTD Sales'!$M:$M,Brokerage!O$4)+SUMIFS('YTD Purchases'!$H:$H,'YTD Purchases'!$C:$C,Brokerage!$B193,'YTD Purchases'!$G:$G,Brokerage!O$4)</f>
        <v>0</v>
      </c>
      <c r="P193" s="857">
        <f>SUMIFS('YTD Sales'!$N:$N,'YTD Sales'!$B:$B,Brokerage!$B193,'YTD Sales'!$M:$M,Brokerage!P$4)+SUMIFS('YTD Purchases'!$H:$H,'YTD Purchases'!$C:$C,Brokerage!$B193,'YTD Purchases'!$G:$G,Brokerage!P$4)</f>
        <v>0</v>
      </c>
      <c r="Q193" s="857">
        <f>SUMIFS('YTD Sales'!$N:$N,'YTD Sales'!$B:$B,Brokerage!$B193,'YTD Sales'!$M:$M,Brokerage!Q$4)+SUMIFS('YTD Purchases'!$H:$H,'YTD Purchases'!$C:$C,Brokerage!$B193,'YTD Purchases'!$G:$G,Brokerage!Q$4)</f>
        <v>0</v>
      </c>
      <c r="R193" s="857">
        <f>SUMIFS('YTD Sales'!$N:$N,'YTD Sales'!$B:$B,Brokerage!$B193,'YTD Sales'!$M:$M,Brokerage!R$4)+SUMIFS('YTD Purchases'!$H:$H,'YTD Purchases'!$C:$C,Brokerage!$B193,'YTD Purchases'!$G:$G,Brokerage!R$4)</f>
        <v>0</v>
      </c>
      <c r="S193" s="857">
        <f>SUMIFS('YTD Sales'!$N:$N,'YTD Sales'!$B:$B,Brokerage!$B193,'YTD Sales'!$M:$M,Brokerage!S$4)+SUMIFS('YTD Purchases'!$H:$H,'YTD Purchases'!$C:$C,Brokerage!$B193,'YTD Purchases'!$G:$G,Brokerage!S$4)</f>
        <v>5612.2199999999993</v>
      </c>
      <c r="T193" s="857">
        <f>SUMIFS('YTD Sales'!$N:$N,'YTD Sales'!$B:$B,Brokerage!$B193,'YTD Sales'!$M:$M,Brokerage!T$4)+SUMIFS('YTD Purchases'!$H:$H,'YTD Purchases'!$C:$C,Brokerage!$B193,'YTD Purchases'!$G:$G,Brokerage!T$4)</f>
        <v>0</v>
      </c>
      <c r="U193" s="857">
        <f>SUMIFS('YTD Sales'!$N:$N,'YTD Sales'!$B:$B,Brokerage!$B193,'YTD Sales'!$M:$M,Brokerage!U$4)+SUMIFS('YTD Purchases'!$H:$H,'YTD Purchases'!$C:$C,Brokerage!$B193,'YTD Purchases'!$G:$G,Brokerage!U$4)</f>
        <v>0</v>
      </c>
      <c r="V193" s="857">
        <f>SUMIFS('YTD Sales'!$N:$N,'YTD Sales'!$B:$B,Brokerage!$B193,'YTD Sales'!$M:$M,Brokerage!V$4)+SUMIFS('YTD Purchases'!$H:$H,'YTD Purchases'!$C:$C,Brokerage!$B193,'YTD Purchases'!$G:$G,Brokerage!V$4)</f>
        <v>0</v>
      </c>
      <c r="W193" s="857">
        <f>SUMIFS('YTD Sales'!$N:$N,'YTD Sales'!$B:$B,Brokerage!$B193,'YTD Sales'!$M:$M,Brokerage!W$4)+SUMIFS('YTD Purchases'!$H:$H,'YTD Purchases'!$C:$C,Brokerage!$B193,'YTD Purchases'!$G:$G,Brokerage!W$4)</f>
        <v>0</v>
      </c>
      <c r="X193" s="857">
        <f>SUMIFS('YTD Sales'!$N:$N,'YTD Sales'!$B:$B,Brokerage!$B193,'YTD Sales'!$M:$M,Brokerage!X$4)+SUMIFS('YTD Purchases'!$H:$H,'YTD Purchases'!$C:$C,Brokerage!$B193,'YTD Purchases'!$G:$G,Brokerage!X$4)</f>
        <v>0</v>
      </c>
      <c r="Y193" s="857">
        <f>SUMIFS('YTD Sales'!$N:$N,'YTD Sales'!$B:$B,Brokerage!$B193,'YTD Sales'!$M:$M,Brokerage!Y$4)+SUMIFS('YTD Purchases'!$H:$H,'YTD Purchases'!$C:$C,Brokerage!$B193,'YTD Purchases'!$G:$G,Brokerage!Y$4)</f>
        <v>0</v>
      </c>
      <c r="Z193" s="857">
        <f>SUMIFS('YTD Sales'!$N:$N,'YTD Sales'!$B:$B,Brokerage!$B193,'YTD Sales'!$M:$M,Brokerage!Z$4)+SUMIFS('YTD Purchases'!$H:$H,'YTD Purchases'!$C:$C,Brokerage!$B193,'YTD Purchases'!$G:$G,Brokerage!Z$4)</f>
        <v>0</v>
      </c>
      <c r="AA193" s="857">
        <f>SUMIFS('YTD Sales'!$N:$N,'YTD Sales'!$B:$B,Brokerage!$B193,'YTD Sales'!$M:$M,Brokerage!AA$4)+SUMIFS('YTD Purchases'!$H:$H,'YTD Purchases'!$C:$C,Brokerage!$B193,'YTD Purchases'!$G:$G,Brokerage!AA$4)</f>
        <v>0</v>
      </c>
      <c r="AB193" s="857">
        <f>SUMIFS('YTD Sales'!$N:$N,'YTD Sales'!$B:$B,Brokerage!$B193,'YTD Sales'!$M:$M,Brokerage!AB$4)+SUMIFS('YTD Purchases'!$H:$H,'YTD Purchases'!$C:$C,Brokerage!$B193,'YTD Purchases'!$G:$G,Brokerage!AB$4)</f>
        <v>0</v>
      </c>
      <c r="AC193" s="857">
        <f>SUMIFS('YTD Sales'!$N:$N,'YTD Sales'!$B:$B,Brokerage!$B193,'YTD Sales'!$M:$M,Brokerage!AC$4)+SUMIFS('YTD Purchases'!$H:$H,'YTD Purchases'!$C:$C,Brokerage!$B193,'YTD Purchases'!$G:$G,Brokerage!AC$4)</f>
        <v>0</v>
      </c>
      <c r="AD193" s="857">
        <f>+SUMIFS(PIB!AG:AG,PIB!AF:AF,Brokerage!AD$4,PIB!AA:AA,Brokerage!$B193)+SUMIFS('T-Bills'!AB:AB,'T-Bills'!AA:AA,Brokerage!AD$4,'T-Bills'!V:V,Brokerage!$B193)</f>
        <v>0</v>
      </c>
      <c r="AE193" s="857">
        <f>+SUMIFS(PIB!AH:AH,PIB!AG:AG,Brokerage!AE$4,PIB!AB:AB,Brokerage!$B193)+SUMIFS('T-Bills'!AC:AC,'T-Bills'!AB:AB,Brokerage!AE$4,'T-Bills'!W:W,Brokerage!$B193)</f>
        <v>0</v>
      </c>
      <c r="AF193" s="857">
        <f>+SUMIFS(PIB!AI:AI,PIB!AH:AH,Brokerage!AF$4,PIB!AC:AC,Brokerage!$B193)+SUMIFS('T-Bills'!AD:AD,'T-Bills'!AC:AC,Brokerage!AF$4,'T-Bills'!X:X,Brokerage!$B193)</f>
        <v>0</v>
      </c>
      <c r="AG193" s="857">
        <f t="shared" si="19"/>
        <v>23201.336681818182</v>
      </c>
      <c r="AH193" s="858">
        <f t="shared" si="21"/>
        <v>1</v>
      </c>
    </row>
    <row r="194" spans="2:34" x14ac:dyDescent="0.15">
      <c r="B194" s="661">
        <f t="shared" si="18"/>
        <v>44750</v>
      </c>
      <c r="C194" s="857">
        <f>SUMIFS('YTD Sales'!$N:$N,'YTD Sales'!$B:$B,Brokerage!$B194,'YTD Sales'!$M:$M,Brokerage!C$4)+SUMIFS('YTD Purchases'!$H:$H,'YTD Purchases'!$C:$C,Brokerage!$B194,'YTD Purchases'!$G:$G,Brokerage!C$4)</f>
        <v>0</v>
      </c>
      <c r="D194" s="857">
        <f>SUMIFS('YTD Sales'!$N:$N,'YTD Sales'!$B:$B,Brokerage!$B194,'YTD Sales'!$M:$M,Brokerage!D$4)+SUMIFS('YTD Purchases'!$H:$H,'YTD Purchases'!$C:$C,Brokerage!$B194,'YTD Purchases'!$G:$G,Brokerage!D$4)</f>
        <v>0</v>
      </c>
      <c r="E194" s="857">
        <f>SUMIFS('YTD Sales'!$N:$N,'YTD Sales'!$B:$B,Brokerage!$B194,'YTD Sales'!$M:$M,Brokerage!E$4)+SUMIFS('YTD Purchases'!$H:$H,'YTD Purchases'!$C:$C,Brokerage!$B194,'YTD Purchases'!$G:$G,Brokerage!E$4)</f>
        <v>0</v>
      </c>
      <c r="F194" s="857">
        <f>SUMIFS('YTD Sales'!$N:$N,'YTD Sales'!$B:$B,Brokerage!$B194,'YTD Sales'!$M:$M,Brokerage!F$4)+SUMIFS('YTD Purchases'!$H:$H,'YTD Purchases'!$C:$C,Brokerage!$B194,'YTD Purchases'!$G:$G,Brokerage!F$4)</f>
        <v>0</v>
      </c>
      <c r="G194" s="857">
        <f>SUMIFS('YTD Sales'!$N:$N,'YTD Sales'!$B:$B,Brokerage!$B194,'YTD Sales'!$M:$M,Brokerage!G$4)+SUMIFS('YTD Purchases'!$H:$H,'YTD Purchases'!$C:$C,Brokerage!$B194,'YTD Purchases'!$G:$G,Brokerage!G$4)</f>
        <v>0</v>
      </c>
      <c r="H194" s="857">
        <f>SUMIFS('YTD Sales'!$N:$N,'YTD Sales'!$B:$B,Brokerage!$B194,'YTD Sales'!$M:$M,Brokerage!H$4)+SUMIFS('YTD Purchases'!$H:$H,'YTD Purchases'!$C:$C,Brokerage!$B194,'YTD Purchases'!$G:$G,Brokerage!H$4)</f>
        <v>0</v>
      </c>
      <c r="I194" s="857">
        <f>SUMIFS('YTD Sales'!$N:$N,'YTD Sales'!$B:$B,Brokerage!$B194,'YTD Sales'!$M:$M,Brokerage!I$4)+SUMIFS('YTD Purchases'!$H:$H,'YTD Purchases'!$C:$C,Brokerage!$B194,'YTD Purchases'!$G:$G,Brokerage!I$4)</f>
        <v>0</v>
      </c>
      <c r="J194" s="857">
        <f>SUMIFS('YTD Sales'!$N:$N,'YTD Sales'!$B:$B,Brokerage!$B194,'YTD Sales'!$M:$M,Brokerage!J$4)+SUMIFS('YTD Purchases'!$H:$H,'YTD Purchases'!$C:$C,Brokerage!$B194,'YTD Purchases'!$G:$G,Brokerage!J$4)</f>
        <v>0</v>
      </c>
      <c r="K194" s="857">
        <f>SUMIFS('YTD Sales'!$N:$N,'YTD Sales'!$B:$B,Brokerage!$B194,'YTD Sales'!$M:$M,Brokerage!K$4)+SUMIFS('YTD Purchases'!$H:$H,'YTD Purchases'!$C:$C,Brokerage!$B194,'YTD Purchases'!$G:$G,Brokerage!K$4)</f>
        <v>0</v>
      </c>
      <c r="L194" s="857">
        <f>SUMIFS('YTD Sales'!$N:$N,'YTD Sales'!$B:$B,Brokerage!$B194,'YTD Sales'!$M:$M,Brokerage!L$4)+SUMIFS('YTD Purchases'!$H:$H,'YTD Purchases'!$C:$C,Brokerage!$B194,'YTD Purchases'!$G:$G,Brokerage!L$4)</f>
        <v>0</v>
      </c>
      <c r="M194" s="857">
        <f>SUMIFS('YTD Sales'!$N:$N,'YTD Sales'!$B:$B,Brokerage!$B194,'YTD Sales'!$M:$M,Brokerage!M$4)+SUMIFS('YTD Purchases'!$H:$H,'YTD Purchases'!$C:$C,Brokerage!$B194,'YTD Purchases'!$G:$G,Brokerage!M$4)</f>
        <v>0</v>
      </c>
      <c r="N194" s="857">
        <f>SUMIFS('YTD Sales'!$N:$N,'YTD Sales'!$B:$B,Brokerage!$B194,'YTD Sales'!$M:$M,Brokerage!N$4)+SUMIFS('YTD Purchases'!$H:$H,'YTD Purchases'!$C:$C,Brokerage!$B194,'YTD Purchases'!$G:$G,Brokerage!N$4)</f>
        <v>0</v>
      </c>
      <c r="O194" s="857">
        <f>SUMIFS('YTD Sales'!$N:$N,'YTD Sales'!$B:$B,Brokerage!$B194,'YTD Sales'!$M:$M,Brokerage!O$4)+SUMIFS('YTD Purchases'!$H:$H,'YTD Purchases'!$C:$C,Brokerage!$B194,'YTD Purchases'!$G:$G,Brokerage!O$4)</f>
        <v>0</v>
      </c>
      <c r="P194" s="857">
        <f>SUMIFS('YTD Sales'!$N:$N,'YTD Sales'!$B:$B,Brokerage!$B194,'YTD Sales'!$M:$M,Brokerage!P$4)+SUMIFS('YTD Purchases'!$H:$H,'YTD Purchases'!$C:$C,Brokerage!$B194,'YTD Purchases'!$G:$G,Brokerage!P$4)</f>
        <v>0</v>
      </c>
      <c r="Q194" s="857">
        <f>SUMIFS('YTD Sales'!$N:$N,'YTD Sales'!$B:$B,Brokerage!$B194,'YTD Sales'!$M:$M,Brokerage!Q$4)+SUMIFS('YTD Purchases'!$H:$H,'YTD Purchases'!$C:$C,Brokerage!$B194,'YTD Purchases'!$G:$G,Brokerage!Q$4)</f>
        <v>0</v>
      </c>
      <c r="R194" s="857">
        <f>SUMIFS('YTD Sales'!$N:$N,'YTD Sales'!$B:$B,Brokerage!$B194,'YTD Sales'!$M:$M,Brokerage!R$4)+SUMIFS('YTD Purchases'!$H:$H,'YTD Purchases'!$C:$C,Brokerage!$B194,'YTD Purchases'!$G:$G,Brokerage!R$4)</f>
        <v>0</v>
      </c>
      <c r="S194" s="857">
        <f>SUMIFS('YTD Sales'!$N:$N,'YTD Sales'!$B:$B,Brokerage!$B194,'YTD Sales'!$M:$M,Brokerage!S$4)+SUMIFS('YTD Purchases'!$H:$H,'YTD Purchases'!$C:$C,Brokerage!$B194,'YTD Purchases'!$G:$G,Brokerage!S$4)</f>
        <v>0</v>
      </c>
      <c r="T194" s="857">
        <f>SUMIFS('YTD Sales'!$N:$N,'YTD Sales'!$B:$B,Brokerage!$B194,'YTD Sales'!$M:$M,Brokerage!T$4)+SUMIFS('YTD Purchases'!$H:$H,'YTD Purchases'!$C:$C,Brokerage!$B194,'YTD Purchases'!$G:$G,Brokerage!T$4)</f>
        <v>0</v>
      </c>
      <c r="U194" s="857">
        <f>SUMIFS('YTD Sales'!$N:$N,'YTD Sales'!$B:$B,Brokerage!$B194,'YTD Sales'!$M:$M,Brokerage!U$4)+SUMIFS('YTD Purchases'!$H:$H,'YTD Purchases'!$C:$C,Brokerage!$B194,'YTD Purchases'!$G:$G,Brokerage!U$4)</f>
        <v>0</v>
      </c>
      <c r="V194" s="857">
        <f>SUMIFS('YTD Sales'!$N:$N,'YTD Sales'!$B:$B,Brokerage!$B194,'YTD Sales'!$M:$M,Brokerage!V$4)+SUMIFS('YTD Purchases'!$H:$H,'YTD Purchases'!$C:$C,Brokerage!$B194,'YTD Purchases'!$G:$G,Brokerage!V$4)</f>
        <v>0</v>
      </c>
      <c r="W194" s="857">
        <f>SUMIFS('YTD Sales'!$N:$N,'YTD Sales'!$B:$B,Brokerage!$B194,'YTD Sales'!$M:$M,Brokerage!W$4)+SUMIFS('YTD Purchases'!$H:$H,'YTD Purchases'!$C:$C,Brokerage!$B194,'YTD Purchases'!$G:$G,Brokerage!W$4)</f>
        <v>0</v>
      </c>
      <c r="X194" s="857">
        <f>SUMIFS('YTD Sales'!$N:$N,'YTD Sales'!$B:$B,Brokerage!$B194,'YTD Sales'!$M:$M,Brokerage!X$4)+SUMIFS('YTD Purchases'!$H:$H,'YTD Purchases'!$C:$C,Brokerage!$B194,'YTD Purchases'!$G:$G,Brokerage!X$4)</f>
        <v>0</v>
      </c>
      <c r="Y194" s="857">
        <f>SUMIFS('YTD Sales'!$N:$N,'YTD Sales'!$B:$B,Brokerage!$B194,'YTD Sales'!$M:$M,Brokerage!Y$4)+SUMIFS('YTD Purchases'!$H:$H,'YTD Purchases'!$C:$C,Brokerage!$B194,'YTD Purchases'!$G:$G,Brokerage!Y$4)</f>
        <v>0</v>
      </c>
      <c r="Z194" s="857">
        <f>SUMIFS('YTD Sales'!$N:$N,'YTD Sales'!$B:$B,Brokerage!$B194,'YTD Sales'!$M:$M,Brokerage!Z$4)+SUMIFS('YTD Purchases'!$H:$H,'YTD Purchases'!$C:$C,Brokerage!$B194,'YTD Purchases'!$G:$G,Brokerage!Z$4)</f>
        <v>0</v>
      </c>
      <c r="AA194" s="857">
        <f>SUMIFS('YTD Sales'!$N:$N,'YTD Sales'!$B:$B,Brokerage!$B194,'YTD Sales'!$M:$M,Brokerage!AA$4)+SUMIFS('YTD Purchases'!$H:$H,'YTD Purchases'!$C:$C,Brokerage!$B194,'YTD Purchases'!$G:$G,Brokerage!AA$4)</f>
        <v>0</v>
      </c>
      <c r="AB194" s="857">
        <f>SUMIFS('YTD Sales'!$N:$N,'YTD Sales'!$B:$B,Brokerage!$B194,'YTD Sales'!$M:$M,Brokerage!AB$4)+SUMIFS('YTD Purchases'!$H:$H,'YTD Purchases'!$C:$C,Brokerage!$B194,'YTD Purchases'!$G:$G,Brokerage!AB$4)</f>
        <v>0</v>
      </c>
      <c r="AC194" s="857">
        <f>SUMIFS('YTD Sales'!$N:$N,'YTD Sales'!$B:$B,Brokerage!$B194,'YTD Sales'!$M:$M,Brokerage!AC$4)+SUMIFS('YTD Purchases'!$H:$H,'YTD Purchases'!$C:$C,Brokerage!$B194,'YTD Purchases'!$G:$G,Brokerage!AC$4)</f>
        <v>0</v>
      </c>
      <c r="AD194" s="857">
        <f>+SUMIFS(PIB!AG:AG,PIB!AF:AF,Brokerage!AD$4,PIB!AA:AA,Brokerage!$B194)+SUMIFS('T-Bills'!AB:AB,'T-Bills'!AA:AA,Brokerage!AD$4,'T-Bills'!V:V,Brokerage!$B194)</f>
        <v>0</v>
      </c>
      <c r="AE194" s="857">
        <f>+SUMIFS(PIB!AH:AH,PIB!AG:AG,Brokerage!AE$4,PIB!AB:AB,Brokerage!$B194)+SUMIFS('T-Bills'!AC:AC,'T-Bills'!AB:AB,Brokerage!AE$4,'T-Bills'!W:W,Brokerage!$B194)</f>
        <v>0</v>
      </c>
      <c r="AF194" s="857">
        <f>+SUMIFS(PIB!AI:AI,PIB!AH:AH,Brokerage!AF$4,PIB!AC:AC,Brokerage!$B194)+SUMIFS('T-Bills'!AD:AD,'T-Bills'!AC:AC,Brokerage!AF$4,'T-Bills'!X:X,Brokerage!$B194)</f>
        <v>0</v>
      </c>
      <c r="AG194" s="857">
        <f t="shared" si="19"/>
        <v>0</v>
      </c>
      <c r="AH194" s="858">
        <f t="shared" si="21"/>
        <v>0</v>
      </c>
    </row>
    <row r="195" spans="2:34" x14ac:dyDescent="0.15">
      <c r="B195" s="661">
        <f t="shared" si="18"/>
        <v>44751</v>
      </c>
      <c r="C195" s="857">
        <f>SUMIFS('YTD Sales'!$N:$N,'YTD Sales'!$B:$B,Brokerage!$B195,'YTD Sales'!$M:$M,Brokerage!C$4)+SUMIFS('YTD Purchases'!$H:$H,'YTD Purchases'!$C:$C,Brokerage!$B195,'YTD Purchases'!$G:$G,Brokerage!C$4)</f>
        <v>0</v>
      </c>
      <c r="D195" s="857">
        <f>SUMIFS('YTD Sales'!$N:$N,'YTD Sales'!$B:$B,Brokerage!$B195,'YTD Sales'!$M:$M,Brokerage!D$4)+SUMIFS('YTD Purchases'!$H:$H,'YTD Purchases'!$C:$C,Brokerage!$B195,'YTD Purchases'!$G:$G,Brokerage!D$4)</f>
        <v>0</v>
      </c>
      <c r="E195" s="857">
        <f>SUMIFS('YTD Sales'!$N:$N,'YTD Sales'!$B:$B,Brokerage!$B195,'YTD Sales'!$M:$M,Brokerage!E$4)+SUMIFS('YTD Purchases'!$H:$H,'YTD Purchases'!$C:$C,Brokerage!$B195,'YTD Purchases'!$G:$G,Brokerage!E$4)</f>
        <v>0</v>
      </c>
      <c r="F195" s="857">
        <f>SUMIFS('YTD Sales'!$N:$N,'YTD Sales'!$B:$B,Brokerage!$B195,'YTD Sales'!$M:$M,Brokerage!F$4)+SUMIFS('YTD Purchases'!$H:$H,'YTD Purchases'!$C:$C,Brokerage!$B195,'YTD Purchases'!$G:$G,Brokerage!F$4)</f>
        <v>0</v>
      </c>
      <c r="G195" s="857">
        <f>SUMIFS('YTD Sales'!$N:$N,'YTD Sales'!$B:$B,Brokerage!$B195,'YTD Sales'!$M:$M,Brokerage!G$4)+SUMIFS('YTD Purchases'!$H:$H,'YTD Purchases'!$C:$C,Brokerage!$B195,'YTD Purchases'!$G:$G,Brokerage!G$4)</f>
        <v>0</v>
      </c>
      <c r="H195" s="857">
        <f>SUMIFS('YTD Sales'!$N:$N,'YTD Sales'!$B:$B,Brokerage!$B195,'YTD Sales'!$M:$M,Brokerage!H$4)+SUMIFS('YTD Purchases'!$H:$H,'YTD Purchases'!$C:$C,Brokerage!$B195,'YTD Purchases'!$G:$G,Brokerage!H$4)</f>
        <v>0</v>
      </c>
      <c r="I195" s="857">
        <f>SUMIFS('YTD Sales'!$N:$N,'YTD Sales'!$B:$B,Brokerage!$B195,'YTD Sales'!$M:$M,Brokerage!I$4)+SUMIFS('YTD Purchases'!$H:$H,'YTD Purchases'!$C:$C,Brokerage!$B195,'YTD Purchases'!$G:$G,Brokerage!I$4)</f>
        <v>0</v>
      </c>
      <c r="J195" s="857">
        <f>SUMIFS('YTD Sales'!$N:$N,'YTD Sales'!$B:$B,Brokerage!$B195,'YTD Sales'!$M:$M,Brokerage!J$4)+SUMIFS('YTD Purchases'!$H:$H,'YTD Purchases'!$C:$C,Brokerage!$B195,'YTD Purchases'!$G:$G,Brokerage!J$4)</f>
        <v>0</v>
      </c>
      <c r="K195" s="857">
        <f>SUMIFS('YTD Sales'!$N:$N,'YTD Sales'!$B:$B,Brokerage!$B195,'YTD Sales'!$M:$M,Brokerage!K$4)+SUMIFS('YTD Purchases'!$H:$H,'YTD Purchases'!$C:$C,Brokerage!$B195,'YTD Purchases'!$G:$G,Brokerage!K$4)</f>
        <v>0</v>
      </c>
      <c r="L195" s="857">
        <f>SUMIFS('YTD Sales'!$N:$N,'YTD Sales'!$B:$B,Brokerage!$B195,'YTD Sales'!$M:$M,Brokerage!L$4)+SUMIFS('YTD Purchases'!$H:$H,'YTD Purchases'!$C:$C,Brokerage!$B195,'YTD Purchases'!$G:$G,Brokerage!L$4)</f>
        <v>0</v>
      </c>
      <c r="M195" s="857">
        <f>SUMIFS('YTD Sales'!$N:$N,'YTD Sales'!$B:$B,Brokerage!$B195,'YTD Sales'!$M:$M,Brokerage!M$4)+SUMIFS('YTD Purchases'!$H:$H,'YTD Purchases'!$C:$C,Brokerage!$B195,'YTD Purchases'!$G:$G,Brokerage!M$4)</f>
        <v>0</v>
      </c>
      <c r="N195" s="857">
        <f>SUMIFS('YTD Sales'!$N:$N,'YTD Sales'!$B:$B,Brokerage!$B195,'YTD Sales'!$M:$M,Brokerage!N$4)+SUMIFS('YTD Purchases'!$H:$H,'YTD Purchases'!$C:$C,Brokerage!$B195,'YTD Purchases'!$G:$G,Brokerage!N$4)</f>
        <v>0</v>
      </c>
      <c r="O195" s="857">
        <f>SUMIFS('YTD Sales'!$N:$N,'YTD Sales'!$B:$B,Brokerage!$B195,'YTD Sales'!$M:$M,Brokerage!O$4)+SUMIFS('YTD Purchases'!$H:$H,'YTD Purchases'!$C:$C,Brokerage!$B195,'YTD Purchases'!$G:$G,Brokerage!O$4)</f>
        <v>0</v>
      </c>
      <c r="P195" s="857">
        <f>SUMIFS('YTD Sales'!$N:$N,'YTD Sales'!$B:$B,Brokerage!$B195,'YTD Sales'!$M:$M,Brokerage!P$4)+SUMIFS('YTD Purchases'!$H:$H,'YTD Purchases'!$C:$C,Brokerage!$B195,'YTD Purchases'!$G:$G,Brokerage!P$4)</f>
        <v>0</v>
      </c>
      <c r="Q195" s="857">
        <f>SUMIFS('YTD Sales'!$N:$N,'YTD Sales'!$B:$B,Brokerage!$B195,'YTD Sales'!$M:$M,Brokerage!Q$4)+SUMIFS('YTD Purchases'!$H:$H,'YTD Purchases'!$C:$C,Brokerage!$B195,'YTD Purchases'!$G:$G,Brokerage!Q$4)</f>
        <v>0</v>
      </c>
      <c r="R195" s="857">
        <f>SUMIFS('YTD Sales'!$N:$N,'YTD Sales'!$B:$B,Brokerage!$B195,'YTD Sales'!$M:$M,Brokerage!R$4)+SUMIFS('YTD Purchases'!$H:$H,'YTD Purchases'!$C:$C,Brokerage!$B195,'YTD Purchases'!$G:$G,Brokerage!R$4)</f>
        <v>0</v>
      </c>
      <c r="S195" s="857">
        <f>SUMIFS('YTD Sales'!$N:$N,'YTD Sales'!$B:$B,Brokerage!$B195,'YTD Sales'!$M:$M,Brokerage!S$4)+SUMIFS('YTD Purchases'!$H:$H,'YTD Purchases'!$C:$C,Brokerage!$B195,'YTD Purchases'!$G:$G,Brokerage!S$4)</f>
        <v>0</v>
      </c>
      <c r="T195" s="857">
        <f>SUMIFS('YTD Sales'!$N:$N,'YTD Sales'!$B:$B,Brokerage!$B195,'YTD Sales'!$M:$M,Brokerage!T$4)+SUMIFS('YTD Purchases'!$H:$H,'YTD Purchases'!$C:$C,Brokerage!$B195,'YTD Purchases'!$G:$G,Brokerage!T$4)</f>
        <v>0</v>
      </c>
      <c r="U195" s="857">
        <f>SUMIFS('YTD Sales'!$N:$N,'YTD Sales'!$B:$B,Brokerage!$B195,'YTD Sales'!$M:$M,Brokerage!U$4)+SUMIFS('YTD Purchases'!$H:$H,'YTD Purchases'!$C:$C,Brokerage!$B195,'YTD Purchases'!$G:$G,Brokerage!U$4)</f>
        <v>0</v>
      </c>
      <c r="V195" s="857">
        <f>SUMIFS('YTD Sales'!$N:$N,'YTD Sales'!$B:$B,Brokerage!$B195,'YTD Sales'!$M:$M,Brokerage!V$4)+SUMIFS('YTD Purchases'!$H:$H,'YTD Purchases'!$C:$C,Brokerage!$B195,'YTD Purchases'!$G:$G,Brokerage!V$4)</f>
        <v>0</v>
      </c>
      <c r="W195" s="857">
        <f>SUMIFS('YTD Sales'!$N:$N,'YTD Sales'!$B:$B,Brokerage!$B195,'YTD Sales'!$M:$M,Brokerage!W$4)+SUMIFS('YTD Purchases'!$H:$H,'YTD Purchases'!$C:$C,Brokerage!$B195,'YTD Purchases'!$G:$G,Brokerage!W$4)</f>
        <v>0</v>
      </c>
      <c r="X195" s="857">
        <f>SUMIFS('YTD Sales'!$N:$N,'YTD Sales'!$B:$B,Brokerage!$B195,'YTD Sales'!$M:$M,Brokerage!X$4)+SUMIFS('YTD Purchases'!$H:$H,'YTD Purchases'!$C:$C,Brokerage!$B195,'YTD Purchases'!$G:$G,Brokerage!X$4)</f>
        <v>0</v>
      </c>
      <c r="Y195" s="857">
        <f>SUMIFS('YTD Sales'!$N:$N,'YTD Sales'!$B:$B,Brokerage!$B195,'YTD Sales'!$M:$M,Brokerage!Y$4)+SUMIFS('YTD Purchases'!$H:$H,'YTD Purchases'!$C:$C,Brokerage!$B195,'YTD Purchases'!$G:$G,Brokerage!Y$4)</f>
        <v>0</v>
      </c>
      <c r="Z195" s="857">
        <f>SUMIFS('YTD Sales'!$N:$N,'YTD Sales'!$B:$B,Brokerage!$B195,'YTD Sales'!$M:$M,Brokerage!Z$4)+SUMIFS('YTD Purchases'!$H:$H,'YTD Purchases'!$C:$C,Brokerage!$B195,'YTD Purchases'!$G:$G,Brokerage!Z$4)</f>
        <v>0</v>
      </c>
      <c r="AA195" s="857">
        <f>SUMIFS('YTD Sales'!$N:$N,'YTD Sales'!$B:$B,Brokerage!$B195,'YTD Sales'!$M:$M,Brokerage!AA$4)+SUMIFS('YTD Purchases'!$H:$H,'YTD Purchases'!$C:$C,Brokerage!$B195,'YTD Purchases'!$G:$G,Brokerage!AA$4)</f>
        <v>0</v>
      </c>
      <c r="AB195" s="857">
        <f>SUMIFS('YTD Sales'!$N:$N,'YTD Sales'!$B:$B,Brokerage!$B195,'YTD Sales'!$M:$M,Brokerage!AB$4)+SUMIFS('YTD Purchases'!$H:$H,'YTD Purchases'!$C:$C,Brokerage!$B195,'YTD Purchases'!$G:$G,Brokerage!AB$4)</f>
        <v>0</v>
      </c>
      <c r="AC195" s="857">
        <f>SUMIFS('YTD Sales'!$N:$N,'YTD Sales'!$B:$B,Brokerage!$B195,'YTD Sales'!$M:$M,Brokerage!AC$4)+SUMIFS('YTD Purchases'!$H:$H,'YTD Purchases'!$C:$C,Brokerage!$B195,'YTD Purchases'!$G:$G,Brokerage!AC$4)</f>
        <v>0</v>
      </c>
      <c r="AD195" s="857">
        <f>+SUMIFS(PIB!AG:AG,PIB!AF:AF,Brokerage!AD$4,PIB!AA:AA,Brokerage!$B195)+SUMIFS('T-Bills'!AB:AB,'T-Bills'!AA:AA,Brokerage!AD$4,'T-Bills'!V:V,Brokerage!$B195)</f>
        <v>0</v>
      </c>
      <c r="AE195" s="857">
        <f>+SUMIFS(PIB!AH:AH,PIB!AG:AG,Brokerage!AE$4,PIB!AB:AB,Brokerage!$B195)+SUMIFS('T-Bills'!AC:AC,'T-Bills'!AB:AB,Brokerage!AE$4,'T-Bills'!W:W,Brokerage!$B195)</f>
        <v>0</v>
      </c>
      <c r="AF195" s="857">
        <f>+SUMIFS(PIB!AI:AI,PIB!AH:AH,Brokerage!AF$4,PIB!AC:AC,Brokerage!$B195)+SUMIFS('T-Bills'!AD:AD,'T-Bills'!AC:AC,Brokerage!AF$4,'T-Bills'!X:X,Brokerage!$B195)</f>
        <v>0</v>
      </c>
      <c r="AG195" s="857">
        <f t="shared" si="19"/>
        <v>0</v>
      </c>
      <c r="AH195" s="858">
        <f t="shared" si="21"/>
        <v>0</v>
      </c>
    </row>
    <row r="196" spans="2:34" x14ac:dyDescent="0.15">
      <c r="B196" s="661">
        <f t="shared" si="18"/>
        <v>44752</v>
      </c>
      <c r="C196" s="857">
        <f>SUMIFS('YTD Sales'!$N:$N,'YTD Sales'!$B:$B,Brokerage!$B196,'YTD Sales'!$M:$M,Brokerage!C$4)+SUMIFS('YTD Purchases'!$H:$H,'YTD Purchases'!$C:$C,Brokerage!$B196,'YTD Purchases'!$G:$G,Brokerage!C$4)</f>
        <v>0</v>
      </c>
      <c r="D196" s="857">
        <f>SUMIFS('YTD Sales'!$N:$N,'YTD Sales'!$B:$B,Brokerage!$B196,'YTD Sales'!$M:$M,Brokerage!D$4)+SUMIFS('YTD Purchases'!$H:$H,'YTD Purchases'!$C:$C,Brokerage!$B196,'YTD Purchases'!$G:$G,Brokerage!D$4)</f>
        <v>0</v>
      </c>
      <c r="E196" s="857">
        <f>SUMIFS('YTD Sales'!$N:$N,'YTD Sales'!$B:$B,Brokerage!$B196,'YTD Sales'!$M:$M,Brokerage!E$4)+SUMIFS('YTD Purchases'!$H:$H,'YTD Purchases'!$C:$C,Brokerage!$B196,'YTD Purchases'!$G:$G,Brokerage!E$4)</f>
        <v>0</v>
      </c>
      <c r="F196" s="857">
        <f>SUMIFS('YTD Sales'!$N:$N,'YTD Sales'!$B:$B,Brokerage!$B196,'YTD Sales'!$M:$M,Brokerage!F$4)+SUMIFS('YTD Purchases'!$H:$H,'YTD Purchases'!$C:$C,Brokerage!$B196,'YTD Purchases'!$G:$G,Brokerage!F$4)</f>
        <v>0</v>
      </c>
      <c r="G196" s="857">
        <f>SUMIFS('YTD Sales'!$N:$N,'YTD Sales'!$B:$B,Brokerage!$B196,'YTD Sales'!$M:$M,Brokerage!G$4)+SUMIFS('YTD Purchases'!$H:$H,'YTD Purchases'!$C:$C,Brokerage!$B196,'YTD Purchases'!$G:$G,Brokerage!G$4)</f>
        <v>0</v>
      </c>
      <c r="H196" s="857">
        <f>SUMIFS('YTD Sales'!$N:$N,'YTD Sales'!$B:$B,Brokerage!$B196,'YTD Sales'!$M:$M,Brokerage!H$4)+SUMIFS('YTD Purchases'!$H:$H,'YTD Purchases'!$C:$C,Brokerage!$B196,'YTD Purchases'!$G:$G,Brokerage!H$4)</f>
        <v>0</v>
      </c>
      <c r="I196" s="857">
        <f>SUMIFS('YTD Sales'!$N:$N,'YTD Sales'!$B:$B,Brokerage!$B196,'YTD Sales'!$M:$M,Brokerage!I$4)+SUMIFS('YTD Purchases'!$H:$H,'YTD Purchases'!$C:$C,Brokerage!$B196,'YTD Purchases'!$G:$G,Brokerage!I$4)</f>
        <v>0</v>
      </c>
      <c r="J196" s="857">
        <f>SUMIFS('YTD Sales'!$N:$N,'YTD Sales'!$B:$B,Brokerage!$B196,'YTD Sales'!$M:$M,Brokerage!J$4)+SUMIFS('YTD Purchases'!$H:$H,'YTD Purchases'!$C:$C,Brokerage!$B196,'YTD Purchases'!$G:$G,Brokerage!J$4)</f>
        <v>0</v>
      </c>
      <c r="K196" s="857">
        <f>SUMIFS('YTD Sales'!$N:$N,'YTD Sales'!$B:$B,Brokerage!$B196,'YTD Sales'!$M:$M,Brokerage!K$4)+SUMIFS('YTD Purchases'!$H:$H,'YTD Purchases'!$C:$C,Brokerage!$B196,'YTD Purchases'!$G:$G,Brokerage!K$4)</f>
        <v>0</v>
      </c>
      <c r="L196" s="857">
        <f>SUMIFS('YTD Sales'!$N:$N,'YTD Sales'!$B:$B,Brokerage!$B196,'YTD Sales'!$M:$M,Brokerage!L$4)+SUMIFS('YTD Purchases'!$H:$H,'YTD Purchases'!$C:$C,Brokerage!$B196,'YTD Purchases'!$G:$G,Brokerage!L$4)</f>
        <v>0</v>
      </c>
      <c r="M196" s="857">
        <f>SUMIFS('YTD Sales'!$N:$N,'YTD Sales'!$B:$B,Brokerage!$B196,'YTD Sales'!$M:$M,Brokerage!M$4)+SUMIFS('YTD Purchases'!$H:$H,'YTD Purchases'!$C:$C,Brokerage!$B196,'YTD Purchases'!$G:$G,Brokerage!M$4)</f>
        <v>0</v>
      </c>
      <c r="N196" s="857">
        <f>SUMIFS('YTD Sales'!$N:$N,'YTD Sales'!$B:$B,Brokerage!$B196,'YTD Sales'!$M:$M,Brokerage!N$4)+SUMIFS('YTD Purchases'!$H:$H,'YTD Purchases'!$C:$C,Brokerage!$B196,'YTD Purchases'!$G:$G,Brokerage!N$4)</f>
        <v>0</v>
      </c>
      <c r="O196" s="857">
        <f>SUMIFS('YTD Sales'!$N:$N,'YTD Sales'!$B:$B,Brokerage!$B196,'YTD Sales'!$M:$M,Brokerage!O$4)+SUMIFS('YTD Purchases'!$H:$H,'YTD Purchases'!$C:$C,Brokerage!$B196,'YTD Purchases'!$G:$G,Brokerage!O$4)</f>
        <v>0</v>
      </c>
      <c r="P196" s="857">
        <f>SUMIFS('YTD Sales'!$N:$N,'YTD Sales'!$B:$B,Brokerage!$B196,'YTD Sales'!$M:$M,Brokerage!P$4)+SUMIFS('YTD Purchases'!$H:$H,'YTD Purchases'!$C:$C,Brokerage!$B196,'YTD Purchases'!$G:$G,Brokerage!P$4)</f>
        <v>0</v>
      </c>
      <c r="Q196" s="857">
        <f>SUMIFS('YTD Sales'!$N:$N,'YTD Sales'!$B:$B,Brokerage!$B196,'YTD Sales'!$M:$M,Brokerage!Q$4)+SUMIFS('YTD Purchases'!$H:$H,'YTD Purchases'!$C:$C,Brokerage!$B196,'YTD Purchases'!$G:$G,Brokerage!Q$4)</f>
        <v>0</v>
      </c>
      <c r="R196" s="857">
        <f>SUMIFS('YTD Sales'!$N:$N,'YTD Sales'!$B:$B,Brokerage!$B196,'YTD Sales'!$M:$M,Brokerage!R$4)+SUMIFS('YTD Purchases'!$H:$H,'YTD Purchases'!$C:$C,Brokerage!$B196,'YTD Purchases'!$G:$G,Brokerage!R$4)</f>
        <v>0</v>
      </c>
      <c r="S196" s="857">
        <f>SUMIFS('YTD Sales'!$N:$N,'YTD Sales'!$B:$B,Brokerage!$B196,'YTD Sales'!$M:$M,Brokerage!S$4)+SUMIFS('YTD Purchases'!$H:$H,'YTD Purchases'!$C:$C,Brokerage!$B196,'YTD Purchases'!$G:$G,Brokerage!S$4)</f>
        <v>0</v>
      </c>
      <c r="T196" s="857">
        <f>SUMIFS('YTD Sales'!$N:$N,'YTD Sales'!$B:$B,Brokerage!$B196,'YTD Sales'!$M:$M,Brokerage!T$4)+SUMIFS('YTD Purchases'!$H:$H,'YTD Purchases'!$C:$C,Brokerage!$B196,'YTD Purchases'!$G:$G,Brokerage!T$4)</f>
        <v>0</v>
      </c>
      <c r="U196" s="857">
        <f>SUMIFS('YTD Sales'!$N:$N,'YTD Sales'!$B:$B,Brokerage!$B196,'YTD Sales'!$M:$M,Brokerage!U$4)+SUMIFS('YTD Purchases'!$H:$H,'YTD Purchases'!$C:$C,Brokerage!$B196,'YTD Purchases'!$G:$G,Brokerage!U$4)</f>
        <v>0</v>
      </c>
      <c r="V196" s="857">
        <f>SUMIFS('YTD Sales'!$N:$N,'YTD Sales'!$B:$B,Brokerage!$B196,'YTD Sales'!$M:$M,Brokerage!V$4)+SUMIFS('YTD Purchases'!$H:$H,'YTD Purchases'!$C:$C,Brokerage!$B196,'YTD Purchases'!$G:$G,Brokerage!V$4)</f>
        <v>0</v>
      </c>
      <c r="W196" s="857">
        <f>SUMIFS('YTD Sales'!$N:$N,'YTD Sales'!$B:$B,Brokerage!$B196,'YTD Sales'!$M:$M,Brokerage!W$4)+SUMIFS('YTD Purchases'!$H:$H,'YTD Purchases'!$C:$C,Brokerage!$B196,'YTD Purchases'!$G:$G,Brokerage!W$4)</f>
        <v>0</v>
      </c>
      <c r="X196" s="857">
        <f>SUMIFS('YTD Sales'!$N:$N,'YTD Sales'!$B:$B,Brokerage!$B196,'YTD Sales'!$M:$M,Brokerage!X$4)+SUMIFS('YTD Purchases'!$H:$H,'YTD Purchases'!$C:$C,Brokerage!$B196,'YTD Purchases'!$G:$G,Brokerage!X$4)</f>
        <v>0</v>
      </c>
      <c r="Y196" s="857">
        <f>SUMIFS('YTD Sales'!$N:$N,'YTD Sales'!$B:$B,Brokerage!$B196,'YTD Sales'!$M:$M,Brokerage!Y$4)+SUMIFS('YTD Purchases'!$H:$H,'YTD Purchases'!$C:$C,Brokerage!$B196,'YTD Purchases'!$G:$G,Brokerage!Y$4)</f>
        <v>0</v>
      </c>
      <c r="Z196" s="857">
        <f>SUMIFS('YTD Sales'!$N:$N,'YTD Sales'!$B:$B,Brokerage!$B196,'YTD Sales'!$M:$M,Brokerage!Z$4)+SUMIFS('YTD Purchases'!$H:$H,'YTD Purchases'!$C:$C,Brokerage!$B196,'YTD Purchases'!$G:$G,Brokerage!Z$4)</f>
        <v>0</v>
      </c>
      <c r="AA196" s="857">
        <f>SUMIFS('YTD Sales'!$N:$N,'YTD Sales'!$B:$B,Brokerage!$B196,'YTD Sales'!$M:$M,Brokerage!AA$4)+SUMIFS('YTD Purchases'!$H:$H,'YTD Purchases'!$C:$C,Brokerage!$B196,'YTD Purchases'!$G:$G,Brokerage!AA$4)</f>
        <v>0</v>
      </c>
      <c r="AB196" s="857">
        <f>SUMIFS('YTD Sales'!$N:$N,'YTD Sales'!$B:$B,Brokerage!$B196,'YTD Sales'!$M:$M,Brokerage!AB$4)+SUMIFS('YTD Purchases'!$H:$H,'YTD Purchases'!$C:$C,Brokerage!$B196,'YTD Purchases'!$G:$G,Brokerage!AB$4)</f>
        <v>0</v>
      </c>
      <c r="AC196" s="857">
        <f>SUMIFS('YTD Sales'!$N:$N,'YTD Sales'!$B:$B,Brokerage!$B196,'YTD Sales'!$M:$M,Brokerage!AC$4)+SUMIFS('YTD Purchases'!$H:$H,'YTD Purchases'!$C:$C,Brokerage!$B196,'YTD Purchases'!$G:$G,Brokerage!AC$4)</f>
        <v>0</v>
      </c>
      <c r="AD196" s="857">
        <f>+SUMIFS(PIB!AG:AG,PIB!AF:AF,Brokerage!AD$4,PIB!AA:AA,Brokerage!$B196)+SUMIFS('T-Bills'!AB:AB,'T-Bills'!AA:AA,Brokerage!AD$4,'T-Bills'!V:V,Brokerage!$B196)</f>
        <v>0</v>
      </c>
      <c r="AE196" s="857">
        <f>+SUMIFS(PIB!AH:AH,PIB!AG:AG,Brokerage!AE$4,PIB!AB:AB,Brokerage!$B196)+SUMIFS('T-Bills'!AC:AC,'T-Bills'!AB:AB,Brokerage!AE$4,'T-Bills'!W:W,Brokerage!$B196)</f>
        <v>0</v>
      </c>
      <c r="AF196" s="857">
        <f>+SUMIFS(PIB!AI:AI,PIB!AH:AH,Brokerage!AF$4,PIB!AC:AC,Brokerage!$B196)+SUMIFS('T-Bills'!AD:AD,'T-Bills'!AC:AC,Brokerage!AF$4,'T-Bills'!X:X,Brokerage!$B196)</f>
        <v>0</v>
      </c>
      <c r="AG196" s="857">
        <f t="shared" si="19"/>
        <v>0</v>
      </c>
      <c r="AH196" s="858">
        <f t="shared" si="21"/>
        <v>0</v>
      </c>
    </row>
    <row r="197" spans="2:34" x14ac:dyDescent="0.15">
      <c r="B197" s="661">
        <f t="shared" si="18"/>
        <v>44753</v>
      </c>
      <c r="C197" s="857">
        <f>SUMIFS('YTD Sales'!$N:$N,'YTD Sales'!$B:$B,Brokerage!$B197,'YTD Sales'!$M:$M,Brokerage!C$4)+SUMIFS('YTD Purchases'!$H:$H,'YTD Purchases'!$C:$C,Brokerage!$B197,'YTD Purchases'!$G:$G,Brokerage!C$4)</f>
        <v>0</v>
      </c>
      <c r="D197" s="857">
        <f>SUMIFS('YTD Sales'!$N:$N,'YTD Sales'!$B:$B,Brokerage!$B197,'YTD Sales'!$M:$M,Brokerage!D$4)+SUMIFS('YTD Purchases'!$H:$H,'YTD Purchases'!$C:$C,Brokerage!$B197,'YTD Purchases'!$G:$G,Brokerage!D$4)</f>
        <v>0</v>
      </c>
      <c r="E197" s="857">
        <f>SUMIFS('YTD Sales'!$N:$N,'YTD Sales'!$B:$B,Brokerage!$B197,'YTD Sales'!$M:$M,Brokerage!E$4)+SUMIFS('YTD Purchases'!$H:$H,'YTD Purchases'!$C:$C,Brokerage!$B197,'YTD Purchases'!$G:$G,Brokerage!E$4)</f>
        <v>0</v>
      </c>
      <c r="F197" s="857">
        <f>SUMIFS('YTD Sales'!$N:$N,'YTD Sales'!$B:$B,Brokerage!$B197,'YTD Sales'!$M:$M,Brokerage!F$4)+SUMIFS('YTD Purchases'!$H:$H,'YTD Purchases'!$C:$C,Brokerage!$B197,'YTD Purchases'!$G:$G,Brokerage!F$4)</f>
        <v>0</v>
      </c>
      <c r="G197" s="857">
        <f>SUMIFS('YTD Sales'!$N:$N,'YTD Sales'!$B:$B,Brokerage!$B197,'YTD Sales'!$M:$M,Brokerage!G$4)+SUMIFS('YTD Purchases'!$H:$H,'YTD Purchases'!$C:$C,Brokerage!$B197,'YTD Purchases'!$G:$G,Brokerage!G$4)</f>
        <v>0</v>
      </c>
      <c r="H197" s="857">
        <f>SUMIFS('YTD Sales'!$N:$N,'YTD Sales'!$B:$B,Brokerage!$B197,'YTD Sales'!$M:$M,Brokerage!H$4)+SUMIFS('YTD Purchases'!$H:$H,'YTD Purchases'!$C:$C,Brokerage!$B197,'YTD Purchases'!$G:$G,Brokerage!H$4)</f>
        <v>0</v>
      </c>
      <c r="I197" s="857">
        <f>SUMIFS('YTD Sales'!$N:$N,'YTD Sales'!$B:$B,Brokerage!$B197,'YTD Sales'!$M:$M,Brokerage!I$4)+SUMIFS('YTD Purchases'!$H:$H,'YTD Purchases'!$C:$C,Brokerage!$B197,'YTD Purchases'!$G:$G,Brokerage!I$4)</f>
        <v>0</v>
      </c>
      <c r="J197" s="857">
        <f>SUMIFS('YTD Sales'!$N:$N,'YTD Sales'!$B:$B,Brokerage!$B197,'YTD Sales'!$M:$M,Brokerage!J$4)+SUMIFS('YTD Purchases'!$H:$H,'YTD Purchases'!$C:$C,Brokerage!$B197,'YTD Purchases'!$G:$G,Brokerage!J$4)</f>
        <v>0</v>
      </c>
      <c r="K197" s="857">
        <f>SUMIFS('YTD Sales'!$N:$N,'YTD Sales'!$B:$B,Brokerage!$B197,'YTD Sales'!$M:$M,Brokerage!K$4)+SUMIFS('YTD Purchases'!$H:$H,'YTD Purchases'!$C:$C,Brokerage!$B197,'YTD Purchases'!$G:$G,Brokerage!K$4)</f>
        <v>0</v>
      </c>
      <c r="L197" s="857">
        <f>SUMIFS('YTD Sales'!$N:$N,'YTD Sales'!$B:$B,Brokerage!$B197,'YTD Sales'!$M:$M,Brokerage!L$4)+SUMIFS('YTD Purchases'!$H:$H,'YTD Purchases'!$C:$C,Brokerage!$B197,'YTD Purchases'!$G:$G,Brokerage!L$4)</f>
        <v>0</v>
      </c>
      <c r="M197" s="857">
        <f>SUMIFS('YTD Sales'!$N:$N,'YTD Sales'!$B:$B,Brokerage!$B197,'YTD Sales'!$M:$M,Brokerage!M$4)+SUMIFS('YTD Purchases'!$H:$H,'YTD Purchases'!$C:$C,Brokerage!$B197,'YTD Purchases'!$G:$G,Brokerage!M$4)</f>
        <v>0</v>
      </c>
      <c r="N197" s="857">
        <f>SUMIFS('YTD Sales'!$N:$N,'YTD Sales'!$B:$B,Brokerage!$B197,'YTD Sales'!$M:$M,Brokerage!N$4)+SUMIFS('YTD Purchases'!$H:$H,'YTD Purchases'!$C:$C,Brokerage!$B197,'YTD Purchases'!$G:$G,Brokerage!N$4)</f>
        <v>0</v>
      </c>
      <c r="O197" s="857">
        <f>SUMIFS('YTD Sales'!$N:$N,'YTD Sales'!$B:$B,Brokerage!$B197,'YTD Sales'!$M:$M,Brokerage!O$4)+SUMIFS('YTD Purchases'!$H:$H,'YTD Purchases'!$C:$C,Brokerage!$B197,'YTD Purchases'!$G:$G,Brokerage!O$4)</f>
        <v>0</v>
      </c>
      <c r="P197" s="857">
        <f>SUMIFS('YTD Sales'!$N:$N,'YTD Sales'!$B:$B,Brokerage!$B197,'YTD Sales'!$M:$M,Brokerage!P$4)+SUMIFS('YTD Purchases'!$H:$H,'YTD Purchases'!$C:$C,Brokerage!$B197,'YTD Purchases'!$G:$G,Brokerage!P$4)</f>
        <v>0</v>
      </c>
      <c r="Q197" s="857">
        <f>SUMIFS('YTD Sales'!$N:$N,'YTD Sales'!$B:$B,Brokerage!$B197,'YTD Sales'!$M:$M,Brokerage!Q$4)+SUMIFS('YTD Purchases'!$H:$H,'YTD Purchases'!$C:$C,Brokerage!$B197,'YTD Purchases'!$G:$G,Brokerage!Q$4)</f>
        <v>0</v>
      </c>
      <c r="R197" s="857">
        <f>SUMIFS('YTD Sales'!$N:$N,'YTD Sales'!$B:$B,Brokerage!$B197,'YTD Sales'!$M:$M,Brokerage!R$4)+SUMIFS('YTD Purchases'!$H:$H,'YTD Purchases'!$C:$C,Brokerage!$B197,'YTD Purchases'!$G:$G,Brokerage!R$4)</f>
        <v>0</v>
      </c>
      <c r="S197" s="857">
        <f>SUMIFS('YTD Sales'!$N:$N,'YTD Sales'!$B:$B,Brokerage!$B197,'YTD Sales'!$M:$M,Brokerage!S$4)+SUMIFS('YTD Purchases'!$H:$H,'YTD Purchases'!$C:$C,Brokerage!$B197,'YTD Purchases'!$G:$G,Brokerage!S$4)</f>
        <v>0</v>
      </c>
      <c r="T197" s="857">
        <f>SUMIFS('YTD Sales'!$N:$N,'YTD Sales'!$B:$B,Brokerage!$B197,'YTD Sales'!$M:$M,Brokerage!T$4)+SUMIFS('YTD Purchases'!$H:$H,'YTD Purchases'!$C:$C,Brokerage!$B197,'YTD Purchases'!$G:$G,Brokerage!T$4)</f>
        <v>0</v>
      </c>
      <c r="U197" s="857">
        <f>SUMIFS('YTD Sales'!$N:$N,'YTD Sales'!$B:$B,Brokerage!$B197,'YTD Sales'!$M:$M,Brokerage!U$4)+SUMIFS('YTD Purchases'!$H:$H,'YTD Purchases'!$C:$C,Brokerage!$B197,'YTD Purchases'!$G:$G,Brokerage!U$4)</f>
        <v>0</v>
      </c>
      <c r="V197" s="857">
        <f>SUMIFS('YTD Sales'!$N:$N,'YTD Sales'!$B:$B,Brokerage!$B197,'YTD Sales'!$M:$M,Brokerage!V$4)+SUMIFS('YTD Purchases'!$H:$H,'YTD Purchases'!$C:$C,Brokerage!$B197,'YTD Purchases'!$G:$G,Brokerage!V$4)</f>
        <v>0</v>
      </c>
      <c r="W197" s="857">
        <f>SUMIFS('YTD Sales'!$N:$N,'YTD Sales'!$B:$B,Brokerage!$B197,'YTD Sales'!$M:$M,Brokerage!W$4)+SUMIFS('YTD Purchases'!$H:$H,'YTD Purchases'!$C:$C,Brokerage!$B197,'YTD Purchases'!$G:$G,Brokerage!W$4)</f>
        <v>0</v>
      </c>
      <c r="X197" s="857">
        <f>SUMIFS('YTD Sales'!$N:$N,'YTD Sales'!$B:$B,Brokerage!$B197,'YTD Sales'!$M:$M,Brokerage!X$4)+SUMIFS('YTD Purchases'!$H:$H,'YTD Purchases'!$C:$C,Brokerage!$B197,'YTD Purchases'!$G:$G,Brokerage!X$4)</f>
        <v>0</v>
      </c>
      <c r="Y197" s="857">
        <f>SUMIFS('YTD Sales'!$N:$N,'YTD Sales'!$B:$B,Brokerage!$B197,'YTD Sales'!$M:$M,Brokerage!Y$4)+SUMIFS('YTD Purchases'!$H:$H,'YTD Purchases'!$C:$C,Brokerage!$B197,'YTD Purchases'!$G:$G,Brokerage!Y$4)</f>
        <v>0</v>
      </c>
      <c r="Z197" s="857">
        <f>SUMIFS('YTD Sales'!$N:$N,'YTD Sales'!$B:$B,Brokerage!$B197,'YTD Sales'!$M:$M,Brokerage!Z$4)+SUMIFS('YTD Purchases'!$H:$H,'YTD Purchases'!$C:$C,Brokerage!$B197,'YTD Purchases'!$G:$G,Brokerage!Z$4)</f>
        <v>0</v>
      </c>
      <c r="AA197" s="857">
        <f>SUMIFS('YTD Sales'!$N:$N,'YTD Sales'!$B:$B,Brokerage!$B197,'YTD Sales'!$M:$M,Brokerage!AA$4)+SUMIFS('YTD Purchases'!$H:$H,'YTD Purchases'!$C:$C,Brokerage!$B197,'YTD Purchases'!$G:$G,Brokerage!AA$4)</f>
        <v>0</v>
      </c>
      <c r="AB197" s="857">
        <f>SUMIFS('YTD Sales'!$N:$N,'YTD Sales'!$B:$B,Brokerage!$B197,'YTD Sales'!$M:$M,Brokerage!AB$4)+SUMIFS('YTD Purchases'!$H:$H,'YTD Purchases'!$C:$C,Brokerage!$B197,'YTD Purchases'!$G:$G,Brokerage!AB$4)</f>
        <v>0</v>
      </c>
      <c r="AC197" s="857">
        <f>SUMIFS('YTD Sales'!$N:$N,'YTD Sales'!$B:$B,Brokerage!$B197,'YTD Sales'!$M:$M,Brokerage!AC$4)+SUMIFS('YTD Purchases'!$H:$H,'YTD Purchases'!$C:$C,Brokerage!$B197,'YTD Purchases'!$G:$G,Brokerage!AC$4)</f>
        <v>0</v>
      </c>
      <c r="AD197" s="857">
        <f>+SUMIFS(PIB!AG:AG,PIB!AF:AF,Brokerage!AD$4,PIB!AA:AA,Brokerage!$B197)+SUMIFS('T-Bills'!AB:AB,'T-Bills'!AA:AA,Brokerage!AD$4,'T-Bills'!V:V,Brokerage!$B197)</f>
        <v>0</v>
      </c>
      <c r="AE197" s="857">
        <f>+SUMIFS(PIB!AH:AH,PIB!AG:AG,Brokerage!AE$4,PIB!AB:AB,Brokerage!$B197)+SUMIFS('T-Bills'!AC:AC,'T-Bills'!AB:AB,Brokerage!AE$4,'T-Bills'!W:W,Brokerage!$B197)</f>
        <v>0</v>
      </c>
      <c r="AF197" s="857">
        <f>+SUMIFS(PIB!AI:AI,PIB!AH:AH,Brokerage!AF$4,PIB!AC:AC,Brokerage!$B197)+SUMIFS('T-Bills'!AD:AD,'T-Bills'!AC:AC,Brokerage!AF$4,'T-Bills'!X:X,Brokerage!$B197)</f>
        <v>0</v>
      </c>
      <c r="AG197" s="857">
        <f t="shared" si="19"/>
        <v>0</v>
      </c>
      <c r="AH197" s="858">
        <f t="shared" si="21"/>
        <v>0</v>
      </c>
    </row>
    <row r="198" spans="2:34" x14ac:dyDescent="0.15">
      <c r="B198" s="661">
        <f t="shared" si="18"/>
        <v>44754</v>
      </c>
      <c r="C198" s="857">
        <f>SUMIFS('YTD Sales'!$N:$N,'YTD Sales'!$B:$B,Brokerage!$B198,'YTD Sales'!$M:$M,Brokerage!C$4)+SUMIFS('YTD Purchases'!$H:$H,'YTD Purchases'!$C:$C,Brokerage!$B198,'YTD Purchases'!$G:$G,Brokerage!C$4)</f>
        <v>0</v>
      </c>
      <c r="D198" s="857">
        <f>SUMIFS('YTD Sales'!$N:$N,'YTD Sales'!$B:$B,Brokerage!$B198,'YTD Sales'!$M:$M,Brokerage!D$4)+SUMIFS('YTD Purchases'!$H:$H,'YTD Purchases'!$C:$C,Brokerage!$B198,'YTD Purchases'!$G:$G,Brokerage!D$4)</f>
        <v>0</v>
      </c>
      <c r="E198" s="857">
        <f>SUMIFS('YTD Sales'!$N:$N,'YTD Sales'!$B:$B,Brokerage!$B198,'YTD Sales'!$M:$M,Brokerage!E$4)+SUMIFS('YTD Purchases'!$H:$H,'YTD Purchases'!$C:$C,Brokerage!$B198,'YTD Purchases'!$G:$G,Brokerage!E$4)</f>
        <v>0</v>
      </c>
      <c r="F198" s="857">
        <f>SUMIFS('YTD Sales'!$N:$N,'YTD Sales'!$B:$B,Brokerage!$B198,'YTD Sales'!$M:$M,Brokerage!F$4)+SUMIFS('YTD Purchases'!$H:$H,'YTD Purchases'!$C:$C,Brokerage!$B198,'YTD Purchases'!$G:$G,Brokerage!F$4)</f>
        <v>0</v>
      </c>
      <c r="G198" s="857">
        <f>SUMIFS('YTD Sales'!$N:$N,'YTD Sales'!$B:$B,Brokerage!$B198,'YTD Sales'!$M:$M,Brokerage!G$4)+SUMIFS('YTD Purchases'!$H:$H,'YTD Purchases'!$C:$C,Brokerage!$B198,'YTD Purchases'!$G:$G,Brokerage!G$4)</f>
        <v>0</v>
      </c>
      <c r="H198" s="857">
        <f>SUMIFS('YTD Sales'!$N:$N,'YTD Sales'!$B:$B,Brokerage!$B198,'YTD Sales'!$M:$M,Brokerage!H$4)+SUMIFS('YTD Purchases'!$H:$H,'YTD Purchases'!$C:$C,Brokerage!$B198,'YTD Purchases'!$G:$G,Brokerage!H$4)</f>
        <v>0</v>
      </c>
      <c r="I198" s="857">
        <f>SUMIFS('YTD Sales'!$N:$N,'YTD Sales'!$B:$B,Brokerage!$B198,'YTD Sales'!$M:$M,Brokerage!I$4)+SUMIFS('YTD Purchases'!$H:$H,'YTD Purchases'!$C:$C,Brokerage!$B198,'YTD Purchases'!$G:$G,Brokerage!I$4)</f>
        <v>0</v>
      </c>
      <c r="J198" s="857">
        <f>SUMIFS('YTD Sales'!$N:$N,'YTD Sales'!$B:$B,Brokerage!$B198,'YTD Sales'!$M:$M,Brokerage!J$4)+SUMIFS('YTD Purchases'!$H:$H,'YTD Purchases'!$C:$C,Brokerage!$B198,'YTD Purchases'!$G:$G,Brokerage!J$4)</f>
        <v>0</v>
      </c>
      <c r="K198" s="857">
        <f>SUMIFS('YTD Sales'!$N:$N,'YTD Sales'!$B:$B,Brokerage!$B198,'YTD Sales'!$M:$M,Brokerage!K$4)+SUMIFS('YTD Purchases'!$H:$H,'YTD Purchases'!$C:$C,Brokerage!$B198,'YTD Purchases'!$G:$G,Brokerage!K$4)</f>
        <v>0</v>
      </c>
      <c r="L198" s="857">
        <f>SUMIFS('YTD Sales'!$N:$N,'YTD Sales'!$B:$B,Brokerage!$B198,'YTD Sales'!$M:$M,Brokerage!L$4)+SUMIFS('YTD Purchases'!$H:$H,'YTD Purchases'!$C:$C,Brokerage!$B198,'YTD Purchases'!$G:$G,Brokerage!L$4)</f>
        <v>0</v>
      </c>
      <c r="M198" s="857">
        <f>SUMIFS('YTD Sales'!$N:$N,'YTD Sales'!$B:$B,Brokerage!$B198,'YTD Sales'!$M:$M,Brokerage!M$4)+SUMIFS('YTD Purchases'!$H:$H,'YTD Purchases'!$C:$C,Brokerage!$B198,'YTD Purchases'!$G:$G,Brokerage!M$4)</f>
        <v>0</v>
      </c>
      <c r="N198" s="857">
        <f>SUMIFS('YTD Sales'!$N:$N,'YTD Sales'!$B:$B,Brokerage!$B198,'YTD Sales'!$M:$M,Brokerage!N$4)+SUMIFS('YTD Purchases'!$H:$H,'YTD Purchases'!$C:$C,Brokerage!$B198,'YTD Purchases'!$G:$G,Brokerage!N$4)</f>
        <v>0</v>
      </c>
      <c r="O198" s="857">
        <f>SUMIFS('YTD Sales'!$N:$N,'YTD Sales'!$B:$B,Brokerage!$B198,'YTD Sales'!$M:$M,Brokerage!O$4)+SUMIFS('YTD Purchases'!$H:$H,'YTD Purchases'!$C:$C,Brokerage!$B198,'YTD Purchases'!$G:$G,Brokerage!O$4)</f>
        <v>0</v>
      </c>
      <c r="P198" s="857">
        <f>SUMIFS('YTD Sales'!$N:$N,'YTD Sales'!$B:$B,Brokerage!$B198,'YTD Sales'!$M:$M,Brokerage!P$4)+SUMIFS('YTD Purchases'!$H:$H,'YTD Purchases'!$C:$C,Brokerage!$B198,'YTD Purchases'!$G:$G,Brokerage!P$4)</f>
        <v>0</v>
      </c>
      <c r="Q198" s="857">
        <f>SUMIFS('YTD Sales'!$N:$N,'YTD Sales'!$B:$B,Brokerage!$B198,'YTD Sales'!$M:$M,Brokerage!Q$4)+SUMIFS('YTD Purchases'!$H:$H,'YTD Purchases'!$C:$C,Brokerage!$B198,'YTD Purchases'!$G:$G,Brokerage!Q$4)</f>
        <v>0</v>
      </c>
      <c r="R198" s="857">
        <f>SUMIFS('YTD Sales'!$N:$N,'YTD Sales'!$B:$B,Brokerage!$B198,'YTD Sales'!$M:$M,Brokerage!R$4)+SUMIFS('YTD Purchases'!$H:$H,'YTD Purchases'!$C:$C,Brokerage!$B198,'YTD Purchases'!$G:$G,Brokerage!R$4)</f>
        <v>0</v>
      </c>
      <c r="S198" s="857">
        <f>SUMIFS('YTD Sales'!$N:$N,'YTD Sales'!$B:$B,Brokerage!$B198,'YTD Sales'!$M:$M,Brokerage!S$4)+SUMIFS('YTD Purchases'!$H:$H,'YTD Purchases'!$C:$C,Brokerage!$B198,'YTD Purchases'!$G:$G,Brokerage!S$4)</f>
        <v>0</v>
      </c>
      <c r="T198" s="857">
        <f>SUMIFS('YTD Sales'!$N:$N,'YTD Sales'!$B:$B,Brokerage!$B198,'YTD Sales'!$M:$M,Brokerage!T$4)+SUMIFS('YTD Purchases'!$H:$H,'YTD Purchases'!$C:$C,Brokerage!$B198,'YTD Purchases'!$G:$G,Brokerage!T$4)</f>
        <v>0</v>
      </c>
      <c r="U198" s="857">
        <f>SUMIFS('YTD Sales'!$N:$N,'YTD Sales'!$B:$B,Brokerage!$B198,'YTD Sales'!$M:$M,Brokerage!U$4)+SUMIFS('YTD Purchases'!$H:$H,'YTD Purchases'!$C:$C,Brokerage!$B198,'YTD Purchases'!$G:$G,Brokerage!U$4)</f>
        <v>0</v>
      </c>
      <c r="V198" s="857">
        <f>SUMIFS('YTD Sales'!$N:$N,'YTD Sales'!$B:$B,Brokerage!$B198,'YTD Sales'!$M:$M,Brokerage!V$4)+SUMIFS('YTD Purchases'!$H:$H,'YTD Purchases'!$C:$C,Brokerage!$B198,'YTD Purchases'!$G:$G,Brokerage!V$4)</f>
        <v>0</v>
      </c>
      <c r="W198" s="857">
        <f>SUMIFS('YTD Sales'!$N:$N,'YTD Sales'!$B:$B,Brokerage!$B198,'YTD Sales'!$M:$M,Brokerage!W$4)+SUMIFS('YTD Purchases'!$H:$H,'YTD Purchases'!$C:$C,Brokerage!$B198,'YTD Purchases'!$G:$G,Brokerage!W$4)</f>
        <v>0</v>
      </c>
      <c r="X198" s="857">
        <f>SUMIFS('YTD Sales'!$N:$N,'YTD Sales'!$B:$B,Brokerage!$B198,'YTD Sales'!$M:$M,Brokerage!X$4)+SUMIFS('YTD Purchases'!$H:$H,'YTD Purchases'!$C:$C,Brokerage!$B198,'YTD Purchases'!$G:$G,Brokerage!X$4)</f>
        <v>0</v>
      </c>
      <c r="Y198" s="857">
        <f>SUMIFS('YTD Sales'!$N:$N,'YTD Sales'!$B:$B,Brokerage!$B198,'YTD Sales'!$M:$M,Brokerage!Y$4)+SUMIFS('YTD Purchases'!$H:$H,'YTD Purchases'!$C:$C,Brokerage!$B198,'YTD Purchases'!$G:$G,Brokerage!Y$4)</f>
        <v>0</v>
      </c>
      <c r="Z198" s="857">
        <f>SUMIFS('YTD Sales'!$N:$N,'YTD Sales'!$B:$B,Brokerage!$B198,'YTD Sales'!$M:$M,Brokerage!Z$4)+SUMIFS('YTD Purchases'!$H:$H,'YTD Purchases'!$C:$C,Brokerage!$B198,'YTD Purchases'!$G:$G,Brokerage!Z$4)</f>
        <v>0</v>
      </c>
      <c r="AA198" s="857">
        <f>SUMIFS('YTD Sales'!$N:$N,'YTD Sales'!$B:$B,Brokerage!$B198,'YTD Sales'!$M:$M,Brokerage!AA$4)+SUMIFS('YTD Purchases'!$H:$H,'YTD Purchases'!$C:$C,Brokerage!$B198,'YTD Purchases'!$G:$G,Brokerage!AA$4)</f>
        <v>0</v>
      </c>
      <c r="AB198" s="857">
        <f>SUMIFS('YTD Sales'!$N:$N,'YTD Sales'!$B:$B,Brokerage!$B198,'YTD Sales'!$M:$M,Brokerage!AB$4)+SUMIFS('YTD Purchases'!$H:$H,'YTD Purchases'!$C:$C,Brokerage!$B198,'YTD Purchases'!$G:$G,Brokerage!AB$4)</f>
        <v>0</v>
      </c>
      <c r="AC198" s="857">
        <f>SUMIFS('YTD Sales'!$N:$N,'YTD Sales'!$B:$B,Brokerage!$B198,'YTD Sales'!$M:$M,Brokerage!AC$4)+SUMIFS('YTD Purchases'!$H:$H,'YTD Purchases'!$C:$C,Brokerage!$B198,'YTD Purchases'!$G:$G,Brokerage!AC$4)</f>
        <v>0</v>
      </c>
      <c r="AD198" s="857">
        <f>+SUMIFS(PIB!AG:AG,PIB!AF:AF,Brokerage!AD$4,PIB!AA:AA,Brokerage!$B198)+SUMIFS('T-Bills'!AB:AB,'T-Bills'!AA:AA,Brokerage!AD$4,'T-Bills'!V:V,Brokerage!$B198)</f>
        <v>0</v>
      </c>
      <c r="AE198" s="857">
        <f>+SUMIFS(PIB!AH:AH,PIB!AG:AG,Brokerage!AE$4,PIB!AB:AB,Brokerage!$B198)+SUMIFS('T-Bills'!AC:AC,'T-Bills'!AB:AB,Brokerage!AE$4,'T-Bills'!W:W,Brokerage!$B198)</f>
        <v>0</v>
      </c>
      <c r="AF198" s="857">
        <f>+SUMIFS(PIB!AI:AI,PIB!AH:AH,Brokerage!AF$4,PIB!AC:AC,Brokerage!$B198)+SUMIFS('T-Bills'!AD:AD,'T-Bills'!AC:AC,Brokerage!AF$4,'T-Bills'!X:X,Brokerage!$B198)</f>
        <v>0</v>
      </c>
      <c r="AG198" s="857">
        <f t="shared" si="19"/>
        <v>0</v>
      </c>
      <c r="AH198" s="858">
        <f t="shared" si="21"/>
        <v>0</v>
      </c>
    </row>
    <row r="199" spans="2:34" x14ac:dyDescent="0.15">
      <c r="B199" s="661">
        <f t="shared" si="18"/>
        <v>44755</v>
      </c>
      <c r="C199" s="857">
        <f>SUMIFS('YTD Sales'!$N:$N,'YTD Sales'!$B:$B,Brokerage!$B199,'YTD Sales'!$M:$M,Brokerage!C$4)+SUMIFS('YTD Purchases'!$H:$H,'YTD Purchases'!$C:$C,Brokerage!$B199,'YTD Purchases'!$G:$G,Brokerage!C$4)</f>
        <v>0</v>
      </c>
      <c r="D199" s="857">
        <f>SUMIFS('YTD Sales'!$N:$N,'YTD Sales'!$B:$B,Brokerage!$B199,'YTD Sales'!$M:$M,Brokerage!D$4)+SUMIFS('YTD Purchases'!$H:$H,'YTD Purchases'!$C:$C,Brokerage!$B199,'YTD Purchases'!$G:$G,Brokerage!D$4)</f>
        <v>0</v>
      </c>
      <c r="E199" s="857">
        <f>SUMIFS('YTD Sales'!$N:$N,'YTD Sales'!$B:$B,Brokerage!$B199,'YTD Sales'!$M:$M,Brokerage!E$4)+SUMIFS('YTD Purchases'!$H:$H,'YTD Purchases'!$C:$C,Brokerage!$B199,'YTD Purchases'!$G:$G,Brokerage!E$4)</f>
        <v>138585.70446601941</v>
      </c>
      <c r="F199" s="857">
        <f>SUMIFS('YTD Sales'!$N:$N,'YTD Sales'!$B:$B,Brokerage!$B199,'YTD Sales'!$M:$M,Brokerage!F$4)+SUMIFS('YTD Purchases'!$H:$H,'YTD Purchases'!$C:$C,Brokerage!$B199,'YTD Purchases'!$G:$G,Brokerage!F$4)</f>
        <v>0</v>
      </c>
      <c r="G199" s="857">
        <f>SUMIFS('YTD Sales'!$N:$N,'YTD Sales'!$B:$B,Brokerage!$B199,'YTD Sales'!$M:$M,Brokerage!G$4)+SUMIFS('YTD Purchases'!$H:$H,'YTD Purchases'!$C:$C,Brokerage!$B199,'YTD Purchases'!$G:$G,Brokerage!G$4)</f>
        <v>0</v>
      </c>
      <c r="H199" s="857">
        <f>SUMIFS('YTD Sales'!$N:$N,'YTD Sales'!$B:$B,Brokerage!$B199,'YTD Sales'!$M:$M,Brokerage!H$4)+SUMIFS('YTD Purchases'!$H:$H,'YTD Purchases'!$C:$C,Brokerage!$B199,'YTD Purchases'!$G:$G,Brokerage!H$4)</f>
        <v>0</v>
      </c>
      <c r="I199" s="857">
        <f>SUMIFS('YTD Sales'!$N:$N,'YTD Sales'!$B:$B,Brokerage!$B199,'YTD Sales'!$M:$M,Brokerage!I$4)+SUMIFS('YTD Purchases'!$H:$H,'YTD Purchases'!$C:$C,Brokerage!$B199,'YTD Purchases'!$G:$G,Brokerage!I$4)</f>
        <v>0</v>
      </c>
      <c r="J199" s="857">
        <f>SUMIFS('YTD Sales'!$N:$N,'YTD Sales'!$B:$B,Brokerage!$B199,'YTD Sales'!$M:$M,Brokerage!J$4)+SUMIFS('YTD Purchases'!$H:$H,'YTD Purchases'!$C:$C,Brokerage!$B199,'YTD Purchases'!$G:$G,Brokerage!J$4)</f>
        <v>0</v>
      </c>
      <c r="K199" s="857">
        <f>SUMIFS('YTD Sales'!$N:$N,'YTD Sales'!$B:$B,Brokerage!$B199,'YTD Sales'!$M:$M,Brokerage!K$4)+SUMIFS('YTD Purchases'!$H:$H,'YTD Purchases'!$C:$C,Brokerage!$B199,'YTD Purchases'!$G:$G,Brokerage!K$4)</f>
        <v>0</v>
      </c>
      <c r="L199" s="857">
        <f>SUMIFS('YTD Sales'!$N:$N,'YTD Sales'!$B:$B,Brokerage!$B199,'YTD Sales'!$M:$M,Brokerage!L$4)+SUMIFS('YTD Purchases'!$H:$H,'YTD Purchases'!$C:$C,Brokerage!$B199,'YTD Purchases'!$G:$G,Brokerage!L$4)</f>
        <v>0</v>
      </c>
      <c r="M199" s="857">
        <f>SUMIFS('YTD Sales'!$N:$N,'YTD Sales'!$B:$B,Brokerage!$B199,'YTD Sales'!$M:$M,Brokerage!M$4)+SUMIFS('YTD Purchases'!$H:$H,'YTD Purchases'!$C:$C,Brokerage!$B199,'YTD Purchases'!$G:$G,Brokerage!M$4)</f>
        <v>5860.18</v>
      </c>
      <c r="N199" s="857">
        <f>SUMIFS('YTD Sales'!$N:$N,'YTD Sales'!$B:$B,Brokerage!$B199,'YTD Sales'!$M:$M,Brokerage!N$4)+SUMIFS('YTD Purchases'!$H:$H,'YTD Purchases'!$C:$C,Brokerage!$B199,'YTD Purchases'!$G:$G,Brokerage!N$4)</f>
        <v>0</v>
      </c>
      <c r="O199" s="857">
        <f>SUMIFS('YTD Sales'!$N:$N,'YTD Sales'!$B:$B,Brokerage!$B199,'YTD Sales'!$M:$M,Brokerage!O$4)+SUMIFS('YTD Purchases'!$H:$H,'YTD Purchases'!$C:$C,Brokerage!$B199,'YTD Purchases'!$G:$G,Brokerage!O$4)</f>
        <v>0</v>
      </c>
      <c r="P199" s="857">
        <f>SUMIFS('YTD Sales'!$N:$N,'YTD Sales'!$B:$B,Brokerage!$B199,'YTD Sales'!$M:$M,Brokerage!P$4)+SUMIFS('YTD Purchases'!$H:$H,'YTD Purchases'!$C:$C,Brokerage!$B199,'YTD Purchases'!$G:$G,Brokerage!P$4)</f>
        <v>0</v>
      </c>
      <c r="Q199" s="857">
        <f>SUMIFS('YTD Sales'!$N:$N,'YTD Sales'!$B:$B,Brokerage!$B199,'YTD Sales'!$M:$M,Brokerage!Q$4)+SUMIFS('YTD Purchases'!$H:$H,'YTD Purchases'!$C:$C,Brokerage!$B199,'YTD Purchases'!$G:$G,Brokerage!Q$4)</f>
        <v>0</v>
      </c>
      <c r="R199" s="857">
        <f>SUMIFS('YTD Sales'!$N:$N,'YTD Sales'!$B:$B,Brokerage!$B199,'YTD Sales'!$M:$M,Brokerage!R$4)+SUMIFS('YTD Purchases'!$H:$H,'YTD Purchases'!$C:$C,Brokerage!$B199,'YTD Purchases'!$G:$G,Brokerage!R$4)</f>
        <v>0</v>
      </c>
      <c r="S199" s="857">
        <f>SUMIFS('YTD Sales'!$N:$N,'YTD Sales'!$B:$B,Brokerage!$B199,'YTD Sales'!$M:$M,Brokerage!S$4)+SUMIFS('YTD Purchases'!$H:$H,'YTD Purchases'!$C:$C,Brokerage!$B199,'YTD Purchases'!$G:$G,Brokerage!S$4)</f>
        <v>2134.1999999999998</v>
      </c>
      <c r="T199" s="857">
        <f>SUMIFS('YTD Sales'!$N:$N,'YTD Sales'!$B:$B,Brokerage!$B199,'YTD Sales'!$M:$M,Brokerage!T$4)+SUMIFS('YTD Purchases'!$H:$H,'YTD Purchases'!$C:$C,Brokerage!$B199,'YTD Purchases'!$G:$G,Brokerage!T$4)</f>
        <v>0</v>
      </c>
      <c r="U199" s="857">
        <f>SUMIFS('YTD Sales'!$N:$N,'YTD Sales'!$B:$B,Brokerage!$B199,'YTD Sales'!$M:$M,Brokerage!U$4)+SUMIFS('YTD Purchases'!$H:$H,'YTD Purchases'!$C:$C,Brokerage!$B199,'YTD Purchases'!$G:$G,Brokerage!U$4)</f>
        <v>0</v>
      </c>
      <c r="V199" s="857">
        <f>SUMIFS('YTD Sales'!$N:$N,'YTD Sales'!$B:$B,Brokerage!$B199,'YTD Sales'!$M:$M,Brokerage!V$4)+SUMIFS('YTD Purchases'!$H:$H,'YTD Purchases'!$C:$C,Brokerage!$B199,'YTD Purchases'!$G:$G,Brokerage!V$4)</f>
        <v>0</v>
      </c>
      <c r="W199" s="857">
        <f>SUMIFS('YTD Sales'!$N:$N,'YTD Sales'!$B:$B,Brokerage!$B199,'YTD Sales'!$M:$M,Brokerage!W$4)+SUMIFS('YTD Purchases'!$H:$H,'YTD Purchases'!$C:$C,Brokerage!$B199,'YTD Purchases'!$G:$G,Brokerage!W$4)</f>
        <v>0</v>
      </c>
      <c r="X199" s="857">
        <f>SUMIFS('YTD Sales'!$N:$N,'YTD Sales'!$B:$B,Brokerage!$B199,'YTD Sales'!$M:$M,Brokerage!X$4)+SUMIFS('YTD Purchases'!$H:$H,'YTD Purchases'!$C:$C,Brokerage!$B199,'YTD Purchases'!$G:$G,Brokerage!X$4)</f>
        <v>0</v>
      </c>
      <c r="Y199" s="857">
        <f>SUMIFS('YTD Sales'!$N:$N,'YTD Sales'!$B:$B,Brokerage!$B199,'YTD Sales'!$M:$M,Brokerage!Y$4)+SUMIFS('YTD Purchases'!$H:$H,'YTD Purchases'!$C:$C,Brokerage!$B199,'YTD Purchases'!$G:$G,Brokerage!Y$4)</f>
        <v>0</v>
      </c>
      <c r="Z199" s="857">
        <f>SUMIFS('YTD Sales'!$N:$N,'YTD Sales'!$B:$B,Brokerage!$B199,'YTD Sales'!$M:$M,Brokerage!Z$4)+SUMIFS('YTD Purchases'!$H:$H,'YTD Purchases'!$C:$C,Brokerage!$B199,'YTD Purchases'!$G:$G,Brokerage!Z$4)</f>
        <v>0</v>
      </c>
      <c r="AA199" s="857">
        <f>SUMIFS('YTD Sales'!$N:$N,'YTD Sales'!$B:$B,Brokerage!$B199,'YTD Sales'!$M:$M,Brokerage!AA$4)+SUMIFS('YTD Purchases'!$H:$H,'YTD Purchases'!$C:$C,Brokerage!$B199,'YTD Purchases'!$G:$G,Brokerage!AA$4)</f>
        <v>0</v>
      </c>
      <c r="AB199" s="857">
        <f>SUMIFS('YTD Sales'!$N:$N,'YTD Sales'!$B:$B,Brokerage!$B199,'YTD Sales'!$M:$M,Brokerage!AB$4)+SUMIFS('YTD Purchases'!$H:$H,'YTD Purchases'!$C:$C,Brokerage!$B199,'YTD Purchases'!$G:$G,Brokerage!AB$4)</f>
        <v>0</v>
      </c>
      <c r="AC199" s="857">
        <f>SUMIFS('YTD Sales'!$N:$N,'YTD Sales'!$B:$B,Brokerage!$B199,'YTD Sales'!$M:$M,Brokerage!AC$4)+SUMIFS('YTD Purchases'!$H:$H,'YTD Purchases'!$C:$C,Brokerage!$B199,'YTD Purchases'!$G:$G,Brokerage!AC$4)</f>
        <v>0</v>
      </c>
      <c r="AD199" s="857">
        <f>+SUMIFS(PIB!AG:AG,PIB!AF:AF,Brokerage!AD$4,PIB!AA:AA,Brokerage!$B199)+SUMIFS('T-Bills'!AB:AB,'T-Bills'!AA:AA,Brokerage!AD$4,'T-Bills'!V:V,Brokerage!$B199)</f>
        <v>0</v>
      </c>
      <c r="AE199" s="857">
        <f>+SUMIFS(PIB!AH:AH,PIB!AG:AG,Brokerage!AE$4,PIB!AB:AB,Brokerage!$B199)+SUMIFS('T-Bills'!AC:AC,'T-Bills'!AB:AB,Brokerage!AE$4,'T-Bills'!W:W,Brokerage!$B199)</f>
        <v>0</v>
      </c>
      <c r="AF199" s="857">
        <f>+SUMIFS(PIB!AI:AI,PIB!AH:AH,Brokerage!AF$4,PIB!AC:AC,Brokerage!$B199)+SUMIFS('T-Bills'!AD:AD,'T-Bills'!AC:AC,Brokerage!AF$4,'T-Bills'!X:X,Brokerage!$B199)</f>
        <v>0</v>
      </c>
      <c r="AG199" s="857">
        <f t="shared" si="19"/>
        <v>146580.08446601941</v>
      </c>
      <c r="AH199" s="858">
        <f t="shared" si="21"/>
        <v>6</v>
      </c>
    </row>
    <row r="200" spans="2:34" x14ac:dyDescent="0.15">
      <c r="B200" s="661">
        <f t="shared" si="18"/>
        <v>44756</v>
      </c>
      <c r="C200" s="857">
        <f>SUMIFS('YTD Sales'!$N:$N,'YTD Sales'!$B:$B,Brokerage!$B200,'YTD Sales'!$M:$M,Brokerage!C$4)+SUMIFS('YTD Purchases'!$H:$H,'YTD Purchases'!$C:$C,Brokerage!$B200,'YTD Purchases'!$G:$G,Brokerage!C$4)</f>
        <v>2247.3150000000001</v>
      </c>
      <c r="D200" s="857">
        <f>SUMIFS('YTD Sales'!$N:$N,'YTD Sales'!$B:$B,Brokerage!$B200,'YTD Sales'!$M:$M,Brokerage!D$4)+SUMIFS('YTD Purchases'!$H:$H,'YTD Purchases'!$C:$C,Brokerage!$B200,'YTD Purchases'!$G:$G,Brokerage!D$4)</f>
        <v>0</v>
      </c>
      <c r="E200" s="857">
        <f>SUMIFS('YTD Sales'!$N:$N,'YTD Sales'!$B:$B,Brokerage!$B200,'YTD Sales'!$M:$M,Brokerage!E$4)+SUMIFS('YTD Purchases'!$H:$H,'YTD Purchases'!$C:$C,Brokerage!$B200,'YTD Purchases'!$G:$G,Brokerage!E$4)</f>
        <v>0</v>
      </c>
      <c r="F200" s="857">
        <f>SUMIFS('YTD Sales'!$N:$N,'YTD Sales'!$B:$B,Brokerage!$B200,'YTD Sales'!$M:$M,Brokerage!F$4)+SUMIFS('YTD Purchases'!$H:$H,'YTD Purchases'!$C:$C,Brokerage!$B200,'YTD Purchases'!$G:$G,Brokerage!F$4)</f>
        <v>0</v>
      </c>
      <c r="G200" s="857">
        <f>SUMIFS('YTD Sales'!$N:$N,'YTD Sales'!$B:$B,Brokerage!$B200,'YTD Sales'!$M:$M,Brokerage!G$4)+SUMIFS('YTD Purchases'!$H:$H,'YTD Purchases'!$C:$C,Brokerage!$B200,'YTD Purchases'!$G:$G,Brokerage!G$4)</f>
        <v>0</v>
      </c>
      <c r="H200" s="857">
        <f>SUMIFS('YTD Sales'!$N:$N,'YTD Sales'!$B:$B,Brokerage!$B200,'YTD Sales'!$M:$M,Brokerage!H$4)+SUMIFS('YTD Purchases'!$H:$H,'YTD Purchases'!$C:$C,Brokerage!$B200,'YTD Purchases'!$G:$G,Brokerage!H$4)</f>
        <v>0</v>
      </c>
      <c r="I200" s="857">
        <f>SUMIFS('YTD Sales'!$N:$N,'YTD Sales'!$B:$B,Brokerage!$B200,'YTD Sales'!$M:$M,Brokerage!I$4)+SUMIFS('YTD Purchases'!$H:$H,'YTD Purchases'!$C:$C,Brokerage!$B200,'YTD Purchases'!$G:$G,Brokerage!I$4)</f>
        <v>0</v>
      </c>
      <c r="J200" s="857">
        <f>SUMIFS('YTD Sales'!$N:$N,'YTD Sales'!$B:$B,Brokerage!$B200,'YTD Sales'!$M:$M,Brokerage!J$4)+SUMIFS('YTD Purchases'!$H:$H,'YTD Purchases'!$C:$C,Brokerage!$B200,'YTD Purchases'!$G:$G,Brokerage!J$4)</f>
        <v>0</v>
      </c>
      <c r="K200" s="857">
        <f>SUMIFS('YTD Sales'!$N:$N,'YTD Sales'!$B:$B,Brokerage!$B200,'YTD Sales'!$M:$M,Brokerage!K$4)+SUMIFS('YTD Purchases'!$H:$H,'YTD Purchases'!$C:$C,Brokerage!$B200,'YTD Purchases'!$G:$G,Brokerage!K$4)</f>
        <v>0</v>
      </c>
      <c r="L200" s="857">
        <f>SUMIFS('YTD Sales'!$N:$N,'YTD Sales'!$B:$B,Brokerage!$B200,'YTD Sales'!$M:$M,Brokerage!L$4)+SUMIFS('YTD Purchases'!$H:$H,'YTD Purchases'!$C:$C,Brokerage!$B200,'YTD Purchases'!$G:$G,Brokerage!L$4)</f>
        <v>0</v>
      </c>
      <c r="M200" s="857">
        <f>SUMIFS('YTD Sales'!$N:$N,'YTD Sales'!$B:$B,Brokerage!$B200,'YTD Sales'!$M:$M,Brokerage!M$4)+SUMIFS('YTD Purchases'!$H:$H,'YTD Purchases'!$C:$C,Brokerage!$B200,'YTD Purchases'!$G:$G,Brokerage!M$4)</f>
        <v>5507.8</v>
      </c>
      <c r="N200" s="857">
        <f>SUMIFS('YTD Sales'!$N:$N,'YTD Sales'!$B:$B,Brokerage!$B200,'YTD Sales'!$M:$M,Brokerage!N$4)+SUMIFS('YTD Purchases'!$H:$H,'YTD Purchases'!$C:$C,Brokerage!$B200,'YTD Purchases'!$G:$G,Brokerage!N$4)</f>
        <v>0</v>
      </c>
      <c r="O200" s="857">
        <f>SUMIFS('YTD Sales'!$N:$N,'YTD Sales'!$B:$B,Brokerage!$B200,'YTD Sales'!$M:$M,Brokerage!O$4)+SUMIFS('YTD Purchases'!$H:$H,'YTD Purchases'!$C:$C,Brokerage!$B200,'YTD Purchases'!$G:$G,Brokerage!O$4)</f>
        <v>0</v>
      </c>
      <c r="P200" s="857">
        <f>SUMIFS('YTD Sales'!$N:$N,'YTD Sales'!$B:$B,Brokerage!$B200,'YTD Sales'!$M:$M,Brokerage!P$4)+SUMIFS('YTD Purchases'!$H:$H,'YTD Purchases'!$C:$C,Brokerage!$B200,'YTD Purchases'!$G:$G,Brokerage!P$4)</f>
        <v>4758.5007500000002</v>
      </c>
      <c r="Q200" s="857">
        <f>SUMIFS('YTD Sales'!$N:$N,'YTD Sales'!$B:$B,Brokerage!$B200,'YTD Sales'!$M:$M,Brokerage!Q$4)+SUMIFS('YTD Purchases'!$H:$H,'YTD Purchases'!$C:$C,Brokerage!$B200,'YTD Purchases'!$G:$G,Brokerage!Q$4)</f>
        <v>0</v>
      </c>
      <c r="R200" s="857">
        <f>SUMIFS('YTD Sales'!$N:$N,'YTD Sales'!$B:$B,Brokerage!$B200,'YTD Sales'!$M:$M,Brokerage!R$4)+SUMIFS('YTD Purchases'!$H:$H,'YTD Purchases'!$C:$C,Brokerage!$B200,'YTD Purchases'!$G:$G,Brokerage!R$4)</f>
        <v>0</v>
      </c>
      <c r="S200" s="857">
        <f>SUMIFS('YTD Sales'!$N:$N,'YTD Sales'!$B:$B,Brokerage!$B200,'YTD Sales'!$M:$M,Brokerage!S$4)+SUMIFS('YTD Purchases'!$H:$H,'YTD Purchases'!$C:$C,Brokerage!$B200,'YTD Purchases'!$G:$G,Brokerage!S$4)</f>
        <v>0</v>
      </c>
      <c r="T200" s="857">
        <f>SUMIFS('YTD Sales'!$N:$N,'YTD Sales'!$B:$B,Brokerage!$B200,'YTD Sales'!$M:$M,Brokerage!T$4)+SUMIFS('YTD Purchases'!$H:$H,'YTD Purchases'!$C:$C,Brokerage!$B200,'YTD Purchases'!$G:$G,Brokerage!T$4)</f>
        <v>0</v>
      </c>
      <c r="U200" s="857">
        <f>SUMIFS('YTD Sales'!$N:$N,'YTD Sales'!$B:$B,Brokerage!$B200,'YTD Sales'!$M:$M,Brokerage!U$4)+SUMIFS('YTD Purchases'!$H:$H,'YTD Purchases'!$C:$C,Brokerage!$B200,'YTD Purchases'!$G:$G,Brokerage!U$4)</f>
        <v>0</v>
      </c>
      <c r="V200" s="857">
        <f>SUMIFS('YTD Sales'!$N:$N,'YTD Sales'!$B:$B,Brokerage!$B200,'YTD Sales'!$M:$M,Brokerage!V$4)+SUMIFS('YTD Purchases'!$H:$H,'YTD Purchases'!$C:$C,Brokerage!$B200,'YTD Purchases'!$G:$G,Brokerage!V$4)</f>
        <v>0</v>
      </c>
      <c r="W200" s="857">
        <f>SUMIFS('YTD Sales'!$N:$N,'YTD Sales'!$B:$B,Brokerage!$B200,'YTD Sales'!$M:$M,Brokerage!W$4)+SUMIFS('YTD Purchases'!$H:$H,'YTD Purchases'!$C:$C,Brokerage!$B200,'YTD Purchases'!$G:$G,Brokerage!W$4)</f>
        <v>0</v>
      </c>
      <c r="X200" s="857">
        <f>SUMIFS('YTD Sales'!$N:$N,'YTD Sales'!$B:$B,Brokerage!$B200,'YTD Sales'!$M:$M,Brokerage!X$4)+SUMIFS('YTD Purchases'!$H:$H,'YTD Purchases'!$C:$C,Brokerage!$B200,'YTD Purchases'!$G:$G,Brokerage!X$4)</f>
        <v>0</v>
      </c>
      <c r="Y200" s="857">
        <f>SUMIFS('YTD Sales'!$N:$N,'YTD Sales'!$B:$B,Brokerage!$B200,'YTD Sales'!$M:$M,Brokerage!Y$4)+SUMIFS('YTD Purchases'!$H:$H,'YTD Purchases'!$C:$C,Brokerage!$B200,'YTD Purchases'!$G:$G,Brokerage!Y$4)</f>
        <v>0</v>
      </c>
      <c r="Z200" s="857">
        <f>SUMIFS('YTD Sales'!$N:$N,'YTD Sales'!$B:$B,Brokerage!$B200,'YTD Sales'!$M:$M,Brokerage!Z$4)+SUMIFS('YTD Purchases'!$H:$H,'YTD Purchases'!$C:$C,Brokerage!$B200,'YTD Purchases'!$G:$G,Brokerage!Z$4)</f>
        <v>0</v>
      </c>
      <c r="AA200" s="857">
        <f>SUMIFS('YTD Sales'!$N:$N,'YTD Sales'!$B:$B,Brokerage!$B200,'YTD Sales'!$M:$M,Brokerage!AA$4)+SUMIFS('YTD Purchases'!$H:$H,'YTD Purchases'!$C:$C,Brokerage!$B200,'YTD Purchases'!$G:$G,Brokerage!AA$4)</f>
        <v>0</v>
      </c>
      <c r="AB200" s="857">
        <f>SUMIFS('YTD Sales'!$N:$N,'YTD Sales'!$B:$B,Brokerage!$B200,'YTD Sales'!$M:$M,Brokerage!AB$4)+SUMIFS('YTD Purchases'!$H:$H,'YTD Purchases'!$C:$C,Brokerage!$B200,'YTD Purchases'!$G:$G,Brokerage!AB$4)</f>
        <v>0</v>
      </c>
      <c r="AC200" s="857">
        <f>SUMIFS('YTD Sales'!$N:$N,'YTD Sales'!$B:$B,Brokerage!$B200,'YTD Sales'!$M:$M,Brokerage!AC$4)+SUMIFS('YTD Purchases'!$H:$H,'YTD Purchases'!$C:$C,Brokerage!$B200,'YTD Purchases'!$G:$G,Brokerage!AC$4)</f>
        <v>0</v>
      </c>
      <c r="AD200" s="857">
        <f>+SUMIFS(PIB!AG:AG,PIB!AF:AF,Brokerage!AD$4,PIB!AA:AA,Brokerage!$B200)+SUMIFS('T-Bills'!AB:AB,'T-Bills'!AA:AA,Brokerage!AD$4,'T-Bills'!V:V,Brokerage!$B200)</f>
        <v>0</v>
      </c>
      <c r="AE200" s="857">
        <f>+SUMIFS(PIB!AH:AH,PIB!AG:AG,Brokerage!AE$4,PIB!AB:AB,Brokerage!$B200)+SUMIFS('T-Bills'!AC:AC,'T-Bills'!AB:AB,Brokerage!AE$4,'T-Bills'!W:W,Brokerage!$B200)</f>
        <v>0</v>
      </c>
      <c r="AF200" s="857">
        <f>+SUMIFS(PIB!AI:AI,PIB!AH:AH,Brokerage!AF$4,PIB!AC:AC,Brokerage!$B200)+SUMIFS('T-Bills'!AD:AD,'T-Bills'!AC:AC,Brokerage!AF$4,'T-Bills'!X:X,Brokerage!$B200)</f>
        <v>0</v>
      </c>
      <c r="AG200" s="857">
        <f t="shared" si="19"/>
        <v>12513.615750000001</v>
      </c>
      <c r="AH200" s="858">
        <f t="shared" si="21"/>
        <v>1</v>
      </c>
    </row>
    <row r="201" spans="2:34" x14ac:dyDescent="0.15">
      <c r="B201" s="661">
        <f t="shared" ref="B201:B264" si="22">+B200+1</f>
        <v>44757</v>
      </c>
      <c r="C201" s="857">
        <f>SUMIFS('YTD Sales'!$N:$N,'YTD Sales'!$B:$B,Brokerage!$B201,'YTD Sales'!$M:$M,Brokerage!C$4)+SUMIFS('YTD Purchases'!$H:$H,'YTD Purchases'!$C:$C,Brokerage!$B201,'YTD Purchases'!$G:$G,Brokerage!C$4)</f>
        <v>1340.3153846153846</v>
      </c>
      <c r="D201" s="857">
        <f>SUMIFS('YTD Sales'!$N:$N,'YTD Sales'!$B:$B,Brokerage!$B201,'YTD Sales'!$M:$M,Brokerage!D$4)+SUMIFS('YTD Purchases'!$H:$H,'YTD Purchases'!$C:$C,Brokerage!$B201,'YTD Purchases'!$G:$G,Brokerage!D$4)</f>
        <v>0</v>
      </c>
      <c r="E201" s="857">
        <f>SUMIFS('YTD Sales'!$N:$N,'YTD Sales'!$B:$B,Brokerage!$B201,'YTD Sales'!$M:$M,Brokerage!E$4)+SUMIFS('YTD Purchases'!$H:$H,'YTD Purchases'!$C:$C,Brokerage!$B201,'YTD Purchases'!$G:$G,Brokerage!E$4)</f>
        <v>0</v>
      </c>
      <c r="F201" s="857">
        <f>SUMIFS('YTD Sales'!$N:$N,'YTD Sales'!$B:$B,Brokerage!$B201,'YTD Sales'!$M:$M,Brokerage!F$4)+SUMIFS('YTD Purchases'!$H:$H,'YTD Purchases'!$C:$C,Brokerage!$B201,'YTD Purchases'!$G:$G,Brokerage!F$4)</f>
        <v>0</v>
      </c>
      <c r="G201" s="857">
        <f>SUMIFS('YTD Sales'!$N:$N,'YTD Sales'!$B:$B,Brokerage!$B201,'YTD Sales'!$M:$M,Brokerage!G$4)+SUMIFS('YTD Purchases'!$H:$H,'YTD Purchases'!$C:$C,Brokerage!$B201,'YTD Purchases'!$G:$G,Brokerage!G$4)</f>
        <v>0</v>
      </c>
      <c r="H201" s="857">
        <f>SUMIFS('YTD Sales'!$N:$N,'YTD Sales'!$B:$B,Brokerage!$B201,'YTD Sales'!$M:$M,Brokerage!H$4)+SUMIFS('YTD Purchases'!$H:$H,'YTD Purchases'!$C:$C,Brokerage!$B201,'YTD Purchases'!$G:$G,Brokerage!H$4)</f>
        <v>0</v>
      </c>
      <c r="I201" s="857">
        <f>SUMIFS('YTD Sales'!$N:$N,'YTD Sales'!$B:$B,Brokerage!$B201,'YTD Sales'!$M:$M,Brokerage!I$4)+SUMIFS('YTD Purchases'!$H:$H,'YTD Purchases'!$C:$C,Brokerage!$B201,'YTD Purchases'!$G:$G,Brokerage!I$4)</f>
        <v>0</v>
      </c>
      <c r="J201" s="857">
        <f>SUMIFS('YTD Sales'!$N:$N,'YTD Sales'!$B:$B,Brokerage!$B201,'YTD Sales'!$M:$M,Brokerage!J$4)+SUMIFS('YTD Purchases'!$H:$H,'YTD Purchases'!$C:$C,Brokerage!$B201,'YTD Purchases'!$G:$G,Brokerage!J$4)</f>
        <v>0</v>
      </c>
      <c r="K201" s="857">
        <f>SUMIFS('YTD Sales'!$N:$N,'YTD Sales'!$B:$B,Brokerage!$B201,'YTD Sales'!$M:$M,Brokerage!K$4)+SUMIFS('YTD Purchases'!$H:$H,'YTD Purchases'!$C:$C,Brokerage!$B201,'YTD Purchases'!$G:$G,Brokerage!K$4)</f>
        <v>0</v>
      </c>
      <c r="L201" s="857">
        <f>SUMIFS('YTD Sales'!$N:$N,'YTD Sales'!$B:$B,Brokerage!$B201,'YTD Sales'!$M:$M,Brokerage!L$4)+SUMIFS('YTD Purchases'!$H:$H,'YTD Purchases'!$C:$C,Brokerage!$B201,'YTD Purchases'!$G:$G,Brokerage!L$4)</f>
        <v>0</v>
      </c>
      <c r="M201" s="857">
        <f>SUMIFS('YTD Sales'!$N:$N,'YTD Sales'!$B:$B,Brokerage!$B201,'YTD Sales'!$M:$M,Brokerage!M$4)+SUMIFS('YTD Purchases'!$H:$H,'YTD Purchases'!$C:$C,Brokerage!$B201,'YTD Purchases'!$G:$G,Brokerage!M$4)</f>
        <v>848.33</v>
      </c>
      <c r="N201" s="857">
        <f>SUMIFS('YTD Sales'!$N:$N,'YTD Sales'!$B:$B,Brokerage!$B201,'YTD Sales'!$M:$M,Brokerage!N$4)+SUMIFS('YTD Purchases'!$H:$H,'YTD Purchases'!$C:$C,Brokerage!$B201,'YTD Purchases'!$G:$G,Brokerage!N$4)</f>
        <v>4959.99</v>
      </c>
      <c r="O201" s="857">
        <f>SUMIFS('YTD Sales'!$N:$N,'YTD Sales'!$B:$B,Brokerage!$B201,'YTD Sales'!$M:$M,Brokerage!O$4)+SUMIFS('YTD Purchases'!$H:$H,'YTD Purchases'!$C:$C,Brokerage!$B201,'YTD Purchases'!$G:$G,Brokerage!O$4)</f>
        <v>0</v>
      </c>
      <c r="P201" s="857">
        <f>SUMIFS('YTD Sales'!$N:$N,'YTD Sales'!$B:$B,Brokerage!$B201,'YTD Sales'!$M:$M,Brokerage!P$4)+SUMIFS('YTD Purchases'!$H:$H,'YTD Purchases'!$C:$C,Brokerage!$B201,'YTD Purchases'!$G:$G,Brokerage!P$4)</f>
        <v>0</v>
      </c>
      <c r="Q201" s="857">
        <f>SUMIFS('YTD Sales'!$N:$N,'YTD Sales'!$B:$B,Brokerage!$B201,'YTD Sales'!$M:$M,Brokerage!Q$4)+SUMIFS('YTD Purchases'!$H:$H,'YTD Purchases'!$C:$C,Brokerage!$B201,'YTD Purchases'!$G:$G,Brokerage!Q$4)</f>
        <v>0</v>
      </c>
      <c r="R201" s="857">
        <f>SUMIFS('YTD Sales'!$N:$N,'YTD Sales'!$B:$B,Brokerage!$B201,'YTD Sales'!$M:$M,Brokerage!R$4)+SUMIFS('YTD Purchases'!$H:$H,'YTD Purchases'!$C:$C,Brokerage!$B201,'YTD Purchases'!$G:$G,Brokerage!R$4)</f>
        <v>0</v>
      </c>
      <c r="S201" s="857">
        <f>SUMIFS('YTD Sales'!$N:$N,'YTD Sales'!$B:$B,Brokerage!$B201,'YTD Sales'!$M:$M,Brokerage!S$4)+SUMIFS('YTD Purchases'!$H:$H,'YTD Purchases'!$C:$C,Brokerage!$B201,'YTD Purchases'!$G:$G,Brokerage!S$4)</f>
        <v>0</v>
      </c>
      <c r="T201" s="857">
        <f>SUMIFS('YTD Sales'!$N:$N,'YTD Sales'!$B:$B,Brokerage!$B201,'YTD Sales'!$M:$M,Brokerage!T$4)+SUMIFS('YTD Purchases'!$H:$H,'YTD Purchases'!$C:$C,Brokerage!$B201,'YTD Purchases'!$G:$G,Brokerage!T$4)</f>
        <v>0</v>
      </c>
      <c r="U201" s="857">
        <f>SUMIFS('YTD Sales'!$N:$N,'YTD Sales'!$B:$B,Brokerage!$B201,'YTD Sales'!$M:$M,Brokerage!U$4)+SUMIFS('YTD Purchases'!$H:$H,'YTD Purchases'!$C:$C,Brokerage!$B201,'YTD Purchases'!$G:$G,Brokerage!U$4)</f>
        <v>0</v>
      </c>
      <c r="V201" s="857">
        <f>SUMIFS('YTD Sales'!$N:$N,'YTD Sales'!$B:$B,Brokerage!$B201,'YTD Sales'!$M:$M,Brokerage!V$4)+SUMIFS('YTD Purchases'!$H:$H,'YTD Purchases'!$C:$C,Brokerage!$B201,'YTD Purchases'!$G:$G,Brokerage!V$4)</f>
        <v>0</v>
      </c>
      <c r="W201" s="857">
        <f>SUMIFS('YTD Sales'!$N:$N,'YTD Sales'!$B:$B,Brokerage!$B201,'YTD Sales'!$M:$M,Brokerage!W$4)+SUMIFS('YTD Purchases'!$H:$H,'YTD Purchases'!$C:$C,Brokerage!$B201,'YTD Purchases'!$G:$G,Brokerage!W$4)</f>
        <v>0</v>
      </c>
      <c r="X201" s="857">
        <f>SUMIFS('YTD Sales'!$N:$N,'YTD Sales'!$B:$B,Brokerage!$B201,'YTD Sales'!$M:$M,Brokerage!X$4)+SUMIFS('YTD Purchases'!$H:$H,'YTD Purchases'!$C:$C,Brokerage!$B201,'YTD Purchases'!$G:$G,Brokerage!X$4)</f>
        <v>0</v>
      </c>
      <c r="Y201" s="857">
        <f>SUMIFS('YTD Sales'!$N:$N,'YTD Sales'!$B:$B,Brokerage!$B201,'YTD Sales'!$M:$M,Brokerage!Y$4)+SUMIFS('YTD Purchases'!$H:$H,'YTD Purchases'!$C:$C,Brokerage!$B201,'YTD Purchases'!$G:$G,Brokerage!Y$4)</f>
        <v>0</v>
      </c>
      <c r="Z201" s="857">
        <f>SUMIFS('YTD Sales'!$N:$N,'YTD Sales'!$B:$B,Brokerage!$B201,'YTD Sales'!$M:$M,Brokerage!Z$4)+SUMIFS('YTD Purchases'!$H:$H,'YTD Purchases'!$C:$C,Brokerage!$B201,'YTD Purchases'!$G:$G,Brokerage!Z$4)</f>
        <v>0</v>
      </c>
      <c r="AA201" s="857">
        <f>SUMIFS('YTD Sales'!$N:$N,'YTD Sales'!$B:$B,Brokerage!$B201,'YTD Sales'!$M:$M,Brokerage!AA$4)+SUMIFS('YTD Purchases'!$H:$H,'YTD Purchases'!$C:$C,Brokerage!$B201,'YTD Purchases'!$G:$G,Brokerage!AA$4)</f>
        <v>0</v>
      </c>
      <c r="AB201" s="857">
        <f>SUMIFS('YTD Sales'!$N:$N,'YTD Sales'!$B:$B,Brokerage!$B201,'YTD Sales'!$M:$M,Brokerage!AB$4)+SUMIFS('YTD Purchases'!$H:$H,'YTD Purchases'!$C:$C,Brokerage!$B201,'YTD Purchases'!$G:$G,Brokerage!AB$4)</f>
        <v>0</v>
      </c>
      <c r="AC201" s="857">
        <f>SUMIFS('YTD Sales'!$N:$N,'YTD Sales'!$B:$B,Brokerage!$B201,'YTD Sales'!$M:$M,Brokerage!AC$4)+SUMIFS('YTD Purchases'!$H:$H,'YTD Purchases'!$C:$C,Brokerage!$B201,'YTD Purchases'!$G:$G,Brokerage!AC$4)</f>
        <v>0</v>
      </c>
      <c r="AD201" s="857">
        <f>+SUMIFS(PIB!AG:AG,PIB!AF:AF,Brokerage!AD$4,PIB!AA:AA,Brokerage!$B201)+SUMIFS('T-Bills'!AB:AB,'T-Bills'!AA:AA,Brokerage!AD$4,'T-Bills'!V:V,Brokerage!$B201)</f>
        <v>0</v>
      </c>
      <c r="AE201" s="857">
        <f>+SUMIFS(PIB!AH:AH,PIB!AG:AG,Brokerage!AE$4,PIB!AB:AB,Brokerage!$B201)+SUMIFS('T-Bills'!AC:AC,'T-Bills'!AB:AB,Brokerage!AE$4,'T-Bills'!W:W,Brokerage!$B201)</f>
        <v>0</v>
      </c>
      <c r="AF201" s="857">
        <f>+SUMIFS(PIB!AI:AI,PIB!AH:AH,Brokerage!AF$4,PIB!AC:AC,Brokerage!$B201)+SUMIFS('T-Bills'!AD:AD,'T-Bills'!AC:AC,Brokerage!AF$4,'T-Bills'!X:X,Brokerage!$B201)</f>
        <v>0</v>
      </c>
      <c r="AG201" s="857">
        <f t="shared" ref="AG201:AG264" si="23">SUM(C201:AF201)</f>
        <v>7148.6353846153843</v>
      </c>
      <c r="AH201" s="858">
        <f t="shared" si="21"/>
        <v>0</v>
      </c>
    </row>
    <row r="202" spans="2:34" x14ac:dyDescent="0.15">
      <c r="B202" s="661">
        <f t="shared" si="22"/>
        <v>44758</v>
      </c>
      <c r="C202" s="857">
        <f>SUMIFS('YTD Sales'!$N:$N,'YTD Sales'!$B:$B,Brokerage!$B202,'YTD Sales'!$M:$M,Brokerage!C$4)+SUMIFS('YTD Purchases'!$H:$H,'YTD Purchases'!$C:$C,Brokerage!$B202,'YTD Purchases'!$G:$G,Brokerage!C$4)</f>
        <v>0</v>
      </c>
      <c r="D202" s="857">
        <f>SUMIFS('YTD Sales'!$N:$N,'YTD Sales'!$B:$B,Brokerage!$B202,'YTD Sales'!$M:$M,Brokerage!D$4)+SUMIFS('YTD Purchases'!$H:$H,'YTD Purchases'!$C:$C,Brokerage!$B202,'YTD Purchases'!$G:$G,Brokerage!D$4)</f>
        <v>0</v>
      </c>
      <c r="E202" s="857">
        <f>SUMIFS('YTD Sales'!$N:$N,'YTD Sales'!$B:$B,Brokerage!$B202,'YTD Sales'!$M:$M,Brokerage!E$4)+SUMIFS('YTD Purchases'!$H:$H,'YTD Purchases'!$C:$C,Brokerage!$B202,'YTD Purchases'!$G:$G,Brokerage!E$4)</f>
        <v>0</v>
      </c>
      <c r="F202" s="857">
        <f>SUMIFS('YTD Sales'!$N:$N,'YTD Sales'!$B:$B,Brokerage!$B202,'YTD Sales'!$M:$M,Brokerage!F$4)+SUMIFS('YTD Purchases'!$H:$H,'YTD Purchases'!$C:$C,Brokerage!$B202,'YTD Purchases'!$G:$G,Brokerage!F$4)</f>
        <v>0</v>
      </c>
      <c r="G202" s="857">
        <f>SUMIFS('YTD Sales'!$N:$N,'YTD Sales'!$B:$B,Brokerage!$B202,'YTD Sales'!$M:$M,Brokerage!G$4)+SUMIFS('YTD Purchases'!$H:$H,'YTD Purchases'!$C:$C,Brokerage!$B202,'YTD Purchases'!$G:$G,Brokerage!G$4)</f>
        <v>0</v>
      </c>
      <c r="H202" s="857">
        <f>SUMIFS('YTD Sales'!$N:$N,'YTD Sales'!$B:$B,Brokerage!$B202,'YTD Sales'!$M:$M,Brokerage!H$4)+SUMIFS('YTD Purchases'!$H:$H,'YTD Purchases'!$C:$C,Brokerage!$B202,'YTD Purchases'!$G:$G,Brokerage!H$4)</f>
        <v>0</v>
      </c>
      <c r="I202" s="857">
        <f>SUMIFS('YTD Sales'!$N:$N,'YTD Sales'!$B:$B,Brokerage!$B202,'YTD Sales'!$M:$M,Brokerage!I$4)+SUMIFS('YTD Purchases'!$H:$H,'YTD Purchases'!$C:$C,Brokerage!$B202,'YTD Purchases'!$G:$G,Brokerage!I$4)</f>
        <v>0</v>
      </c>
      <c r="J202" s="857">
        <f>SUMIFS('YTD Sales'!$N:$N,'YTD Sales'!$B:$B,Brokerage!$B202,'YTD Sales'!$M:$M,Brokerage!J$4)+SUMIFS('YTD Purchases'!$H:$H,'YTD Purchases'!$C:$C,Brokerage!$B202,'YTD Purchases'!$G:$G,Brokerage!J$4)</f>
        <v>0</v>
      </c>
      <c r="K202" s="857">
        <f>SUMIFS('YTD Sales'!$N:$N,'YTD Sales'!$B:$B,Brokerage!$B202,'YTD Sales'!$M:$M,Brokerage!K$4)+SUMIFS('YTD Purchases'!$H:$H,'YTD Purchases'!$C:$C,Brokerage!$B202,'YTD Purchases'!$G:$G,Brokerage!K$4)</f>
        <v>0</v>
      </c>
      <c r="L202" s="857">
        <f>SUMIFS('YTD Sales'!$N:$N,'YTD Sales'!$B:$B,Brokerage!$B202,'YTD Sales'!$M:$M,Brokerage!L$4)+SUMIFS('YTD Purchases'!$H:$H,'YTD Purchases'!$C:$C,Brokerage!$B202,'YTD Purchases'!$G:$G,Brokerage!L$4)</f>
        <v>0</v>
      </c>
      <c r="M202" s="857">
        <f>SUMIFS('YTD Sales'!$N:$N,'YTD Sales'!$B:$B,Brokerage!$B202,'YTD Sales'!$M:$M,Brokerage!M$4)+SUMIFS('YTD Purchases'!$H:$H,'YTD Purchases'!$C:$C,Brokerage!$B202,'YTD Purchases'!$G:$G,Brokerage!M$4)</f>
        <v>0</v>
      </c>
      <c r="N202" s="857">
        <f>SUMIFS('YTD Sales'!$N:$N,'YTD Sales'!$B:$B,Brokerage!$B202,'YTD Sales'!$M:$M,Brokerage!N$4)+SUMIFS('YTD Purchases'!$H:$H,'YTD Purchases'!$C:$C,Brokerage!$B202,'YTD Purchases'!$G:$G,Brokerage!N$4)</f>
        <v>0</v>
      </c>
      <c r="O202" s="857">
        <f>SUMIFS('YTD Sales'!$N:$N,'YTD Sales'!$B:$B,Brokerage!$B202,'YTD Sales'!$M:$M,Brokerage!O$4)+SUMIFS('YTD Purchases'!$H:$H,'YTD Purchases'!$C:$C,Brokerage!$B202,'YTD Purchases'!$G:$G,Brokerage!O$4)</f>
        <v>0</v>
      </c>
      <c r="P202" s="857">
        <f>SUMIFS('YTD Sales'!$N:$N,'YTD Sales'!$B:$B,Brokerage!$B202,'YTD Sales'!$M:$M,Brokerage!P$4)+SUMIFS('YTD Purchases'!$H:$H,'YTD Purchases'!$C:$C,Brokerage!$B202,'YTD Purchases'!$G:$G,Brokerage!P$4)</f>
        <v>0</v>
      </c>
      <c r="Q202" s="857">
        <f>SUMIFS('YTD Sales'!$N:$N,'YTD Sales'!$B:$B,Brokerage!$B202,'YTD Sales'!$M:$M,Brokerage!Q$4)+SUMIFS('YTD Purchases'!$H:$H,'YTD Purchases'!$C:$C,Brokerage!$B202,'YTD Purchases'!$G:$G,Brokerage!Q$4)</f>
        <v>0</v>
      </c>
      <c r="R202" s="857">
        <f>SUMIFS('YTD Sales'!$N:$N,'YTD Sales'!$B:$B,Brokerage!$B202,'YTD Sales'!$M:$M,Brokerage!R$4)+SUMIFS('YTD Purchases'!$H:$H,'YTD Purchases'!$C:$C,Brokerage!$B202,'YTD Purchases'!$G:$G,Brokerage!R$4)</f>
        <v>0</v>
      </c>
      <c r="S202" s="857">
        <f>SUMIFS('YTD Sales'!$N:$N,'YTD Sales'!$B:$B,Brokerage!$B202,'YTD Sales'!$M:$M,Brokerage!S$4)+SUMIFS('YTD Purchases'!$H:$H,'YTD Purchases'!$C:$C,Brokerage!$B202,'YTD Purchases'!$G:$G,Brokerage!S$4)</f>
        <v>0</v>
      </c>
      <c r="T202" s="857">
        <f>SUMIFS('YTD Sales'!$N:$N,'YTD Sales'!$B:$B,Brokerage!$B202,'YTD Sales'!$M:$M,Brokerage!T$4)+SUMIFS('YTD Purchases'!$H:$H,'YTD Purchases'!$C:$C,Brokerage!$B202,'YTD Purchases'!$G:$G,Brokerage!T$4)</f>
        <v>0</v>
      </c>
      <c r="U202" s="857">
        <f>SUMIFS('YTD Sales'!$N:$N,'YTD Sales'!$B:$B,Brokerage!$B202,'YTD Sales'!$M:$M,Brokerage!U$4)+SUMIFS('YTD Purchases'!$H:$H,'YTD Purchases'!$C:$C,Brokerage!$B202,'YTD Purchases'!$G:$G,Brokerage!U$4)</f>
        <v>0</v>
      </c>
      <c r="V202" s="857">
        <f>SUMIFS('YTD Sales'!$N:$N,'YTD Sales'!$B:$B,Brokerage!$B202,'YTD Sales'!$M:$M,Brokerage!V$4)+SUMIFS('YTD Purchases'!$H:$H,'YTD Purchases'!$C:$C,Brokerage!$B202,'YTD Purchases'!$G:$G,Brokerage!V$4)</f>
        <v>0</v>
      </c>
      <c r="W202" s="857">
        <f>SUMIFS('YTD Sales'!$N:$N,'YTD Sales'!$B:$B,Brokerage!$B202,'YTD Sales'!$M:$M,Brokerage!W$4)+SUMIFS('YTD Purchases'!$H:$H,'YTD Purchases'!$C:$C,Brokerage!$B202,'YTD Purchases'!$G:$G,Brokerage!W$4)</f>
        <v>0</v>
      </c>
      <c r="X202" s="857">
        <f>SUMIFS('YTD Sales'!$N:$N,'YTD Sales'!$B:$B,Brokerage!$B202,'YTD Sales'!$M:$M,Brokerage!X$4)+SUMIFS('YTD Purchases'!$H:$H,'YTD Purchases'!$C:$C,Brokerage!$B202,'YTD Purchases'!$G:$G,Brokerage!X$4)</f>
        <v>0</v>
      </c>
      <c r="Y202" s="857">
        <f>SUMIFS('YTD Sales'!$N:$N,'YTD Sales'!$B:$B,Brokerage!$B202,'YTD Sales'!$M:$M,Brokerage!Y$4)+SUMIFS('YTD Purchases'!$H:$H,'YTD Purchases'!$C:$C,Brokerage!$B202,'YTD Purchases'!$G:$G,Brokerage!Y$4)</f>
        <v>0</v>
      </c>
      <c r="Z202" s="857">
        <f>SUMIFS('YTD Sales'!$N:$N,'YTD Sales'!$B:$B,Brokerage!$B202,'YTD Sales'!$M:$M,Brokerage!Z$4)+SUMIFS('YTD Purchases'!$H:$H,'YTD Purchases'!$C:$C,Brokerage!$B202,'YTD Purchases'!$G:$G,Brokerage!Z$4)</f>
        <v>0</v>
      </c>
      <c r="AA202" s="857">
        <f>SUMIFS('YTD Sales'!$N:$N,'YTD Sales'!$B:$B,Brokerage!$B202,'YTD Sales'!$M:$M,Brokerage!AA$4)+SUMIFS('YTD Purchases'!$H:$H,'YTD Purchases'!$C:$C,Brokerage!$B202,'YTD Purchases'!$G:$G,Brokerage!AA$4)</f>
        <v>0</v>
      </c>
      <c r="AB202" s="857">
        <f>SUMIFS('YTD Sales'!$N:$N,'YTD Sales'!$B:$B,Brokerage!$B202,'YTD Sales'!$M:$M,Brokerage!AB$4)+SUMIFS('YTD Purchases'!$H:$H,'YTD Purchases'!$C:$C,Brokerage!$B202,'YTD Purchases'!$G:$G,Brokerage!AB$4)</f>
        <v>0</v>
      </c>
      <c r="AC202" s="857">
        <f>SUMIFS('YTD Sales'!$N:$N,'YTD Sales'!$B:$B,Brokerage!$B202,'YTD Sales'!$M:$M,Brokerage!AC$4)+SUMIFS('YTD Purchases'!$H:$H,'YTD Purchases'!$C:$C,Brokerage!$B202,'YTD Purchases'!$G:$G,Brokerage!AC$4)</f>
        <v>0</v>
      </c>
      <c r="AD202" s="857">
        <f>+SUMIFS(PIB!AG:AG,PIB!AF:AF,Brokerage!AD$4,PIB!AA:AA,Brokerage!$B202)+SUMIFS('T-Bills'!AB:AB,'T-Bills'!AA:AA,Brokerage!AD$4,'T-Bills'!V:V,Brokerage!$B202)</f>
        <v>0</v>
      </c>
      <c r="AE202" s="857">
        <f>+SUMIFS(PIB!AH:AH,PIB!AG:AG,Brokerage!AE$4,PIB!AB:AB,Brokerage!$B202)+SUMIFS('T-Bills'!AC:AC,'T-Bills'!AB:AB,Brokerage!AE$4,'T-Bills'!W:W,Brokerage!$B202)</f>
        <v>0</v>
      </c>
      <c r="AF202" s="857">
        <f>+SUMIFS(PIB!AI:AI,PIB!AH:AH,Brokerage!AF$4,PIB!AC:AC,Brokerage!$B202)+SUMIFS('T-Bills'!AD:AD,'T-Bills'!AC:AC,Brokerage!AF$4,'T-Bills'!X:X,Brokerage!$B202)</f>
        <v>0</v>
      </c>
      <c r="AG202" s="857">
        <f t="shared" si="23"/>
        <v>0</v>
      </c>
      <c r="AH202" s="858">
        <f t="shared" si="21"/>
        <v>0</v>
      </c>
    </row>
    <row r="203" spans="2:34" x14ac:dyDescent="0.15">
      <c r="B203" s="661">
        <f t="shared" si="22"/>
        <v>44759</v>
      </c>
      <c r="C203" s="857">
        <f>SUMIFS('YTD Sales'!$N:$N,'YTD Sales'!$B:$B,Brokerage!$B203,'YTD Sales'!$M:$M,Brokerage!C$4)+SUMIFS('YTD Purchases'!$H:$H,'YTD Purchases'!$C:$C,Brokerage!$B203,'YTD Purchases'!$G:$G,Brokerage!C$4)</f>
        <v>0</v>
      </c>
      <c r="D203" s="857">
        <f>SUMIFS('YTD Sales'!$N:$N,'YTD Sales'!$B:$B,Brokerage!$B203,'YTD Sales'!$M:$M,Brokerage!D$4)+SUMIFS('YTD Purchases'!$H:$H,'YTD Purchases'!$C:$C,Brokerage!$B203,'YTD Purchases'!$G:$G,Brokerage!D$4)</f>
        <v>0</v>
      </c>
      <c r="E203" s="857">
        <f>SUMIFS('YTD Sales'!$N:$N,'YTD Sales'!$B:$B,Brokerage!$B203,'YTD Sales'!$M:$M,Brokerage!E$4)+SUMIFS('YTD Purchases'!$H:$H,'YTD Purchases'!$C:$C,Brokerage!$B203,'YTD Purchases'!$G:$G,Brokerage!E$4)</f>
        <v>0</v>
      </c>
      <c r="F203" s="857">
        <f>SUMIFS('YTD Sales'!$N:$N,'YTD Sales'!$B:$B,Brokerage!$B203,'YTD Sales'!$M:$M,Brokerage!F$4)+SUMIFS('YTD Purchases'!$H:$H,'YTD Purchases'!$C:$C,Brokerage!$B203,'YTD Purchases'!$G:$G,Brokerage!F$4)</f>
        <v>0</v>
      </c>
      <c r="G203" s="857">
        <f>SUMIFS('YTD Sales'!$N:$N,'YTD Sales'!$B:$B,Brokerage!$B203,'YTD Sales'!$M:$M,Brokerage!G$4)+SUMIFS('YTD Purchases'!$H:$H,'YTD Purchases'!$C:$C,Brokerage!$B203,'YTD Purchases'!$G:$G,Brokerage!G$4)</f>
        <v>0</v>
      </c>
      <c r="H203" s="857">
        <f>SUMIFS('YTD Sales'!$N:$N,'YTD Sales'!$B:$B,Brokerage!$B203,'YTD Sales'!$M:$M,Brokerage!H$4)+SUMIFS('YTD Purchases'!$H:$H,'YTD Purchases'!$C:$C,Brokerage!$B203,'YTD Purchases'!$G:$G,Brokerage!H$4)</f>
        <v>0</v>
      </c>
      <c r="I203" s="857">
        <f>SUMIFS('YTD Sales'!$N:$N,'YTD Sales'!$B:$B,Brokerage!$B203,'YTD Sales'!$M:$M,Brokerage!I$4)+SUMIFS('YTD Purchases'!$H:$H,'YTD Purchases'!$C:$C,Brokerage!$B203,'YTD Purchases'!$G:$G,Brokerage!I$4)</f>
        <v>0</v>
      </c>
      <c r="J203" s="857">
        <f>SUMIFS('YTD Sales'!$N:$N,'YTD Sales'!$B:$B,Brokerage!$B203,'YTD Sales'!$M:$M,Brokerage!J$4)+SUMIFS('YTD Purchases'!$H:$H,'YTD Purchases'!$C:$C,Brokerage!$B203,'YTD Purchases'!$G:$G,Brokerage!J$4)</f>
        <v>0</v>
      </c>
      <c r="K203" s="857">
        <f>SUMIFS('YTD Sales'!$N:$N,'YTD Sales'!$B:$B,Brokerage!$B203,'YTD Sales'!$M:$M,Brokerage!K$4)+SUMIFS('YTD Purchases'!$H:$H,'YTD Purchases'!$C:$C,Brokerage!$B203,'YTD Purchases'!$G:$G,Brokerage!K$4)</f>
        <v>0</v>
      </c>
      <c r="L203" s="857">
        <f>SUMIFS('YTD Sales'!$N:$N,'YTD Sales'!$B:$B,Brokerage!$B203,'YTD Sales'!$M:$M,Brokerage!L$4)+SUMIFS('YTD Purchases'!$H:$H,'YTD Purchases'!$C:$C,Brokerage!$B203,'YTD Purchases'!$G:$G,Brokerage!L$4)</f>
        <v>0</v>
      </c>
      <c r="M203" s="857">
        <f>SUMIFS('YTD Sales'!$N:$N,'YTD Sales'!$B:$B,Brokerage!$B203,'YTD Sales'!$M:$M,Brokerage!M$4)+SUMIFS('YTD Purchases'!$H:$H,'YTD Purchases'!$C:$C,Brokerage!$B203,'YTD Purchases'!$G:$G,Brokerage!M$4)</f>
        <v>0</v>
      </c>
      <c r="N203" s="857">
        <f>SUMIFS('YTD Sales'!$N:$N,'YTD Sales'!$B:$B,Brokerage!$B203,'YTD Sales'!$M:$M,Brokerage!N$4)+SUMIFS('YTD Purchases'!$H:$H,'YTD Purchases'!$C:$C,Brokerage!$B203,'YTD Purchases'!$G:$G,Brokerage!N$4)</f>
        <v>0</v>
      </c>
      <c r="O203" s="857">
        <f>SUMIFS('YTD Sales'!$N:$N,'YTD Sales'!$B:$B,Brokerage!$B203,'YTD Sales'!$M:$M,Brokerage!O$4)+SUMIFS('YTD Purchases'!$H:$H,'YTD Purchases'!$C:$C,Brokerage!$B203,'YTD Purchases'!$G:$G,Brokerage!O$4)</f>
        <v>0</v>
      </c>
      <c r="P203" s="857">
        <f>SUMIFS('YTD Sales'!$N:$N,'YTD Sales'!$B:$B,Brokerage!$B203,'YTD Sales'!$M:$M,Brokerage!P$4)+SUMIFS('YTD Purchases'!$H:$H,'YTD Purchases'!$C:$C,Brokerage!$B203,'YTD Purchases'!$G:$G,Brokerage!P$4)</f>
        <v>0</v>
      </c>
      <c r="Q203" s="857">
        <f>SUMIFS('YTD Sales'!$N:$N,'YTD Sales'!$B:$B,Brokerage!$B203,'YTD Sales'!$M:$M,Brokerage!Q$4)+SUMIFS('YTD Purchases'!$H:$H,'YTD Purchases'!$C:$C,Brokerage!$B203,'YTD Purchases'!$G:$G,Brokerage!Q$4)</f>
        <v>0</v>
      </c>
      <c r="R203" s="857">
        <f>SUMIFS('YTD Sales'!$N:$N,'YTD Sales'!$B:$B,Brokerage!$B203,'YTD Sales'!$M:$M,Brokerage!R$4)+SUMIFS('YTD Purchases'!$H:$H,'YTD Purchases'!$C:$C,Brokerage!$B203,'YTD Purchases'!$G:$G,Brokerage!R$4)</f>
        <v>0</v>
      </c>
      <c r="S203" s="857">
        <f>SUMIFS('YTD Sales'!$N:$N,'YTD Sales'!$B:$B,Brokerage!$B203,'YTD Sales'!$M:$M,Brokerage!S$4)+SUMIFS('YTD Purchases'!$H:$H,'YTD Purchases'!$C:$C,Brokerage!$B203,'YTD Purchases'!$G:$G,Brokerage!S$4)</f>
        <v>0</v>
      </c>
      <c r="T203" s="857">
        <f>SUMIFS('YTD Sales'!$N:$N,'YTD Sales'!$B:$B,Brokerage!$B203,'YTD Sales'!$M:$M,Brokerage!T$4)+SUMIFS('YTD Purchases'!$H:$H,'YTD Purchases'!$C:$C,Brokerage!$B203,'YTD Purchases'!$G:$G,Brokerage!T$4)</f>
        <v>0</v>
      </c>
      <c r="U203" s="857">
        <f>SUMIFS('YTD Sales'!$N:$N,'YTD Sales'!$B:$B,Brokerage!$B203,'YTD Sales'!$M:$M,Brokerage!U$4)+SUMIFS('YTD Purchases'!$H:$H,'YTD Purchases'!$C:$C,Brokerage!$B203,'YTD Purchases'!$G:$G,Brokerage!U$4)</f>
        <v>0</v>
      </c>
      <c r="V203" s="857">
        <f>SUMIFS('YTD Sales'!$N:$N,'YTD Sales'!$B:$B,Brokerage!$B203,'YTD Sales'!$M:$M,Brokerage!V$4)+SUMIFS('YTD Purchases'!$H:$H,'YTD Purchases'!$C:$C,Brokerage!$B203,'YTD Purchases'!$G:$G,Brokerage!V$4)</f>
        <v>0</v>
      </c>
      <c r="W203" s="857">
        <f>SUMIFS('YTD Sales'!$N:$N,'YTD Sales'!$B:$B,Brokerage!$B203,'YTD Sales'!$M:$M,Brokerage!W$4)+SUMIFS('YTD Purchases'!$H:$H,'YTD Purchases'!$C:$C,Brokerage!$B203,'YTD Purchases'!$G:$G,Brokerage!W$4)</f>
        <v>0</v>
      </c>
      <c r="X203" s="857">
        <f>SUMIFS('YTD Sales'!$N:$N,'YTD Sales'!$B:$B,Brokerage!$B203,'YTD Sales'!$M:$M,Brokerage!X$4)+SUMIFS('YTD Purchases'!$H:$H,'YTD Purchases'!$C:$C,Brokerage!$B203,'YTD Purchases'!$G:$G,Brokerage!X$4)</f>
        <v>0</v>
      </c>
      <c r="Y203" s="857">
        <f>SUMIFS('YTD Sales'!$N:$N,'YTD Sales'!$B:$B,Brokerage!$B203,'YTD Sales'!$M:$M,Brokerage!Y$4)+SUMIFS('YTD Purchases'!$H:$H,'YTD Purchases'!$C:$C,Brokerage!$B203,'YTD Purchases'!$G:$G,Brokerage!Y$4)</f>
        <v>0</v>
      </c>
      <c r="Z203" s="857">
        <f>SUMIFS('YTD Sales'!$N:$N,'YTD Sales'!$B:$B,Brokerage!$B203,'YTD Sales'!$M:$M,Brokerage!Z$4)+SUMIFS('YTD Purchases'!$H:$H,'YTD Purchases'!$C:$C,Brokerage!$B203,'YTD Purchases'!$G:$G,Brokerage!Z$4)</f>
        <v>0</v>
      </c>
      <c r="AA203" s="857">
        <f>SUMIFS('YTD Sales'!$N:$N,'YTD Sales'!$B:$B,Brokerage!$B203,'YTD Sales'!$M:$M,Brokerage!AA$4)+SUMIFS('YTD Purchases'!$H:$H,'YTD Purchases'!$C:$C,Brokerage!$B203,'YTD Purchases'!$G:$G,Brokerage!AA$4)</f>
        <v>0</v>
      </c>
      <c r="AB203" s="857">
        <f>SUMIFS('YTD Sales'!$N:$N,'YTD Sales'!$B:$B,Brokerage!$B203,'YTD Sales'!$M:$M,Brokerage!AB$4)+SUMIFS('YTD Purchases'!$H:$H,'YTD Purchases'!$C:$C,Brokerage!$B203,'YTD Purchases'!$G:$G,Brokerage!AB$4)</f>
        <v>0</v>
      </c>
      <c r="AC203" s="857">
        <f>SUMIFS('YTD Sales'!$N:$N,'YTD Sales'!$B:$B,Brokerage!$B203,'YTD Sales'!$M:$M,Brokerage!AC$4)+SUMIFS('YTD Purchases'!$H:$H,'YTD Purchases'!$C:$C,Brokerage!$B203,'YTD Purchases'!$G:$G,Brokerage!AC$4)</f>
        <v>0</v>
      </c>
      <c r="AD203" s="857">
        <f>+SUMIFS(PIB!AG:AG,PIB!AF:AF,Brokerage!AD$4,PIB!AA:AA,Brokerage!$B203)+SUMIFS('T-Bills'!AB:AB,'T-Bills'!AA:AA,Brokerage!AD$4,'T-Bills'!V:V,Brokerage!$B203)</f>
        <v>0</v>
      </c>
      <c r="AE203" s="857">
        <f>+SUMIFS(PIB!AH:AH,PIB!AG:AG,Brokerage!AE$4,PIB!AB:AB,Brokerage!$B203)+SUMIFS('T-Bills'!AC:AC,'T-Bills'!AB:AB,Brokerage!AE$4,'T-Bills'!W:W,Brokerage!$B203)</f>
        <v>0</v>
      </c>
      <c r="AF203" s="857">
        <f>+SUMIFS(PIB!AI:AI,PIB!AH:AH,Brokerage!AF$4,PIB!AC:AC,Brokerage!$B203)+SUMIFS('T-Bills'!AD:AD,'T-Bills'!AC:AC,Brokerage!AF$4,'T-Bills'!X:X,Brokerage!$B203)</f>
        <v>0</v>
      </c>
      <c r="AG203" s="857">
        <f t="shared" si="23"/>
        <v>0</v>
      </c>
      <c r="AH203" s="858">
        <f t="shared" ref="AH203:AH266" si="24">ROUND((AG203*1.5%)/365,0)</f>
        <v>0</v>
      </c>
    </row>
    <row r="204" spans="2:34" x14ac:dyDescent="0.15">
      <c r="B204" s="661">
        <f t="shared" si="22"/>
        <v>44760</v>
      </c>
      <c r="C204" s="857">
        <f>SUMIFS('YTD Sales'!$N:$N,'YTD Sales'!$B:$B,Brokerage!$B204,'YTD Sales'!$M:$M,Brokerage!C$4)+SUMIFS('YTD Purchases'!$H:$H,'YTD Purchases'!$C:$C,Brokerage!$B204,'YTD Purchases'!$G:$G,Brokerage!C$4)</f>
        <v>0</v>
      </c>
      <c r="D204" s="857">
        <f>SUMIFS('YTD Sales'!$N:$N,'YTD Sales'!$B:$B,Brokerage!$B204,'YTD Sales'!$M:$M,Brokerage!D$4)+SUMIFS('YTD Purchases'!$H:$H,'YTD Purchases'!$C:$C,Brokerage!$B204,'YTD Purchases'!$G:$G,Brokerage!D$4)</f>
        <v>0</v>
      </c>
      <c r="E204" s="857">
        <f>SUMIFS('YTD Sales'!$N:$N,'YTD Sales'!$B:$B,Brokerage!$B204,'YTD Sales'!$M:$M,Brokerage!E$4)+SUMIFS('YTD Purchases'!$H:$H,'YTD Purchases'!$C:$C,Brokerage!$B204,'YTD Purchases'!$G:$G,Brokerage!E$4)</f>
        <v>0</v>
      </c>
      <c r="F204" s="857">
        <f>SUMIFS('YTD Sales'!$N:$N,'YTD Sales'!$B:$B,Brokerage!$B204,'YTD Sales'!$M:$M,Brokerage!F$4)+SUMIFS('YTD Purchases'!$H:$H,'YTD Purchases'!$C:$C,Brokerage!$B204,'YTD Purchases'!$G:$G,Brokerage!F$4)</f>
        <v>0</v>
      </c>
      <c r="G204" s="857">
        <f>SUMIFS('YTD Sales'!$N:$N,'YTD Sales'!$B:$B,Brokerage!$B204,'YTD Sales'!$M:$M,Brokerage!G$4)+SUMIFS('YTD Purchases'!$H:$H,'YTD Purchases'!$C:$C,Brokerage!$B204,'YTD Purchases'!$G:$G,Brokerage!G$4)</f>
        <v>0</v>
      </c>
      <c r="H204" s="857">
        <f>SUMIFS('YTD Sales'!$N:$N,'YTD Sales'!$B:$B,Brokerage!$B204,'YTD Sales'!$M:$M,Brokerage!H$4)+SUMIFS('YTD Purchases'!$H:$H,'YTD Purchases'!$C:$C,Brokerage!$B204,'YTD Purchases'!$G:$G,Brokerage!H$4)</f>
        <v>0</v>
      </c>
      <c r="I204" s="857">
        <f>SUMIFS('YTD Sales'!$N:$N,'YTD Sales'!$B:$B,Brokerage!$B204,'YTD Sales'!$M:$M,Brokerage!I$4)+SUMIFS('YTD Purchases'!$H:$H,'YTD Purchases'!$C:$C,Brokerage!$B204,'YTD Purchases'!$G:$G,Brokerage!I$4)</f>
        <v>0</v>
      </c>
      <c r="J204" s="857">
        <f>SUMIFS('YTD Sales'!$N:$N,'YTD Sales'!$B:$B,Brokerage!$B204,'YTD Sales'!$M:$M,Brokerage!J$4)+SUMIFS('YTD Purchases'!$H:$H,'YTD Purchases'!$C:$C,Brokerage!$B204,'YTD Purchases'!$G:$G,Brokerage!J$4)</f>
        <v>0</v>
      </c>
      <c r="K204" s="857">
        <f>SUMIFS('YTD Sales'!$N:$N,'YTD Sales'!$B:$B,Brokerage!$B204,'YTD Sales'!$M:$M,Brokerage!K$4)+SUMIFS('YTD Purchases'!$H:$H,'YTD Purchases'!$C:$C,Brokerage!$B204,'YTD Purchases'!$G:$G,Brokerage!K$4)</f>
        <v>0</v>
      </c>
      <c r="L204" s="857">
        <f>SUMIFS('YTD Sales'!$N:$N,'YTD Sales'!$B:$B,Brokerage!$B204,'YTD Sales'!$M:$M,Brokerage!L$4)+SUMIFS('YTD Purchases'!$H:$H,'YTD Purchases'!$C:$C,Brokerage!$B204,'YTD Purchases'!$G:$G,Brokerage!L$4)</f>
        <v>0</v>
      </c>
      <c r="M204" s="857">
        <f>SUMIFS('YTD Sales'!$N:$N,'YTD Sales'!$B:$B,Brokerage!$B204,'YTD Sales'!$M:$M,Brokerage!M$4)+SUMIFS('YTD Purchases'!$H:$H,'YTD Purchases'!$C:$C,Brokerage!$B204,'YTD Purchases'!$G:$G,Brokerage!M$4)</f>
        <v>1359.8246153846153</v>
      </c>
      <c r="N204" s="857">
        <f>SUMIFS('YTD Sales'!$N:$N,'YTD Sales'!$B:$B,Brokerage!$B204,'YTD Sales'!$M:$M,Brokerage!N$4)+SUMIFS('YTD Purchases'!$H:$H,'YTD Purchases'!$C:$C,Brokerage!$B204,'YTD Purchases'!$G:$G,Brokerage!N$4)</f>
        <v>6874.0123076923073</v>
      </c>
      <c r="O204" s="857">
        <f>SUMIFS('YTD Sales'!$N:$N,'YTD Sales'!$B:$B,Brokerage!$B204,'YTD Sales'!$M:$M,Brokerage!O$4)+SUMIFS('YTD Purchases'!$H:$H,'YTD Purchases'!$C:$C,Brokerage!$B204,'YTD Purchases'!$G:$G,Brokerage!O$4)</f>
        <v>0</v>
      </c>
      <c r="P204" s="857">
        <f>SUMIFS('YTD Sales'!$N:$N,'YTD Sales'!$B:$B,Brokerage!$B204,'YTD Sales'!$M:$M,Brokerage!P$4)+SUMIFS('YTD Purchases'!$H:$H,'YTD Purchases'!$C:$C,Brokerage!$B204,'YTD Purchases'!$G:$G,Brokerage!P$4)</f>
        <v>0</v>
      </c>
      <c r="Q204" s="857">
        <f>SUMIFS('YTD Sales'!$N:$N,'YTD Sales'!$B:$B,Brokerage!$B204,'YTD Sales'!$M:$M,Brokerage!Q$4)+SUMIFS('YTD Purchases'!$H:$H,'YTD Purchases'!$C:$C,Brokerage!$B204,'YTD Purchases'!$G:$G,Brokerage!Q$4)</f>
        <v>0</v>
      </c>
      <c r="R204" s="857">
        <f>SUMIFS('YTD Sales'!$N:$N,'YTD Sales'!$B:$B,Brokerage!$B204,'YTD Sales'!$M:$M,Brokerage!R$4)+SUMIFS('YTD Purchases'!$H:$H,'YTD Purchases'!$C:$C,Brokerage!$B204,'YTD Purchases'!$G:$G,Brokerage!R$4)</f>
        <v>0</v>
      </c>
      <c r="S204" s="857">
        <f>SUMIFS('YTD Sales'!$N:$N,'YTD Sales'!$B:$B,Brokerage!$B204,'YTD Sales'!$M:$M,Brokerage!S$4)+SUMIFS('YTD Purchases'!$H:$H,'YTD Purchases'!$C:$C,Brokerage!$B204,'YTD Purchases'!$G:$G,Brokerage!S$4)</f>
        <v>69915.408461538464</v>
      </c>
      <c r="T204" s="857">
        <f>SUMIFS('YTD Sales'!$N:$N,'YTD Sales'!$B:$B,Brokerage!$B204,'YTD Sales'!$M:$M,Brokerage!T$4)+SUMIFS('YTD Purchases'!$H:$H,'YTD Purchases'!$C:$C,Brokerage!$B204,'YTD Purchases'!$G:$G,Brokerage!T$4)</f>
        <v>0</v>
      </c>
      <c r="U204" s="857">
        <f>SUMIFS('YTD Sales'!$N:$N,'YTD Sales'!$B:$B,Brokerage!$B204,'YTD Sales'!$M:$M,Brokerage!U$4)+SUMIFS('YTD Purchases'!$H:$H,'YTD Purchases'!$C:$C,Brokerage!$B204,'YTD Purchases'!$G:$G,Brokerage!U$4)</f>
        <v>0</v>
      </c>
      <c r="V204" s="857">
        <f>SUMIFS('YTD Sales'!$N:$N,'YTD Sales'!$B:$B,Brokerage!$B204,'YTD Sales'!$M:$M,Brokerage!V$4)+SUMIFS('YTD Purchases'!$H:$H,'YTD Purchases'!$C:$C,Brokerage!$B204,'YTD Purchases'!$G:$G,Brokerage!V$4)</f>
        <v>0</v>
      </c>
      <c r="W204" s="857">
        <f>SUMIFS('YTD Sales'!$N:$N,'YTD Sales'!$B:$B,Brokerage!$B204,'YTD Sales'!$M:$M,Brokerage!W$4)+SUMIFS('YTD Purchases'!$H:$H,'YTD Purchases'!$C:$C,Brokerage!$B204,'YTD Purchases'!$G:$G,Brokerage!W$4)</f>
        <v>0</v>
      </c>
      <c r="X204" s="857">
        <f>SUMIFS('YTD Sales'!$N:$N,'YTD Sales'!$B:$B,Brokerage!$B204,'YTD Sales'!$M:$M,Brokerage!X$4)+SUMIFS('YTD Purchases'!$H:$H,'YTD Purchases'!$C:$C,Brokerage!$B204,'YTD Purchases'!$G:$G,Brokerage!X$4)</f>
        <v>0</v>
      </c>
      <c r="Y204" s="857">
        <f>SUMIFS('YTD Sales'!$N:$N,'YTD Sales'!$B:$B,Brokerage!$B204,'YTD Sales'!$M:$M,Brokerage!Y$4)+SUMIFS('YTD Purchases'!$H:$H,'YTD Purchases'!$C:$C,Brokerage!$B204,'YTD Purchases'!$G:$G,Brokerage!Y$4)</f>
        <v>0</v>
      </c>
      <c r="Z204" s="857">
        <f>SUMIFS('YTD Sales'!$N:$N,'YTD Sales'!$B:$B,Brokerage!$B204,'YTD Sales'!$M:$M,Brokerage!Z$4)+SUMIFS('YTD Purchases'!$H:$H,'YTD Purchases'!$C:$C,Brokerage!$B204,'YTD Purchases'!$G:$G,Brokerage!Z$4)</f>
        <v>0</v>
      </c>
      <c r="AA204" s="857">
        <f>SUMIFS('YTD Sales'!$N:$N,'YTD Sales'!$B:$B,Brokerage!$B204,'YTD Sales'!$M:$M,Brokerage!AA$4)+SUMIFS('YTD Purchases'!$H:$H,'YTD Purchases'!$C:$C,Brokerage!$B204,'YTD Purchases'!$G:$G,Brokerage!AA$4)</f>
        <v>0</v>
      </c>
      <c r="AB204" s="857">
        <f>SUMIFS('YTD Sales'!$N:$N,'YTD Sales'!$B:$B,Brokerage!$B204,'YTD Sales'!$M:$M,Brokerage!AB$4)+SUMIFS('YTD Purchases'!$H:$H,'YTD Purchases'!$C:$C,Brokerage!$B204,'YTD Purchases'!$G:$G,Brokerage!AB$4)</f>
        <v>0</v>
      </c>
      <c r="AC204" s="857">
        <f>SUMIFS('YTD Sales'!$N:$N,'YTD Sales'!$B:$B,Brokerage!$B204,'YTD Sales'!$M:$M,Brokerage!AC$4)+SUMIFS('YTD Purchases'!$H:$H,'YTD Purchases'!$C:$C,Brokerage!$B204,'YTD Purchases'!$G:$G,Brokerage!AC$4)</f>
        <v>0</v>
      </c>
      <c r="AD204" s="857">
        <f>+SUMIFS(PIB!AG:AG,PIB!AF:AF,Brokerage!AD$4,PIB!AA:AA,Brokerage!$B204)+SUMIFS('T-Bills'!AB:AB,'T-Bills'!AA:AA,Brokerage!AD$4,'T-Bills'!V:V,Brokerage!$B204)</f>
        <v>0</v>
      </c>
      <c r="AE204" s="857">
        <f>+SUMIFS(PIB!AH:AH,PIB!AG:AG,Brokerage!AE$4,PIB!AB:AB,Brokerage!$B204)+SUMIFS('T-Bills'!AC:AC,'T-Bills'!AB:AB,Brokerage!AE$4,'T-Bills'!W:W,Brokerage!$B204)</f>
        <v>0</v>
      </c>
      <c r="AF204" s="857">
        <f>+SUMIFS(PIB!AI:AI,PIB!AH:AH,Brokerage!AF$4,PIB!AC:AC,Brokerage!$B204)+SUMIFS('T-Bills'!AD:AD,'T-Bills'!AC:AC,Brokerage!AF$4,'T-Bills'!X:X,Brokerage!$B204)</f>
        <v>0</v>
      </c>
      <c r="AG204" s="857">
        <f t="shared" si="23"/>
        <v>78149.24538461538</v>
      </c>
      <c r="AH204" s="858">
        <f t="shared" si="24"/>
        <v>3</v>
      </c>
    </row>
    <row r="205" spans="2:34" x14ac:dyDescent="0.15">
      <c r="B205" s="661">
        <f t="shared" si="22"/>
        <v>44761</v>
      </c>
      <c r="C205" s="857">
        <f>SUMIFS('YTD Sales'!$N:$N,'YTD Sales'!$B:$B,Brokerage!$B205,'YTD Sales'!$M:$M,Brokerage!C$4)+SUMIFS('YTD Purchases'!$H:$H,'YTD Purchases'!$C:$C,Brokerage!$B205,'YTD Purchases'!$G:$G,Brokerage!C$4)</f>
        <v>500.21388606677738</v>
      </c>
      <c r="D205" s="857">
        <f>SUMIFS('YTD Sales'!$N:$N,'YTD Sales'!$B:$B,Brokerage!$B205,'YTD Sales'!$M:$M,Brokerage!D$4)+SUMIFS('YTD Purchases'!$H:$H,'YTD Purchases'!$C:$C,Brokerage!$B205,'YTD Purchases'!$G:$G,Brokerage!D$4)</f>
        <v>0</v>
      </c>
      <c r="E205" s="857">
        <f>SUMIFS('YTD Sales'!$N:$N,'YTD Sales'!$B:$B,Brokerage!$B205,'YTD Sales'!$M:$M,Brokerage!E$4)+SUMIFS('YTD Purchases'!$H:$H,'YTD Purchases'!$C:$C,Brokerage!$B205,'YTD Purchases'!$G:$G,Brokerage!E$4)</f>
        <v>0</v>
      </c>
      <c r="F205" s="857">
        <f>SUMIFS('YTD Sales'!$N:$N,'YTD Sales'!$B:$B,Brokerage!$B205,'YTD Sales'!$M:$M,Brokerage!F$4)+SUMIFS('YTD Purchases'!$H:$H,'YTD Purchases'!$C:$C,Brokerage!$B205,'YTD Purchases'!$G:$G,Brokerage!F$4)</f>
        <v>0</v>
      </c>
      <c r="G205" s="857">
        <f>SUMIFS('YTD Sales'!$N:$N,'YTD Sales'!$B:$B,Brokerage!$B205,'YTD Sales'!$M:$M,Brokerage!G$4)+SUMIFS('YTD Purchases'!$H:$H,'YTD Purchases'!$C:$C,Brokerage!$B205,'YTD Purchases'!$G:$G,Brokerage!G$4)</f>
        <v>79748.916144000003</v>
      </c>
      <c r="H205" s="857">
        <f>SUMIFS('YTD Sales'!$N:$N,'YTD Sales'!$B:$B,Brokerage!$B205,'YTD Sales'!$M:$M,Brokerage!H$4)+SUMIFS('YTD Purchases'!$H:$H,'YTD Purchases'!$C:$C,Brokerage!$B205,'YTD Purchases'!$G:$G,Brokerage!H$4)</f>
        <v>0</v>
      </c>
      <c r="I205" s="857">
        <f>SUMIFS('YTD Sales'!$N:$N,'YTD Sales'!$B:$B,Brokerage!$B205,'YTD Sales'!$M:$M,Brokerage!I$4)+SUMIFS('YTD Purchases'!$H:$H,'YTD Purchases'!$C:$C,Brokerage!$B205,'YTD Purchases'!$G:$G,Brokerage!I$4)</f>
        <v>0</v>
      </c>
      <c r="J205" s="857">
        <f>SUMIFS('YTD Sales'!$N:$N,'YTD Sales'!$B:$B,Brokerage!$B205,'YTD Sales'!$M:$M,Brokerage!J$4)+SUMIFS('YTD Purchases'!$H:$H,'YTD Purchases'!$C:$C,Brokerage!$B205,'YTD Purchases'!$G:$G,Brokerage!J$4)</f>
        <v>0</v>
      </c>
      <c r="K205" s="857">
        <f>SUMIFS('YTD Sales'!$N:$N,'YTD Sales'!$B:$B,Brokerage!$B205,'YTD Sales'!$M:$M,Brokerage!K$4)+SUMIFS('YTD Purchases'!$H:$H,'YTD Purchases'!$C:$C,Brokerage!$B205,'YTD Purchases'!$G:$G,Brokerage!K$4)</f>
        <v>0</v>
      </c>
      <c r="L205" s="857">
        <f>SUMIFS('YTD Sales'!$N:$N,'YTD Sales'!$B:$B,Brokerage!$B205,'YTD Sales'!$M:$M,Brokerage!L$4)+SUMIFS('YTD Purchases'!$H:$H,'YTD Purchases'!$C:$C,Brokerage!$B205,'YTD Purchases'!$G:$G,Brokerage!L$4)</f>
        <v>0</v>
      </c>
      <c r="M205" s="857">
        <f>SUMIFS('YTD Sales'!$N:$N,'YTD Sales'!$B:$B,Brokerage!$B205,'YTD Sales'!$M:$M,Brokerage!M$4)+SUMIFS('YTD Purchases'!$H:$H,'YTD Purchases'!$C:$C,Brokerage!$B205,'YTD Purchases'!$G:$G,Brokerage!M$4)</f>
        <v>8817.5400000000009</v>
      </c>
      <c r="N205" s="857">
        <f>SUMIFS('YTD Sales'!$N:$N,'YTD Sales'!$B:$B,Brokerage!$B205,'YTD Sales'!$M:$M,Brokerage!N$4)+SUMIFS('YTD Purchases'!$H:$H,'YTD Purchases'!$C:$C,Brokerage!$B205,'YTD Purchases'!$G:$G,Brokerage!N$4)</f>
        <v>0</v>
      </c>
      <c r="O205" s="857">
        <f>SUMIFS('YTD Sales'!$N:$N,'YTD Sales'!$B:$B,Brokerage!$B205,'YTD Sales'!$M:$M,Brokerage!O$4)+SUMIFS('YTD Purchases'!$H:$H,'YTD Purchases'!$C:$C,Brokerage!$B205,'YTD Purchases'!$G:$G,Brokerage!O$4)</f>
        <v>65682.858435776114</v>
      </c>
      <c r="P205" s="857">
        <f>SUMIFS('YTD Sales'!$N:$N,'YTD Sales'!$B:$B,Brokerage!$B205,'YTD Sales'!$M:$M,Brokerage!P$4)+SUMIFS('YTD Purchases'!$H:$H,'YTD Purchases'!$C:$C,Brokerage!$B205,'YTD Purchases'!$G:$G,Brokerage!P$4)</f>
        <v>0</v>
      </c>
      <c r="Q205" s="857">
        <f>SUMIFS('YTD Sales'!$N:$N,'YTD Sales'!$B:$B,Brokerage!$B205,'YTD Sales'!$M:$M,Brokerage!Q$4)+SUMIFS('YTD Purchases'!$H:$H,'YTD Purchases'!$C:$C,Brokerage!$B205,'YTD Purchases'!$G:$G,Brokerage!Q$4)</f>
        <v>2272.2400000000002</v>
      </c>
      <c r="R205" s="857">
        <f>SUMIFS('YTD Sales'!$N:$N,'YTD Sales'!$B:$B,Brokerage!$B205,'YTD Sales'!$M:$M,Brokerage!R$4)+SUMIFS('YTD Purchases'!$H:$H,'YTD Purchases'!$C:$C,Brokerage!$B205,'YTD Purchases'!$G:$G,Brokerage!R$4)</f>
        <v>0</v>
      </c>
      <c r="S205" s="857">
        <f>SUMIFS('YTD Sales'!$N:$N,'YTD Sales'!$B:$B,Brokerage!$B205,'YTD Sales'!$M:$M,Brokerage!S$4)+SUMIFS('YTD Purchases'!$H:$H,'YTD Purchases'!$C:$C,Brokerage!$B205,'YTD Purchases'!$G:$G,Brokerage!S$4)</f>
        <v>0</v>
      </c>
      <c r="T205" s="857">
        <f>SUMIFS('YTD Sales'!$N:$N,'YTD Sales'!$B:$B,Brokerage!$B205,'YTD Sales'!$M:$M,Brokerage!T$4)+SUMIFS('YTD Purchases'!$H:$H,'YTD Purchases'!$C:$C,Brokerage!$B205,'YTD Purchases'!$G:$G,Brokerage!T$4)</f>
        <v>0</v>
      </c>
      <c r="U205" s="857">
        <f>SUMIFS('YTD Sales'!$N:$N,'YTD Sales'!$B:$B,Brokerage!$B205,'YTD Sales'!$M:$M,Brokerage!U$4)+SUMIFS('YTD Purchases'!$H:$H,'YTD Purchases'!$C:$C,Brokerage!$B205,'YTD Purchases'!$G:$G,Brokerage!U$4)</f>
        <v>0</v>
      </c>
      <c r="V205" s="857">
        <f>SUMIFS('YTD Sales'!$N:$N,'YTD Sales'!$B:$B,Brokerage!$B205,'YTD Sales'!$M:$M,Brokerage!V$4)+SUMIFS('YTD Purchases'!$H:$H,'YTD Purchases'!$C:$C,Brokerage!$B205,'YTD Purchases'!$G:$G,Brokerage!V$4)</f>
        <v>0</v>
      </c>
      <c r="W205" s="857">
        <f>SUMIFS('YTD Sales'!$N:$N,'YTD Sales'!$B:$B,Brokerage!$B205,'YTD Sales'!$M:$M,Brokerage!W$4)+SUMIFS('YTD Purchases'!$H:$H,'YTD Purchases'!$C:$C,Brokerage!$B205,'YTD Purchases'!$G:$G,Brokerage!W$4)</f>
        <v>0</v>
      </c>
      <c r="X205" s="857">
        <f>SUMIFS('YTD Sales'!$N:$N,'YTD Sales'!$B:$B,Brokerage!$B205,'YTD Sales'!$M:$M,Brokerage!X$4)+SUMIFS('YTD Purchases'!$H:$H,'YTD Purchases'!$C:$C,Brokerage!$B205,'YTD Purchases'!$G:$G,Brokerage!X$4)</f>
        <v>0</v>
      </c>
      <c r="Y205" s="857">
        <f>SUMIFS('YTD Sales'!$N:$N,'YTD Sales'!$B:$B,Brokerage!$B205,'YTD Sales'!$M:$M,Brokerage!Y$4)+SUMIFS('YTD Purchases'!$H:$H,'YTD Purchases'!$C:$C,Brokerage!$B205,'YTD Purchases'!$G:$G,Brokerage!Y$4)</f>
        <v>0</v>
      </c>
      <c r="Z205" s="857">
        <f>SUMIFS('YTD Sales'!$N:$N,'YTD Sales'!$B:$B,Brokerage!$B205,'YTD Sales'!$M:$M,Brokerage!Z$4)+SUMIFS('YTD Purchases'!$H:$H,'YTD Purchases'!$C:$C,Brokerage!$B205,'YTD Purchases'!$G:$G,Brokerage!Z$4)</f>
        <v>0</v>
      </c>
      <c r="AA205" s="857">
        <f>SUMIFS('YTD Sales'!$N:$N,'YTD Sales'!$B:$B,Brokerage!$B205,'YTD Sales'!$M:$M,Brokerage!AA$4)+SUMIFS('YTD Purchases'!$H:$H,'YTD Purchases'!$C:$C,Brokerage!$B205,'YTD Purchases'!$G:$G,Brokerage!AA$4)</f>
        <v>0</v>
      </c>
      <c r="AB205" s="857">
        <f>SUMIFS('YTD Sales'!$N:$N,'YTD Sales'!$B:$B,Brokerage!$B205,'YTD Sales'!$M:$M,Brokerage!AB$4)+SUMIFS('YTD Purchases'!$H:$H,'YTD Purchases'!$C:$C,Brokerage!$B205,'YTD Purchases'!$G:$G,Brokerage!AB$4)</f>
        <v>0</v>
      </c>
      <c r="AC205" s="857">
        <f>SUMIFS('YTD Sales'!$N:$N,'YTD Sales'!$B:$B,Brokerage!$B205,'YTD Sales'!$M:$M,Brokerage!AC$4)+SUMIFS('YTD Purchases'!$H:$H,'YTD Purchases'!$C:$C,Brokerage!$B205,'YTD Purchases'!$G:$G,Brokerage!AC$4)</f>
        <v>0</v>
      </c>
      <c r="AD205" s="857">
        <f>+SUMIFS(PIB!AG:AG,PIB!AF:AF,Brokerage!AD$4,PIB!AA:AA,Brokerage!$B205)+SUMIFS('T-Bills'!AB:AB,'T-Bills'!AA:AA,Brokerage!AD$4,'T-Bills'!V:V,Brokerage!$B205)</f>
        <v>0</v>
      </c>
      <c r="AE205" s="857">
        <f>+SUMIFS(PIB!AH:AH,PIB!AG:AG,Brokerage!AE$4,PIB!AB:AB,Brokerage!$B205)+SUMIFS('T-Bills'!AC:AC,'T-Bills'!AB:AB,Brokerage!AE$4,'T-Bills'!W:W,Brokerage!$B205)</f>
        <v>0</v>
      </c>
      <c r="AF205" s="857">
        <f>+SUMIFS(PIB!AI:AI,PIB!AH:AH,Brokerage!AF$4,PIB!AC:AC,Brokerage!$B205)+SUMIFS('T-Bills'!AD:AD,'T-Bills'!AC:AC,Brokerage!AF$4,'T-Bills'!X:X,Brokerage!$B205)</f>
        <v>0</v>
      </c>
      <c r="AG205" s="857">
        <f t="shared" si="23"/>
        <v>157021.76846584288</v>
      </c>
      <c r="AH205" s="858">
        <f t="shared" si="24"/>
        <v>6</v>
      </c>
    </row>
    <row r="206" spans="2:34" x14ac:dyDescent="0.15">
      <c r="B206" s="661">
        <f t="shared" si="22"/>
        <v>44762</v>
      </c>
      <c r="C206" s="857">
        <f>SUMIFS('YTD Sales'!$N:$N,'YTD Sales'!$B:$B,Brokerage!$B206,'YTD Sales'!$M:$M,Brokerage!C$4)+SUMIFS('YTD Purchases'!$H:$H,'YTD Purchases'!$C:$C,Brokerage!$B206,'YTD Purchases'!$G:$G,Brokerage!C$4)</f>
        <v>0</v>
      </c>
      <c r="D206" s="857">
        <f>SUMIFS('YTD Sales'!$N:$N,'YTD Sales'!$B:$B,Brokerage!$B206,'YTD Sales'!$M:$M,Brokerage!D$4)+SUMIFS('YTD Purchases'!$H:$H,'YTD Purchases'!$C:$C,Brokerage!$B206,'YTD Purchases'!$G:$G,Brokerage!D$4)</f>
        <v>0</v>
      </c>
      <c r="E206" s="857">
        <f>SUMIFS('YTD Sales'!$N:$N,'YTD Sales'!$B:$B,Brokerage!$B206,'YTD Sales'!$M:$M,Brokerage!E$4)+SUMIFS('YTD Purchases'!$H:$H,'YTD Purchases'!$C:$C,Brokerage!$B206,'YTD Purchases'!$G:$G,Brokerage!E$4)</f>
        <v>0</v>
      </c>
      <c r="F206" s="857">
        <f>SUMIFS('YTD Sales'!$N:$N,'YTD Sales'!$B:$B,Brokerage!$B206,'YTD Sales'!$M:$M,Brokerage!F$4)+SUMIFS('YTD Purchases'!$H:$H,'YTD Purchases'!$C:$C,Brokerage!$B206,'YTD Purchases'!$G:$G,Brokerage!F$4)</f>
        <v>0</v>
      </c>
      <c r="G206" s="857">
        <f>SUMIFS('YTD Sales'!$N:$N,'YTD Sales'!$B:$B,Brokerage!$B206,'YTD Sales'!$M:$M,Brokerage!G$4)+SUMIFS('YTD Purchases'!$H:$H,'YTD Purchases'!$C:$C,Brokerage!$B206,'YTD Purchases'!$G:$G,Brokerage!G$4)</f>
        <v>0</v>
      </c>
      <c r="H206" s="857">
        <f>SUMIFS('YTD Sales'!$N:$N,'YTD Sales'!$B:$B,Brokerage!$B206,'YTD Sales'!$M:$M,Brokerage!H$4)+SUMIFS('YTD Purchases'!$H:$H,'YTD Purchases'!$C:$C,Brokerage!$B206,'YTD Purchases'!$G:$G,Brokerage!H$4)</f>
        <v>0</v>
      </c>
      <c r="I206" s="857">
        <f>SUMIFS('YTD Sales'!$N:$N,'YTD Sales'!$B:$B,Brokerage!$B206,'YTD Sales'!$M:$M,Brokerage!I$4)+SUMIFS('YTD Purchases'!$H:$H,'YTD Purchases'!$C:$C,Brokerage!$B206,'YTD Purchases'!$G:$G,Brokerage!I$4)</f>
        <v>0</v>
      </c>
      <c r="J206" s="857">
        <f>SUMIFS('YTD Sales'!$N:$N,'YTD Sales'!$B:$B,Brokerage!$B206,'YTD Sales'!$M:$M,Brokerage!J$4)+SUMIFS('YTD Purchases'!$H:$H,'YTD Purchases'!$C:$C,Brokerage!$B206,'YTD Purchases'!$G:$G,Brokerage!J$4)</f>
        <v>0</v>
      </c>
      <c r="K206" s="857">
        <f>SUMIFS('YTD Sales'!$N:$N,'YTD Sales'!$B:$B,Brokerage!$B206,'YTD Sales'!$M:$M,Brokerage!K$4)+SUMIFS('YTD Purchases'!$H:$H,'YTD Purchases'!$C:$C,Brokerage!$B206,'YTD Purchases'!$G:$G,Brokerage!K$4)</f>
        <v>0</v>
      </c>
      <c r="L206" s="857">
        <f>SUMIFS('YTD Sales'!$N:$N,'YTD Sales'!$B:$B,Brokerage!$B206,'YTD Sales'!$M:$M,Brokerage!L$4)+SUMIFS('YTD Purchases'!$H:$H,'YTD Purchases'!$C:$C,Brokerage!$B206,'YTD Purchases'!$G:$G,Brokerage!L$4)</f>
        <v>0</v>
      </c>
      <c r="M206" s="857">
        <f>SUMIFS('YTD Sales'!$N:$N,'YTD Sales'!$B:$B,Brokerage!$B206,'YTD Sales'!$M:$M,Brokerage!M$4)+SUMIFS('YTD Purchases'!$H:$H,'YTD Purchases'!$C:$C,Brokerage!$B206,'YTD Purchases'!$G:$G,Brokerage!M$4)</f>
        <v>2561.15</v>
      </c>
      <c r="N206" s="857">
        <f>SUMIFS('YTD Sales'!$N:$N,'YTD Sales'!$B:$B,Brokerage!$B206,'YTD Sales'!$M:$M,Brokerage!N$4)+SUMIFS('YTD Purchases'!$H:$H,'YTD Purchases'!$C:$C,Brokerage!$B206,'YTD Purchases'!$G:$G,Brokerage!N$4)</f>
        <v>371.78999999999996</v>
      </c>
      <c r="O206" s="857">
        <f>SUMIFS('YTD Sales'!$N:$N,'YTD Sales'!$B:$B,Brokerage!$B206,'YTD Sales'!$M:$M,Brokerage!O$4)+SUMIFS('YTD Purchases'!$H:$H,'YTD Purchases'!$C:$C,Brokerage!$B206,'YTD Purchases'!$G:$G,Brokerage!O$4)</f>
        <v>0</v>
      </c>
      <c r="P206" s="857">
        <f>SUMIFS('YTD Sales'!$N:$N,'YTD Sales'!$B:$B,Brokerage!$B206,'YTD Sales'!$M:$M,Brokerage!P$4)+SUMIFS('YTD Purchases'!$H:$H,'YTD Purchases'!$C:$C,Brokerage!$B206,'YTD Purchases'!$G:$G,Brokerage!P$4)</f>
        <v>0</v>
      </c>
      <c r="Q206" s="857">
        <f>SUMIFS('YTD Sales'!$N:$N,'YTD Sales'!$B:$B,Brokerage!$B206,'YTD Sales'!$M:$M,Brokerage!Q$4)+SUMIFS('YTD Purchases'!$H:$H,'YTD Purchases'!$C:$C,Brokerage!$B206,'YTD Purchases'!$G:$G,Brokerage!Q$4)</f>
        <v>0</v>
      </c>
      <c r="R206" s="857">
        <f>SUMIFS('YTD Sales'!$N:$N,'YTD Sales'!$B:$B,Brokerage!$B206,'YTD Sales'!$M:$M,Brokerage!R$4)+SUMIFS('YTD Purchases'!$H:$H,'YTD Purchases'!$C:$C,Brokerage!$B206,'YTD Purchases'!$G:$G,Brokerage!R$4)</f>
        <v>0</v>
      </c>
      <c r="S206" s="857">
        <f>SUMIFS('YTD Sales'!$N:$N,'YTD Sales'!$B:$B,Brokerage!$B206,'YTD Sales'!$M:$M,Brokerage!S$4)+SUMIFS('YTD Purchases'!$H:$H,'YTD Purchases'!$C:$C,Brokerage!$B206,'YTD Purchases'!$G:$G,Brokerage!S$4)</f>
        <v>0</v>
      </c>
      <c r="T206" s="857">
        <f>SUMIFS('YTD Sales'!$N:$N,'YTD Sales'!$B:$B,Brokerage!$B206,'YTD Sales'!$M:$M,Brokerage!T$4)+SUMIFS('YTD Purchases'!$H:$H,'YTD Purchases'!$C:$C,Brokerage!$B206,'YTD Purchases'!$G:$G,Brokerage!T$4)</f>
        <v>0</v>
      </c>
      <c r="U206" s="857">
        <f>SUMIFS('YTD Sales'!$N:$N,'YTD Sales'!$B:$B,Brokerage!$B206,'YTD Sales'!$M:$M,Brokerage!U$4)+SUMIFS('YTD Purchases'!$H:$H,'YTD Purchases'!$C:$C,Brokerage!$B206,'YTD Purchases'!$G:$G,Brokerage!U$4)</f>
        <v>0</v>
      </c>
      <c r="V206" s="857">
        <f>SUMIFS('YTD Sales'!$N:$N,'YTD Sales'!$B:$B,Brokerage!$B206,'YTD Sales'!$M:$M,Brokerage!V$4)+SUMIFS('YTD Purchases'!$H:$H,'YTD Purchases'!$C:$C,Brokerage!$B206,'YTD Purchases'!$G:$G,Brokerage!V$4)</f>
        <v>0</v>
      </c>
      <c r="W206" s="857">
        <f>SUMIFS('YTD Sales'!$N:$N,'YTD Sales'!$B:$B,Brokerage!$B206,'YTD Sales'!$M:$M,Brokerage!W$4)+SUMIFS('YTD Purchases'!$H:$H,'YTD Purchases'!$C:$C,Brokerage!$B206,'YTD Purchases'!$G:$G,Brokerage!W$4)</f>
        <v>0</v>
      </c>
      <c r="X206" s="857">
        <f>SUMIFS('YTD Sales'!$N:$N,'YTD Sales'!$B:$B,Brokerage!$B206,'YTD Sales'!$M:$M,Brokerage!X$4)+SUMIFS('YTD Purchases'!$H:$H,'YTD Purchases'!$C:$C,Brokerage!$B206,'YTD Purchases'!$G:$G,Brokerage!X$4)</f>
        <v>0</v>
      </c>
      <c r="Y206" s="857">
        <f>SUMIFS('YTD Sales'!$N:$N,'YTD Sales'!$B:$B,Brokerage!$B206,'YTD Sales'!$M:$M,Brokerage!Y$4)+SUMIFS('YTD Purchases'!$H:$H,'YTD Purchases'!$C:$C,Brokerage!$B206,'YTD Purchases'!$G:$G,Brokerage!Y$4)</f>
        <v>0</v>
      </c>
      <c r="Z206" s="857">
        <f>SUMIFS('YTD Sales'!$N:$N,'YTD Sales'!$B:$B,Brokerage!$B206,'YTD Sales'!$M:$M,Brokerage!Z$4)+SUMIFS('YTD Purchases'!$H:$H,'YTD Purchases'!$C:$C,Brokerage!$B206,'YTD Purchases'!$G:$G,Brokerage!Z$4)</f>
        <v>0</v>
      </c>
      <c r="AA206" s="857">
        <f>SUMIFS('YTD Sales'!$N:$N,'YTD Sales'!$B:$B,Brokerage!$B206,'YTD Sales'!$M:$M,Brokerage!AA$4)+SUMIFS('YTD Purchases'!$H:$H,'YTD Purchases'!$C:$C,Brokerage!$B206,'YTD Purchases'!$G:$G,Brokerage!AA$4)</f>
        <v>0</v>
      </c>
      <c r="AB206" s="857">
        <f>SUMIFS('YTD Sales'!$N:$N,'YTD Sales'!$B:$B,Brokerage!$B206,'YTD Sales'!$M:$M,Brokerage!AB$4)+SUMIFS('YTD Purchases'!$H:$H,'YTD Purchases'!$C:$C,Brokerage!$B206,'YTD Purchases'!$G:$G,Brokerage!AB$4)</f>
        <v>0</v>
      </c>
      <c r="AC206" s="857">
        <f>SUMIFS('YTD Sales'!$N:$N,'YTD Sales'!$B:$B,Brokerage!$B206,'YTD Sales'!$M:$M,Brokerage!AC$4)+SUMIFS('YTD Purchases'!$H:$H,'YTD Purchases'!$C:$C,Brokerage!$B206,'YTD Purchases'!$G:$G,Brokerage!AC$4)</f>
        <v>0</v>
      </c>
      <c r="AD206" s="857">
        <f>+SUMIFS(PIB!AG:AG,PIB!AF:AF,Brokerage!AD$4,PIB!AA:AA,Brokerage!$B206)+SUMIFS('T-Bills'!AB:AB,'T-Bills'!AA:AA,Brokerage!AD$4,'T-Bills'!V:V,Brokerage!$B206)</f>
        <v>0</v>
      </c>
      <c r="AE206" s="857">
        <f>+SUMIFS(PIB!AH:AH,PIB!AG:AG,Brokerage!AE$4,PIB!AB:AB,Brokerage!$B206)+SUMIFS('T-Bills'!AC:AC,'T-Bills'!AB:AB,Brokerage!AE$4,'T-Bills'!W:W,Brokerage!$B206)</f>
        <v>0</v>
      </c>
      <c r="AF206" s="857">
        <f>+SUMIFS(PIB!AI:AI,PIB!AH:AH,Brokerage!AF$4,PIB!AC:AC,Brokerage!$B206)+SUMIFS('T-Bills'!AD:AD,'T-Bills'!AC:AC,Brokerage!AF$4,'T-Bills'!X:X,Brokerage!$B206)</f>
        <v>0</v>
      </c>
      <c r="AG206" s="857">
        <f t="shared" si="23"/>
        <v>2932.94</v>
      </c>
      <c r="AH206" s="858">
        <f t="shared" si="24"/>
        <v>0</v>
      </c>
    </row>
    <row r="207" spans="2:34" x14ac:dyDescent="0.15">
      <c r="B207" s="661">
        <f t="shared" si="22"/>
        <v>44763</v>
      </c>
      <c r="C207" s="857">
        <f>SUMIFS('YTD Sales'!$N:$N,'YTD Sales'!$B:$B,Brokerage!$B207,'YTD Sales'!$M:$M,Brokerage!C$4)+SUMIFS('YTD Purchases'!$H:$H,'YTD Purchases'!$C:$C,Brokerage!$B207,'YTD Purchases'!$G:$G,Brokerage!C$4)</f>
        <v>0</v>
      </c>
      <c r="D207" s="857">
        <f>SUMIFS('YTD Sales'!$N:$N,'YTD Sales'!$B:$B,Brokerage!$B207,'YTD Sales'!$M:$M,Brokerage!D$4)+SUMIFS('YTD Purchases'!$H:$H,'YTD Purchases'!$C:$C,Brokerage!$B207,'YTD Purchases'!$G:$G,Brokerage!D$4)</f>
        <v>0</v>
      </c>
      <c r="E207" s="857">
        <f>SUMIFS('YTD Sales'!$N:$N,'YTD Sales'!$B:$B,Brokerage!$B207,'YTD Sales'!$M:$M,Brokerage!E$4)+SUMIFS('YTD Purchases'!$H:$H,'YTD Purchases'!$C:$C,Brokerage!$B207,'YTD Purchases'!$G:$G,Brokerage!E$4)</f>
        <v>0</v>
      </c>
      <c r="F207" s="857">
        <f>SUMIFS('YTD Sales'!$N:$N,'YTD Sales'!$B:$B,Brokerage!$B207,'YTD Sales'!$M:$M,Brokerage!F$4)+SUMIFS('YTD Purchases'!$H:$H,'YTD Purchases'!$C:$C,Brokerage!$B207,'YTD Purchases'!$G:$G,Brokerage!F$4)</f>
        <v>0</v>
      </c>
      <c r="G207" s="857">
        <f>SUMIFS('YTD Sales'!$N:$N,'YTD Sales'!$B:$B,Brokerage!$B207,'YTD Sales'!$M:$M,Brokerage!G$4)+SUMIFS('YTD Purchases'!$H:$H,'YTD Purchases'!$C:$C,Brokerage!$B207,'YTD Purchases'!$G:$G,Brokerage!G$4)</f>
        <v>0</v>
      </c>
      <c r="H207" s="857">
        <f>SUMIFS('YTD Sales'!$N:$N,'YTD Sales'!$B:$B,Brokerage!$B207,'YTD Sales'!$M:$M,Brokerage!H$4)+SUMIFS('YTD Purchases'!$H:$H,'YTD Purchases'!$C:$C,Brokerage!$B207,'YTD Purchases'!$G:$G,Brokerage!H$4)</f>
        <v>0</v>
      </c>
      <c r="I207" s="857">
        <f>SUMIFS('YTD Sales'!$N:$N,'YTD Sales'!$B:$B,Brokerage!$B207,'YTD Sales'!$M:$M,Brokerage!I$4)+SUMIFS('YTD Purchases'!$H:$H,'YTD Purchases'!$C:$C,Brokerage!$B207,'YTD Purchases'!$G:$G,Brokerage!I$4)</f>
        <v>0</v>
      </c>
      <c r="J207" s="857">
        <f>SUMIFS('YTD Sales'!$N:$N,'YTD Sales'!$B:$B,Brokerage!$B207,'YTD Sales'!$M:$M,Brokerage!J$4)+SUMIFS('YTD Purchases'!$H:$H,'YTD Purchases'!$C:$C,Brokerage!$B207,'YTD Purchases'!$G:$G,Brokerage!J$4)</f>
        <v>0</v>
      </c>
      <c r="K207" s="857">
        <f>SUMIFS('YTD Sales'!$N:$N,'YTD Sales'!$B:$B,Brokerage!$B207,'YTD Sales'!$M:$M,Brokerage!K$4)+SUMIFS('YTD Purchases'!$H:$H,'YTD Purchases'!$C:$C,Brokerage!$B207,'YTD Purchases'!$G:$G,Brokerage!K$4)</f>
        <v>0</v>
      </c>
      <c r="L207" s="857">
        <f>SUMIFS('YTD Sales'!$N:$N,'YTD Sales'!$B:$B,Brokerage!$B207,'YTD Sales'!$M:$M,Brokerage!L$4)+SUMIFS('YTD Purchases'!$H:$H,'YTD Purchases'!$C:$C,Brokerage!$B207,'YTD Purchases'!$G:$G,Brokerage!L$4)</f>
        <v>0</v>
      </c>
      <c r="M207" s="857">
        <f>SUMIFS('YTD Sales'!$N:$N,'YTD Sales'!$B:$B,Brokerage!$B207,'YTD Sales'!$M:$M,Brokerage!M$4)+SUMIFS('YTD Purchases'!$H:$H,'YTD Purchases'!$C:$C,Brokerage!$B207,'YTD Purchases'!$G:$G,Brokerage!M$4)</f>
        <v>7003.9</v>
      </c>
      <c r="N207" s="857">
        <f>SUMIFS('YTD Sales'!$N:$N,'YTD Sales'!$B:$B,Brokerage!$B207,'YTD Sales'!$M:$M,Brokerage!N$4)+SUMIFS('YTD Purchases'!$H:$H,'YTD Purchases'!$C:$C,Brokerage!$B207,'YTD Purchases'!$G:$G,Brokerage!N$4)</f>
        <v>0</v>
      </c>
      <c r="O207" s="857">
        <f>SUMIFS('YTD Sales'!$N:$N,'YTD Sales'!$B:$B,Brokerage!$B207,'YTD Sales'!$M:$M,Brokerage!O$4)+SUMIFS('YTD Purchases'!$H:$H,'YTD Purchases'!$C:$C,Brokerage!$B207,'YTD Purchases'!$G:$G,Brokerage!O$4)</f>
        <v>27326.540666666668</v>
      </c>
      <c r="P207" s="857">
        <f>SUMIFS('YTD Sales'!$N:$N,'YTD Sales'!$B:$B,Brokerage!$B207,'YTD Sales'!$M:$M,Brokerage!P$4)+SUMIFS('YTD Purchases'!$H:$H,'YTD Purchases'!$C:$C,Brokerage!$B207,'YTD Purchases'!$G:$G,Brokerage!P$4)</f>
        <v>0</v>
      </c>
      <c r="Q207" s="857">
        <f>SUMIFS('YTD Sales'!$N:$N,'YTD Sales'!$B:$B,Brokerage!$B207,'YTD Sales'!$M:$M,Brokerage!Q$4)+SUMIFS('YTD Purchases'!$H:$H,'YTD Purchases'!$C:$C,Brokerage!$B207,'YTD Purchases'!$G:$G,Brokerage!Q$4)</f>
        <v>0</v>
      </c>
      <c r="R207" s="857">
        <f>SUMIFS('YTD Sales'!$N:$N,'YTD Sales'!$B:$B,Brokerage!$B207,'YTD Sales'!$M:$M,Brokerage!R$4)+SUMIFS('YTD Purchases'!$H:$H,'YTD Purchases'!$C:$C,Brokerage!$B207,'YTD Purchases'!$G:$G,Brokerage!R$4)</f>
        <v>0</v>
      </c>
      <c r="S207" s="857">
        <f>SUMIFS('YTD Sales'!$N:$N,'YTD Sales'!$B:$B,Brokerage!$B207,'YTD Sales'!$M:$M,Brokerage!S$4)+SUMIFS('YTD Purchases'!$H:$H,'YTD Purchases'!$C:$C,Brokerage!$B207,'YTD Purchases'!$G:$G,Brokerage!S$4)</f>
        <v>0</v>
      </c>
      <c r="T207" s="857">
        <f>SUMIFS('YTD Sales'!$N:$N,'YTD Sales'!$B:$B,Brokerage!$B207,'YTD Sales'!$M:$M,Brokerage!T$4)+SUMIFS('YTD Purchases'!$H:$H,'YTD Purchases'!$C:$C,Brokerage!$B207,'YTD Purchases'!$G:$G,Brokerage!T$4)</f>
        <v>0</v>
      </c>
      <c r="U207" s="857">
        <f>SUMIFS('YTD Sales'!$N:$N,'YTD Sales'!$B:$B,Brokerage!$B207,'YTD Sales'!$M:$M,Brokerage!U$4)+SUMIFS('YTD Purchases'!$H:$H,'YTD Purchases'!$C:$C,Brokerage!$B207,'YTD Purchases'!$G:$G,Brokerage!U$4)</f>
        <v>0</v>
      </c>
      <c r="V207" s="857">
        <f>SUMIFS('YTD Sales'!$N:$N,'YTD Sales'!$B:$B,Brokerage!$B207,'YTD Sales'!$M:$M,Brokerage!V$4)+SUMIFS('YTD Purchases'!$H:$H,'YTD Purchases'!$C:$C,Brokerage!$B207,'YTD Purchases'!$G:$G,Brokerage!V$4)</f>
        <v>0</v>
      </c>
      <c r="W207" s="857">
        <f>SUMIFS('YTD Sales'!$N:$N,'YTD Sales'!$B:$B,Brokerage!$B207,'YTD Sales'!$M:$M,Brokerage!W$4)+SUMIFS('YTD Purchases'!$H:$H,'YTD Purchases'!$C:$C,Brokerage!$B207,'YTD Purchases'!$G:$G,Brokerage!W$4)</f>
        <v>0</v>
      </c>
      <c r="X207" s="857">
        <f>SUMIFS('YTD Sales'!$N:$N,'YTD Sales'!$B:$B,Brokerage!$B207,'YTD Sales'!$M:$M,Brokerage!X$4)+SUMIFS('YTD Purchases'!$H:$H,'YTD Purchases'!$C:$C,Brokerage!$B207,'YTD Purchases'!$G:$G,Brokerage!X$4)</f>
        <v>5020.7350000000006</v>
      </c>
      <c r="Y207" s="857">
        <f>SUMIFS('YTD Sales'!$N:$N,'YTD Sales'!$B:$B,Brokerage!$B207,'YTD Sales'!$M:$M,Brokerage!Y$4)+SUMIFS('YTD Purchases'!$H:$H,'YTD Purchases'!$C:$C,Brokerage!$B207,'YTD Purchases'!$G:$G,Brokerage!Y$4)</f>
        <v>0</v>
      </c>
      <c r="Z207" s="857">
        <f>SUMIFS('YTD Sales'!$N:$N,'YTD Sales'!$B:$B,Brokerage!$B207,'YTD Sales'!$M:$M,Brokerage!Z$4)+SUMIFS('YTD Purchases'!$H:$H,'YTD Purchases'!$C:$C,Brokerage!$B207,'YTD Purchases'!$G:$G,Brokerage!Z$4)</f>
        <v>0</v>
      </c>
      <c r="AA207" s="857">
        <f>SUMIFS('YTD Sales'!$N:$N,'YTD Sales'!$B:$B,Brokerage!$B207,'YTD Sales'!$M:$M,Brokerage!AA$4)+SUMIFS('YTD Purchases'!$H:$H,'YTD Purchases'!$C:$C,Brokerage!$B207,'YTD Purchases'!$G:$G,Brokerage!AA$4)</f>
        <v>0</v>
      </c>
      <c r="AB207" s="857">
        <f>SUMIFS('YTD Sales'!$N:$N,'YTD Sales'!$B:$B,Brokerage!$B207,'YTD Sales'!$M:$M,Brokerage!AB$4)+SUMIFS('YTD Purchases'!$H:$H,'YTD Purchases'!$C:$C,Brokerage!$B207,'YTD Purchases'!$G:$G,Brokerage!AB$4)</f>
        <v>0</v>
      </c>
      <c r="AC207" s="857">
        <f>SUMIFS('YTD Sales'!$N:$N,'YTD Sales'!$B:$B,Brokerage!$B207,'YTD Sales'!$M:$M,Brokerage!AC$4)+SUMIFS('YTD Purchases'!$H:$H,'YTD Purchases'!$C:$C,Brokerage!$B207,'YTD Purchases'!$G:$G,Brokerage!AC$4)</f>
        <v>0</v>
      </c>
      <c r="AD207" s="857">
        <f>+SUMIFS(PIB!AG:AG,PIB!AF:AF,Brokerage!AD$4,PIB!AA:AA,Brokerage!$B207)+SUMIFS('T-Bills'!AB:AB,'T-Bills'!AA:AA,Brokerage!AD$4,'T-Bills'!V:V,Brokerage!$B207)</f>
        <v>0</v>
      </c>
      <c r="AE207" s="857">
        <f>+SUMIFS(PIB!AH:AH,PIB!AG:AG,Brokerage!AE$4,PIB!AB:AB,Brokerage!$B207)+SUMIFS('T-Bills'!AC:AC,'T-Bills'!AB:AB,Brokerage!AE$4,'T-Bills'!W:W,Brokerage!$B207)</f>
        <v>0</v>
      </c>
      <c r="AF207" s="857">
        <f>+SUMIFS(PIB!AI:AI,PIB!AH:AH,Brokerage!AF$4,PIB!AC:AC,Brokerage!$B207)+SUMIFS('T-Bills'!AD:AD,'T-Bills'!AC:AC,Brokerage!AF$4,'T-Bills'!X:X,Brokerage!$B207)</f>
        <v>0</v>
      </c>
      <c r="AG207" s="857">
        <f t="shared" si="23"/>
        <v>39351.17566666667</v>
      </c>
      <c r="AH207" s="858">
        <f t="shared" si="24"/>
        <v>2</v>
      </c>
    </row>
    <row r="208" spans="2:34" x14ac:dyDescent="0.15">
      <c r="B208" s="661">
        <f t="shared" si="22"/>
        <v>44764</v>
      </c>
      <c r="C208" s="857">
        <f>SUMIFS('YTD Sales'!$N:$N,'YTD Sales'!$B:$B,Brokerage!$B208,'YTD Sales'!$M:$M,Brokerage!C$4)+SUMIFS('YTD Purchases'!$H:$H,'YTD Purchases'!$C:$C,Brokerage!$B208,'YTD Purchases'!$G:$G,Brokerage!C$4)</f>
        <v>0</v>
      </c>
      <c r="D208" s="857">
        <f>SUMIFS('YTD Sales'!$N:$N,'YTD Sales'!$B:$B,Brokerage!$B208,'YTD Sales'!$M:$M,Brokerage!D$4)+SUMIFS('YTD Purchases'!$H:$H,'YTD Purchases'!$C:$C,Brokerage!$B208,'YTD Purchases'!$G:$G,Brokerage!D$4)</f>
        <v>0</v>
      </c>
      <c r="E208" s="857">
        <f>SUMIFS('YTD Sales'!$N:$N,'YTD Sales'!$B:$B,Brokerage!$B208,'YTD Sales'!$M:$M,Brokerage!E$4)+SUMIFS('YTD Purchases'!$H:$H,'YTD Purchases'!$C:$C,Brokerage!$B208,'YTD Purchases'!$G:$G,Brokerage!E$4)</f>
        <v>0</v>
      </c>
      <c r="F208" s="857">
        <f>SUMIFS('YTD Sales'!$N:$N,'YTD Sales'!$B:$B,Brokerage!$B208,'YTD Sales'!$M:$M,Brokerage!F$4)+SUMIFS('YTD Purchases'!$H:$H,'YTD Purchases'!$C:$C,Brokerage!$B208,'YTD Purchases'!$G:$G,Brokerage!F$4)</f>
        <v>0</v>
      </c>
      <c r="G208" s="857">
        <f>SUMIFS('YTD Sales'!$N:$N,'YTD Sales'!$B:$B,Brokerage!$B208,'YTD Sales'!$M:$M,Brokerage!G$4)+SUMIFS('YTD Purchases'!$H:$H,'YTD Purchases'!$C:$C,Brokerage!$B208,'YTD Purchases'!$G:$G,Brokerage!G$4)</f>
        <v>0</v>
      </c>
      <c r="H208" s="857">
        <f>SUMIFS('YTD Sales'!$N:$N,'YTD Sales'!$B:$B,Brokerage!$B208,'YTD Sales'!$M:$M,Brokerage!H$4)+SUMIFS('YTD Purchases'!$H:$H,'YTD Purchases'!$C:$C,Brokerage!$B208,'YTD Purchases'!$G:$G,Brokerage!H$4)</f>
        <v>0</v>
      </c>
      <c r="I208" s="857">
        <f>SUMIFS('YTD Sales'!$N:$N,'YTD Sales'!$B:$B,Brokerage!$B208,'YTD Sales'!$M:$M,Brokerage!I$4)+SUMIFS('YTD Purchases'!$H:$H,'YTD Purchases'!$C:$C,Brokerage!$B208,'YTD Purchases'!$G:$G,Brokerage!I$4)</f>
        <v>0</v>
      </c>
      <c r="J208" s="857">
        <f>SUMIFS('YTD Sales'!$N:$N,'YTD Sales'!$B:$B,Brokerage!$B208,'YTD Sales'!$M:$M,Brokerage!J$4)+SUMIFS('YTD Purchases'!$H:$H,'YTD Purchases'!$C:$C,Brokerage!$B208,'YTD Purchases'!$G:$G,Brokerage!J$4)</f>
        <v>0</v>
      </c>
      <c r="K208" s="857">
        <f>SUMIFS('YTD Sales'!$N:$N,'YTD Sales'!$B:$B,Brokerage!$B208,'YTD Sales'!$M:$M,Brokerage!K$4)+SUMIFS('YTD Purchases'!$H:$H,'YTD Purchases'!$C:$C,Brokerage!$B208,'YTD Purchases'!$G:$G,Brokerage!K$4)</f>
        <v>0</v>
      </c>
      <c r="L208" s="857">
        <f>SUMIFS('YTD Sales'!$N:$N,'YTD Sales'!$B:$B,Brokerage!$B208,'YTD Sales'!$M:$M,Brokerage!L$4)+SUMIFS('YTD Purchases'!$H:$H,'YTD Purchases'!$C:$C,Brokerage!$B208,'YTD Purchases'!$G:$G,Brokerage!L$4)</f>
        <v>0</v>
      </c>
      <c r="M208" s="857">
        <f>SUMIFS('YTD Sales'!$N:$N,'YTD Sales'!$B:$B,Brokerage!$B208,'YTD Sales'!$M:$M,Brokerage!M$4)+SUMIFS('YTD Purchases'!$H:$H,'YTD Purchases'!$C:$C,Brokerage!$B208,'YTD Purchases'!$G:$G,Brokerage!M$4)</f>
        <v>89.61</v>
      </c>
      <c r="N208" s="857">
        <f>SUMIFS('YTD Sales'!$N:$N,'YTD Sales'!$B:$B,Brokerage!$B208,'YTD Sales'!$M:$M,Brokerage!N$4)+SUMIFS('YTD Purchases'!$H:$H,'YTD Purchases'!$C:$C,Brokerage!$B208,'YTD Purchases'!$G:$G,Brokerage!N$4)</f>
        <v>0</v>
      </c>
      <c r="O208" s="857">
        <f>SUMIFS('YTD Sales'!$N:$N,'YTD Sales'!$B:$B,Brokerage!$B208,'YTD Sales'!$M:$M,Brokerage!O$4)+SUMIFS('YTD Purchases'!$H:$H,'YTD Purchases'!$C:$C,Brokerage!$B208,'YTD Purchases'!$G:$G,Brokerage!O$4)</f>
        <v>0</v>
      </c>
      <c r="P208" s="857">
        <f>SUMIFS('YTD Sales'!$N:$N,'YTD Sales'!$B:$B,Brokerage!$B208,'YTD Sales'!$M:$M,Brokerage!P$4)+SUMIFS('YTD Purchases'!$H:$H,'YTD Purchases'!$C:$C,Brokerage!$B208,'YTD Purchases'!$G:$G,Brokerage!P$4)</f>
        <v>0</v>
      </c>
      <c r="Q208" s="857">
        <f>SUMIFS('YTD Sales'!$N:$N,'YTD Sales'!$B:$B,Brokerage!$B208,'YTD Sales'!$M:$M,Brokerage!Q$4)+SUMIFS('YTD Purchases'!$H:$H,'YTD Purchases'!$C:$C,Brokerage!$B208,'YTD Purchases'!$G:$G,Brokerage!Q$4)</f>
        <v>0</v>
      </c>
      <c r="R208" s="857">
        <f>SUMIFS('YTD Sales'!$N:$N,'YTD Sales'!$B:$B,Brokerage!$B208,'YTD Sales'!$M:$M,Brokerage!R$4)+SUMIFS('YTD Purchases'!$H:$H,'YTD Purchases'!$C:$C,Brokerage!$B208,'YTD Purchases'!$G:$G,Brokerage!R$4)</f>
        <v>0</v>
      </c>
      <c r="S208" s="857">
        <f>SUMIFS('YTD Sales'!$N:$N,'YTD Sales'!$B:$B,Brokerage!$B208,'YTD Sales'!$M:$M,Brokerage!S$4)+SUMIFS('YTD Purchases'!$H:$H,'YTD Purchases'!$C:$C,Brokerage!$B208,'YTD Purchases'!$G:$G,Brokerage!S$4)</f>
        <v>8921.4999999999982</v>
      </c>
      <c r="T208" s="857">
        <f>SUMIFS('YTD Sales'!$N:$N,'YTD Sales'!$B:$B,Brokerage!$B208,'YTD Sales'!$M:$M,Brokerage!T$4)+SUMIFS('YTD Purchases'!$H:$H,'YTD Purchases'!$C:$C,Brokerage!$B208,'YTD Purchases'!$G:$G,Brokerage!T$4)</f>
        <v>0</v>
      </c>
      <c r="U208" s="857">
        <f>SUMIFS('YTD Sales'!$N:$N,'YTD Sales'!$B:$B,Brokerage!$B208,'YTD Sales'!$M:$M,Brokerage!U$4)+SUMIFS('YTD Purchases'!$H:$H,'YTD Purchases'!$C:$C,Brokerage!$B208,'YTD Purchases'!$G:$G,Brokerage!U$4)</f>
        <v>0</v>
      </c>
      <c r="V208" s="857">
        <f>SUMIFS('YTD Sales'!$N:$N,'YTD Sales'!$B:$B,Brokerage!$B208,'YTD Sales'!$M:$M,Brokerage!V$4)+SUMIFS('YTD Purchases'!$H:$H,'YTD Purchases'!$C:$C,Brokerage!$B208,'YTD Purchases'!$G:$G,Brokerage!V$4)</f>
        <v>0</v>
      </c>
      <c r="W208" s="857">
        <f>SUMIFS('YTD Sales'!$N:$N,'YTD Sales'!$B:$B,Brokerage!$B208,'YTD Sales'!$M:$M,Brokerage!W$4)+SUMIFS('YTD Purchases'!$H:$H,'YTD Purchases'!$C:$C,Brokerage!$B208,'YTD Purchases'!$G:$G,Brokerage!W$4)</f>
        <v>0</v>
      </c>
      <c r="X208" s="857">
        <f>SUMIFS('YTD Sales'!$N:$N,'YTD Sales'!$B:$B,Brokerage!$B208,'YTD Sales'!$M:$M,Brokerage!X$4)+SUMIFS('YTD Purchases'!$H:$H,'YTD Purchases'!$C:$C,Brokerage!$B208,'YTD Purchases'!$G:$G,Brokerage!X$4)</f>
        <v>42396.585134999994</v>
      </c>
      <c r="Y208" s="857">
        <f>SUMIFS('YTD Sales'!$N:$N,'YTD Sales'!$B:$B,Brokerage!$B208,'YTD Sales'!$M:$M,Brokerage!Y$4)+SUMIFS('YTD Purchases'!$H:$H,'YTD Purchases'!$C:$C,Brokerage!$B208,'YTD Purchases'!$G:$G,Brokerage!Y$4)</f>
        <v>0</v>
      </c>
      <c r="Z208" s="857">
        <f>SUMIFS('YTD Sales'!$N:$N,'YTD Sales'!$B:$B,Brokerage!$B208,'YTD Sales'!$M:$M,Brokerage!Z$4)+SUMIFS('YTD Purchases'!$H:$H,'YTD Purchases'!$C:$C,Brokerage!$B208,'YTD Purchases'!$G:$G,Brokerage!Z$4)</f>
        <v>0</v>
      </c>
      <c r="AA208" s="857">
        <f>SUMIFS('YTD Sales'!$N:$N,'YTD Sales'!$B:$B,Brokerage!$B208,'YTD Sales'!$M:$M,Brokerage!AA$4)+SUMIFS('YTD Purchases'!$H:$H,'YTD Purchases'!$C:$C,Brokerage!$B208,'YTD Purchases'!$G:$G,Brokerage!AA$4)</f>
        <v>0</v>
      </c>
      <c r="AB208" s="857">
        <f>SUMIFS('YTD Sales'!$N:$N,'YTD Sales'!$B:$B,Brokerage!$B208,'YTD Sales'!$M:$M,Brokerage!AB$4)+SUMIFS('YTD Purchases'!$H:$H,'YTD Purchases'!$C:$C,Brokerage!$B208,'YTD Purchases'!$G:$G,Brokerage!AB$4)</f>
        <v>0</v>
      </c>
      <c r="AC208" s="857">
        <f>SUMIFS('YTD Sales'!$N:$N,'YTD Sales'!$B:$B,Brokerage!$B208,'YTD Sales'!$M:$M,Brokerage!AC$4)+SUMIFS('YTD Purchases'!$H:$H,'YTD Purchases'!$C:$C,Brokerage!$B208,'YTD Purchases'!$G:$G,Brokerage!AC$4)</f>
        <v>0</v>
      </c>
      <c r="AD208" s="857">
        <f>+SUMIFS(PIB!AG:AG,PIB!AF:AF,Brokerage!AD$4,PIB!AA:AA,Brokerage!$B208)+SUMIFS('T-Bills'!AB:AB,'T-Bills'!AA:AA,Brokerage!AD$4,'T-Bills'!V:V,Brokerage!$B208)</f>
        <v>0</v>
      </c>
      <c r="AE208" s="857">
        <f>+SUMIFS(PIB!AH:AH,PIB!AG:AG,Brokerage!AE$4,PIB!AB:AB,Brokerage!$B208)+SUMIFS('T-Bills'!AC:AC,'T-Bills'!AB:AB,Brokerage!AE$4,'T-Bills'!W:W,Brokerage!$B208)</f>
        <v>0</v>
      </c>
      <c r="AF208" s="857">
        <f>+SUMIFS(PIB!AI:AI,PIB!AH:AH,Brokerage!AF$4,PIB!AC:AC,Brokerage!$B208)+SUMIFS('T-Bills'!AD:AD,'T-Bills'!AC:AC,Brokerage!AF$4,'T-Bills'!X:X,Brokerage!$B208)</f>
        <v>0</v>
      </c>
      <c r="AG208" s="857">
        <f t="shared" si="23"/>
        <v>51407.695134999994</v>
      </c>
      <c r="AH208" s="858">
        <f t="shared" si="24"/>
        <v>2</v>
      </c>
    </row>
    <row r="209" spans="2:34" x14ac:dyDescent="0.15">
      <c r="B209" s="661">
        <f t="shared" si="22"/>
        <v>44765</v>
      </c>
      <c r="C209" s="857">
        <f>SUMIFS('YTD Sales'!$N:$N,'YTD Sales'!$B:$B,Brokerage!$B209,'YTD Sales'!$M:$M,Brokerage!C$4)+SUMIFS('YTD Purchases'!$H:$H,'YTD Purchases'!$C:$C,Brokerage!$B209,'YTD Purchases'!$G:$G,Brokerage!C$4)</f>
        <v>0</v>
      </c>
      <c r="D209" s="857">
        <f>SUMIFS('YTD Sales'!$N:$N,'YTD Sales'!$B:$B,Brokerage!$B209,'YTD Sales'!$M:$M,Brokerage!D$4)+SUMIFS('YTD Purchases'!$H:$H,'YTD Purchases'!$C:$C,Brokerage!$B209,'YTD Purchases'!$G:$G,Brokerage!D$4)</f>
        <v>0</v>
      </c>
      <c r="E209" s="857">
        <f>SUMIFS('YTD Sales'!$N:$N,'YTD Sales'!$B:$B,Brokerage!$B209,'YTD Sales'!$M:$M,Brokerage!E$4)+SUMIFS('YTD Purchases'!$H:$H,'YTD Purchases'!$C:$C,Brokerage!$B209,'YTD Purchases'!$G:$G,Brokerage!E$4)</f>
        <v>0</v>
      </c>
      <c r="F209" s="857">
        <f>SUMIFS('YTD Sales'!$N:$N,'YTD Sales'!$B:$B,Brokerage!$B209,'YTD Sales'!$M:$M,Brokerage!F$4)+SUMIFS('YTD Purchases'!$H:$H,'YTD Purchases'!$C:$C,Brokerage!$B209,'YTD Purchases'!$G:$G,Brokerage!F$4)</f>
        <v>0</v>
      </c>
      <c r="G209" s="857">
        <f>SUMIFS('YTD Sales'!$N:$N,'YTD Sales'!$B:$B,Brokerage!$B209,'YTD Sales'!$M:$M,Brokerage!G$4)+SUMIFS('YTD Purchases'!$H:$H,'YTD Purchases'!$C:$C,Brokerage!$B209,'YTD Purchases'!$G:$G,Brokerage!G$4)</f>
        <v>0</v>
      </c>
      <c r="H209" s="857">
        <f>SUMIFS('YTD Sales'!$N:$N,'YTD Sales'!$B:$B,Brokerage!$B209,'YTD Sales'!$M:$M,Brokerage!H$4)+SUMIFS('YTD Purchases'!$H:$H,'YTD Purchases'!$C:$C,Brokerage!$B209,'YTD Purchases'!$G:$G,Brokerage!H$4)</f>
        <v>0</v>
      </c>
      <c r="I209" s="857">
        <f>SUMIFS('YTD Sales'!$N:$N,'YTD Sales'!$B:$B,Brokerage!$B209,'YTD Sales'!$M:$M,Brokerage!I$4)+SUMIFS('YTD Purchases'!$H:$H,'YTD Purchases'!$C:$C,Brokerage!$B209,'YTD Purchases'!$G:$G,Brokerage!I$4)</f>
        <v>0</v>
      </c>
      <c r="J209" s="857">
        <f>SUMIFS('YTD Sales'!$N:$N,'YTD Sales'!$B:$B,Brokerage!$B209,'YTD Sales'!$M:$M,Brokerage!J$4)+SUMIFS('YTD Purchases'!$H:$H,'YTD Purchases'!$C:$C,Brokerage!$B209,'YTD Purchases'!$G:$G,Brokerage!J$4)</f>
        <v>0</v>
      </c>
      <c r="K209" s="857">
        <f>SUMIFS('YTD Sales'!$N:$N,'YTD Sales'!$B:$B,Brokerage!$B209,'YTD Sales'!$M:$M,Brokerage!K$4)+SUMIFS('YTD Purchases'!$H:$H,'YTD Purchases'!$C:$C,Brokerage!$B209,'YTD Purchases'!$G:$G,Brokerage!K$4)</f>
        <v>0</v>
      </c>
      <c r="L209" s="857">
        <f>SUMIFS('YTD Sales'!$N:$N,'YTD Sales'!$B:$B,Brokerage!$B209,'YTD Sales'!$M:$M,Brokerage!L$4)+SUMIFS('YTD Purchases'!$H:$H,'YTD Purchases'!$C:$C,Brokerage!$B209,'YTD Purchases'!$G:$G,Brokerage!L$4)</f>
        <v>0</v>
      </c>
      <c r="M209" s="857">
        <f>SUMIFS('YTD Sales'!$N:$N,'YTD Sales'!$B:$B,Brokerage!$B209,'YTD Sales'!$M:$M,Brokerage!M$4)+SUMIFS('YTD Purchases'!$H:$H,'YTD Purchases'!$C:$C,Brokerage!$B209,'YTD Purchases'!$G:$G,Brokerage!M$4)</f>
        <v>0</v>
      </c>
      <c r="N209" s="857">
        <f>SUMIFS('YTD Sales'!$N:$N,'YTD Sales'!$B:$B,Brokerage!$B209,'YTD Sales'!$M:$M,Brokerage!N$4)+SUMIFS('YTD Purchases'!$H:$H,'YTD Purchases'!$C:$C,Brokerage!$B209,'YTD Purchases'!$G:$G,Brokerage!N$4)</f>
        <v>0</v>
      </c>
      <c r="O209" s="857">
        <f>SUMIFS('YTD Sales'!$N:$N,'YTD Sales'!$B:$B,Brokerage!$B209,'YTD Sales'!$M:$M,Brokerage!O$4)+SUMIFS('YTD Purchases'!$H:$H,'YTD Purchases'!$C:$C,Brokerage!$B209,'YTD Purchases'!$G:$G,Brokerage!O$4)</f>
        <v>0</v>
      </c>
      <c r="P209" s="857">
        <f>SUMIFS('YTD Sales'!$N:$N,'YTD Sales'!$B:$B,Brokerage!$B209,'YTD Sales'!$M:$M,Brokerage!P$4)+SUMIFS('YTD Purchases'!$H:$H,'YTD Purchases'!$C:$C,Brokerage!$B209,'YTD Purchases'!$G:$G,Brokerage!P$4)</f>
        <v>0</v>
      </c>
      <c r="Q209" s="857">
        <f>SUMIFS('YTD Sales'!$N:$N,'YTD Sales'!$B:$B,Brokerage!$B209,'YTD Sales'!$M:$M,Brokerage!Q$4)+SUMIFS('YTD Purchases'!$H:$H,'YTD Purchases'!$C:$C,Brokerage!$B209,'YTD Purchases'!$G:$G,Brokerage!Q$4)</f>
        <v>0</v>
      </c>
      <c r="R209" s="857">
        <f>SUMIFS('YTD Sales'!$N:$N,'YTD Sales'!$B:$B,Brokerage!$B209,'YTD Sales'!$M:$M,Brokerage!R$4)+SUMIFS('YTD Purchases'!$H:$H,'YTD Purchases'!$C:$C,Brokerage!$B209,'YTD Purchases'!$G:$G,Brokerage!R$4)</f>
        <v>0</v>
      </c>
      <c r="S209" s="857">
        <f>SUMIFS('YTD Sales'!$N:$N,'YTD Sales'!$B:$B,Brokerage!$B209,'YTD Sales'!$M:$M,Brokerage!S$4)+SUMIFS('YTD Purchases'!$H:$H,'YTD Purchases'!$C:$C,Brokerage!$B209,'YTD Purchases'!$G:$G,Brokerage!S$4)</f>
        <v>0</v>
      </c>
      <c r="T209" s="857">
        <f>SUMIFS('YTD Sales'!$N:$N,'YTD Sales'!$B:$B,Brokerage!$B209,'YTD Sales'!$M:$M,Brokerage!T$4)+SUMIFS('YTD Purchases'!$H:$H,'YTD Purchases'!$C:$C,Brokerage!$B209,'YTD Purchases'!$G:$G,Brokerage!T$4)</f>
        <v>0</v>
      </c>
      <c r="U209" s="857">
        <f>SUMIFS('YTD Sales'!$N:$N,'YTD Sales'!$B:$B,Brokerage!$B209,'YTD Sales'!$M:$M,Brokerage!U$4)+SUMIFS('YTD Purchases'!$H:$H,'YTD Purchases'!$C:$C,Brokerage!$B209,'YTD Purchases'!$G:$G,Brokerage!U$4)</f>
        <v>0</v>
      </c>
      <c r="V209" s="857">
        <f>SUMIFS('YTD Sales'!$N:$N,'YTD Sales'!$B:$B,Brokerage!$B209,'YTD Sales'!$M:$M,Brokerage!V$4)+SUMIFS('YTD Purchases'!$H:$H,'YTD Purchases'!$C:$C,Brokerage!$B209,'YTD Purchases'!$G:$G,Brokerage!V$4)</f>
        <v>0</v>
      </c>
      <c r="W209" s="857">
        <f>SUMIFS('YTD Sales'!$N:$N,'YTD Sales'!$B:$B,Brokerage!$B209,'YTD Sales'!$M:$M,Brokerage!W$4)+SUMIFS('YTD Purchases'!$H:$H,'YTD Purchases'!$C:$C,Brokerage!$B209,'YTD Purchases'!$G:$G,Brokerage!W$4)</f>
        <v>0</v>
      </c>
      <c r="X209" s="857">
        <f>SUMIFS('YTD Sales'!$N:$N,'YTD Sales'!$B:$B,Brokerage!$B209,'YTD Sales'!$M:$M,Brokerage!X$4)+SUMIFS('YTD Purchases'!$H:$H,'YTD Purchases'!$C:$C,Brokerage!$B209,'YTD Purchases'!$G:$G,Brokerage!X$4)</f>
        <v>0</v>
      </c>
      <c r="Y209" s="857">
        <f>SUMIFS('YTD Sales'!$N:$N,'YTD Sales'!$B:$B,Brokerage!$B209,'YTD Sales'!$M:$M,Brokerage!Y$4)+SUMIFS('YTD Purchases'!$H:$H,'YTD Purchases'!$C:$C,Brokerage!$B209,'YTD Purchases'!$G:$G,Brokerage!Y$4)</f>
        <v>0</v>
      </c>
      <c r="Z209" s="857">
        <f>SUMIFS('YTD Sales'!$N:$N,'YTD Sales'!$B:$B,Brokerage!$B209,'YTD Sales'!$M:$M,Brokerage!Z$4)+SUMIFS('YTD Purchases'!$H:$H,'YTD Purchases'!$C:$C,Brokerage!$B209,'YTD Purchases'!$G:$G,Brokerage!Z$4)</f>
        <v>0</v>
      </c>
      <c r="AA209" s="857">
        <f>SUMIFS('YTD Sales'!$N:$N,'YTD Sales'!$B:$B,Brokerage!$B209,'YTD Sales'!$M:$M,Brokerage!AA$4)+SUMIFS('YTD Purchases'!$H:$H,'YTD Purchases'!$C:$C,Brokerage!$B209,'YTD Purchases'!$G:$G,Brokerage!AA$4)</f>
        <v>0</v>
      </c>
      <c r="AB209" s="857">
        <f>SUMIFS('YTD Sales'!$N:$N,'YTD Sales'!$B:$B,Brokerage!$B209,'YTD Sales'!$M:$M,Brokerage!AB$4)+SUMIFS('YTD Purchases'!$H:$H,'YTD Purchases'!$C:$C,Brokerage!$B209,'YTD Purchases'!$G:$G,Brokerage!AB$4)</f>
        <v>0</v>
      </c>
      <c r="AC209" s="857">
        <f>SUMIFS('YTD Sales'!$N:$N,'YTD Sales'!$B:$B,Brokerage!$B209,'YTD Sales'!$M:$M,Brokerage!AC$4)+SUMIFS('YTD Purchases'!$H:$H,'YTD Purchases'!$C:$C,Brokerage!$B209,'YTD Purchases'!$G:$G,Brokerage!AC$4)</f>
        <v>0</v>
      </c>
      <c r="AD209" s="857">
        <f>+SUMIFS(PIB!AG:AG,PIB!AF:AF,Brokerage!AD$4,PIB!AA:AA,Brokerage!$B209)+SUMIFS('T-Bills'!AB:AB,'T-Bills'!AA:AA,Brokerage!AD$4,'T-Bills'!V:V,Brokerage!$B209)</f>
        <v>0</v>
      </c>
      <c r="AE209" s="857">
        <f>+SUMIFS(PIB!AH:AH,PIB!AG:AG,Brokerage!AE$4,PIB!AB:AB,Brokerage!$B209)+SUMIFS('T-Bills'!AC:AC,'T-Bills'!AB:AB,Brokerage!AE$4,'T-Bills'!W:W,Brokerage!$B209)</f>
        <v>0</v>
      </c>
      <c r="AF209" s="857">
        <f>+SUMIFS(PIB!AI:AI,PIB!AH:AH,Brokerage!AF$4,PIB!AC:AC,Brokerage!$B209)+SUMIFS('T-Bills'!AD:AD,'T-Bills'!AC:AC,Brokerage!AF$4,'T-Bills'!X:X,Brokerage!$B209)</f>
        <v>0</v>
      </c>
      <c r="AG209" s="857">
        <f t="shared" si="23"/>
        <v>0</v>
      </c>
      <c r="AH209" s="858">
        <f t="shared" si="24"/>
        <v>0</v>
      </c>
    </row>
    <row r="210" spans="2:34" x14ac:dyDescent="0.15">
      <c r="B210" s="661">
        <f t="shared" si="22"/>
        <v>44766</v>
      </c>
      <c r="C210" s="857">
        <f>SUMIFS('YTD Sales'!$N:$N,'YTD Sales'!$B:$B,Brokerage!$B210,'YTD Sales'!$M:$M,Brokerage!C$4)+SUMIFS('YTD Purchases'!$H:$H,'YTD Purchases'!$C:$C,Brokerage!$B210,'YTD Purchases'!$G:$G,Brokerage!C$4)</f>
        <v>0</v>
      </c>
      <c r="D210" s="857">
        <f>SUMIFS('YTD Sales'!$N:$N,'YTD Sales'!$B:$B,Brokerage!$B210,'YTD Sales'!$M:$M,Brokerage!D$4)+SUMIFS('YTD Purchases'!$H:$H,'YTD Purchases'!$C:$C,Brokerage!$B210,'YTD Purchases'!$G:$G,Brokerage!D$4)</f>
        <v>0</v>
      </c>
      <c r="E210" s="857">
        <f>SUMIFS('YTD Sales'!$N:$N,'YTD Sales'!$B:$B,Brokerage!$B210,'YTD Sales'!$M:$M,Brokerage!E$4)+SUMIFS('YTD Purchases'!$H:$H,'YTD Purchases'!$C:$C,Brokerage!$B210,'YTD Purchases'!$G:$G,Brokerage!E$4)</f>
        <v>0</v>
      </c>
      <c r="F210" s="857">
        <f>SUMIFS('YTD Sales'!$N:$N,'YTD Sales'!$B:$B,Brokerage!$B210,'YTD Sales'!$M:$M,Brokerage!F$4)+SUMIFS('YTD Purchases'!$H:$H,'YTD Purchases'!$C:$C,Brokerage!$B210,'YTD Purchases'!$G:$G,Brokerage!F$4)</f>
        <v>0</v>
      </c>
      <c r="G210" s="857">
        <f>SUMIFS('YTD Sales'!$N:$N,'YTD Sales'!$B:$B,Brokerage!$B210,'YTD Sales'!$M:$M,Brokerage!G$4)+SUMIFS('YTD Purchases'!$H:$H,'YTD Purchases'!$C:$C,Brokerage!$B210,'YTD Purchases'!$G:$G,Brokerage!G$4)</f>
        <v>0</v>
      </c>
      <c r="H210" s="857">
        <f>SUMIFS('YTD Sales'!$N:$N,'YTD Sales'!$B:$B,Brokerage!$B210,'YTD Sales'!$M:$M,Brokerage!H$4)+SUMIFS('YTD Purchases'!$H:$H,'YTD Purchases'!$C:$C,Brokerage!$B210,'YTD Purchases'!$G:$G,Brokerage!H$4)</f>
        <v>0</v>
      </c>
      <c r="I210" s="857">
        <f>SUMIFS('YTD Sales'!$N:$N,'YTD Sales'!$B:$B,Brokerage!$B210,'YTD Sales'!$M:$M,Brokerage!I$4)+SUMIFS('YTD Purchases'!$H:$H,'YTD Purchases'!$C:$C,Brokerage!$B210,'YTD Purchases'!$G:$G,Brokerage!I$4)</f>
        <v>0</v>
      </c>
      <c r="J210" s="857">
        <f>SUMIFS('YTD Sales'!$N:$N,'YTD Sales'!$B:$B,Brokerage!$B210,'YTD Sales'!$M:$M,Brokerage!J$4)+SUMIFS('YTD Purchases'!$H:$H,'YTD Purchases'!$C:$C,Brokerage!$B210,'YTD Purchases'!$G:$G,Brokerage!J$4)</f>
        <v>0</v>
      </c>
      <c r="K210" s="857">
        <f>SUMIFS('YTD Sales'!$N:$N,'YTD Sales'!$B:$B,Brokerage!$B210,'YTD Sales'!$M:$M,Brokerage!K$4)+SUMIFS('YTD Purchases'!$H:$H,'YTD Purchases'!$C:$C,Brokerage!$B210,'YTD Purchases'!$G:$G,Brokerage!K$4)</f>
        <v>0</v>
      </c>
      <c r="L210" s="857">
        <f>SUMIFS('YTD Sales'!$N:$N,'YTD Sales'!$B:$B,Brokerage!$B210,'YTD Sales'!$M:$M,Brokerage!L$4)+SUMIFS('YTD Purchases'!$H:$H,'YTD Purchases'!$C:$C,Brokerage!$B210,'YTD Purchases'!$G:$G,Brokerage!L$4)</f>
        <v>0</v>
      </c>
      <c r="M210" s="857">
        <f>SUMIFS('YTD Sales'!$N:$N,'YTD Sales'!$B:$B,Brokerage!$B210,'YTD Sales'!$M:$M,Brokerage!M$4)+SUMIFS('YTD Purchases'!$H:$H,'YTD Purchases'!$C:$C,Brokerage!$B210,'YTD Purchases'!$G:$G,Brokerage!M$4)</f>
        <v>0</v>
      </c>
      <c r="N210" s="857">
        <f>SUMIFS('YTD Sales'!$N:$N,'YTD Sales'!$B:$B,Brokerage!$B210,'YTD Sales'!$M:$M,Brokerage!N$4)+SUMIFS('YTD Purchases'!$H:$H,'YTD Purchases'!$C:$C,Brokerage!$B210,'YTD Purchases'!$G:$G,Brokerage!N$4)</f>
        <v>0</v>
      </c>
      <c r="O210" s="857">
        <f>SUMIFS('YTD Sales'!$N:$N,'YTD Sales'!$B:$B,Brokerage!$B210,'YTD Sales'!$M:$M,Brokerage!O$4)+SUMIFS('YTD Purchases'!$H:$H,'YTD Purchases'!$C:$C,Brokerage!$B210,'YTD Purchases'!$G:$G,Brokerage!O$4)</f>
        <v>0</v>
      </c>
      <c r="P210" s="857">
        <f>SUMIFS('YTD Sales'!$N:$N,'YTD Sales'!$B:$B,Brokerage!$B210,'YTD Sales'!$M:$M,Brokerage!P$4)+SUMIFS('YTD Purchases'!$H:$H,'YTD Purchases'!$C:$C,Brokerage!$B210,'YTD Purchases'!$G:$G,Brokerage!P$4)</f>
        <v>0</v>
      </c>
      <c r="Q210" s="857">
        <f>SUMIFS('YTD Sales'!$N:$N,'YTD Sales'!$B:$B,Brokerage!$B210,'YTD Sales'!$M:$M,Brokerage!Q$4)+SUMIFS('YTD Purchases'!$H:$H,'YTD Purchases'!$C:$C,Brokerage!$B210,'YTD Purchases'!$G:$G,Brokerage!Q$4)</f>
        <v>0</v>
      </c>
      <c r="R210" s="857">
        <f>SUMIFS('YTD Sales'!$N:$N,'YTD Sales'!$B:$B,Brokerage!$B210,'YTD Sales'!$M:$M,Brokerage!R$4)+SUMIFS('YTD Purchases'!$H:$H,'YTD Purchases'!$C:$C,Brokerage!$B210,'YTD Purchases'!$G:$G,Brokerage!R$4)</f>
        <v>0</v>
      </c>
      <c r="S210" s="857">
        <f>SUMIFS('YTD Sales'!$N:$N,'YTD Sales'!$B:$B,Brokerage!$B210,'YTD Sales'!$M:$M,Brokerage!S$4)+SUMIFS('YTD Purchases'!$H:$H,'YTD Purchases'!$C:$C,Brokerage!$B210,'YTD Purchases'!$G:$G,Brokerage!S$4)</f>
        <v>0</v>
      </c>
      <c r="T210" s="857">
        <f>SUMIFS('YTD Sales'!$N:$N,'YTD Sales'!$B:$B,Brokerage!$B210,'YTD Sales'!$M:$M,Brokerage!T$4)+SUMIFS('YTD Purchases'!$H:$H,'YTD Purchases'!$C:$C,Brokerage!$B210,'YTD Purchases'!$G:$G,Brokerage!T$4)</f>
        <v>0</v>
      </c>
      <c r="U210" s="857">
        <f>SUMIFS('YTD Sales'!$N:$N,'YTD Sales'!$B:$B,Brokerage!$B210,'YTD Sales'!$M:$M,Brokerage!U$4)+SUMIFS('YTD Purchases'!$H:$H,'YTD Purchases'!$C:$C,Brokerage!$B210,'YTD Purchases'!$G:$G,Brokerage!U$4)</f>
        <v>0</v>
      </c>
      <c r="V210" s="857">
        <f>SUMIFS('YTD Sales'!$N:$N,'YTD Sales'!$B:$B,Brokerage!$B210,'YTD Sales'!$M:$M,Brokerage!V$4)+SUMIFS('YTD Purchases'!$H:$H,'YTD Purchases'!$C:$C,Brokerage!$B210,'YTD Purchases'!$G:$G,Brokerage!V$4)</f>
        <v>0</v>
      </c>
      <c r="W210" s="857">
        <f>SUMIFS('YTD Sales'!$N:$N,'YTD Sales'!$B:$B,Brokerage!$B210,'YTD Sales'!$M:$M,Brokerage!W$4)+SUMIFS('YTD Purchases'!$H:$H,'YTD Purchases'!$C:$C,Brokerage!$B210,'YTD Purchases'!$G:$G,Brokerage!W$4)</f>
        <v>0</v>
      </c>
      <c r="X210" s="857">
        <f>SUMIFS('YTD Sales'!$N:$N,'YTD Sales'!$B:$B,Brokerage!$B210,'YTD Sales'!$M:$M,Brokerage!X$4)+SUMIFS('YTD Purchases'!$H:$H,'YTD Purchases'!$C:$C,Brokerage!$B210,'YTD Purchases'!$G:$G,Brokerage!X$4)</f>
        <v>0</v>
      </c>
      <c r="Y210" s="857">
        <f>SUMIFS('YTD Sales'!$N:$N,'YTD Sales'!$B:$B,Brokerage!$B210,'YTD Sales'!$M:$M,Brokerage!Y$4)+SUMIFS('YTD Purchases'!$H:$H,'YTD Purchases'!$C:$C,Brokerage!$B210,'YTD Purchases'!$G:$G,Brokerage!Y$4)</f>
        <v>0</v>
      </c>
      <c r="Z210" s="857">
        <f>SUMIFS('YTD Sales'!$N:$N,'YTD Sales'!$B:$B,Brokerage!$B210,'YTD Sales'!$M:$M,Brokerage!Z$4)+SUMIFS('YTD Purchases'!$H:$H,'YTD Purchases'!$C:$C,Brokerage!$B210,'YTD Purchases'!$G:$G,Brokerage!Z$4)</f>
        <v>0</v>
      </c>
      <c r="AA210" s="857">
        <f>SUMIFS('YTD Sales'!$N:$N,'YTD Sales'!$B:$B,Brokerage!$B210,'YTD Sales'!$M:$M,Brokerage!AA$4)+SUMIFS('YTD Purchases'!$H:$H,'YTD Purchases'!$C:$C,Brokerage!$B210,'YTD Purchases'!$G:$G,Brokerage!AA$4)</f>
        <v>0</v>
      </c>
      <c r="AB210" s="857">
        <f>SUMIFS('YTD Sales'!$N:$N,'YTD Sales'!$B:$B,Brokerage!$B210,'YTD Sales'!$M:$M,Brokerage!AB$4)+SUMIFS('YTD Purchases'!$H:$H,'YTD Purchases'!$C:$C,Brokerage!$B210,'YTD Purchases'!$G:$G,Brokerage!AB$4)</f>
        <v>0</v>
      </c>
      <c r="AC210" s="857">
        <f>SUMIFS('YTD Sales'!$N:$N,'YTD Sales'!$B:$B,Brokerage!$B210,'YTD Sales'!$M:$M,Brokerage!AC$4)+SUMIFS('YTD Purchases'!$H:$H,'YTD Purchases'!$C:$C,Brokerage!$B210,'YTD Purchases'!$G:$G,Brokerage!AC$4)</f>
        <v>0</v>
      </c>
      <c r="AD210" s="857">
        <f>+SUMIFS(PIB!AG:AG,PIB!AF:AF,Brokerage!AD$4,PIB!AA:AA,Brokerage!$B210)+SUMIFS('T-Bills'!AB:AB,'T-Bills'!AA:AA,Brokerage!AD$4,'T-Bills'!V:V,Brokerage!$B210)</f>
        <v>0</v>
      </c>
      <c r="AE210" s="857">
        <f>+SUMIFS(PIB!AH:AH,PIB!AG:AG,Brokerage!AE$4,PIB!AB:AB,Brokerage!$B210)+SUMIFS('T-Bills'!AC:AC,'T-Bills'!AB:AB,Brokerage!AE$4,'T-Bills'!W:W,Brokerage!$B210)</f>
        <v>0</v>
      </c>
      <c r="AF210" s="857">
        <f>+SUMIFS(PIB!AI:AI,PIB!AH:AH,Brokerage!AF$4,PIB!AC:AC,Brokerage!$B210)+SUMIFS('T-Bills'!AD:AD,'T-Bills'!AC:AC,Brokerage!AF$4,'T-Bills'!X:X,Brokerage!$B210)</f>
        <v>0</v>
      </c>
      <c r="AG210" s="857">
        <f t="shared" si="23"/>
        <v>0</v>
      </c>
      <c r="AH210" s="858">
        <f t="shared" si="24"/>
        <v>0</v>
      </c>
    </row>
    <row r="211" spans="2:34" x14ac:dyDescent="0.15">
      <c r="B211" s="661">
        <f t="shared" si="22"/>
        <v>44767</v>
      </c>
      <c r="C211" s="857">
        <f>SUMIFS('YTD Sales'!$N:$N,'YTD Sales'!$B:$B,Brokerage!$B211,'YTD Sales'!$M:$M,Brokerage!C$4)+SUMIFS('YTD Purchases'!$H:$H,'YTD Purchases'!$C:$C,Brokerage!$B211,'YTD Purchases'!$G:$G,Brokerage!C$4)</f>
        <v>0</v>
      </c>
      <c r="D211" s="857">
        <f>SUMIFS('YTD Sales'!$N:$N,'YTD Sales'!$B:$B,Brokerage!$B211,'YTD Sales'!$M:$M,Brokerage!D$4)+SUMIFS('YTD Purchases'!$H:$H,'YTD Purchases'!$C:$C,Brokerage!$B211,'YTD Purchases'!$G:$G,Brokerage!D$4)</f>
        <v>0</v>
      </c>
      <c r="E211" s="857">
        <f>SUMIFS('YTD Sales'!$N:$N,'YTD Sales'!$B:$B,Brokerage!$B211,'YTD Sales'!$M:$M,Brokerage!E$4)+SUMIFS('YTD Purchases'!$H:$H,'YTD Purchases'!$C:$C,Brokerage!$B211,'YTD Purchases'!$G:$G,Brokerage!E$4)</f>
        <v>0</v>
      </c>
      <c r="F211" s="857">
        <f>SUMIFS('YTD Sales'!$N:$N,'YTD Sales'!$B:$B,Brokerage!$B211,'YTD Sales'!$M:$M,Brokerage!F$4)+SUMIFS('YTD Purchases'!$H:$H,'YTD Purchases'!$C:$C,Brokerage!$B211,'YTD Purchases'!$G:$G,Brokerage!F$4)</f>
        <v>0</v>
      </c>
      <c r="G211" s="857">
        <f>SUMIFS('YTD Sales'!$N:$N,'YTD Sales'!$B:$B,Brokerage!$B211,'YTD Sales'!$M:$M,Brokerage!G$4)+SUMIFS('YTD Purchases'!$H:$H,'YTD Purchases'!$C:$C,Brokerage!$B211,'YTD Purchases'!$G:$G,Brokerage!G$4)</f>
        <v>0</v>
      </c>
      <c r="H211" s="857">
        <f>SUMIFS('YTD Sales'!$N:$N,'YTD Sales'!$B:$B,Brokerage!$B211,'YTD Sales'!$M:$M,Brokerage!H$4)+SUMIFS('YTD Purchases'!$H:$H,'YTD Purchases'!$C:$C,Brokerage!$B211,'YTD Purchases'!$G:$G,Brokerage!H$4)</f>
        <v>0</v>
      </c>
      <c r="I211" s="857">
        <f>SUMIFS('YTD Sales'!$N:$N,'YTD Sales'!$B:$B,Brokerage!$B211,'YTD Sales'!$M:$M,Brokerage!I$4)+SUMIFS('YTD Purchases'!$H:$H,'YTD Purchases'!$C:$C,Brokerage!$B211,'YTD Purchases'!$G:$G,Brokerage!I$4)</f>
        <v>0</v>
      </c>
      <c r="J211" s="857">
        <f>SUMIFS('YTD Sales'!$N:$N,'YTD Sales'!$B:$B,Brokerage!$B211,'YTD Sales'!$M:$M,Brokerage!J$4)+SUMIFS('YTD Purchases'!$H:$H,'YTD Purchases'!$C:$C,Brokerage!$B211,'YTD Purchases'!$G:$G,Brokerage!J$4)</f>
        <v>0</v>
      </c>
      <c r="K211" s="857">
        <f>SUMIFS('YTD Sales'!$N:$N,'YTD Sales'!$B:$B,Brokerage!$B211,'YTD Sales'!$M:$M,Brokerage!K$4)+SUMIFS('YTD Purchases'!$H:$H,'YTD Purchases'!$C:$C,Brokerage!$B211,'YTD Purchases'!$G:$G,Brokerage!K$4)</f>
        <v>0</v>
      </c>
      <c r="L211" s="857">
        <f>SUMIFS('YTD Sales'!$N:$N,'YTD Sales'!$B:$B,Brokerage!$B211,'YTD Sales'!$M:$M,Brokerage!L$4)+SUMIFS('YTD Purchases'!$H:$H,'YTD Purchases'!$C:$C,Brokerage!$B211,'YTD Purchases'!$G:$G,Brokerage!L$4)</f>
        <v>0</v>
      </c>
      <c r="M211" s="857">
        <f>SUMIFS('YTD Sales'!$N:$N,'YTD Sales'!$B:$B,Brokerage!$B211,'YTD Sales'!$M:$M,Brokerage!M$4)+SUMIFS('YTD Purchases'!$H:$H,'YTD Purchases'!$C:$C,Brokerage!$B211,'YTD Purchases'!$G:$G,Brokerage!M$4)</f>
        <v>0</v>
      </c>
      <c r="N211" s="857">
        <f>SUMIFS('YTD Sales'!$N:$N,'YTD Sales'!$B:$B,Brokerage!$B211,'YTD Sales'!$M:$M,Brokerage!N$4)+SUMIFS('YTD Purchases'!$H:$H,'YTD Purchases'!$C:$C,Brokerage!$B211,'YTD Purchases'!$G:$G,Brokerage!N$4)</f>
        <v>0</v>
      </c>
      <c r="O211" s="857">
        <f>SUMIFS('YTD Sales'!$N:$N,'YTD Sales'!$B:$B,Brokerage!$B211,'YTD Sales'!$M:$M,Brokerage!O$4)+SUMIFS('YTD Purchases'!$H:$H,'YTD Purchases'!$C:$C,Brokerage!$B211,'YTD Purchases'!$G:$G,Brokerage!O$4)</f>
        <v>0</v>
      </c>
      <c r="P211" s="857">
        <f>SUMIFS('YTD Sales'!$N:$N,'YTD Sales'!$B:$B,Brokerage!$B211,'YTD Sales'!$M:$M,Brokerage!P$4)+SUMIFS('YTD Purchases'!$H:$H,'YTD Purchases'!$C:$C,Brokerage!$B211,'YTD Purchases'!$G:$G,Brokerage!P$4)</f>
        <v>0</v>
      </c>
      <c r="Q211" s="857">
        <f>SUMIFS('YTD Sales'!$N:$N,'YTD Sales'!$B:$B,Brokerage!$B211,'YTD Sales'!$M:$M,Brokerage!Q$4)+SUMIFS('YTD Purchases'!$H:$H,'YTD Purchases'!$C:$C,Brokerage!$B211,'YTD Purchases'!$G:$G,Brokerage!Q$4)</f>
        <v>0</v>
      </c>
      <c r="R211" s="857">
        <f>SUMIFS('YTD Sales'!$N:$N,'YTD Sales'!$B:$B,Brokerage!$B211,'YTD Sales'!$M:$M,Brokerage!R$4)+SUMIFS('YTD Purchases'!$H:$H,'YTD Purchases'!$C:$C,Brokerage!$B211,'YTD Purchases'!$G:$G,Brokerage!R$4)</f>
        <v>0</v>
      </c>
      <c r="S211" s="857">
        <f>SUMIFS('YTD Sales'!$N:$N,'YTD Sales'!$B:$B,Brokerage!$B211,'YTD Sales'!$M:$M,Brokerage!S$4)+SUMIFS('YTD Purchases'!$H:$H,'YTD Purchases'!$C:$C,Brokerage!$B211,'YTD Purchases'!$G:$G,Brokerage!S$4)</f>
        <v>0</v>
      </c>
      <c r="T211" s="857">
        <f>SUMIFS('YTD Sales'!$N:$N,'YTD Sales'!$B:$B,Brokerage!$B211,'YTD Sales'!$M:$M,Brokerage!T$4)+SUMIFS('YTD Purchases'!$H:$H,'YTD Purchases'!$C:$C,Brokerage!$B211,'YTD Purchases'!$G:$G,Brokerage!T$4)</f>
        <v>0</v>
      </c>
      <c r="U211" s="857">
        <f>SUMIFS('YTD Sales'!$N:$N,'YTD Sales'!$B:$B,Brokerage!$B211,'YTD Sales'!$M:$M,Brokerage!U$4)+SUMIFS('YTD Purchases'!$H:$H,'YTD Purchases'!$C:$C,Brokerage!$B211,'YTD Purchases'!$G:$G,Brokerage!U$4)</f>
        <v>0</v>
      </c>
      <c r="V211" s="857">
        <f>SUMIFS('YTD Sales'!$N:$N,'YTD Sales'!$B:$B,Brokerage!$B211,'YTD Sales'!$M:$M,Brokerage!V$4)+SUMIFS('YTD Purchases'!$H:$H,'YTD Purchases'!$C:$C,Brokerage!$B211,'YTD Purchases'!$G:$G,Brokerage!V$4)</f>
        <v>0</v>
      </c>
      <c r="W211" s="857">
        <f>SUMIFS('YTD Sales'!$N:$N,'YTD Sales'!$B:$B,Brokerage!$B211,'YTD Sales'!$M:$M,Brokerage!W$4)+SUMIFS('YTD Purchases'!$H:$H,'YTD Purchases'!$C:$C,Brokerage!$B211,'YTD Purchases'!$G:$G,Brokerage!W$4)</f>
        <v>0</v>
      </c>
      <c r="X211" s="857">
        <f>SUMIFS('YTD Sales'!$N:$N,'YTD Sales'!$B:$B,Brokerage!$B211,'YTD Sales'!$M:$M,Brokerage!X$4)+SUMIFS('YTD Purchases'!$H:$H,'YTD Purchases'!$C:$C,Brokerage!$B211,'YTD Purchases'!$G:$G,Brokerage!X$4)</f>
        <v>0</v>
      </c>
      <c r="Y211" s="857">
        <f>SUMIFS('YTD Sales'!$N:$N,'YTD Sales'!$B:$B,Brokerage!$B211,'YTD Sales'!$M:$M,Brokerage!Y$4)+SUMIFS('YTD Purchases'!$H:$H,'YTD Purchases'!$C:$C,Brokerage!$B211,'YTD Purchases'!$G:$G,Brokerage!Y$4)</f>
        <v>0</v>
      </c>
      <c r="Z211" s="857">
        <f>SUMIFS('YTD Sales'!$N:$N,'YTD Sales'!$B:$B,Brokerage!$B211,'YTD Sales'!$M:$M,Brokerage!Z$4)+SUMIFS('YTD Purchases'!$H:$H,'YTD Purchases'!$C:$C,Brokerage!$B211,'YTD Purchases'!$G:$G,Brokerage!Z$4)</f>
        <v>0</v>
      </c>
      <c r="AA211" s="857">
        <f>SUMIFS('YTD Sales'!$N:$N,'YTD Sales'!$B:$B,Brokerage!$B211,'YTD Sales'!$M:$M,Brokerage!AA$4)+SUMIFS('YTD Purchases'!$H:$H,'YTD Purchases'!$C:$C,Brokerage!$B211,'YTD Purchases'!$G:$G,Brokerage!AA$4)</f>
        <v>0</v>
      </c>
      <c r="AB211" s="857">
        <f>SUMIFS('YTD Sales'!$N:$N,'YTD Sales'!$B:$B,Brokerage!$B211,'YTD Sales'!$M:$M,Brokerage!AB$4)+SUMIFS('YTD Purchases'!$H:$H,'YTD Purchases'!$C:$C,Brokerage!$B211,'YTD Purchases'!$G:$G,Brokerage!AB$4)</f>
        <v>0</v>
      </c>
      <c r="AC211" s="857">
        <f>SUMIFS('YTD Sales'!$N:$N,'YTD Sales'!$B:$B,Brokerage!$B211,'YTD Sales'!$M:$M,Brokerage!AC$4)+SUMIFS('YTD Purchases'!$H:$H,'YTD Purchases'!$C:$C,Brokerage!$B211,'YTD Purchases'!$G:$G,Brokerage!AC$4)</f>
        <v>0</v>
      </c>
      <c r="AD211" s="857">
        <f>+SUMIFS(PIB!AG:AG,PIB!AF:AF,Brokerage!AD$4,PIB!AA:AA,Brokerage!$B211)+SUMIFS('T-Bills'!AB:AB,'T-Bills'!AA:AA,Brokerage!AD$4,'T-Bills'!V:V,Brokerage!$B211)</f>
        <v>0</v>
      </c>
      <c r="AE211" s="857">
        <f>+SUMIFS(PIB!AH:AH,PIB!AG:AG,Brokerage!AE$4,PIB!AB:AB,Brokerage!$B211)+SUMIFS('T-Bills'!AC:AC,'T-Bills'!AB:AB,Brokerage!AE$4,'T-Bills'!W:W,Brokerage!$B211)</f>
        <v>0</v>
      </c>
      <c r="AF211" s="857">
        <f>+SUMIFS(PIB!AI:AI,PIB!AH:AH,Brokerage!AF$4,PIB!AC:AC,Brokerage!$B211)+SUMIFS('T-Bills'!AD:AD,'T-Bills'!AC:AC,Brokerage!AF$4,'T-Bills'!X:X,Brokerage!$B211)</f>
        <v>0</v>
      </c>
      <c r="AG211" s="857">
        <f t="shared" si="23"/>
        <v>0</v>
      </c>
      <c r="AH211" s="858">
        <f t="shared" si="24"/>
        <v>0</v>
      </c>
    </row>
    <row r="212" spans="2:34" x14ac:dyDescent="0.15">
      <c r="B212" s="661">
        <f t="shared" si="22"/>
        <v>44768</v>
      </c>
      <c r="C212" s="857">
        <f>SUMIFS('YTD Sales'!$N:$N,'YTD Sales'!$B:$B,Brokerage!$B212,'YTD Sales'!$M:$M,Brokerage!C$4)+SUMIFS('YTD Purchases'!$H:$H,'YTD Purchases'!$C:$C,Brokerage!$B212,'YTD Purchases'!$G:$G,Brokerage!C$4)</f>
        <v>0</v>
      </c>
      <c r="D212" s="857">
        <f>SUMIFS('YTD Sales'!$N:$N,'YTD Sales'!$B:$B,Brokerage!$B212,'YTD Sales'!$M:$M,Brokerage!D$4)+SUMIFS('YTD Purchases'!$H:$H,'YTD Purchases'!$C:$C,Brokerage!$B212,'YTD Purchases'!$G:$G,Brokerage!D$4)</f>
        <v>0</v>
      </c>
      <c r="E212" s="857">
        <f>SUMIFS('YTD Sales'!$N:$N,'YTD Sales'!$B:$B,Brokerage!$B212,'YTD Sales'!$M:$M,Brokerage!E$4)+SUMIFS('YTD Purchases'!$H:$H,'YTD Purchases'!$C:$C,Brokerage!$B212,'YTD Purchases'!$G:$G,Brokerage!E$4)</f>
        <v>0</v>
      </c>
      <c r="F212" s="857">
        <f>SUMIFS('YTD Sales'!$N:$N,'YTD Sales'!$B:$B,Brokerage!$B212,'YTD Sales'!$M:$M,Brokerage!F$4)+SUMIFS('YTD Purchases'!$H:$H,'YTD Purchases'!$C:$C,Brokerage!$B212,'YTD Purchases'!$G:$G,Brokerage!F$4)</f>
        <v>0</v>
      </c>
      <c r="G212" s="857">
        <f>SUMIFS('YTD Sales'!$N:$N,'YTD Sales'!$B:$B,Brokerage!$B212,'YTD Sales'!$M:$M,Brokerage!G$4)+SUMIFS('YTD Purchases'!$H:$H,'YTD Purchases'!$C:$C,Brokerage!$B212,'YTD Purchases'!$G:$G,Brokerage!G$4)</f>
        <v>0</v>
      </c>
      <c r="H212" s="857">
        <f>SUMIFS('YTD Sales'!$N:$N,'YTD Sales'!$B:$B,Brokerage!$B212,'YTD Sales'!$M:$M,Brokerage!H$4)+SUMIFS('YTD Purchases'!$H:$H,'YTD Purchases'!$C:$C,Brokerage!$B212,'YTD Purchases'!$G:$G,Brokerage!H$4)</f>
        <v>0</v>
      </c>
      <c r="I212" s="857">
        <f>SUMIFS('YTD Sales'!$N:$N,'YTD Sales'!$B:$B,Brokerage!$B212,'YTD Sales'!$M:$M,Brokerage!I$4)+SUMIFS('YTD Purchases'!$H:$H,'YTD Purchases'!$C:$C,Brokerage!$B212,'YTD Purchases'!$G:$G,Brokerage!I$4)</f>
        <v>0</v>
      </c>
      <c r="J212" s="857">
        <f>SUMIFS('YTD Sales'!$N:$N,'YTD Sales'!$B:$B,Brokerage!$B212,'YTD Sales'!$M:$M,Brokerage!J$4)+SUMIFS('YTD Purchases'!$H:$H,'YTD Purchases'!$C:$C,Brokerage!$B212,'YTD Purchases'!$G:$G,Brokerage!J$4)</f>
        <v>0</v>
      </c>
      <c r="K212" s="857">
        <f>SUMIFS('YTD Sales'!$N:$N,'YTD Sales'!$B:$B,Brokerage!$B212,'YTD Sales'!$M:$M,Brokerage!K$4)+SUMIFS('YTD Purchases'!$H:$H,'YTD Purchases'!$C:$C,Brokerage!$B212,'YTD Purchases'!$G:$G,Brokerage!K$4)</f>
        <v>0</v>
      </c>
      <c r="L212" s="857">
        <f>SUMIFS('YTD Sales'!$N:$N,'YTD Sales'!$B:$B,Brokerage!$B212,'YTD Sales'!$M:$M,Brokerage!L$4)+SUMIFS('YTD Purchases'!$H:$H,'YTD Purchases'!$C:$C,Brokerage!$B212,'YTD Purchases'!$G:$G,Brokerage!L$4)</f>
        <v>0</v>
      </c>
      <c r="M212" s="857">
        <f>SUMIFS('YTD Sales'!$N:$N,'YTD Sales'!$B:$B,Brokerage!$B212,'YTD Sales'!$M:$M,Brokerage!M$4)+SUMIFS('YTD Purchases'!$H:$H,'YTD Purchases'!$C:$C,Brokerage!$B212,'YTD Purchases'!$G:$G,Brokerage!M$4)</f>
        <v>0</v>
      </c>
      <c r="N212" s="857">
        <f>SUMIFS('YTD Sales'!$N:$N,'YTD Sales'!$B:$B,Brokerage!$B212,'YTD Sales'!$M:$M,Brokerage!N$4)+SUMIFS('YTD Purchases'!$H:$H,'YTD Purchases'!$C:$C,Brokerage!$B212,'YTD Purchases'!$G:$G,Brokerage!N$4)</f>
        <v>0</v>
      </c>
      <c r="O212" s="857">
        <f>SUMIFS('YTD Sales'!$N:$N,'YTD Sales'!$B:$B,Brokerage!$B212,'YTD Sales'!$M:$M,Brokerage!O$4)+SUMIFS('YTD Purchases'!$H:$H,'YTD Purchases'!$C:$C,Brokerage!$B212,'YTD Purchases'!$G:$G,Brokerage!O$4)</f>
        <v>0</v>
      </c>
      <c r="P212" s="857">
        <f>SUMIFS('YTD Sales'!$N:$N,'YTD Sales'!$B:$B,Brokerage!$B212,'YTD Sales'!$M:$M,Brokerage!P$4)+SUMIFS('YTD Purchases'!$H:$H,'YTD Purchases'!$C:$C,Brokerage!$B212,'YTD Purchases'!$G:$G,Brokerage!P$4)</f>
        <v>0</v>
      </c>
      <c r="Q212" s="857">
        <f>SUMIFS('YTD Sales'!$N:$N,'YTD Sales'!$B:$B,Brokerage!$B212,'YTD Sales'!$M:$M,Brokerage!Q$4)+SUMIFS('YTD Purchases'!$H:$H,'YTD Purchases'!$C:$C,Brokerage!$B212,'YTD Purchases'!$G:$G,Brokerage!Q$4)</f>
        <v>0</v>
      </c>
      <c r="R212" s="857">
        <f>SUMIFS('YTD Sales'!$N:$N,'YTD Sales'!$B:$B,Brokerage!$B212,'YTD Sales'!$M:$M,Brokerage!R$4)+SUMIFS('YTD Purchases'!$H:$H,'YTD Purchases'!$C:$C,Brokerage!$B212,'YTD Purchases'!$G:$G,Brokerage!R$4)</f>
        <v>0</v>
      </c>
      <c r="S212" s="857">
        <f>SUMIFS('YTD Sales'!$N:$N,'YTD Sales'!$B:$B,Brokerage!$B212,'YTD Sales'!$M:$M,Brokerage!S$4)+SUMIFS('YTD Purchases'!$H:$H,'YTD Purchases'!$C:$C,Brokerage!$B212,'YTD Purchases'!$G:$G,Brokerage!S$4)</f>
        <v>0</v>
      </c>
      <c r="T212" s="857">
        <f>SUMIFS('YTD Sales'!$N:$N,'YTD Sales'!$B:$B,Brokerage!$B212,'YTD Sales'!$M:$M,Brokerage!T$4)+SUMIFS('YTD Purchases'!$H:$H,'YTD Purchases'!$C:$C,Brokerage!$B212,'YTD Purchases'!$G:$G,Brokerage!T$4)</f>
        <v>0</v>
      </c>
      <c r="U212" s="857">
        <f>SUMIFS('YTD Sales'!$N:$N,'YTD Sales'!$B:$B,Brokerage!$B212,'YTD Sales'!$M:$M,Brokerage!U$4)+SUMIFS('YTD Purchases'!$H:$H,'YTD Purchases'!$C:$C,Brokerage!$B212,'YTD Purchases'!$G:$G,Brokerage!U$4)</f>
        <v>0</v>
      </c>
      <c r="V212" s="857">
        <f>SUMIFS('YTD Sales'!$N:$N,'YTD Sales'!$B:$B,Brokerage!$B212,'YTD Sales'!$M:$M,Brokerage!V$4)+SUMIFS('YTD Purchases'!$H:$H,'YTD Purchases'!$C:$C,Brokerage!$B212,'YTD Purchases'!$G:$G,Brokerage!V$4)</f>
        <v>0</v>
      </c>
      <c r="W212" s="857">
        <f>SUMIFS('YTD Sales'!$N:$N,'YTD Sales'!$B:$B,Brokerage!$B212,'YTD Sales'!$M:$M,Brokerage!W$4)+SUMIFS('YTD Purchases'!$H:$H,'YTD Purchases'!$C:$C,Brokerage!$B212,'YTD Purchases'!$G:$G,Brokerage!W$4)</f>
        <v>0</v>
      </c>
      <c r="X212" s="857">
        <f>SUMIFS('YTD Sales'!$N:$N,'YTD Sales'!$B:$B,Brokerage!$B212,'YTD Sales'!$M:$M,Brokerage!X$4)+SUMIFS('YTD Purchases'!$H:$H,'YTD Purchases'!$C:$C,Brokerage!$B212,'YTD Purchases'!$G:$G,Brokerage!X$4)</f>
        <v>0</v>
      </c>
      <c r="Y212" s="857">
        <f>SUMIFS('YTD Sales'!$N:$N,'YTD Sales'!$B:$B,Brokerage!$B212,'YTD Sales'!$M:$M,Brokerage!Y$4)+SUMIFS('YTD Purchases'!$H:$H,'YTD Purchases'!$C:$C,Brokerage!$B212,'YTD Purchases'!$G:$G,Brokerage!Y$4)</f>
        <v>0</v>
      </c>
      <c r="Z212" s="857">
        <f>SUMIFS('YTD Sales'!$N:$N,'YTD Sales'!$B:$B,Brokerage!$B212,'YTD Sales'!$M:$M,Brokerage!Z$4)+SUMIFS('YTD Purchases'!$H:$H,'YTD Purchases'!$C:$C,Brokerage!$B212,'YTD Purchases'!$G:$G,Brokerage!Z$4)</f>
        <v>0</v>
      </c>
      <c r="AA212" s="857">
        <f>SUMIFS('YTD Sales'!$N:$N,'YTD Sales'!$B:$B,Brokerage!$B212,'YTD Sales'!$M:$M,Brokerage!AA$4)+SUMIFS('YTD Purchases'!$H:$H,'YTD Purchases'!$C:$C,Brokerage!$B212,'YTD Purchases'!$G:$G,Brokerage!AA$4)</f>
        <v>0</v>
      </c>
      <c r="AB212" s="857">
        <f>SUMIFS('YTD Sales'!$N:$N,'YTD Sales'!$B:$B,Brokerage!$B212,'YTD Sales'!$M:$M,Brokerage!AB$4)+SUMIFS('YTD Purchases'!$H:$H,'YTD Purchases'!$C:$C,Brokerage!$B212,'YTD Purchases'!$G:$G,Brokerage!AB$4)</f>
        <v>0</v>
      </c>
      <c r="AC212" s="857">
        <f>SUMIFS('YTD Sales'!$N:$N,'YTD Sales'!$B:$B,Brokerage!$B212,'YTD Sales'!$M:$M,Brokerage!AC$4)+SUMIFS('YTD Purchases'!$H:$H,'YTD Purchases'!$C:$C,Brokerage!$B212,'YTD Purchases'!$G:$G,Brokerage!AC$4)</f>
        <v>0</v>
      </c>
      <c r="AD212" s="857">
        <f>+SUMIFS(PIB!AG:AG,PIB!AF:AF,Brokerage!AD$4,PIB!AA:AA,Brokerage!$B212)+SUMIFS('T-Bills'!AB:AB,'T-Bills'!AA:AA,Brokerage!AD$4,'T-Bills'!V:V,Brokerage!$B212)</f>
        <v>0</v>
      </c>
      <c r="AE212" s="857">
        <f>+SUMIFS(PIB!AH:AH,PIB!AG:AG,Brokerage!AE$4,PIB!AB:AB,Brokerage!$B212)+SUMIFS('T-Bills'!AC:AC,'T-Bills'!AB:AB,Brokerage!AE$4,'T-Bills'!W:W,Brokerage!$B212)</f>
        <v>0</v>
      </c>
      <c r="AF212" s="857">
        <f>+SUMIFS(PIB!AI:AI,PIB!AH:AH,Brokerage!AF$4,PIB!AC:AC,Brokerage!$B212)+SUMIFS('T-Bills'!AD:AD,'T-Bills'!AC:AC,Brokerage!AF$4,'T-Bills'!X:X,Brokerage!$B212)</f>
        <v>0</v>
      </c>
      <c r="AG212" s="857">
        <f t="shared" si="23"/>
        <v>0</v>
      </c>
      <c r="AH212" s="858">
        <f t="shared" si="24"/>
        <v>0</v>
      </c>
    </row>
    <row r="213" spans="2:34" x14ac:dyDescent="0.15">
      <c r="B213" s="661">
        <f t="shared" si="22"/>
        <v>44769</v>
      </c>
      <c r="C213" s="857">
        <f>SUMIFS('YTD Sales'!$N:$N,'YTD Sales'!$B:$B,Brokerage!$B213,'YTD Sales'!$M:$M,Brokerage!C$4)+SUMIFS('YTD Purchases'!$H:$H,'YTD Purchases'!$C:$C,Brokerage!$B213,'YTD Purchases'!$G:$G,Brokerage!C$4)</f>
        <v>0</v>
      </c>
      <c r="D213" s="857">
        <f>SUMIFS('YTD Sales'!$N:$N,'YTD Sales'!$B:$B,Brokerage!$B213,'YTD Sales'!$M:$M,Brokerage!D$4)+SUMIFS('YTD Purchases'!$H:$H,'YTD Purchases'!$C:$C,Brokerage!$B213,'YTD Purchases'!$G:$G,Brokerage!D$4)</f>
        <v>0</v>
      </c>
      <c r="E213" s="857">
        <f>SUMIFS('YTD Sales'!$N:$N,'YTD Sales'!$B:$B,Brokerage!$B213,'YTD Sales'!$M:$M,Brokerage!E$4)+SUMIFS('YTD Purchases'!$H:$H,'YTD Purchases'!$C:$C,Brokerage!$B213,'YTD Purchases'!$G:$G,Brokerage!E$4)</f>
        <v>0</v>
      </c>
      <c r="F213" s="857">
        <f>SUMIFS('YTD Sales'!$N:$N,'YTD Sales'!$B:$B,Brokerage!$B213,'YTD Sales'!$M:$M,Brokerage!F$4)+SUMIFS('YTD Purchases'!$H:$H,'YTD Purchases'!$C:$C,Brokerage!$B213,'YTD Purchases'!$G:$G,Brokerage!F$4)</f>
        <v>0</v>
      </c>
      <c r="G213" s="857">
        <f>SUMIFS('YTD Sales'!$N:$N,'YTD Sales'!$B:$B,Brokerage!$B213,'YTD Sales'!$M:$M,Brokerage!G$4)+SUMIFS('YTD Purchases'!$H:$H,'YTD Purchases'!$C:$C,Brokerage!$B213,'YTD Purchases'!$G:$G,Brokerage!G$4)</f>
        <v>0</v>
      </c>
      <c r="H213" s="857">
        <f>SUMIFS('YTD Sales'!$N:$N,'YTD Sales'!$B:$B,Brokerage!$B213,'YTD Sales'!$M:$M,Brokerage!H$4)+SUMIFS('YTD Purchases'!$H:$H,'YTD Purchases'!$C:$C,Brokerage!$B213,'YTD Purchases'!$G:$G,Brokerage!H$4)</f>
        <v>0</v>
      </c>
      <c r="I213" s="857">
        <f>SUMIFS('YTD Sales'!$N:$N,'YTD Sales'!$B:$B,Brokerage!$B213,'YTD Sales'!$M:$M,Brokerage!I$4)+SUMIFS('YTD Purchases'!$H:$H,'YTD Purchases'!$C:$C,Brokerage!$B213,'YTD Purchases'!$G:$G,Brokerage!I$4)</f>
        <v>0</v>
      </c>
      <c r="J213" s="857">
        <f>SUMIFS('YTD Sales'!$N:$N,'YTD Sales'!$B:$B,Brokerage!$B213,'YTD Sales'!$M:$M,Brokerage!J$4)+SUMIFS('YTD Purchases'!$H:$H,'YTD Purchases'!$C:$C,Brokerage!$B213,'YTD Purchases'!$G:$G,Brokerage!J$4)</f>
        <v>0</v>
      </c>
      <c r="K213" s="857">
        <f>SUMIFS('YTD Sales'!$N:$N,'YTD Sales'!$B:$B,Brokerage!$B213,'YTD Sales'!$M:$M,Brokerage!K$4)+SUMIFS('YTD Purchases'!$H:$H,'YTD Purchases'!$C:$C,Brokerage!$B213,'YTD Purchases'!$G:$G,Brokerage!K$4)</f>
        <v>0</v>
      </c>
      <c r="L213" s="857">
        <f>SUMIFS('YTD Sales'!$N:$N,'YTD Sales'!$B:$B,Brokerage!$B213,'YTD Sales'!$M:$M,Brokerage!L$4)+SUMIFS('YTD Purchases'!$H:$H,'YTD Purchases'!$C:$C,Brokerage!$B213,'YTD Purchases'!$G:$G,Brokerage!L$4)</f>
        <v>0</v>
      </c>
      <c r="M213" s="857">
        <f>SUMIFS('YTD Sales'!$N:$N,'YTD Sales'!$B:$B,Brokerage!$B213,'YTD Sales'!$M:$M,Brokerage!M$4)+SUMIFS('YTD Purchases'!$H:$H,'YTD Purchases'!$C:$C,Brokerage!$B213,'YTD Purchases'!$G:$G,Brokerage!M$4)</f>
        <v>0</v>
      </c>
      <c r="N213" s="857">
        <f>SUMIFS('YTD Sales'!$N:$N,'YTD Sales'!$B:$B,Brokerage!$B213,'YTD Sales'!$M:$M,Brokerage!N$4)+SUMIFS('YTD Purchases'!$H:$H,'YTD Purchases'!$C:$C,Brokerage!$B213,'YTD Purchases'!$G:$G,Brokerage!N$4)</f>
        <v>0</v>
      </c>
      <c r="O213" s="857">
        <f>SUMIFS('YTD Sales'!$N:$N,'YTD Sales'!$B:$B,Brokerage!$B213,'YTD Sales'!$M:$M,Brokerage!O$4)+SUMIFS('YTD Purchases'!$H:$H,'YTD Purchases'!$C:$C,Brokerage!$B213,'YTD Purchases'!$G:$G,Brokerage!O$4)</f>
        <v>0</v>
      </c>
      <c r="P213" s="857">
        <f>SUMIFS('YTD Sales'!$N:$N,'YTD Sales'!$B:$B,Brokerage!$B213,'YTD Sales'!$M:$M,Brokerage!P$4)+SUMIFS('YTD Purchases'!$H:$H,'YTD Purchases'!$C:$C,Brokerage!$B213,'YTD Purchases'!$G:$G,Brokerage!P$4)</f>
        <v>0</v>
      </c>
      <c r="Q213" s="857">
        <f>SUMIFS('YTD Sales'!$N:$N,'YTD Sales'!$B:$B,Brokerage!$B213,'YTD Sales'!$M:$M,Brokerage!Q$4)+SUMIFS('YTD Purchases'!$H:$H,'YTD Purchases'!$C:$C,Brokerage!$B213,'YTD Purchases'!$G:$G,Brokerage!Q$4)</f>
        <v>0</v>
      </c>
      <c r="R213" s="857">
        <f>SUMIFS('YTD Sales'!$N:$N,'YTD Sales'!$B:$B,Brokerage!$B213,'YTD Sales'!$M:$M,Brokerage!R$4)+SUMIFS('YTD Purchases'!$H:$H,'YTD Purchases'!$C:$C,Brokerage!$B213,'YTD Purchases'!$G:$G,Brokerage!R$4)</f>
        <v>0</v>
      </c>
      <c r="S213" s="857">
        <f>SUMIFS('YTD Sales'!$N:$N,'YTD Sales'!$B:$B,Brokerage!$B213,'YTD Sales'!$M:$M,Brokerage!S$4)+SUMIFS('YTD Purchases'!$H:$H,'YTD Purchases'!$C:$C,Brokerage!$B213,'YTD Purchases'!$G:$G,Brokerage!S$4)</f>
        <v>0</v>
      </c>
      <c r="T213" s="857">
        <f>SUMIFS('YTD Sales'!$N:$N,'YTD Sales'!$B:$B,Brokerage!$B213,'YTD Sales'!$M:$M,Brokerage!T$4)+SUMIFS('YTD Purchases'!$H:$H,'YTD Purchases'!$C:$C,Brokerage!$B213,'YTD Purchases'!$G:$G,Brokerage!T$4)</f>
        <v>0</v>
      </c>
      <c r="U213" s="857">
        <f>SUMIFS('YTD Sales'!$N:$N,'YTD Sales'!$B:$B,Brokerage!$B213,'YTD Sales'!$M:$M,Brokerage!U$4)+SUMIFS('YTD Purchases'!$H:$H,'YTD Purchases'!$C:$C,Brokerage!$B213,'YTD Purchases'!$G:$G,Brokerage!U$4)</f>
        <v>0</v>
      </c>
      <c r="V213" s="857">
        <f>SUMIFS('YTD Sales'!$N:$N,'YTD Sales'!$B:$B,Brokerage!$B213,'YTD Sales'!$M:$M,Brokerage!V$4)+SUMIFS('YTD Purchases'!$H:$H,'YTD Purchases'!$C:$C,Brokerage!$B213,'YTD Purchases'!$G:$G,Brokerage!V$4)</f>
        <v>0</v>
      </c>
      <c r="W213" s="857">
        <f>SUMIFS('YTD Sales'!$N:$N,'YTD Sales'!$B:$B,Brokerage!$B213,'YTD Sales'!$M:$M,Brokerage!W$4)+SUMIFS('YTD Purchases'!$H:$H,'YTD Purchases'!$C:$C,Brokerage!$B213,'YTD Purchases'!$G:$G,Brokerage!W$4)</f>
        <v>0</v>
      </c>
      <c r="X213" s="857">
        <f>SUMIFS('YTD Sales'!$N:$N,'YTD Sales'!$B:$B,Brokerage!$B213,'YTD Sales'!$M:$M,Brokerage!X$4)+SUMIFS('YTD Purchases'!$H:$H,'YTD Purchases'!$C:$C,Brokerage!$B213,'YTD Purchases'!$G:$G,Brokerage!X$4)</f>
        <v>0</v>
      </c>
      <c r="Y213" s="857">
        <f>SUMIFS('YTD Sales'!$N:$N,'YTD Sales'!$B:$B,Brokerage!$B213,'YTD Sales'!$M:$M,Brokerage!Y$4)+SUMIFS('YTD Purchases'!$H:$H,'YTD Purchases'!$C:$C,Brokerage!$B213,'YTD Purchases'!$G:$G,Brokerage!Y$4)</f>
        <v>0</v>
      </c>
      <c r="Z213" s="857">
        <f>SUMIFS('YTD Sales'!$N:$N,'YTD Sales'!$B:$B,Brokerage!$B213,'YTD Sales'!$M:$M,Brokerage!Z$4)+SUMIFS('YTD Purchases'!$H:$H,'YTD Purchases'!$C:$C,Brokerage!$B213,'YTD Purchases'!$G:$G,Brokerage!Z$4)</f>
        <v>0</v>
      </c>
      <c r="AA213" s="857">
        <f>SUMIFS('YTD Sales'!$N:$N,'YTD Sales'!$B:$B,Brokerage!$B213,'YTD Sales'!$M:$M,Brokerage!AA$4)+SUMIFS('YTD Purchases'!$H:$H,'YTD Purchases'!$C:$C,Brokerage!$B213,'YTD Purchases'!$G:$G,Brokerage!AA$4)</f>
        <v>0</v>
      </c>
      <c r="AB213" s="857">
        <f>SUMIFS('YTD Sales'!$N:$N,'YTD Sales'!$B:$B,Brokerage!$B213,'YTD Sales'!$M:$M,Brokerage!AB$4)+SUMIFS('YTD Purchases'!$H:$H,'YTD Purchases'!$C:$C,Brokerage!$B213,'YTD Purchases'!$G:$G,Brokerage!AB$4)</f>
        <v>0</v>
      </c>
      <c r="AC213" s="857">
        <f>SUMIFS('YTD Sales'!$N:$N,'YTD Sales'!$B:$B,Brokerage!$B213,'YTD Sales'!$M:$M,Brokerage!AC$4)+SUMIFS('YTD Purchases'!$H:$H,'YTD Purchases'!$C:$C,Brokerage!$B213,'YTD Purchases'!$G:$G,Brokerage!AC$4)</f>
        <v>0</v>
      </c>
      <c r="AD213" s="857">
        <f>+SUMIFS(PIB!AG:AG,PIB!AF:AF,Brokerage!AD$4,PIB!AA:AA,Brokerage!$B213)+SUMIFS('T-Bills'!AB:AB,'T-Bills'!AA:AA,Brokerage!AD$4,'T-Bills'!V:V,Brokerage!$B213)</f>
        <v>0</v>
      </c>
      <c r="AE213" s="857">
        <f>+SUMIFS(PIB!AH:AH,PIB!AG:AG,Brokerage!AE$4,PIB!AB:AB,Brokerage!$B213)+SUMIFS('T-Bills'!AC:AC,'T-Bills'!AB:AB,Brokerage!AE$4,'T-Bills'!W:W,Brokerage!$B213)</f>
        <v>0</v>
      </c>
      <c r="AF213" s="857">
        <f>+SUMIFS(PIB!AI:AI,PIB!AH:AH,Brokerage!AF$4,PIB!AC:AC,Brokerage!$B213)+SUMIFS('T-Bills'!AD:AD,'T-Bills'!AC:AC,Brokerage!AF$4,'T-Bills'!X:X,Brokerage!$B213)</f>
        <v>0</v>
      </c>
      <c r="AG213" s="857">
        <f t="shared" si="23"/>
        <v>0</v>
      </c>
      <c r="AH213" s="858">
        <f t="shared" si="24"/>
        <v>0</v>
      </c>
    </row>
    <row r="214" spans="2:34" x14ac:dyDescent="0.15">
      <c r="B214" s="661">
        <f t="shared" si="22"/>
        <v>44770</v>
      </c>
      <c r="C214" s="857">
        <f>SUMIFS('YTD Sales'!$N:$N,'YTD Sales'!$B:$B,Brokerage!$B214,'YTD Sales'!$M:$M,Brokerage!C$4)+SUMIFS('YTD Purchases'!$H:$H,'YTD Purchases'!$C:$C,Brokerage!$B214,'YTD Purchases'!$G:$G,Brokerage!C$4)</f>
        <v>0</v>
      </c>
      <c r="D214" s="857">
        <f>SUMIFS('YTD Sales'!$N:$N,'YTD Sales'!$B:$B,Brokerage!$B214,'YTD Sales'!$M:$M,Brokerage!D$4)+SUMIFS('YTD Purchases'!$H:$H,'YTD Purchases'!$C:$C,Brokerage!$B214,'YTD Purchases'!$G:$G,Brokerage!D$4)</f>
        <v>0</v>
      </c>
      <c r="E214" s="857">
        <f>SUMIFS('YTD Sales'!$N:$N,'YTD Sales'!$B:$B,Brokerage!$B214,'YTD Sales'!$M:$M,Brokerage!E$4)+SUMIFS('YTD Purchases'!$H:$H,'YTD Purchases'!$C:$C,Brokerage!$B214,'YTD Purchases'!$G:$G,Brokerage!E$4)</f>
        <v>0</v>
      </c>
      <c r="F214" s="857">
        <f>SUMIFS('YTD Sales'!$N:$N,'YTD Sales'!$B:$B,Brokerage!$B214,'YTD Sales'!$M:$M,Brokerage!F$4)+SUMIFS('YTD Purchases'!$H:$H,'YTD Purchases'!$C:$C,Brokerage!$B214,'YTD Purchases'!$G:$G,Brokerage!F$4)</f>
        <v>0</v>
      </c>
      <c r="G214" s="857">
        <f>SUMIFS('YTD Sales'!$N:$N,'YTD Sales'!$B:$B,Brokerage!$B214,'YTD Sales'!$M:$M,Brokerage!G$4)+SUMIFS('YTD Purchases'!$H:$H,'YTD Purchases'!$C:$C,Brokerage!$B214,'YTD Purchases'!$G:$G,Brokerage!G$4)</f>
        <v>0</v>
      </c>
      <c r="H214" s="857">
        <f>SUMIFS('YTD Sales'!$N:$N,'YTD Sales'!$B:$B,Brokerage!$B214,'YTD Sales'!$M:$M,Brokerage!H$4)+SUMIFS('YTD Purchases'!$H:$H,'YTD Purchases'!$C:$C,Brokerage!$B214,'YTD Purchases'!$G:$G,Brokerage!H$4)</f>
        <v>0</v>
      </c>
      <c r="I214" s="857">
        <f>SUMIFS('YTD Sales'!$N:$N,'YTD Sales'!$B:$B,Brokerage!$B214,'YTD Sales'!$M:$M,Brokerage!I$4)+SUMIFS('YTD Purchases'!$H:$H,'YTD Purchases'!$C:$C,Brokerage!$B214,'YTD Purchases'!$G:$G,Brokerage!I$4)</f>
        <v>0</v>
      </c>
      <c r="J214" s="857">
        <f>SUMIFS('YTD Sales'!$N:$N,'YTD Sales'!$B:$B,Brokerage!$B214,'YTD Sales'!$M:$M,Brokerage!J$4)+SUMIFS('YTD Purchases'!$H:$H,'YTD Purchases'!$C:$C,Brokerage!$B214,'YTD Purchases'!$G:$G,Brokerage!J$4)</f>
        <v>0</v>
      </c>
      <c r="K214" s="857">
        <f>SUMIFS('YTD Sales'!$N:$N,'YTD Sales'!$B:$B,Brokerage!$B214,'YTD Sales'!$M:$M,Brokerage!K$4)+SUMIFS('YTD Purchases'!$H:$H,'YTD Purchases'!$C:$C,Brokerage!$B214,'YTD Purchases'!$G:$G,Brokerage!K$4)</f>
        <v>0</v>
      </c>
      <c r="L214" s="857">
        <f>SUMIFS('YTD Sales'!$N:$N,'YTD Sales'!$B:$B,Brokerage!$B214,'YTD Sales'!$M:$M,Brokerage!L$4)+SUMIFS('YTD Purchases'!$H:$H,'YTD Purchases'!$C:$C,Brokerage!$B214,'YTD Purchases'!$G:$G,Brokerage!L$4)</f>
        <v>0</v>
      </c>
      <c r="M214" s="857">
        <f>SUMIFS('YTD Sales'!$N:$N,'YTD Sales'!$B:$B,Brokerage!$B214,'YTD Sales'!$M:$M,Brokerage!M$4)+SUMIFS('YTD Purchases'!$H:$H,'YTD Purchases'!$C:$C,Brokerage!$B214,'YTD Purchases'!$G:$G,Brokerage!M$4)</f>
        <v>0</v>
      </c>
      <c r="N214" s="857">
        <f>SUMIFS('YTD Sales'!$N:$N,'YTD Sales'!$B:$B,Brokerage!$B214,'YTD Sales'!$M:$M,Brokerage!N$4)+SUMIFS('YTD Purchases'!$H:$H,'YTD Purchases'!$C:$C,Brokerage!$B214,'YTD Purchases'!$G:$G,Brokerage!N$4)</f>
        <v>0</v>
      </c>
      <c r="O214" s="857">
        <f>SUMIFS('YTD Sales'!$N:$N,'YTD Sales'!$B:$B,Brokerage!$B214,'YTD Sales'!$M:$M,Brokerage!O$4)+SUMIFS('YTD Purchases'!$H:$H,'YTD Purchases'!$C:$C,Brokerage!$B214,'YTD Purchases'!$G:$G,Brokerage!O$4)</f>
        <v>0</v>
      </c>
      <c r="P214" s="857">
        <f>SUMIFS('YTD Sales'!$N:$N,'YTD Sales'!$B:$B,Brokerage!$B214,'YTD Sales'!$M:$M,Brokerage!P$4)+SUMIFS('YTD Purchases'!$H:$H,'YTD Purchases'!$C:$C,Brokerage!$B214,'YTD Purchases'!$G:$G,Brokerage!P$4)</f>
        <v>0</v>
      </c>
      <c r="Q214" s="857">
        <f>SUMIFS('YTD Sales'!$N:$N,'YTD Sales'!$B:$B,Brokerage!$B214,'YTD Sales'!$M:$M,Brokerage!Q$4)+SUMIFS('YTD Purchases'!$H:$H,'YTD Purchases'!$C:$C,Brokerage!$B214,'YTD Purchases'!$G:$G,Brokerage!Q$4)</f>
        <v>0</v>
      </c>
      <c r="R214" s="857">
        <f>SUMIFS('YTD Sales'!$N:$N,'YTD Sales'!$B:$B,Brokerage!$B214,'YTD Sales'!$M:$M,Brokerage!R$4)+SUMIFS('YTD Purchases'!$H:$H,'YTD Purchases'!$C:$C,Brokerage!$B214,'YTD Purchases'!$G:$G,Brokerage!R$4)</f>
        <v>0</v>
      </c>
      <c r="S214" s="857">
        <f>SUMIFS('YTD Sales'!$N:$N,'YTD Sales'!$B:$B,Brokerage!$B214,'YTD Sales'!$M:$M,Brokerage!S$4)+SUMIFS('YTD Purchases'!$H:$H,'YTD Purchases'!$C:$C,Brokerage!$B214,'YTD Purchases'!$G:$G,Brokerage!S$4)</f>
        <v>0</v>
      </c>
      <c r="T214" s="857">
        <f>SUMIFS('YTD Sales'!$N:$N,'YTD Sales'!$B:$B,Brokerage!$B214,'YTD Sales'!$M:$M,Brokerage!T$4)+SUMIFS('YTD Purchases'!$H:$H,'YTD Purchases'!$C:$C,Brokerage!$B214,'YTD Purchases'!$G:$G,Brokerage!T$4)</f>
        <v>0</v>
      </c>
      <c r="U214" s="857">
        <f>SUMIFS('YTD Sales'!$N:$N,'YTD Sales'!$B:$B,Brokerage!$B214,'YTD Sales'!$M:$M,Brokerage!U$4)+SUMIFS('YTD Purchases'!$H:$H,'YTD Purchases'!$C:$C,Brokerage!$B214,'YTD Purchases'!$G:$G,Brokerage!U$4)</f>
        <v>0</v>
      </c>
      <c r="V214" s="857">
        <f>SUMIFS('YTD Sales'!$N:$N,'YTD Sales'!$B:$B,Brokerage!$B214,'YTD Sales'!$M:$M,Brokerage!V$4)+SUMIFS('YTD Purchases'!$H:$H,'YTD Purchases'!$C:$C,Brokerage!$B214,'YTD Purchases'!$G:$G,Brokerage!V$4)</f>
        <v>0</v>
      </c>
      <c r="W214" s="857">
        <f>SUMIFS('YTD Sales'!$N:$N,'YTD Sales'!$B:$B,Brokerage!$B214,'YTD Sales'!$M:$M,Brokerage!W$4)+SUMIFS('YTD Purchases'!$H:$H,'YTD Purchases'!$C:$C,Brokerage!$B214,'YTD Purchases'!$G:$G,Brokerage!W$4)</f>
        <v>0</v>
      </c>
      <c r="X214" s="857">
        <f>SUMIFS('YTD Sales'!$N:$N,'YTD Sales'!$B:$B,Brokerage!$B214,'YTD Sales'!$M:$M,Brokerage!X$4)+SUMIFS('YTD Purchases'!$H:$H,'YTD Purchases'!$C:$C,Brokerage!$B214,'YTD Purchases'!$G:$G,Brokerage!X$4)</f>
        <v>0</v>
      </c>
      <c r="Y214" s="857">
        <f>SUMIFS('YTD Sales'!$N:$N,'YTD Sales'!$B:$B,Brokerage!$B214,'YTD Sales'!$M:$M,Brokerage!Y$4)+SUMIFS('YTD Purchases'!$H:$H,'YTD Purchases'!$C:$C,Brokerage!$B214,'YTD Purchases'!$G:$G,Brokerage!Y$4)</f>
        <v>0</v>
      </c>
      <c r="Z214" s="857">
        <f>SUMIFS('YTD Sales'!$N:$N,'YTD Sales'!$B:$B,Brokerage!$B214,'YTD Sales'!$M:$M,Brokerage!Z$4)+SUMIFS('YTD Purchases'!$H:$H,'YTD Purchases'!$C:$C,Brokerage!$B214,'YTD Purchases'!$G:$G,Brokerage!Z$4)</f>
        <v>0</v>
      </c>
      <c r="AA214" s="857">
        <f>SUMIFS('YTD Sales'!$N:$N,'YTD Sales'!$B:$B,Brokerage!$B214,'YTD Sales'!$M:$M,Brokerage!AA$4)+SUMIFS('YTD Purchases'!$H:$H,'YTD Purchases'!$C:$C,Brokerage!$B214,'YTD Purchases'!$G:$G,Brokerage!AA$4)</f>
        <v>0</v>
      </c>
      <c r="AB214" s="857">
        <f>SUMIFS('YTD Sales'!$N:$N,'YTD Sales'!$B:$B,Brokerage!$B214,'YTD Sales'!$M:$M,Brokerage!AB$4)+SUMIFS('YTD Purchases'!$H:$H,'YTD Purchases'!$C:$C,Brokerage!$B214,'YTD Purchases'!$G:$G,Brokerage!AB$4)</f>
        <v>0</v>
      </c>
      <c r="AC214" s="857">
        <f>SUMIFS('YTD Sales'!$N:$N,'YTD Sales'!$B:$B,Brokerage!$B214,'YTD Sales'!$M:$M,Brokerage!AC$4)+SUMIFS('YTD Purchases'!$H:$H,'YTD Purchases'!$C:$C,Brokerage!$B214,'YTD Purchases'!$G:$G,Brokerage!AC$4)</f>
        <v>0</v>
      </c>
      <c r="AD214" s="857">
        <f>+SUMIFS(PIB!AG:AG,PIB!AF:AF,Brokerage!AD$4,PIB!AA:AA,Brokerage!$B214)+SUMIFS('T-Bills'!AB:AB,'T-Bills'!AA:AA,Brokerage!AD$4,'T-Bills'!V:V,Brokerage!$B214)</f>
        <v>0</v>
      </c>
      <c r="AE214" s="857">
        <f>+SUMIFS(PIB!AH:AH,PIB!AG:AG,Brokerage!AE$4,PIB!AB:AB,Brokerage!$B214)+SUMIFS('T-Bills'!AC:AC,'T-Bills'!AB:AB,Brokerage!AE$4,'T-Bills'!W:W,Brokerage!$B214)</f>
        <v>0</v>
      </c>
      <c r="AF214" s="857">
        <f>+SUMIFS(PIB!AI:AI,PIB!AH:AH,Brokerage!AF$4,PIB!AC:AC,Brokerage!$B214)+SUMIFS('T-Bills'!AD:AD,'T-Bills'!AC:AC,Brokerage!AF$4,'T-Bills'!X:X,Brokerage!$B214)</f>
        <v>0</v>
      </c>
      <c r="AG214" s="857">
        <f t="shared" si="23"/>
        <v>0</v>
      </c>
      <c r="AH214" s="858">
        <f t="shared" si="24"/>
        <v>0</v>
      </c>
    </row>
    <row r="215" spans="2:34" x14ac:dyDescent="0.15">
      <c r="B215" s="661">
        <f t="shared" si="22"/>
        <v>44771</v>
      </c>
      <c r="C215" s="857">
        <f>SUMIFS('YTD Sales'!$N:$N,'YTD Sales'!$B:$B,Brokerage!$B215,'YTD Sales'!$M:$M,Brokerage!C$4)+SUMIFS('YTD Purchases'!$H:$H,'YTD Purchases'!$C:$C,Brokerage!$B215,'YTD Purchases'!$G:$G,Brokerage!C$4)</f>
        <v>0</v>
      </c>
      <c r="D215" s="857">
        <f>SUMIFS('YTD Sales'!$N:$N,'YTD Sales'!$B:$B,Brokerage!$B215,'YTD Sales'!$M:$M,Brokerage!D$4)+SUMIFS('YTD Purchases'!$H:$H,'YTD Purchases'!$C:$C,Brokerage!$B215,'YTD Purchases'!$G:$G,Brokerage!D$4)</f>
        <v>0</v>
      </c>
      <c r="E215" s="857">
        <f>SUMIFS('YTD Sales'!$N:$N,'YTD Sales'!$B:$B,Brokerage!$B215,'YTD Sales'!$M:$M,Brokerage!E$4)+SUMIFS('YTD Purchases'!$H:$H,'YTD Purchases'!$C:$C,Brokerage!$B215,'YTD Purchases'!$G:$G,Brokerage!E$4)</f>
        <v>0</v>
      </c>
      <c r="F215" s="857">
        <f>SUMIFS('YTD Sales'!$N:$N,'YTD Sales'!$B:$B,Brokerage!$B215,'YTD Sales'!$M:$M,Brokerage!F$4)+SUMIFS('YTD Purchases'!$H:$H,'YTD Purchases'!$C:$C,Brokerage!$B215,'YTD Purchases'!$G:$G,Brokerage!F$4)</f>
        <v>0</v>
      </c>
      <c r="G215" s="857">
        <f>SUMIFS('YTD Sales'!$N:$N,'YTD Sales'!$B:$B,Brokerage!$B215,'YTD Sales'!$M:$M,Brokerage!G$4)+SUMIFS('YTD Purchases'!$H:$H,'YTD Purchases'!$C:$C,Brokerage!$B215,'YTD Purchases'!$G:$G,Brokerage!G$4)</f>
        <v>0</v>
      </c>
      <c r="H215" s="857">
        <f>SUMIFS('YTD Sales'!$N:$N,'YTD Sales'!$B:$B,Brokerage!$B215,'YTD Sales'!$M:$M,Brokerage!H$4)+SUMIFS('YTD Purchases'!$H:$H,'YTD Purchases'!$C:$C,Brokerage!$B215,'YTD Purchases'!$G:$G,Brokerage!H$4)</f>
        <v>0</v>
      </c>
      <c r="I215" s="857">
        <f>SUMIFS('YTD Sales'!$N:$N,'YTD Sales'!$B:$B,Brokerage!$B215,'YTD Sales'!$M:$M,Brokerage!I$4)+SUMIFS('YTD Purchases'!$H:$H,'YTD Purchases'!$C:$C,Brokerage!$B215,'YTD Purchases'!$G:$G,Brokerage!I$4)</f>
        <v>0</v>
      </c>
      <c r="J215" s="857">
        <f>SUMIFS('YTD Sales'!$N:$N,'YTD Sales'!$B:$B,Brokerage!$B215,'YTD Sales'!$M:$M,Brokerage!J$4)+SUMIFS('YTD Purchases'!$H:$H,'YTD Purchases'!$C:$C,Brokerage!$B215,'YTD Purchases'!$G:$G,Brokerage!J$4)</f>
        <v>0</v>
      </c>
      <c r="K215" s="857">
        <f>SUMIFS('YTD Sales'!$N:$N,'YTD Sales'!$B:$B,Brokerage!$B215,'YTD Sales'!$M:$M,Brokerage!K$4)+SUMIFS('YTD Purchases'!$H:$H,'YTD Purchases'!$C:$C,Brokerage!$B215,'YTD Purchases'!$G:$G,Brokerage!K$4)</f>
        <v>0</v>
      </c>
      <c r="L215" s="857">
        <f>SUMIFS('YTD Sales'!$N:$N,'YTD Sales'!$B:$B,Brokerage!$B215,'YTD Sales'!$M:$M,Brokerage!L$4)+SUMIFS('YTD Purchases'!$H:$H,'YTD Purchases'!$C:$C,Brokerage!$B215,'YTD Purchases'!$G:$G,Brokerage!L$4)</f>
        <v>0</v>
      </c>
      <c r="M215" s="857">
        <f>SUMIFS('YTD Sales'!$N:$N,'YTD Sales'!$B:$B,Brokerage!$B215,'YTD Sales'!$M:$M,Brokerage!M$4)+SUMIFS('YTD Purchases'!$H:$H,'YTD Purchases'!$C:$C,Brokerage!$B215,'YTD Purchases'!$G:$G,Brokerage!M$4)</f>
        <v>0</v>
      </c>
      <c r="N215" s="857">
        <f>SUMIFS('YTD Sales'!$N:$N,'YTD Sales'!$B:$B,Brokerage!$B215,'YTD Sales'!$M:$M,Brokerage!N$4)+SUMIFS('YTD Purchases'!$H:$H,'YTD Purchases'!$C:$C,Brokerage!$B215,'YTD Purchases'!$G:$G,Brokerage!N$4)</f>
        <v>0</v>
      </c>
      <c r="O215" s="857">
        <f>SUMIFS('YTD Sales'!$N:$N,'YTD Sales'!$B:$B,Brokerage!$B215,'YTD Sales'!$M:$M,Brokerage!O$4)+SUMIFS('YTD Purchases'!$H:$H,'YTD Purchases'!$C:$C,Brokerage!$B215,'YTD Purchases'!$G:$G,Brokerage!O$4)</f>
        <v>0</v>
      </c>
      <c r="P215" s="857">
        <f>SUMIFS('YTD Sales'!$N:$N,'YTD Sales'!$B:$B,Brokerage!$B215,'YTD Sales'!$M:$M,Brokerage!P$4)+SUMIFS('YTD Purchases'!$H:$H,'YTD Purchases'!$C:$C,Brokerage!$B215,'YTD Purchases'!$G:$G,Brokerage!P$4)</f>
        <v>0</v>
      </c>
      <c r="Q215" s="857">
        <f>SUMIFS('YTD Sales'!$N:$N,'YTD Sales'!$B:$B,Brokerage!$B215,'YTD Sales'!$M:$M,Brokerage!Q$4)+SUMIFS('YTD Purchases'!$H:$H,'YTD Purchases'!$C:$C,Brokerage!$B215,'YTD Purchases'!$G:$G,Brokerage!Q$4)</f>
        <v>0</v>
      </c>
      <c r="R215" s="857">
        <f>SUMIFS('YTD Sales'!$N:$N,'YTD Sales'!$B:$B,Brokerage!$B215,'YTD Sales'!$M:$M,Brokerage!R$4)+SUMIFS('YTD Purchases'!$H:$H,'YTD Purchases'!$C:$C,Brokerage!$B215,'YTD Purchases'!$G:$G,Brokerage!R$4)</f>
        <v>0</v>
      </c>
      <c r="S215" s="857">
        <f>SUMIFS('YTD Sales'!$N:$N,'YTD Sales'!$B:$B,Brokerage!$B215,'YTD Sales'!$M:$M,Brokerage!S$4)+SUMIFS('YTD Purchases'!$H:$H,'YTD Purchases'!$C:$C,Brokerage!$B215,'YTD Purchases'!$G:$G,Brokerage!S$4)</f>
        <v>0</v>
      </c>
      <c r="T215" s="857">
        <f>SUMIFS('YTD Sales'!$N:$N,'YTD Sales'!$B:$B,Brokerage!$B215,'YTD Sales'!$M:$M,Brokerage!T$4)+SUMIFS('YTD Purchases'!$H:$H,'YTD Purchases'!$C:$C,Brokerage!$B215,'YTD Purchases'!$G:$G,Brokerage!T$4)</f>
        <v>0</v>
      </c>
      <c r="U215" s="857">
        <f>SUMIFS('YTD Sales'!$N:$N,'YTD Sales'!$B:$B,Brokerage!$B215,'YTD Sales'!$M:$M,Brokerage!U$4)+SUMIFS('YTD Purchases'!$H:$H,'YTD Purchases'!$C:$C,Brokerage!$B215,'YTD Purchases'!$G:$G,Brokerage!U$4)</f>
        <v>0</v>
      </c>
      <c r="V215" s="857">
        <f>SUMIFS('YTD Sales'!$N:$N,'YTD Sales'!$B:$B,Brokerage!$B215,'YTD Sales'!$M:$M,Brokerage!V$4)+SUMIFS('YTD Purchases'!$H:$H,'YTD Purchases'!$C:$C,Brokerage!$B215,'YTD Purchases'!$G:$G,Brokerage!V$4)</f>
        <v>0</v>
      </c>
      <c r="W215" s="857">
        <f>SUMIFS('YTD Sales'!$N:$N,'YTD Sales'!$B:$B,Brokerage!$B215,'YTD Sales'!$M:$M,Brokerage!W$4)+SUMIFS('YTD Purchases'!$H:$H,'YTD Purchases'!$C:$C,Brokerage!$B215,'YTD Purchases'!$G:$G,Brokerage!W$4)</f>
        <v>0</v>
      </c>
      <c r="X215" s="857">
        <f>SUMIFS('YTD Sales'!$N:$N,'YTD Sales'!$B:$B,Brokerage!$B215,'YTD Sales'!$M:$M,Brokerage!X$4)+SUMIFS('YTD Purchases'!$H:$H,'YTD Purchases'!$C:$C,Brokerage!$B215,'YTD Purchases'!$G:$G,Brokerage!X$4)</f>
        <v>0</v>
      </c>
      <c r="Y215" s="857">
        <f>SUMIFS('YTD Sales'!$N:$N,'YTD Sales'!$B:$B,Brokerage!$B215,'YTD Sales'!$M:$M,Brokerage!Y$4)+SUMIFS('YTD Purchases'!$H:$H,'YTD Purchases'!$C:$C,Brokerage!$B215,'YTD Purchases'!$G:$G,Brokerage!Y$4)</f>
        <v>0</v>
      </c>
      <c r="Z215" s="857">
        <f>SUMIFS('YTD Sales'!$N:$N,'YTD Sales'!$B:$B,Brokerage!$B215,'YTD Sales'!$M:$M,Brokerage!Z$4)+SUMIFS('YTD Purchases'!$H:$H,'YTD Purchases'!$C:$C,Brokerage!$B215,'YTD Purchases'!$G:$G,Brokerage!Z$4)</f>
        <v>0</v>
      </c>
      <c r="AA215" s="857">
        <f>SUMIFS('YTD Sales'!$N:$N,'YTD Sales'!$B:$B,Brokerage!$B215,'YTD Sales'!$M:$M,Brokerage!AA$4)+SUMIFS('YTD Purchases'!$H:$H,'YTD Purchases'!$C:$C,Brokerage!$B215,'YTD Purchases'!$G:$G,Brokerage!AA$4)</f>
        <v>0</v>
      </c>
      <c r="AB215" s="857">
        <f>SUMIFS('YTD Sales'!$N:$N,'YTD Sales'!$B:$B,Brokerage!$B215,'YTD Sales'!$M:$M,Brokerage!AB$4)+SUMIFS('YTD Purchases'!$H:$H,'YTD Purchases'!$C:$C,Brokerage!$B215,'YTD Purchases'!$G:$G,Brokerage!AB$4)</f>
        <v>0</v>
      </c>
      <c r="AC215" s="857">
        <f>SUMIFS('YTD Sales'!$N:$N,'YTD Sales'!$B:$B,Brokerage!$B215,'YTD Sales'!$M:$M,Brokerage!AC$4)+SUMIFS('YTD Purchases'!$H:$H,'YTD Purchases'!$C:$C,Brokerage!$B215,'YTD Purchases'!$G:$G,Brokerage!AC$4)</f>
        <v>0</v>
      </c>
      <c r="AD215" s="857">
        <f>+SUMIFS(PIB!AG:AG,PIB!AF:AF,Brokerage!AD$4,PIB!AA:AA,Brokerage!$B215)+SUMIFS('T-Bills'!AB:AB,'T-Bills'!AA:AA,Brokerage!AD$4,'T-Bills'!V:V,Brokerage!$B215)</f>
        <v>0</v>
      </c>
      <c r="AE215" s="857">
        <f>+SUMIFS(PIB!AH:AH,PIB!AG:AG,Brokerage!AE$4,PIB!AB:AB,Brokerage!$B215)+SUMIFS('T-Bills'!AC:AC,'T-Bills'!AB:AB,Brokerage!AE$4,'T-Bills'!W:W,Brokerage!$B215)</f>
        <v>0</v>
      </c>
      <c r="AF215" s="857">
        <f>+SUMIFS(PIB!AI:AI,PIB!AH:AH,Brokerage!AF$4,PIB!AC:AC,Brokerage!$B215)+SUMIFS('T-Bills'!AD:AD,'T-Bills'!AC:AC,Brokerage!AF$4,'T-Bills'!X:X,Brokerage!$B215)</f>
        <v>0</v>
      </c>
      <c r="AG215" s="857">
        <f t="shared" si="23"/>
        <v>0</v>
      </c>
      <c r="AH215" s="858">
        <f t="shared" si="24"/>
        <v>0</v>
      </c>
    </row>
    <row r="216" spans="2:34" x14ac:dyDescent="0.15">
      <c r="B216" s="661">
        <f t="shared" si="22"/>
        <v>44772</v>
      </c>
      <c r="C216" s="857">
        <f>SUMIFS('YTD Sales'!$N:$N,'YTD Sales'!$B:$B,Brokerage!$B216,'YTD Sales'!$M:$M,Brokerage!C$4)+SUMIFS('YTD Purchases'!$H:$H,'YTD Purchases'!$C:$C,Brokerage!$B216,'YTD Purchases'!$G:$G,Brokerage!C$4)</f>
        <v>0</v>
      </c>
      <c r="D216" s="857">
        <f>SUMIFS('YTD Sales'!$N:$N,'YTD Sales'!$B:$B,Brokerage!$B216,'YTD Sales'!$M:$M,Brokerage!D$4)+SUMIFS('YTD Purchases'!$H:$H,'YTD Purchases'!$C:$C,Brokerage!$B216,'YTD Purchases'!$G:$G,Brokerage!D$4)</f>
        <v>0</v>
      </c>
      <c r="E216" s="857">
        <f>SUMIFS('YTD Sales'!$N:$N,'YTD Sales'!$B:$B,Brokerage!$B216,'YTD Sales'!$M:$M,Brokerage!E$4)+SUMIFS('YTD Purchases'!$H:$H,'YTD Purchases'!$C:$C,Brokerage!$B216,'YTD Purchases'!$G:$G,Brokerage!E$4)</f>
        <v>0</v>
      </c>
      <c r="F216" s="857">
        <f>SUMIFS('YTD Sales'!$N:$N,'YTD Sales'!$B:$B,Brokerage!$B216,'YTD Sales'!$M:$M,Brokerage!F$4)+SUMIFS('YTD Purchases'!$H:$H,'YTD Purchases'!$C:$C,Brokerage!$B216,'YTD Purchases'!$G:$G,Brokerage!F$4)</f>
        <v>0</v>
      </c>
      <c r="G216" s="857">
        <f>SUMIFS('YTD Sales'!$N:$N,'YTD Sales'!$B:$B,Brokerage!$B216,'YTD Sales'!$M:$M,Brokerage!G$4)+SUMIFS('YTD Purchases'!$H:$H,'YTD Purchases'!$C:$C,Brokerage!$B216,'YTD Purchases'!$G:$G,Brokerage!G$4)</f>
        <v>0</v>
      </c>
      <c r="H216" s="857">
        <f>SUMIFS('YTD Sales'!$N:$N,'YTD Sales'!$B:$B,Brokerage!$B216,'YTD Sales'!$M:$M,Brokerage!H$4)+SUMIFS('YTD Purchases'!$H:$H,'YTD Purchases'!$C:$C,Brokerage!$B216,'YTD Purchases'!$G:$G,Brokerage!H$4)</f>
        <v>0</v>
      </c>
      <c r="I216" s="857">
        <f>SUMIFS('YTD Sales'!$N:$N,'YTD Sales'!$B:$B,Brokerage!$B216,'YTD Sales'!$M:$M,Brokerage!I$4)+SUMIFS('YTD Purchases'!$H:$H,'YTD Purchases'!$C:$C,Brokerage!$B216,'YTD Purchases'!$G:$G,Brokerage!I$4)</f>
        <v>0</v>
      </c>
      <c r="J216" s="857">
        <f>SUMIFS('YTD Sales'!$N:$N,'YTD Sales'!$B:$B,Brokerage!$B216,'YTD Sales'!$M:$M,Brokerage!J$4)+SUMIFS('YTD Purchases'!$H:$H,'YTD Purchases'!$C:$C,Brokerage!$B216,'YTD Purchases'!$G:$G,Brokerage!J$4)</f>
        <v>0</v>
      </c>
      <c r="K216" s="857">
        <f>SUMIFS('YTD Sales'!$N:$N,'YTD Sales'!$B:$B,Brokerage!$B216,'YTD Sales'!$M:$M,Brokerage!K$4)+SUMIFS('YTD Purchases'!$H:$H,'YTD Purchases'!$C:$C,Brokerage!$B216,'YTD Purchases'!$G:$G,Brokerage!K$4)</f>
        <v>0</v>
      </c>
      <c r="L216" s="857">
        <f>SUMIFS('YTD Sales'!$N:$N,'YTD Sales'!$B:$B,Brokerage!$B216,'YTD Sales'!$M:$M,Brokerage!L$4)+SUMIFS('YTD Purchases'!$H:$H,'YTD Purchases'!$C:$C,Brokerage!$B216,'YTD Purchases'!$G:$G,Brokerage!L$4)</f>
        <v>0</v>
      </c>
      <c r="M216" s="857">
        <f>SUMIFS('YTD Sales'!$N:$N,'YTD Sales'!$B:$B,Brokerage!$B216,'YTD Sales'!$M:$M,Brokerage!M$4)+SUMIFS('YTD Purchases'!$H:$H,'YTD Purchases'!$C:$C,Brokerage!$B216,'YTD Purchases'!$G:$G,Brokerage!M$4)</f>
        <v>0</v>
      </c>
      <c r="N216" s="857">
        <f>SUMIFS('YTD Sales'!$N:$N,'YTD Sales'!$B:$B,Brokerage!$B216,'YTD Sales'!$M:$M,Brokerage!N$4)+SUMIFS('YTD Purchases'!$H:$H,'YTD Purchases'!$C:$C,Brokerage!$B216,'YTD Purchases'!$G:$G,Brokerage!N$4)</f>
        <v>0</v>
      </c>
      <c r="O216" s="857">
        <f>SUMIFS('YTD Sales'!$N:$N,'YTD Sales'!$B:$B,Brokerage!$B216,'YTD Sales'!$M:$M,Brokerage!O$4)+SUMIFS('YTD Purchases'!$H:$H,'YTD Purchases'!$C:$C,Brokerage!$B216,'YTD Purchases'!$G:$G,Brokerage!O$4)</f>
        <v>0</v>
      </c>
      <c r="P216" s="857">
        <f>SUMIFS('YTD Sales'!$N:$N,'YTD Sales'!$B:$B,Brokerage!$B216,'YTD Sales'!$M:$M,Brokerage!P$4)+SUMIFS('YTD Purchases'!$H:$H,'YTD Purchases'!$C:$C,Brokerage!$B216,'YTD Purchases'!$G:$G,Brokerage!P$4)</f>
        <v>0</v>
      </c>
      <c r="Q216" s="857">
        <f>SUMIFS('YTD Sales'!$N:$N,'YTD Sales'!$B:$B,Brokerage!$B216,'YTD Sales'!$M:$M,Brokerage!Q$4)+SUMIFS('YTD Purchases'!$H:$H,'YTD Purchases'!$C:$C,Brokerage!$B216,'YTD Purchases'!$G:$G,Brokerage!Q$4)</f>
        <v>0</v>
      </c>
      <c r="R216" s="857">
        <f>SUMIFS('YTD Sales'!$N:$N,'YTD Sales'!$B:$B,Brokerage!$B216,'YTD Sales'!$M:$M,Brokerage!R$4)+SUMIFS('YTD Purchases'!$H:$H,'YTD Purchases'!$C:$C,Brokerage!$B216,'YTD Purchases'!$G:$G,Brokerage!R$4)</f>
        <v>0</v>
      </c>
      <c r="S216" s="857">
        <f>SUMIFS('YTD Sales'!$N:$N,'YTD Sales'!$B:$B,Brokerage!$B216,'YTD Sales'!$M:$M,Brokerage!S$4)+SUMIFS('YTD Purchases'!$H:$H,'YTD Purchases'!$C:$C,Brokerage!$B216,'YTD Purchases'!$G:$G,Brokerage!S$4)</f>
        <v>0</v>
      </c>
      <c r="T216" s="857">
        <f>SUMIFS('YTD Sales'!$N:$N,'YTD Sales'!$B:$B,Brokerage!$B216,'YTD Sales'!$M:$M,Brokerage!T$4)+SUMIFS('YTD Purchases'!$H:$H,'YTD Purchases'!$C:$C,Brokerage!$B216,'YTD Purchases'!$G:$G,Brokerage!T$4)</f>
        <v>0</v>
      </c>
      <c r="U216" s="857">
        <f>SUMIFS('YTD Sales'!$N:$N,'YTD Sales'!$B:$B,Brokerage!$B216,'YTD Sales'!$M:$M,Brokerage!U$4)+SUMIFS('YTD Purchases'!$H:$H,'YTD Purchases'!$C:$C,Brokerage!$B216,'YTD Purchases'!$G:$G,Brokerage!U$4)</f>
        <v>0</v>
      </c>
      <c r="V216" s="857">
        <f>SUMIFS('YTD Sales'!$N:$N,'YTD Sales'!$B:$B,Brokerage!$B216,'YTD Sales'!$M:$M,Brokerage!V$4)+SUMIFS('YTD Purchases'!$H:$H,'YTD Purchases'!$C:$C,Brokerage!$B216,'YTD Purchases'!$G:$G,Brokerage!V$4)</f>
        <v>0</v>
      </c>
      <c r="W216" s="857">
        <f>SUMIFS('YTD Sales'!$N:$N,'YTD Sales'!$B:$B,Brokerage!$B216,'YTD Sales'!$M:$M,Brokerage!W$4)+SUMIFS('YTD Purchases'!$H:$H,'YTD Purchases'!$C:$C,Brokerage!$B216,'YTD Purchases'!$G:$G,Brokerage!W$4)</f>
        <v>0</v>
      </c>
      <c r="X216" s="857">
        <f>SUMIFS('YTD Sales'!$N:$N,'YTD Sales'!$B:$B,Brokerage!$B216,'YTD Sales'!$M:$M,Brokerage!X$4)+SUMIFS('YTD Purchases'!$H:$H,'YTD Purchases'!$C:$C,Brokerage!$B216,'YTD Purchases'!$G:$G,Brokerage!X$4)</f>
        <v>0</v>
      </c>
      <c r="Y216" s="857">
        <f>SUMIFS('YTD Sales'!$N:$N,'YTD Sales'!$B:$B,Brokerage!$B216,'YTD Sales'!$M:$M,Brokerage!Y$4)+SUMIFS('YTD Purchases'!$H:$H,'YTD Purchases'!$C:$C,Brokerage!$B216,'YTD Purchases'!$G:$G,Brokerage!Y$4)</f>
        <v>0</v>
      </c>
      <c r="Z216" s="857">
        <f>SUMIFS('YTD Sales'!$N:$N,'YTD Sales'!$B:$B,Brokerage!$B216,'YTD Sales'!$M:$M,Brokerage!Z$4)+SUMIFS('YTD Purchases'!$H:$H,'YTD Purchases'!$C:$C,Brokerage!$B216,'YTD Purchases'!$G:$G,Brokerage!Z$4)</f>
        <v>0</v>
      </c>
      <c r="AA216" s="857">
        <f>SUMIFS('YTD Sales'!$N:$N,'YTD Sales'!$B:$B,Brokerage!$B216,'YTD Sales'!$M:$M,Brokerage!AA$4)+SUMIFS('YTD Purchases'!$H:$H,'YTD Purchases'!$C:$C,Brokerage!$B216,'YTD Purchases'!$G:$G,Brokerage!AA$4)</f>
        <v>0</v>
      </c>
      <c r="AB216" s="857">
        <f>SUMIFS('YTD Sales'!$N:$N,'YTD Sales'!$B:$B,Brokerage!$B216,'YTD Sales'!$M:$M,Brokerage!AB$4)+SUMIFS('YTD Purchases'!$H:$H,'YTD Purchases'!$C:$C,Brokerage!$B216,'YTD Purchases'!$G:$G,Brokerage!AB$4)</f>
        <v>0</v>
      </c>
      <c r="AC216" s="857">
        <f>SUMIFS('YTD Sales'!$N:$N,'YTD Sales'!$B:$B,Brokerage!$B216,'YTD Sales'!$M:$M,Brokerage!AC$4)+SUMIFS('YTD Purchases'!$H:$H,'YTD Purchases'!$C:$C,Brokerage!$B216,'YTD Purchases'!$G:$G,Brokerage!AC$4)</f>
        <v>0</v>
      </c>
      <c r="AD216" s="857">
        <f>+SUMIFS(PIB!AG:AG,PIB!AF:AF,Brokerage!AD$4,PIB!AA:AA,Brokerage!$B216)+SUMIFS('T-Bills'!AB:AB,'T-Bills'!AA:AA,Brokerage!AD$4,'T-Bills'!V:V,Brokerage!$B216)</f>
        <v>0</v>
      </c>
      <c r="AE216" s="857">
        <f>+SUMIFS(PIB!AH:AH,PIB!AG:AG,Brokerage!AE$4,PIB!AB:AB,Brokerage!$B216)+SUMIFS('T-Bills'!AC:AC,'T-Bills'!AB:AB,Brokerage!AE$4,'T-Bills'!W:W,Brokerage!$B216)</f>
        <v>0</v>
      </c>
      <c r="AF216" s="857">
        <f>+SUMIFS(PIB!AI:AI,PIB!AH:AH,Brokerage!AF$4,PIB!AC:AC,Brokerage!$B216)+SUMIFS('T-Bills'!AD:AD,'T-Bills'!AC:AC,Brokerage!AF$4,'T-Bills'!X:X,Brokerage!$B216)</f>
        <v>0</v>
      </c>
      <c r="AG216" s="857">
        <f t="shared" si="23"/>
        <v>0</v>
      </c>
      <c r="AH216" s="858">
        <f t="shared" si="24"/>
        <v>0</v>
      </c>
    </row>
    <row r="217" spans="2:34" x14ac:dyDescent="0.15">
      <c r="B217" s="661">
        <f t="shared" si="22"/>
        <v>44773</v>
      </c>
      <c r="C217" s="857">
        <f>SUMIFS('YTD Sales'!$N:$N,'YTD Sales'!$B:$B,Brokerage!$B217,'YTD Sales'!$M:$M,Brokerage!C$4)+SUMIFS('YTD Purchases'!$H:$H,'YTD Purchases'!$C:$C,Brokerage!$B217,'YTD Purchases'!$G:$G,Brokerage!C$4)</f>
        <v>0</v>
      </c>
      <c r="D217" s="857">
        <f>SUMIFS('YTD Sales'!$N:$N,'YTD Sales'!$B:$B,Brokerage!$B217,'YTD Sales'!$M:$M,Brokerage!D$4)+SUMIFS('YTD Purchases'!$H:$H,'YTD Purchases'!$C:$C,Brokerage!$B217,'YTD Purchases'!$G:$G,Brokerage!D$4)</f>
        <v>0</v>
      </c>
      <c r="E217" s="857">
        <f>SUMIFS('YTD Sales'!$N:$N,'YTD Sales'!$B:$B,Brokerage!$B217,'YTD Sales'!$M:$M,Brokerage!E$4)+SUMIFS('YTD Purchases'!$H:$H,'YTD Purchases'!$C:$C,Brokerage!$B217,'YTD Purchases'!$G:$G,Brokerage!E$4)</f>
        <v>0</v>
      </c>
      <c r="F217" s="857">
        <f>SUMIFS('YTD Sales'!$N:$N,'YTD Sales'!$B:$B,Brokerage!$B217,'YTD Sales'!$M:$M,Brokerage!F$4)+SUMIFS('YTD Purchases'!$H:$H,'YTD Purchases'!$C:$C,Brokerage!$B217,'YTD Purchases'!$G:$G,Brokerage!F$4)</f>
        <v>0</v>
      </c>
      <c r="G217" s="857">
        <f>SUMIFS('YTD Sales'!$N:$N,'YTD Sales'!$B:$B,Brokerage!$B217,'YTD Sales'!$M:$M,Brokerage!G$4)+SUMIFS('YTD Purchases'!$H:$H,'YTD Purchases'!$C:$C,Brokerage!$B217,'YTD Purchases'!$G:$G,Brokerage!G$4)</f>
        <v>0</v>
      </c>
      <c r="H217" s="857">
        <f>SUMIFS('YTD Sales'!$N:$N,'YTD Sales'!$B:$B,Brokerage!$B217,'YTD Sales'!$M:$M,Brokerage!H$4)+SUMIFS('YTD Purchases'!$H:$H,'YTD Purchases'!$C:$C,Brokerage!$B217,'YTD Purchases'!$G:$G,Brokerage!H$4)</f>
        <v>0</v>
      </c>
      <c r="I217" s="857">
        <f>SUMIFS('YTD Sales'!$N:$N,'YTD Sales'!$B:$B,Brokerage!$B217,'YTD Sales'!$M:$M,Brokerage!I$4)+SUMIFS('YTD Purchases'!$H:$H,'YTD Purchases'!$C:$C,Brokerage!$B217,'YTD Purchases'!$G:$G,Brokerage!I$4)</f>
        <v>0</v>
      </c>
      <c r="J217" s="857">
        <f>SUMIFS('YTD Sales'!$N:$N,'YTD Sales'!$B:$B,Brokerage!$B217,'YTD Sales'!$M:$M,Brokerage!J$4)+SUMIFS('YTD Purchases'!$H:$H,'YTD Purchases'!$C:$C,Brokerage!$B217,'YTD Purchases'!$G:$G,Brokerage!J$4)</f>
        <v>0</v>
      </c>
      <c r="K217" s="857">
        <f>SUMIFS('YTD Sales'!$N:$N,'YTD Sales'!$B:$B,Brokerage!$B217,'YTD Sales'!$M:$M,Brokerage!K$4)+SUMIFS('YTD Purchases'!$H:$H,'YTD Purchases'!$C:$C,Brokerage!$B217,'YTD Purchases'!$G:$G,Brokerage!K$4)</f>
        <v>0</v>
      </c>
      <c r="L217" s="857">
        <f>SUMIFS('YTD Sales'!$N:$N,'YTD Sales'!$B:$B,Brokerage!$B217,'YTD Sales'!$M:$M,Brokerage!L$4)+SUMIFS('YTD Purchases'!$H:$H,'YTD Purchases'!$C:$C,Brokerage!$B217,'YTD Purchases'!$G:$G,Brokerage!L$4)</f>
        <v>0</v>
      </c>
      <c r="M217" s="857">
        <f>SUMIFS('YTD Sales'!$N:$N,'YTD Sales'!$B:$B,Brokerage!$B217,'YTD Sales'!$M:$M,Brokerage!M$4)+SUMIFS('YTD Purchases'!$H:$H,'YTD Purchases'!$C:$C,Brokerage!$B217,'YTD Purchases'!$G:$G,Brokerage!M$4)</f>
        <v>0</v>
      </c>
      <c r="N217" s="857">
        <f>SUMIFS('YTD Sales'!$N:$N,'YTD Sales'!$B:$B,Brokerage!$B217,'YTD Sales'!$M:$M,Brokerage!N$4)+SUMIFS('YTD Purchases'!$H:$H,'YTD Purchases'!$C:$C,Brokerage!$B217,'YTD Purchases'!$G:$G,Brokerage!N$4)</f>
        <v>0</v>
      </c>
      <c r="O217" s="857">
        <f>SUMIFS('YTD Sales'!$N:$N,'YTD Sales'!$B:$B,Brokerage!$B217,'YTD Sales'!$M:$M,Brokerage!O$4)+SUMIFS('YTD Purchases'!$H:$H,'YTD Purchases'!$C:$C,Brokerage!$B217,'YTD Purchases'!$G:$G,Brokerage!O$4)</f>
        <v>0</v>
      </c>
      <c r="P217" s="857">
        <f>SUMIFS('YTD Sales'!$N:$N,'YTD Sales'!$B:$B,Brokerage!$B217,'YTD Sales'!$M:$M,Brokerage!P$4)+SUMIFS('YTD Purchases'!$H:$H,'YTD Purchases'!$C:$C,Brokerage!$B217,'YTD Purchases'!$G:$G,Brokerage!P$4)</f>
        <v>0</v>
      </c>
      <c r="Q217" s="857">
        <f>SUMIFS('YTD Sales'!$N:$N,'YTD Sales'!$B:$B,Brokerage!$B217,'YTD Sales'!$M:$M,Brokerage!Q$4)+SUMIFS('YTD Purchases'!$H:$H,'YTD Purchases'!$C:$C,Brokerage!$B217,'YTD Purchases'!$G:$G,Brokerage!Q$4)</f>
        <v>0</v>
      </c>
      <c r="R217" s="857">
        <f>SUMIFS('YTD Sales'!$N:$N,'YTD Sales'!$B:$B,Brokerage!$B217,'YTD Sales'!$M:$M,Brokerage!R$4)+SUMIFS('YTD Purchases'!$H:$H,'YTD Purchases'!$C:$C,Brokerage!$B217,'YTD Purchases'!$G:$G,Brokerage!R$4)</f>
        <v>0</v>
      </c>
      <c r="S217" s="857">
        <f>SUMIFS('YTD Sales'!$N:$N,'YTD Sales'!$B:$B,Brokerage!$B217,'YTD Sales'!$M:$M,Brokerage!S$4)+SUMIFS('YTD Purchases'!$H:$H,'YTD Purchases'!$C:$C,Brokerage!$B217,'YTD Purchases'!$G:$G,Brokerage!S$4)</f>
        <v>0</v>
      </c>
      <c r="T217" s="857">
        <f>SUMIFS('YTD Sales'!$N:$N,'YTD Sales'!$B:$B,Brokerage!$B217,'YTD Sales'!$M:$M,Brokerage!T$4)+SUMIFS('YTD Purchases'!$H:$H,'YTD Purchases'!$C:$C,Brokerage!$B217,'YTD Purchases'!$G:$G,Brokerage!T$4)</f>
        <v>0</v>
      </c>
      <c r="U217" s="857">
        <f>SUMIFS('YTD Sales'!$N:$N,'YTD Sales'!$B:$B,Brokerage!$B217,'YTD Sales'!$M:$M,Brokerage!U$4)+SUMIFS('YTD Purchases'!$H:$H,'YTD Purchases'!$C:$C,Brokerage!$B217,'YTD Purchases'!$G:$G,Brokerage!U$4)</f>
        <v>0</v>
      </c>
      <c r="V217" s="857">
        <f>SUMIFS('YTD Sales'!$N:$N,'YTD Sales'!$B:$B,Brokerage!$B217,'YTD Sales'!$M:$M,Brokerage!V$4)+SUMIFS('YTD Purchases'!$H:$H,'YTD Purchases'!$C:$C,Brokerage!$B217,'YTD Purchases'!$G:$G,Brokerage!V$4)</f>
        <v>0</v>
      </c>
      <c r="W217" s="857">
        <f>SUMIFS('YTD Sales'!$N:$N,'YTD Sales'!$B:$B,Brokerage!$B217,'YTD Sales'!$M:$M,Brokerage!W$4)+SUMIFS('YTD Purchases'!$H:$H,'YTD Purchases'!$C:$C,Brokerage!$B217,'YTD Purchases'!$G:$G,Brokerage!W$4)</f>
        <v>0</v>
      </c>
      <c r="X217" s="857">
        <f>SUMIFS('YTD Sales'!$N:$N,'YTD Sales'!$B:$B,Brokerage!$B217,'YTD Sales'!$M:$M,Brokerage!X$4)+SUMIFS('YTD Purchases'!$H:$H,'YTD Purchases'!$C:$C,Brokerage!$B217,'YTD Purchases'!$G:$G,Brokerage!X$4)</f>
        <v>0</v>
      </c>
      <c r="Y217" s="857">
        <f>SUMIFS('YTD Sales'!$N:$N,'YTD Sales'!$B:$B,Brokerage!$B217,'YTD Sales'!$M:$M,Brokerage!Y$4)+SUMIFS('YTD Purchases'!$H:$H,'YTD Purchases'!$C:$C,Brokerage!$B217,'YTD Purchases'!$G:$G,Brokerage!Y$4)</f>
        <v>0</v>
      </c>
      <c r="Z217" s="857">
        <f>SUMIFS('YTD Sales'!$N:$N,'YTD Sales'!$B:$B,Brokerage!$B217,'YTD Sales'!$M:$M,Brokerage!Z$4)+SUMIFS('YTD Purchases'!$H:$H,'YTD Purchases'!$C:$C,Brokerage!$B217,'YTD Purchases'!$G:$G,Brokerage!Z$4)</f>
        <v>0</v>
      </c>
      <c r="AA217" s="857">
        <f>SUMIFS('YTD Sales'!$N:$N,'YTD Sales'!$B:$B,Brokerage!$B217,'YTD Sales'!$M:$M,Brokerage!AA$4)+SUMIFS('YTD Purchases'!$H:$H,'YTD Purchases'!$C:$C,Brokerage!$B217,'YTD Purchases'!$G:$G,Brokerage!AA$4)</f>
        <v>0</v>
      </c>
      <c r="AB217" s="857">
        <f>SUMIFS('YTD Sales'!$N:$N,'YTD Sales'!$B:$B,Brokerage!$B217,'YTD Sales'!$M:$M,Brokerage!AB$4)+SUMIFS('YTD Purchases'!$H:$H,'YTD Purchases'!$C:$C,Brokerage!$B217,'YTD Purchases'!$G:$G,Brokerage!AB$4)</f>
        <v>0</v>
      </c>
      <c r="AC217" s="857">
        <f>SUMIFS('YTD Sales'!$N:$N,'YTD Sales'!$B:$B,Brokerage!$B217,'YTD Sales'!$M:$M,Brokerage!AC$4)+SUMIFS('YTD Purchases'!$H:$H,'YTD Purchases'!$C:$C,Brokerage!$B217,'YTD Purchases'!$G:$G,Brokerage!AC$4)</f>
        <v>0</v>
      </c>
      <c r="AD217" s="857">
        <f>+SUMIFS(PIB!AG:AG,PIB!AF:AF,Brokerage!AD$4,PIB!AA:AA,Brokerage!$B217)+SUMIFS('T-Bills'!AB:AB,'T-Bills'!AA:AA,Brokerage!AD$4,'T-Bills'!V:V,Brokerage!$B217)</f>
        <v>0</v>
      </c>
      <c r="AE217" s="857">
        <f>+SUMIFS(PIB!AH:AH,PIB!AG:AG,Brokerage!AE$4,PIB!AB:AB,Brokerage!$B217)+SUMIFS('T-Bills'!AC:AC,'T-Bills'!AB:AB,Brokerage!AE$4,'T-Bills'!W:W,Brokerage!$B217)</f>
        <v>0</v>
      </c>
      <c r="AF217" s="857">
        <f>+SUMIFS(PIB!AI:AI,PIB!AH:AH,Brokerage!AF$4,PIB!AC:AC,Brokerage!$B217)+SUMIFS('T-Bills'!AD:AD,'T-Bills'!AC:AC,Brokerage!AF$4,'T-Bills'!X:X,Brokerage!$B217)</f>
        <v>0</v>
      </c>
      <c r="AG217" s="857">
        <f t="shared" si="23"/>
        <v>0</v>
      </c>
      <c r="AH217" s="858">
        <f t="shared" si="24"/>
        <v>0</v>
      </c>
    </row>
    <row r="218" spans="2:34" x14ac:dyDescent="0.15">
      <c r="B218" s="661">
        <f t="shared" si="22"/>
        <v>44774</v>
      </c>
      <c r="C218" s="857">
        <f>SUMIFS('YTD Sales'!$N:$N,'YTD Sales'!$B:$B,Brokerage!$B218,'YTD Sales'!$M:$M,Brokerage!C$4)+SUMIFS('YTD Purchases'!$H:$H,'YTD Purchases'!$C:$C,Brokerage!$B218,'YTD Purchases'!$G:$G,Brokerage!C$4)</f>
        <v>0</v>
      </c>
      <c r="D218" s="857">
        <f>SUMIFS('YTD Sales'!$N:$N,'YTD Sales'!$B:$B,Brokerage!$B218,'YTD Sales'!$M:$M,Brokerage!D$4)+SUMIFS('YTD Purchases'!$H:$H,'YTD Purchases'!$C:$C,Brokerage!$B218,'YTD Purchases'!$G:$G,Brokerage!D$4)</f>
        <v>0</v>
      </c>
      <c r="E218" s="857">
        <f>SUMIFS('YTD Sales'!$N:$N,'YTD Sales'!$B:$B,Brokerage!$B218,'YTD Sales'!$M:$M,Brokerage!E$4)+SUMIFS('YTD Purchases'!$H:$H,'YTD Purchases'!$C:$C,Brokerage!$B218,'YTD Purchases'!$G:$G,Brokerage!E$4)</f>
        <v>0</v>
      </c>
      <c r="F218" s="857">
        <f>SUMIFS('YTD Sales'!$N:$N,'YTD Sales'!$B:$B,Brokerage!$B218,'YTD Sales'!$M:$M,Brokerage!F$4)+SUMIFS('YTD Purchases'!$H:$H,'YTD Purchases'!$C:$C,Brokerage!$B218,'YTD Purchases'!$G:$G,Brokerage!F$4)</f>
        <v>0</v>
      </c>
      <c r="G218" s="857">
        <f>SUMIFS('YTD Sales'!$N:$N,'YTD Sales'!$B:$B,Brokerage!$B218,'YTD Sales'!$M:$M,Brokerage!G$4)+SUMIFS('YTD Purchases'!$H:$H,'YTD Purchases'!$C:$C,Brokerage!$B218,'YTD Purchases'!$G:$G,Brokerage!G$4)</f>
        <v>0</v>
      </c>
      <c r="H218" s="857">
        <f>SUMIFS('YTD Sales'!$N:$N,'YTD Sales'!$B:$B,Brokerage!$B218,'YTD Sales'!$M:$M,Brokerage!H$4)+SUMIFS('YTD Purchases'!$H:$H,'YTD Purchases'!$C:$C,Brokerage!$B218,'YTD Purchases'!$G:$G,Brokerage!H$4)</f>
        <v>0</v>
      </c>
      <c r="I218" s="857">
        <f>SUMIFS('YTD Sales'!$N:$N,'YTD Sales'!$B:$B,Brokerage!$B218,'YTD Sales'!$M:$M,Brokerage!I$4)+SUMIFS('YTD Purchases'!$H:$H,'YTD Purchases'!$C:$C,Brokerage!$B218,'YTD Purchases'!$G:$G,Brokerage!I$4)</f>
        <v>0</v>
      </c>
      <c r="J218" s="857">
        <f>SUMIFS('YTD Sales'!$N:$N,'YTD Sales'!$B:$B,Brokerage!$B218,'YTD Sales'!$M:$M,Brokerage!J$4)+SUMIFS('YTD Purchases'!$H:$H,'YTD Purchases'!$C:$C,Brokerage!$B218,'YTD Purchases'!$G:$G,Brokerage!J$4)</f>
        <v>0</v>
      </c>
      <c r="K218" s="857">
        <f>SUMIFS('YTD Sales'!$N:$N,'YTD Sales'!$B:$B,Brokerage!$B218,'YTD Sales'!$M:$M,Brokerage!K$4)+SUMIFS('YTD Purchases'!$H:$H,'YTD Purchases'!$C:$C,Brokerage!$B218,'YTD Purchases'!$G:$G,Brokerage!K$4)</f>
        <v>0</v>
      </c>
      <c r="L218" s="857">
        <f>SUMIFS('YTD Sales'!$N:$N,'YTD Sales'!$B:$B,Brokerage!$B218,'YTD Sales'!$M:$M,Brokerage!L$4)+SUMIFS('YTD Purchases'!$H:$H,'YTD Purchases'!$C:$C,Brokerage!$B218,'YTD Purchases'!$G:$G,Brokerage!L$4)</f>
        <v>0</v>
      </c>
      <c r="M218" s="857">
        <f>SUMIFS('YTD Sales'!$N:$N,'YTD Sales'!$B:$B,Brokerage!$B218,'YTD Sales'!$M:$M,Brokerage!M$4)+SUMIFS('YTD Purchases'!$H:$H,'YTD Purchases'!$C:$C,Brokerage!$B218,'YTD Purchases'!$G:$G,Brokerage!M$4)</f>
        <v>0</v>
      </c>
      <c r="N218" s="857">
        <f>SUMIFS('YTD Sales'!$N:$N,'YTD Sales'!$B:$B,Brokerage!$B218,'YTD Sales'!$M:$M,Brokerage!N$4)+SUMIFS('YTD Purchases'!$H:$H,'YTD Purchases'!$C:$C,Brokerage!$B218,'YTD Purchases'!$G:$G,Brokerage!N$4)</f>
        <v>0</v>
      </c>
      <c r="O218" s="857">
        <f>SUMIFS('YTD Sales'!$N:$N,'YTD Sales'!$B:$B,Brokerage!$B218,'YTD Sales'!$M:$M,Brokerage!O$4)+SUMIFS('YTD Purchases'!$H:$H,'YTD Purchases'!$C:$C,Brokerage!$B218,'YTD Purchases'!$G:$G,Brokerage!O$4)</f>
        <v>0</v>
      </c>
      <c r="P218" s="857">
        <f>SUMIFS('YTD Sales'!$N:$N,'YTD Sales'!$B:$B,Brokerage!$B218,'YTD Sales'!$M:$M,Brokerage!P$4)+SUMIFS('YTD Purchases'!$H:$H,'YTD Purchases'!$C:$C,Brokerage!$B218,'YTD Purchases'!$G:$G,Brokerage!P$4)</f>
        <v>0</v>
      </c>
      <c r="Q218" s="857">
        <f>SUMIFS('YTD Sales'!$N:$N,'YTD Sales'!$B:$B,Brokerage!$B218,'YTD Sales'!$M:$M,Brokerage!Q$4)+SUMIFS('YTD Purchases'!$H:$H,'YTD Purchases'!$C:$C,Brokerage!$B218,'YTD Purchases'!$G:$G,Brokerage!Q$4)</f>
        <v>0</v>
      </c>
      <c r="R218" s="857">
        <f>SUMIFS('YTD Sales'!$N:$N,'YTD Sales'!$B:$B,Brokerage!$B218,'YTD Sales'!$M:$M,Brokerage!R$4)+SUMIFS('YTD Purchases'!$H:$H,'YTD Purchases'!$C:$C,Brokerage!$B218,'YTD Purchases'!$G:$G,Brokerage!R$4)</f>
        <v>0</v>
      </c>
      <c r="S218" s="857">
        <f>SUMIFS('YTD Sales'!$N:$N,'YTD Sales'!$B:$B,Brokerage!$B218,'YTD Sales'!$M:$M,Brokerage!S$4)+SUMIFS('YTD Purchases'!$H:$H,'YTD Purchases'!$C:$C,Brokerage!$B218,'YTD Purchases'!$G:$G,Brokerage!S$4)</f>
        <v>0</v>
      </c>
      <c r="T218" s="857">
        <f>SUMIFS('YTD Sales'!$N:$N,'YTD Sales'!$B:$B,Brokerage!$B218,'YTD Sales'!$M:$M,Brokerage!T$4)+SUMIFS('YTD Purchases'!$H:$H,'YTD Purchases'!$C:$C,Brokerage!$B218,'YTD Purchases'!$G:$G,Brokerage!T$4)</f>
        <v>0</v>
      </c>
      <c r="U218" s="857">
        <f>SUMIFS('YTD Sales'!$N:$N,'YTD Sales'!$B:$B,Brokerage!$B218,'YTD Sales'!$M:$M,Brokerage!U$4)+SUMIFS('YTD Purchases'!$H:$H,'YTD Purchases'!$C:$C,Brokerage!$B218,'YTD Purchases'!$G:$G,Brokerage!U$4)</f>
        <v>0</v>
      </c>
      <c r="V218" s="857">
        <f>SUMIFS('YTD Sales'!$N:$N,'YTD Sales'!$B:$B,Brokerage!$B218,'YTD Sales'!$M:$M,Brokerage!V$4)+SUMIFS('YTD Purchases'!$H:$H,'YTD Purchases'!$C:$C,Brokerage!$B218,'YTD Purchases'!$G:$G,Brokerage!V$4)</f>
        <v>0</v>
      </c>
      <c r="W218" s="857">
        <f>SUMIFS('YTD Sales'!$N:$N,'YTD Sales'!$B:$B,Brokerage!$B218,'YTD Sales'!$M:$M,Brokerage!W$4)+SUMIFS('YTD Purchases'!$H:$H,'YTD Purchases'!$C:$C,Brokerage!$B218,'YTD Purchases'!$G:$G,Brokerage!W$4)</f>
        <v>0</v>
      </c>
      <c r="X218" s="857">
        <f>SUMIFS('YTD Sales'!$N:$N,'YTD Sales'!$B:$B,Brokerage!$B218,'YTD Sales'!$M:$M,Brokerage!X$4)+SUMIFS('YTD Purchases'!$H:$H,'YTD Purchases'!$C:$C,Brokerage!$B218,'YTD Purchases'!$G:$G,Brokerage!X$4)</f>
        <v>0</v>
      </c>
      <c r="Y218" s="857">
        <f>SUMIFS('YTD Sales'!$N:$N,'YTD Sales'!$B:$B,Brokerage!$B218,'YTD Sales'!$M:$M,Brokerage!Y$4)+SUMIFS('YTD Purchases'!$H:$H,'YTD Purchases'!$C:$C,Brokerage!$B218,'YTD Purchases'!$G:$G,Brokerage!Y$4)</f>
        <v>0</v>
      </c>
      <c r="Z218" s="857">
        <f>SUMIFS('YTD Sales'!$N:$N,'YTD Sales'!$B:$B,Brokerage!$B218,'YTD Sales'!$M:$M,Brokerage!Z$4)+SUMIFS('YTD Purchases'!$H:$H,'YTD Purchases'!$C:$C,Brokerage!$B218,'YTD Purchases'!$G:$G,Brokerage!Z$4)</f>
        <v>0</v>
      </c>
      <c r="AA218" s="857">
        <f>SUMIFS('YTD Sales'!$N:$N,'YTD Sales'!$B:$B,Brokerage!$B218,'YTD Sales'!$M:$M,Brokerage!AA$4)+SUMIFS('YTD Purchases'!$H:$H,'YTD Purchases'!$C:$C,Brokerage!$B218,'YTD Purchases'!$G:$G,Brokerage!AA$4)</f>
        <v>0</v>
      </c>
      <c r="AB218" s="857">
        <f>SUMIFS('YTD Sales'!$N:$N,'YTD Sales'!$B:$B,Brokerage!$B218,'YTD Sales'!$M:$M,Brokerage!AB$4)+SUMIFS('YTD Purchases'!$H:$H,'YTD Purchases'!$C:$C,Brokerage!$B218,'YTD Purchases'!$G:$G,Brokerage!AB$4)</f>
        <v>0</v>
      </c>
      <c r="AC218" s="857">
        <f>SUMIFS('YTD Sales'!$N:$N,'YTD Sales'!$B:$B,Brokerage!$B218,'YTD Sales'!$M:$M,Brokerage!AC$4)+SUMIFS('YTD Purchases'!$H:$H,'YTD Purchases'!$C:$C,Brokerage!$B218,'YTD Purchases'!$G:$G,Brokerage!AC$4)</f>
        <v>0</v>
      </c>
      <c r="AD218" s="857">
        <f>+SUMIFS(PIB!AG:AG,PIB!AF:AF,Brokerage!AD$4,PIB!AA:AA,Brokerage!$B218)+SUMIFS('T-Bills'!AB:AB,'T-Bills'!AA:AA,Brokerage!AD$4,'T-Bills'!V:V,Brokerage!$B218)</f>
        <v>0</v>
      </c>
      <c r="AE218" s="857">
        <f>+SUMIFS(PIB!AH:AH,PIB!AG:AG,Brokerage!AE$4,PIB!AB:AB,Brokerage!$B218)+SUMIFS('T-Bills'!AC:AC,'T-Bills'!AB:AB,Brokerage!AE$4,'T-Bills'!W:W,Brokerage!$B218)</f>
        <v>0</v>
      </c>
      <c r="AF218" s="857">
        <f>+SUMIFS(PIB!AI:AI,PIB!AH:AH,Brokerage!AF$4,PIB!AC:AC,Brokerage!$B218)+SUMIFS('T-Bills'!AD:AD,'T-Bills'!AC:AC,Brokerage!AF$4,'T-Bills'!X:X,Brokerage!$B218)</f>
        <v>0</v>
      </c>
      <c r="AG218" s="857">
        <f t="shared" si="23"/>
        <v>0</v>
      </c>
      <c r="AH218" s="858">
        <f t="shared" si="24"/>
        <v>0</v>
      </c>
    </row>
    <row r="219" spans="2:34" x14ac:dyDescent="0.15">
      <c r="B219" s="661">
        <f t="shared" si="22"/>
        <v>44775</v>
      </c>
      <c r="C219" s="857">
        <f>SUMIFS('YTD Sales'!$N:$N,'YTD Sales'!$B:$B,Brokerage!$B219,'YTD Sales'!$M:$M,Brokerage!C$4)+SUMIFS('YTD Purchases'!$H:$H,'YTD Purchases'!$C:$C,Brokerage!$B219,'YTD Purchases'!$G:$G,Brokerage!C$4)</f>
        <v>0</v>
      </c>
      <c r="D219" s="857">
        <f>SUMIFS('YTD Sales'!$N:$N,'YTD Sales'!$B:$B,Brokerage!$B219,'YTD Sales'!$M:$M,Brokerage!D$4)+SUMIFS('YTD Purchases'!$H:$H,'YTD Purchases'!$C:$C,Brokerage!$B219,'YTD Purchases'!$G:$G,Brokerage!D$4)</f>
        <v>0</v>
      </c>
      <c r="E219" s="857">
        <f>SUMIFS('YTD Sales'!$N:$N,'YTD Sales'!$B:$B,Brokerage!$B219,'YTD Sales'!$M:$M,Brokerage!E$4)+SUMIFS('YTD Purchases'!$H:$H,'YTD Purchases'!$C:$C,Brokerage!$B219,'YTD Purchases'!$G:$G,Brokerage!E$4)</f>
        <v>0</v>
      </c>
      <c r="F219" s="857">
        <f>SUMIFS('YTD Sales'!$N:$N,'YTD Sales'!$B:$B,Brokerage!$B219,'YTD Sales'!$M:$M,Brokerage!F$4)+SUMIFS('YTD Purchases'!$H:$H,'YTD Purchases'!$C:$C,Brokerage!$B219,'YTD Purchases'!$G:$G,Brokerage!F$4)</f>
        <v>0</v>
      </c>
      <c r="G219" s="857">
        <f>SUMIFS('YTD Sales'!$N:$N,'YTD Sales'!$B:$B,Brokerage!$B219,'YTD Sales'!$M:$M,Brokerage!G$4)+SUMIFS('YTD Purchases'!$H:$H,'YTD Purchases'!$C:$C,Brokerage!$B219,'YTD Purchases'!$G:$G,Brokerage!G$4)</f>
        <v>0</v>
      </c>
      <c r="H219" s="857">
        <f>SUMIFS('YTD Sales'!$N:$N,'YTD Sales'!$B:$B,Brokerage!$B219,'YTD Sales'!$M:$M,Brokerage!H$4)+SUMIFS('YTD Purchases'!$H:$H,'YTD Purchases'!$C:$C,Brokerage!$B219,'YTD Purchases'!$G:$G,Brokerage!H$4)</f>
        <v>0</v>
      </c>
      <c r="I219" s="857">
        <f>SUMIFS('YTD Sales'!$N:$N,'YTD Sales'!$B:$B,Brokerage!$B219,'YTD Sales'!$M:$M,Brokerage!I$4)+SUMIFS('YTD Purchases'!$H:$H,'YTD Purchases'!$C:$C,Brokerage!$B219,'YTD Purchases'!$G:$G,Brokerage!I$4)</f>
        <v>0</v>
      </c>
      <c r="J219" s="857">
        <f>SUMIFS('YTD Sales'!$N:$N,'YTD Sales'!$B:$B,Brokerage!$B219,'YTD Sales'!$M:$M,Brokerage!J$4)+SUMIFS('YTD Purchases'!$H:$H,'YTD Purchases'!$C:$C,Brokerage!$B219,'YTD Purchases'!$G:$G,Brokerage!J$4)</f>
        <v>0</v>
      </c>
      <c r="K219" s="857">
        <f>SUMIFS('YTD Sales'!$N:$N,'YTD Sales'!$B:$B,Brokerage!$B219,'YTD Sales'!$M:$M,Brokerage!K$4)+SUMIFS('YTD Purchases'!$H:$H,'YTD Purchases'!$C:$C,Brokerage!$B219,'YTD Purchases'!$G:$G,Brokerage!K$4)</f>
        <v>0</v>
      </c>
      <c r="L219" s="857">
        <f>SUMIFS('YTD Sales'!$N:$N,'YTD Sales'!$B:$B,Brokerage!$B219,'YTD Sales'!$M:$M,Brokerage!L$4)+SUMIFS('YTD Purchases'!$H:$H,'YTD Purchases'!$C:$C,Brokerage!$B219,'YTD Purchases'!$G:$G,Brokerage!L$4)</f>
        <v>0</v>
      </c>
      <c r="M219" s="857">
        <f>SUMIFS('YTD Sales'!$N:$N,'YTD Sales'!$B:$B,Brokerage!$B219,'YTD Sales'!$M:$M,Brokerage!M$4)+SUMIFS('YTD Purchases'!$H:$H,'YTD Purchases'!$C:$C,Brokerage!$B219,'YTD Purchases'!$G:$G,Brokerage!M$4)</f>
        <v>0</v>
      </c>
      <c r="N219" s="857">
        <f>SUMIFS('YTD Sales'!$N:$N,'YTD Sales'!$B:$B,Brokerage!$B219,'YTD Sales'!$M:$M,Brokerage!N$4)+SUMIFS('YTD Purchases'!$H:$H,'YTD Purchases'!$C:$C,Brokerage!$B219,'YTD Purchases'!$G:$G,Brokerage!N$4)</f>
        <v>0</v>
      </c>
      <c r="O219" s="857">
        <f>SUMIFS('YTD Sales'!$N:$N,'YTD Sales'!$B:$B,Brokerage!$B219,'YTD Sales'!$M:$M,Brokerage!O$4)+SUMIFS('YTD Purchases'!$H:$H,'YTD Purchases'!$C:$C,Brokerage!$B219,'YTD Purchases'!$G:$G,Brokerage!O$4)</f>
        <v>0</v>
      </c>
      <c r="P219" s="857">
        <f>SUMIFS('YTD Sales'!$N:$N,'YTD Sales'!$B:$B,Brokerage!$B219,'YTD Sales'!$M:$M,Brokerage!P$4)+SUMIFS('YTD Purchases'!$H:$H,'YTD Purchases'!$C:$C,Brokerage!$B219,'YTD Purchases'!$G:$G,Brokerage!P$4)</f>
        <v>0</v>
      </c>
      <c r="Q219" s="857">
        <f>SUMIFS('YTD Sales'!$N:$N,'YTD Sales'!$B:$B,Brokerage!$B219,'YTD Sales'!$M:$M,Brokerage!Q$4)+SUMIFS('YTD Purchases'!$H:$H,'YTD Purchases'!$C:$C,Brokerage!$B219,'YTD Purchases'!$G:$G,Brokerage!Q$4)</f>
        <v>0</v>
      </c>
      <c r="R219" s="857">
        <f>SUMIFS('YTD Sales'!$N:$N,'YTD Sales'!$B:$B,Brokerage!$B219,'YTD Sales'!$M:$M,Brokerage!R$4)+SUMIFS('YTD Purchases'!$H:$H,'YTD Purchases'!$C:$C,Brokerage!$B219,'YTD Purchases'!$G:$G,Brokerage!R$4)</f>
        <v>0</v>
      </c>
      <c r="S219" s="857">
        <f>SUMIFS('YTD Sales'!$N:$N,'YTD Sales'!$B:$B,Brokerage!$B219,'YTD Sales'!$M:$M,Brokerage!S$4)+SUMIFS('YTD Purchases'!$H:$H,'YTD Purchases'!$C:$C,Brokerage!$B219,'YTD Purchases'!$G:$G,Brokerage!S$4)</f>
        <v>0</v>
      </c>
      <c r="T219" s="857">
        <f>SUMIFS('YTD Sales'!$N:$N,'YTD Sales'!$B:$B,Brokerage!$B219,'YTD Sales'!$M:$M,Brokerage!T$4)+SUMIFS('YTD Purchases'!$H:$H,'YTD Purchases'!$C:$C,Brokerage!$B219,'YTD Purchases'!$G:$G,Brokerage!T$4)</f>
        <v>0</v>
      </c>
      <c r="U219" s="857">
        <f>SUMIFS('YTD Sales'!$N:$N,'YTD Sales'!$B:$B,Brokerage!$B219,'YTD Sales'!$M:$M,Brokerage!U$4)+SUMIFS('YTD Purchases'!$H:$H,'YTD Purchases'!$C:$C,Brokerage!$B219,'YTD Purchases'!$G:$G,Brokerage!U$4)</f>
        <v>0</v>
      </c>
      <c r="V219" s="857">
        <f>SUMIFS('YTD Sales'!$N:$N,'YTD Sales'!$B:$B,Brokerage!$B219,'YTD Sales'!$M:$M,Brokerage!V$4)+SUMIFS('YTD Purchases'!$H:$H,'YTD Purchases'!$C:$C,Brokerage!$B219,'YTD Purchases'!$G:$G,Brokerage!V$4)</f>
        <v>0</v>
      </c>
      <c r="W219" s="857">
        <f>SUMIFS('YTD Sales'!$N:$N,'YTD Sales'!$B:$B,Brokerage!$B219,'YTD Sales'!$M:$M,Brokerage!W$4)+SUMIFS('YTD Purchases'!$H:$H,'YTD Purchases'!$C:$C,Brokerage!$B219,'YTD Purchases'!$G:$G,Brokerage!W$4)</f>
        <v>0</v>
      </c>
      <c r="X219" s="857">
        <f>SUMIFS('YTD Sales'!$N:$N,'YTD Sales'!$B:$B,Brokerage!$B219,'YTD Sales'!$M:$M,Brokerage!X$4)+SUMIFS('YTD Purchases'!$H:$H,'YTD Purchases'!$C:$C,Brokerage!$B219,'YTD Purchases'!$G:$G,Brokerage!X$4)</f>
        <v>0</v>
      </c>
      <c r="Y219" s="857">
        <f>SUMIFS('YTD Sales'!$N:$N,'YTD Sales'!$B:$B,Brokerage!$B219,'YTD Sales'!$M:$M,Brokerage!Y$4)+SUMIFS('YTD Purchases'!$H:$H,'YTD Purchases'!$C:$C,Brokerage!$B219,'YTD Purchases'!$G:$G,Brokerage!Y$4)</f>
        <v>0</v>
      </c>
      <c r="Z219" s="857">
        <f>SUMIFS('YTD Sales'!$N:$N,'YTD Sales'!$B:$B,Brokerage!$B219,'YTD Sales'!$M:$M,Brokerage!Z$4)+SUMIFS('YTD Purchases'!$H:$H,'YTD Purchases'!$C:$C,Brokerage!$B219,'YTD Purchases'!$G:$G,Brokerage!Z$4)</f>
        <v>0</v>
      </c>
      <c r="AA219" s="857">
        <f>SUMIFS('YTD Sales'!$N:$N,'YTD Sales'!$B:$B,Brokerage!$B219,'YTD Sales'!$M:$M,Brokerage!AA$4)+SUMIFS('YTD Purchases'!$H:$H,'YTD Purchases'!$C:$C,Brokerage!$B219,'YTD Purchases'!$G:$G,Brokerage!AA$4)</f>
        <v>0</v>
      </c>
      <c r="AB219" s="857">
        <f>SUMIFS('YTD Sales'!$N:$N,'YTD Sales'!$B:$B,Brokerage!$B219,'YTD Sales'!$M:$M,Brokerage!AB$4)+SUMIFS('YTD Purchases'!$H:$H,'YTD Purchases'!$C:$C,Brokerage!$B219,'YTD Purchases'!$G:$G,Brokerage!AB$4)</f>
        <v>0</v>
      </c>
      <c r="AC219" s="857">
        <f>SUMIFS('YTD Sales'!$N:$N,'YTD Sales'!$B:$B,Brokerage!$B219,'YTD Sales'!$M:$M,Brokerage!AC$4)+SUMIFS('YTD Purchases'!$H:$H,'YTD Purchases'!$C:$C,Brokerage!$B219,'YTD Purchases'!$G:$G,Brokerage!AC$4)</f>
        <v>0</v>
      </c>
      <c r="AD219" s="857">
        <f>+SUMIFS(PIB!AG:AG,PIB!AF:AF,Brokerage!AD$4,PIB!AA:AA,Brokerage!$B219)+SUMIFS('T-Bills'!AB:AB,'T-Bills'!AA:AA,Brokerage!AD$4,'T-Bills'!V:V,Brokerage!$B219)</f>
        <v>0</v>
      </c>
      <c r="AE219" s="857">
        <f>+SUMIFS(PIB!AH:AH,PIB!AG:AG,Brokerage!AE$4,PIB!AB:AB,Brokerage!$B219)+SUMIFS('T-Bills'!AC:AC,'T-Bills'!AB:AB,Brokerage!AE$4,'T-Bills'!W:W,Brokerage!$B219)</f>
        <v>0</v>
      </c>
      <c r="AF219" s="857">
        <f>+SUMIFS(PIB!AI:AI,PIB!AH:AH,Brokerage!AF$4,PIB!AC:AC,Brokerage!$B219)+SUMIFS('T-Bills'!AD:AD,'T-Bills'!AC:AC,Brokerage!AF$4,'T-Bills'!X:X,Brokerage!$B219)</f>
        <v>0</v>
      </c>
      <c r="AG219" s="857">
        <f t="shared" si="23"/>
        <v>0</v>
      </c>
      <c r="AH219" s="858">
        <f t="shared" si="24"/>
        <v>0</v>
      </c>
    </row>
    <row r="220" spans="2:34" x14ac:dyDescent="0.15">
      <c r="B220" s="661">
        <f t="shared" si="22"/>
        <v>44776</v>
      </c>
      <c r="C220" s="857">
        <f>SUMIFS('YTD Sales'!$N:$N,'YTD Sales'!$B:$B,Brokerage!$B220,'YTD Sales'!$M:$M,Brokerage!C$4)+SUMIFS('YTD Purchases'!$H:$H,'YTD Purchases'!$C:$C,Brokerage!$B220,'YTD Purchases'!$G:$G,Brokerage!C$4)</f>
        <v>0</v>
      </c>
      <c r="D220" s="857">
        <f>SUMIFS('YTD Sales'!$N:$N,'YTD Sales'!$B:$B,Brokerage!$B220,'YTD Sales'!$M:$M,Brokerage!D$4)+SUMIFS('YTD Purchases'!$H:$H,'YTD Purchases'!$C:$C,Brokerage!$B220,'YTD Purchases'!$G:$G,Brokerage!D$4)</f>
        <v>0</v>
      </c>
      <c r="E220" s="857">
        <f>SUMIFS('YTD Sales'!$N:$N,'YTD Sales'!$B:$B,Brokerage!$B220,'YTD Sales'!$M:$M,Brokerage!E$4)+SUMIFS('YTD Purchases'!$H:$H,'YTD Purchases'!$C:$C,Brokerage!$B220,'YTD Purchases'!$G:$G,Brokerage!E$4)</f>
        <v>0</v>
      </c>
      <c r="F220" s="857">
        <f>SUMIFS('YTD Sales'!$N:$N,'YTD Sales'!$B:$B,Brokerage!$B220,'YTD Sales'!$M:$M,Brokerage!F$4)+SUMIFS('YTD Purchases'!$H:$H,'YTD Purchases'!$C:$C,Brokerage!$B220,'YTD Purchases'!$G:$G,Brokerage!F$4)</f>
        <v>0</v>
      </c>
      <c r="G220" s="857">
        <f>SUMIFS('YTD Sales'!$N:$N,'YTD Sales'!$B:$B,Brokerage!$B220,'YTD Sales'!$M:$M,Brokerage!G$4)+SUMIFS('YTD Purchases'!$H:$H,'YTD Purchases'!$C:$C,Brokerage!$B220,'YTD Purchases'!$G:$G,Brokerage!G$4)</f>
        <v>0</v>
      </c>
      <c r="H220" s="857">
        <f>SUMIFS('YTD Sales'!$N:$N,'YTD Sales'!$B:$B,Brokerage!$B220,'YTD Sales'!$M:$M,Brokerage!H$4)+SUMIFS('YTD Purchases'!$H:$H,'YTD Purchases'!$C:$C,Brokerage!$B220,'YTD Purchases'!$G:$G,Brokerage!H$4)</f>
        <v>0</v>
      </c>
      <c r="I220" s="857">
        <f>SUMIFS('YTD Sales'!$N:$N,'YTD Sales'!$B:$B,Brokerage!$B220,'YTD Sales'!$M:$M,Brokerage!I$4)+SUMIFS('YTD Purchases'!$H:$H,'YTD Purchases'!$C:$C,Brokerage!$B220,'YTD Purchases'!$G:$G,Brokerage!I$4)</f>
        <v>0</v>
      </c>
      <c r="J220" s="857">
        <f>SUMIFS('YTD Sales'!$N:$N,'YTD Sales'!$B:$B,Brokerage!$B220,'YTD Sales'!$M:$M,Brokerage!J$4)+SUMIFS('YTD Purchases'!$H:$H,'YTD Purchases'!$C:$C,Brokerage!$B220,'YTD Purchases'!$G:$G,Brokerage!J$4)</f>
        <v>0</v>
      </c>
      <c r="K220" s="857">
        <f>SUMIFS('YTD Sales'!$N:$N,'YTD Sales'!$B:$B,Brokerage!$B220,'YTD Sales'!$M:$M,Brokerage!K$4)+SUMIFS('YTD Purchases'!$H:$H,'YTD Purchases'!$C:$C,Brokerage!$B220,'YTD Purchases'!$G:$G,Brokerage!K$4)</f>
        <v>0</v>
      </c>
      <c r="L220" s="857">
        <f>SUMIFS('YTD Sales'!$N:$N,'YTD Sales'!$B:$B,Brokerage!$B220,'YTD Sales'!$M:$M,Brokerage!L$4)+SUMIFS('YTD Purchases'!$H:$H,'YTD Purchases'!$C:$C,Brokerage!$B220,'YTD Purchases'!$G:$G,Brokerage!L$4)</f>
        <v>0</v>
      </c>
      <c r="M220" s="857">
        <f>SUMIFS('YTD Sales'!$N:$N,'YTD Sales'!$B:$B,Brokerage!$B220,'YTD Sales'!$M:$M,Brokerage!M$4)+SUMIFS('YTD Purchases'!$H:$H,'YTD Purchases'!$C:$C,Brokerage!$B220,'YTD Purchases'!$G:$G,Brokerage!M$4)</f>
        <v>0</v>
      </c>
      <c r="N220" s="857">
        <f>SUMIFS('YTD Sales'!$N:$N,'YTD Sales'!$B:$B,Brokerage!$B220,'YTD Sales'!$M:$M,Brokerage!N$4)+SUMIFS('YTD Purchases'!$H:$H,'YTD Purchases'!$C:$C,Brokerage!$B220,'YTD Purchases'!$G:$G,Brokerage!N$4)</f>
        <v>0</v>
      </c>
      <c r="O220" s="857">
        <f>SUMIFS('YTD Sales'!$N:$N,'YTD Sales'!$B:$B,Brokerage!$B220,'YTD Sales'!$M:$M,Brokerage!O$4)+SUMIFS('YTD Purchases'!$H:$H,'YTD Purchases'!$C:$C,Brokerage!$B220,'YTD Purchases'!$G:$G,Brokerage!O$4)</f>
        <v>0</v>
      </c>
      <c r="P220" s="857">
        <f>SUMIFS('YTD Sales'!$N:$N,'YTD Sales'!$B:$B,Brokerage!$B220,'YTD Sales'!$M:$M,Brokerage!P$4)+SUMIFS('YTD Purchases'!$H:$H,'YTD Purchases'!$C:$C,Brokerage!$B220,'YTD Purchases'!$G:$G,Brokerage!P$4)</f>
        <v>0</v>
      </c>
      <c r="Q220" s="857">
        <f>SUMIFS('YTD Sales'!$N:$N,'YTD Sales'!$B:$B,Brokerage!$B220,'YTD Sales'!$M:$M,Brokerage!Q$4)+SUMIFS('YTD Purchases'!$H:$H,'YTD Purchases'!$C:$C,Brokerage!$B220,'YTD Purchases'!$G:$G,Brokerage!Q$4)</f>
        <v>0</v>
      </c>
      <c r="R220" s="857">
        <f>SUMIFS('YTD Sales'!$N:$N,'YTD Sales'!$B:$B,Brokerage!$B220,'YTD Sales'!$M:$M,Brokerage!R$4)+SUMIFS('YTD Purchases'!$H:$H,'YTD Purchases'!$C:$C,Brokerage!$B220,'YTD Purchases'!$G:$G,Brokerage!R$4)</f>
        <v>0</v>
      </c>
      <c r="S220" s="857">
        <f>SUMIFS('YTD Sales'!$N:$N,'YTD Sales'!$B:$B,Brokerage!$B220,'YTD Sales'!$M:$M,Brokerage!S$4)+SUMIFS('YTD Purchases'!$H:$H,'YTD Purchases'!$C:$C,Brokerage!$B220,'YTD Purchases'!$G:$G,Brokerage!S$4)</f>
        <v>0</v>
      </c>
      <c r="T220" s="857">
        <f>SUMIFS('YTD Sales'!$N:$N,'YTD Sales'!$B:$B,Brokerage!$B220,'YTD Sales'!$M:$M,Brokerage!T$4)+SUMIFS('YTD Purchases'!$H:$H,'YTD Purchases'!$C:$C,Brokerage!$B220,'YTD Purchases'!$G:$G,Brokerage!T$4)</f>
        <v>0</v>
      </c>
      <c r="U220" s="857">
        <f>SUMIFS('YTD Sales'!$N:$N,'YTD Sales'!$B:$B,Brokerage!$B220,'YTD Sales'!$M:$M,Brokerage!U$4)+SUMIFS('YTD Purchases'!$H:$H,'YTD Purchases'!$C:$C,Brokerage!$B220,'YTD Purchases'!$G:$G,Brokerage!U$4)</f>
        <v>0</v>
      </c>
      <c r="V220" s="857">
        <f>SUMIFS('YTD Sales'!$N:$N,'YTD Sales'!$B:$B,Brokerage!$B220,'YTD Sales'!$M:$M,Brokerage!V$4)+SUMIFS('YTD Purchases'!$H:$H,'YTD Purchases'!$C:$C,Brokerage!$B220,'YTD Purchases'!$G:$G,Brokerage!V$4)</f>
        <v>0</v>
      </c>
      <c r="W220" s="857">
        <f>SUMIFS('YTD Sales'!$N:$N,'YTD Sales'!$B:$B,Brokerage!$B220,'YTD Sales'!$M:$M,Brokerage!W$4)+SUMIFS('YTD Purchases'!$H:$H,'YTD Purchases'!$C:$C,Brokerage!$B220,'YTD Purchases'!$G:$G,Brokerage!W$4)</f>
        <v>0</v>
      </c>
      <c r="X220" s="857">
        <f>SUMIFS('YTD Sales'!$N:$N,'YTD Sales'!$B:$B,Brokerage!$B220,'YTD Sales'!$M:$M,Brokerage!X$4)+SUMIFS('YTD Purchases'!$H:$H,'YTD Purchases'!$C:$C,Brokerage!$B220,'YTD Purchases'!$G:$G,Brokerage!X$4)</f>
        <v>0</v>
      </c>
      <c r="Y220" s="857">
        <f>SUMIFS('YTD Sales'!$N:$N,'YTD Sales'!$B:$B,Brokerage!$B220,'YTD Sales'!$M:$M,Brokerage!Y$4)+SUMIFS('YTD Purchases'!$H:$H,'YTD Purchases'!$C:$C,Brokerage!$B220,'YTD Purchases'!$G:$G,Brokerage!Y$4)</f>
        <v>0</v>
      </c>
      <c r="Z220" s="857">
        <f>SUMIFS('YTD Sales'!$N:$N,'YTD Sales'!$B:$B,Brokerage!$B220,'YTD Sales'!$M:$M,Brokerage!Z$4)+SUMIFS('YTD Purchases'!$H:$H,'YTD Purchases'!$C:$C,Brokerage!$B220,'YTD Purchases'!$G:$G,Brokerage!Z$4)</f>
        <v>0</v>
      </c>
      <c r="AA220" s="857">
        <f>SUMIFS('YTD Sales'!$N:$N,'YTD Sales'!$B:$B,Brokerage!$B220,'YTD Sales'!$M:$M,Brokerage!AA$4)+SUMIFS('YTD Purchases'!$H:$H,'YTD Purchases'!$C:$C,Brokerage!$B220,'YTD Purchases'!$G:$G,Brokerage!AA$4)</f>
        <v>0</v>
      </c>
      <c r="AB220" s="857">
        <f>SUMIFS('YTD Sales'!$N:$N,'YTD Sales'!$B:$B,Brokerage!$B220,'YTD Sales'!$M:$M,Brokerage!AB$4)+SUMIFS('YTD Purchases'!$H:$H,'YTD Purchases'!$C:$C,Brokerage!$B220,'YTD Purchases'!$G:$G,Brokerage!AB$4)</f>
        <v>0</v>
      </c>
      <c r="AC220" s="857">
        <f>SUMIFS('YTD Sales'!$N:$N,'YTD Sales'!$B:$B,Brokerage!$B220,'YTD Sales'!$M:$M,Brokerage!AC$4)+SUMIFS('YTD Purchases'!$H:$H,'YTD Purchases'!$C:$C,Brokerage!$B220,'YTD Purchases'!$G:$G,Brokerage!AC$4)</f>
        <v>0</v>
      </c>
      <c r="AD220" s="857">
        <f>+SUMIFS(PIB!AG:AG,PIB!AF:AF,Brokerage!AD$4,PIB!AA:AA,Brokerage!$B220)+SUMIFS('T-Bills'!AB:AB,'T-Bills'!AA:AA,Brokerage!AD$4,'T-Bills'!V:V,Brokerage!$B220)</f>
        <v>0</v>
      </c>
      <c r="AE220" s="857">
        <f>+SUMIFS(PIB!AH:AH,PIB!AG:AG,Brokerage!AE$4,PIB!AB:AB,Brokerage!$B220)+SUMIFS('T-Bills'!AC:AC,'T-Bills'!AB:AB,Brokerage!AE$4,'T-Bills'!W:W,Brokerage!$B220)</f>
        <v>0</v>
      </c>
      <c r="AF220" s="857">
        <f>+SUMIFS(PIB!AI:AI,PIB!AH:AH,Brokerage!AF$4,PIB!AC:AC,Brokerage!$B220)+SUMIFS('T-Bills'!AD:AD,'T-Bills'!AC:AC,Brokerage!AF$4,'T-Bills'!X:X,Brokerage!$B220)</f>
        <v>0</v>
      </c>
      <c r="AG220" s="857">
        <f t="shared" si="23"/>
        <v>0</v>
      </c>
      <c r="AH220" s="858">
        <f t="shared" si="24"/>
        <v>0</v>
      </c>
    </row>
    <row r="221" spans="2:34" x14ac:dyDescent="0.15">
      <c r="B221" s="661">
        <f t="shared" si="22"/>
        <v>44777</v>
      </c>
      <c r="C221" s="857">
        <f>SUMIFS('YTD Sales'!$N:$N,'YTD Sales'!$B:$B,Brokerage!$B221,'YTD Sales'!$M:$M,Brokerage!C$4)+SUMIFS('YTD Purchases'!$H:$H,'YTD Purchases'!$C:$C,Brokerage!$B221,'YTD Purchases'!$G:$G,Brokerage!C$4)</f>
        <v>0</v>
      </c>
      <c r="D221" s="857">
        <f>SUMIFS('YTD Sales'!$N:$N,'YTD Sales'!$B:$B,Brokerage!$B221,'YTD Sales'!$M:$M,Brokerage!D$4)+SUMIFS('YTD Purchases'!$H:$H,'YTD Purchases'!$C:$C,Brokerage!$B221,'YTD Purchases'!$G:$G,Brokerage!D$4)</f>
        <v>0</v>
      </c>
      <c r="E221" s="857">
        <f>SUMIFS('YTD Sales'!$N:$N,'YTD Sales'!$B:$B,Brokerage!$B221,'YTD Sales'!$M:$M,Brokerage!E$4)+SUMIFS('YTD Purchases'!$H:$H,'YTD Purchases'!$C:$C,Brokerage!$B221,'YTD Purchases'!$G:$G,Brokerage!E$4)</f>
        <v>0</v>
      </c>
      <c r="F221" s="857">
        <f>SUMIFS('YTD Sales'!$N:$N,'YTD Sales'!$B:$B,Brokerage!$B221,'YTD Sales'!$M:$M,Brokerage!F$4)+SUMIFS('YTD Purchases'!$H:$H,'YTD Purchases'!$C:$C,Brokerage!$B221,'YTD Purchases'!$G:$G,Brokerage!F$4)</f>
        <v>0</v>
      </c>
      <c r="G221" s="857">
        <f>SUMIFS('YTD Sales'!$N:$N,'YTD Sales'!$B:$B,Brokerage!$B221,'YTD Sales'!$M:$M,Brokerage!G$4)+SUMIFS('YTD Purchases'!$H:$H,'YTD Purchases'!$C:$C,Brokerage!$B221,'YTD Purchases'!$G:$G,Brokerage!G$4)</f>
        <v>0</v>
      </c>
      <c r="H221" s="857">
        <f>SUMIFS('YTD Sales'!$N:$N,'YTD Sales'!$B:$B,Brokerage!$B221,'YTD Sales'!$M:$M,Brokerage!H$4)+SUMIFS('YTD Purchases'!$H:$H,'YTD Purchases'!$C:$C,Brokerage!$B221,'YTD Purchases'!$G:$G,Brokerage!H$4)</f>
        <v>0</v>
      </c>
      <c r="I221" s="857">
        <f>SUMIFS('YTD Sales'!$N:$N,'YTD Sales'!$B:$B,Brokerage!$B221,'YTD Sales'!$M:$M,Brokerage!I$4)+SUMIFS('YTD Purchases'!$H:$H,'YTD Purchases'!$C:$C,Brokerage!$B221,'YTD Purchases'!$G:$G,Brokerage!I$4)</f>
        <v>0</v>
      </c>
      <c r="J221" s="857">
        <f>SUMIFS('YTD Sales'!$N:$N,'YTD Sales'!$B:$B,Brokerage!$B221,'YTD Sales'!$M:$M,Brokerage!J$4)+SUMIFS('YTD Purchases'!$H:$H,'YTD Purchases'!$C:$C,Brokerage!$B221,'YTD Purchases'!$G:$G,Brokerage!J$4)</f>
        <v>0</v>
      </c>
      <c r="K221" s="857">
        <f>SUMIFS('YTD Sales'!$N:$N,'YTD Sales'!$B:$B,Brokerage!$B221,'YTD Sales'!$M:$M,Brokerage!K$4)+SUMIFS('YTD Purchases'!$H:$H,'YTD Purchases'!$C:$C,Brokerage!$B221,'YTD Purchases'!$G:$G,Brokerage!K$4)</f>
        <v>0</v>
      </c>
      <c r="L221" s="857">
        <f>SUMIFS('YTD Sales'!$N:$N,'YTD Sales'!$B:$B,Brokerage!$B221,'YTD Sales'!$M:$M,Brokerage!L$4)+SUMIFS('YTD Purchases'!$H:$H,'YTD Purchases'!$C:$C,Brokerage!$B221,'YTD Purchases'!$G:$G,Brokerage!L$4)</f>
        <v>0</v>
      </c>
      <c r="M221" s="857">
        <f>SUMIFS('YTD Sales'!$N:$N,'YTD Sales'!$B:$B,Brokerage!$B221,'YTD Sales'!$M:$M,Brokerage!M$4)+SUMIFS('YTD Purchases'!$H:$H,'YTD Purchases'!$C:$C,Brokerage!$B221,'YTD Purchases'!$G:$G,Brokerage!M$4)</f>
        <v>0</v>
      </c>
      <c r="N221" s="857">
        <f>SUMIFS('YTD Sales'!$N:$N,'YTD Sales'!$B:$B,Brokerage!$B221,'YTD Sales'!$M:$M,Brokerage!N$4)+SUMIFS('YTD Purchases'!$H:$H,'YTD Purchases'!$C:$C,Brokerage!$B221,'YTD Purchases'!$G:$G,Brokerage!N$4)</f>
        <v>0</v>
      </c>
      <c r="O221" s="857">
        <f>SUMIFS('YTD Sales'!$N:$N,'YTD Sales'!$B:$B,Brokerage!$B221,'YTD Sales'!$M:$M,Brokerage!O$4)+SUMIFS('YTD Purchases'!$H:$H,'YTD Purchases'!$C:$C,Brokerage!$B221,'YTD Purchases'!$G:$G,Brokerage!O$4)</f>
        <v>0</v>
      </c>
      <c r="P221" s="857">
        <f>SUMIFS('YTD Sales'!$N:$N,'YTD Sales'!$B:$B,Brokerage!$B221,'YTD Sales'!$M:$M,Brokerage!P$4)+SUMIFS('YTD Purchases'!$H:$H,'YTD Purchases'!$C:$C,Brokerage!$B221,'YTD Purchases'!$G:$G,Brokerage!P$4)</f>
        <v>0</v>
      </c>
      <c r="Q221" s="857">
        <f>SUMIFS('YTD Sales'!$N:$N,'YTD Sales'!$B:$B,Brokerage!$B221,'YTD Sales'!$M:$M,Brokerage!Q$4)+SUMIFS('YTD Purchases'!$H:$H,'YTD Purchases'!$C:$C,Brokerage!$B221,'YTD Purchases'!$G:$G,Brokerage!Q$4)</f>
        <v>0</v>
      </c>
      <c r="R221" s="857">
        <f>SUMIFS('YTD Sales'!$N:$N,'YTD Sales'!$B:$B,Brokerage!$B221,'YTD Sales'!$M:$M,Brokerage!R$4)+SUMIFS('YTD Purchases'!$H:$H,'YTD Purchases'!$C:$C,Brokerage!$B221,'YTD Purchases'!$G:$G,Brokerage!R$4)</f>
        <v>0</v>
      </c>
      <c r="S221" s="857">
        <f>SUMIFS('YTD Sales'!$N:$N,'YTD Sales'!$B:$B,Brokerage!$B221,'YTD Sales'!$M:$M,Brokerage!S$4)+SUMIFS('YTD Purchases'!$H:$H,'YTD Purchases'!$C:$C,Brokerage!$B221,'YTD Purchases'!$G:$G,Brokerage!S$4)</f>
        <v>0</v>
      </c>
      <c r="T221" s="857">
        <f>SUMIFS('YTD Sales'!$N:$N,'YTD Sales'!$B:$B,Brokerage!$B221,'YTD Sales'!$M:$M,Brokerage!T$4)+SUMIFS('YTD Purchases'!$H:$H,'YTD Purchases'!$C:$C,Brokerage!$B221,'YTD Purchases'!$G:$G,Brokerage!T$4)</f>
        <v>0</v>
      </c>
      <c r="U221" s="857">
        <f>SUMIFS('YTD Sales'!$N:$N,'YTD Sales'!$B:$B,Brokerage!$B221,'YTD Sales'!$M:$M,Brokerage!U$4)+SUMIFS('YTD Purchases'!$H:$H,'YTD Purchases'!$C:$C,Brokerage!$B221,'YTD Purchases'!$G:$G,Brokerage!U$4)</f>
        <v>0</v>
      </c>
      <c r="V221" s="857">
        <f>SUMIFS('YTD Sales'!$N:$N,'YTD Sales'!$B:$B,Brokerage!$B221,'YTD Sales'!$M:$M,Brokerage!V$4)+SUMIFS('YTD Purchases'!$H:$H,'YTD Purchases'!$C:$C,Brokerage!$B221,'YTD Purchases'!$G:$G,Brokerage!V$4)</f>
        <v>0</v>
      </c>
      <c r="W221" s="857">
        <f>SUMIFS('YTD Sales'!$N:$N,'YTD Sales'!$B:$B,Brokerage!$B221,'YTD Sales'!$M:$M,Brokerage!W$4)+SUMIFS('YTD Purchases'!$H:$H,'YTD Purchases'!$C:$C,Brokerage!$B221,'YTD Purchases'!$G:$G,Brokerage!W$4)</f>
        <v>0</v>
      </c>
      <c r="X221" s="857">
        <f>SUMIFS('YTD Sales'!$N:$N,'YTD Sales'!$B:$B,Brokerage!$B221,'YTD Sales'!$M:$M,Brokerage!X$4)+SUMIFS('YTD Purchases'!$H:$H,'YTD Purchases'!$C:$C,Brokerage!$B221,'YTD Purchases'!$G:$G,Brokerage!X$4)</f>
        <v>0</v>
      </c>
      <c r="Y221" s="857">
        <f>SUMIFS('YTD Sales'!$N:$N,'YTD Sales'!$B:$B,Brokerage!$B221,'YTD Sales'!$M:$M,Brokerage!Y$4)+SUMIFS('YTD Purchases'!$H:$H,'YTD Purchases'!$C:$C,Brokerage!$B221,'YTD Purchases'!$G:$G,Brokerage!Y$4)</f>
        <v>0</v>
      </c>
      <c r="Z221" s="857">
        <f>SUMIFS('YTD Sales'!$N:$N,'YTD Sales'!$B:$B,Brokerage!$B221,'YTD Sales'!$M:$M,Brokerage!Z$4)+SUMIFS('YTD Purchases'!$H:$H,'YTD Purchases'!$C:$C,Brokerage!$B221,'YTD Purchases'!$G:$G,Brokerage!Z$4)</f>
        <v>0</v>
      </c>
      <c r="AA221" s="857">
        <f>SUMIFS('YTD Sales'!$N:$N,'YTD Sales'!$B:$B,Brokerage!$B221,'YTD Sales'!$M:$M,Brokerage!AA$4)+SUMIFS('YTD Purchases'!$H:$H,'YTD Purchases'!$C:$C,Brokerage!$B221,'YTD Purchases'!$G:$G,Brokerage!AA$4)</f>
        <v>0</v>
      </c>
      <c r="AB221" s="857">
        <f>SUMIFS('YTD Sales'!$N:$N,'YTD Sales'!$B:$B,Brokerage!$B221,'YTD Sales'!$M:$M,Brokerage!AB$4)+SUMIFS('YTD Purchases'!$H:$H,'YTD Purchases'!$C:$C,Brokerage!$B221,'YTD Purchases'!$G:$G,Brokerage!AB$4)</f>
        <v>0</v>
      </c>
      <c r="AC221" s="857">
        <f>SUMIFS('YTD Sales'!$N:$N,'YTD Sales'!$B:$B,Brokerage!$B221,'YTD Sales'!$M:$M,Brokerage!AC$4)+SUMIFS('YTD Purchases'!$H:$H,'YTD Purchases'!$C:$C,Brokerage!$B221,'YTD Purchases'!$G:$G,Brokerage!AC$4)</f>
        <v>0</v>
      </c>
      <c r="AD221" s="857">
        <f>+SUMIFS(PIB!AG:AG,PIB!AF:AF,Brokerage!AD$4,PIB!AA:AA,Brokerage!$B221)+SUMIFS('T-Bills'!AB:AB,'T-Bills'!AA:AA,Brokerage!AD$4,'T-Bills'!V:V,Brokerage!$B221)</f>
        <v>0</v>
      </c>
      <c r="AE221" s="857">
        <f>+SUMIFS(PIB!AH:AH,PIB!AG:AG,Brokerage!AE$4,PIB!AB:AB,Brokerage!$B221)+SUMIFS('T-Bills'!AC:AC,'T-Bills'!AB:AB,Brokerage!AE$4,'T-Bills'!W:W,Brokerage!$B221)</f>
        <v>0</v>
      </c>
      <c r="AF221" s="857">
        <f>+SUMIFS(PIB!AI:AI,PIB!AH:AH,Brokerage!AF$4,PIB!AC:AC,Brokerage!$B221)+SUMIFS('T-Bills'!AD:AD,'T-Bills'!AC:AC,Brokerage!AF$4,'T-Bills'!X:X,Brokerage!$B221)</f>
        <v>0</v>
      </c>
      <c r="AG221" s="857">
        <f t="shared" si="23"/>
        <v>0</v>
      </c>
      <c r="AH221" s="858">
        <f t="shared" si="24"/>
        <v>0</v>
      </c>
    </row>
    <row r="222" spans="2:34" x14ac:dyDescent="0.15">
      <c r="B222" s="661">
        <f t="shared" si="22"/>
        <v>44778</v>
      </c>
      <c r="C222" s="857">
        <f>SUMIFS('YTD Sales'!$N:$N,'YTD Sales'!$B:$B,Brokerage!$B222,'YTD Sales'!$M:$M,Brokerage!C$4)+SUMIFS('YTD Purchases'!$H:$H,'YTD Purchases'!$C:$C,Brokerage!$B222,'YTD Purchases'!$G:$G,Brokerage!C$4)</f>
        <v>0</v>
      </c>
      <c r="D222" s="857">
        <f>SUMIFS('YTD Sales'!$N:$N,'YTD Sales'!$B:$B,Brokerage!$B222,'YTD Sales'!$M:$M,Brokerage!D$4)+SUMIFS('YTD Purchases'!$H:$H,'YTD Purchases'!$C:$C,Brokerage!$B222,'YTD Purchases'!$G:$G,Brokerage!D$4)</f>
        <v>0</v>
      </c>
      <c r="E222" s="857">
        <f>SUMIFS('YTD Sales'!$N:$N,'YTD Sales'!$B:$B,Brokerage!$B222,'YTD Sales'!$M:$M,Brokerage!E$4)+SUMIFS('YTD Purchases'!$H:$H,'YTD Purchases'!$C:$C,Brokerage!$B222,'YTD Purchases'!$G:$G,Brokerage!E$4)</f>
        <v>0</v>
      </c>
      <c r="F222" s="857">
        <f>SUMIFS('YTD Sales'!$N:$N,'YTD Sales'!$B:$B,Brokerage!$B222,'YTD Sales'!$M:$M,Brokerage!F$4)+SUMIFS('YTD Purchases'!$H:$H,'YTD Purchases'!$C:$C,Brokerage!$B222,'YTD Purchases'!$G:$G,Brokerage!F$4)</f>
        <v>0</v>
      </c>
      <c r="G222" s="857">
        <f>SUMIFS('YTD Sales'!$N:$N,'YTD Sales'!$B:$B,Brokerage!$B222,'YTD Sales'!$M:$M,Brokerage!G$4)+SUMIFS('YTD Purchases'!$H:$H,'YTD Purchases'!$C:$C,Brokerage!$B222,'YTD Purchases'!$G:$G,Brokerage!G$4)</f>
        <v>0</v>
      </c>
      <c r="H222" s="857">
        <f>SUMIFS('YTD Sales'!$N:$N,'YTD Sales'!$B:$B,Brokerage!$B222,'YTD Sales'!$M:$M,Brokerage!H$4)+SUMIFS('YTD Purchases'!$H:$H,'YTD Purchases'!$C:$C,Brokerage!$B222,'YTD Purchases'!$G:$G,Brokerage!H$4)</f>
        <v>0</v>
      </c>
      <c r="I222" s="857">
        <f>SUMIFS('YTD Sales'!$N:$N,'YTD Sales'!$B:$B,Brokerage!$B222,'YTD Sales'!$M:$M,Brokerage!I$4)+SUMIFS('YTD Purchases'!$H:$H,'YTD Purchases'!$C:$C,Brokerage!$B222,'YTD Purchases'!$G:$G,Brokerage!I$4)</f>
        <v>0</v>
      </c>
      <c r="J222" s="857">
        <f>SUMIFS('YTD Sales'!$N:$N,'YTD Sales'!$B:$B,Brokerage!$B222,'YTD Sales'!$M:$M,Brokerage!J$4)+SUMIFS('YTD Purchases'!$H:$H,'YTD Purchases'!$C:$C,Brokerage!$B222,'YTD Purchases'!$G:$G,Brokerage!J$4)</f>
        <v>0</v>
      </c>
      <c r="K222" s="857">
        <f>SUMIFS('YTD Sales'!$N:$N,'YTD Sales'!$B:$B,Brokerage!$B222,'YTD Sales'!$M:$M,Brokerage!K$4)+SUMIFS('YTD Purchases'!$H:$H,'YTD Purchases'!$C:$C,Brokerage!$B222,'YTD Purchases'!$G:$G,Brokerage!K$4)</f>
        <v>0</v>
      </c>
      <c r="L222" s="857">
        <f>SUMIFS('YTD Sales'!$N:$N,'YTD Sales'!$B:$B,Brokerage!$B222,'YTD Sales'!$M:$M,Brokerage!L$4)+SUMIFS('YTD Purchases'!$H:$H,'YTD Purchases'!$C:$C,Brokerage!$B222,'YTD Purchases'!$G:$G,Brokerage!L$4)</f>
        <v>0</v>
      </c>
      <c r="M222" s="857">
        <f>SUMIFS('YTD Sales'!$N:$N,'YTD Sales'!$B:$B,Brokerage!$B222,'YTD Sales'!$M:$M,Brokerage!M$4)+SUMIFS('YTD Purchases'!$H:$H,'YTD Purchases'!$C:$C,Brokerage!$B222,'YTD Purchases'!$G:$G,Brokerage!M$4)</f>
        <v>0</v>
      </c>
      <c r="N222" s="857">
        <f>SUMIFS('YTD Sales'!$N:$N,'YTD Sales'!$B:$B,Brokerage!$B222,'YTD Sales'!$M:$M,Brokerage!N$4)+SUMIFS('YTD Purchases'!$H:$H,'YTD Purchases'!$C:$C,Brokerage!$B222,'YTD Purchases'!$G:$G,Brokerage!N$4)</f>
        <v>0</v>
      </c>
      <c r="O222" s="857">
        <f>SUMIFS('YTD Sales'!$N:$N,'YTD Sales'!$B:$B,Brokerage!$B222,'YTD Sales'!$M:$M,Brokerage!O$4)+SUMIFS('YTD Purchases'!$H:$H,'YTD Purchases'!$C:$C,Brokerage!$B222,'YTD Purchases'!$G:$G,Brokerage!O$4)</f>
        <v>0</v>
      </c>
      <c r="P222" s="857">
        <f>SUMIFS('YTD Sales'!$N:$N,'YTD Sales'!$B:$B,Brokerage!$B222,'YTD Sales'!$M:$M,Brokerage!P$4)+SUMIFS('YTD Purchases'!$H:$H,'YTD Purchases'!$C:$C,Brokerage!$B222,'YTD Purchases'!$G:$G,Brokerage!P$4)</f>
        <v>0</v>
      </c>
      <c r="Q222" s="857">
        <f>SUMIFS('YTD Sales'!$N:$N,'YTD Sales'!$B:$B,Brokerage!$B222,'YTD Sales'!$M:$M,Brokerage!Q$4)+SUMIFS('YTD Purchases'!$H:$H,'YTD Purchases'!$C:$C,Brokerage!$B222,'YTD Purchases'!$G:$G,Brokerage!Q$4)</f>
        <v>0</v>
      </c>
      <c r="R222" s="857">
        <f>SUMIFS('YTD Sales'!$N:$N,'YTD Sales'!$B:$B,Brokerage!$B222,'YTD Sales'!$M:$M,Brokerage!R$4)+SUMIFS('YTD Purchases'!$H:$H,'YTD Purchases'!$C:$C,Brokerage!$B222,'YTD Purchases'!$G:$G,Brokerage!R$4)</f>
        <v>0</v>
      </c>
      <c r="S222" s="857">
        <f>SUMIFS('YTD Sales'!$N:$N,'YTD Sales'!$B:$B,Brokerage!$B222,'YTD Sales'!$M:$M,Brokerage!S$4)+SUMIFS('YTD Purchases'!$H:$H,'YTD Purchases'!$C:$C,Brokerage!$B222,'YTD Purchases'!$G:$G,Brokerage!S$4)</f>
        <v>0</v>
      </c>
      <c r="T222" s="857">
        <f>SUMIFS('YTD Sales'!$N:$N,'YTD Sales'!$B:$B,Brokerage!$B222,'YTD Sales'!$M:$M,Brokerage!T$4)+SUMIFS('YTD Purchases'!$H:$H,'YTD Purchases'!$C:$C,Brokerage!$B222,'YTD Purchases'!$G:$G,Brokerage!T$4)</f>
        <v>0</v>
      </c>
      <c r="U222" s="857">
        <f>SUMIFS('YTD Sales'!$N:$N,'YTD Sales'!$B:$B,Brokerage!$B222,'YTD Sales'!$M:$M,Brokerage!U$4)+SUMIFS('YTD Purchases'!$H:$H,'YTD Purchases'!$C:$C,Brokerage!$B222,'YTD Purchases'!$G:$G,Brokerage!U$4)</f>
        <v>0</v>
      </c>
      <c r="V222" s="857">
        <f>SUMIFS('YTD Sales'!$N:$N,'YTD Sales'!$B:$B,Brokerage!$B222,'YTD Sales'!$M:$M,Brokerage!V$4)+SUMIFS('YTD Purchases'!$H:$H,'YTD Purchases'!$C:$C,Brokerage!$B222,'YTD Purchases'!$G:$G,Brokerage!V$4)</f>
        <v>0</v>
      </c>
      <c r="W222" s="857">
        <f>SUMIFS('YTD Sales'!$N:$N,'YTD Sales'!$B:$B,Brokerage!$B222,'YTD Sales'!$M:$M,Brokerage!W$4)+SUMIFS('YTD Purchases'!$H:$H,'YTD Purchases'!$C:$C,Brokerage!$B222,'YTD Purchases'!$G:$G,Brokerage!W$4)</f>
        <v>0</v>
      </c>
      <c r="X222" s="857">
        <f>SUMIFS('YTD Sales'!$N:$N,'YTD Sales'!$B:$B,Brokerage!$B222,'YTD Sales'!$M:$M,Brokerage!X$4)+SUMIFS('YTD Purchases'!$H:$H,'YTD Purchases'!$C:$C,Brokerage!$B222,'YTD Purchases'!$G:$G,Brokerage!X$4)</f>
        <v>0</v>
      </c>
      <c r="Y222" s="857">
        <f>SUMIFS('YTD Sales'!$N:$N,'YTD Sales'!$B:$B,Brokerage!$B222,'YTD Sales'!$M:$M,Brokerage!Y$4)+SUMIFS('YTD Purchases'!$H:$H,'YTD Purchases'!$C:$C,Brokerage!$B222,'YTD Purchases'!$G:$G,Brokerage!Y$4)</f>
        <v>0</v>
      </c>
      <c r="Z222" s="857">
        <f>SUMIFS('YTD Sales'!$N:$N,'YTD Sales'!$B:$B,Brokerage!$B222,'YTD Sales'!$M:$M,Brokerage!Z$4)+SUMIFS('YTD Purchases'!$H:$H,'YTD Purchases'!$C:$C,Brokerage!$B222,'YTD Purchases'!$G:$G,Brokerage!Z$4)</f>
        <v>0</v>
      </c>
      <c r="AA222" s="857">
        <f>SUMIFS('YTD Sales'!$N:$N,'YTD Sales'!$B:$B,Brokerage!$B222,'YTD Sales'!$M:$M,Brokerage!AA$4)+SUMIFS('YTD Purchases'!$H:$H,'YTD Purchases'!$C:$C,Brokerage!$B222,'YTD Purchases'!$G:$G,Brokerage!AA$4)</f>
        <v>0</v>
      </c>
      <c r="AB222" s="857">
        <f>SUMIFS('YTD Sales'!$N:$N,'YTD Sales'!$B:$B,Brokerage!$B222,'YTD Sales'!$M:$M,Brokerage!AB$4)+SUMIFS('YTD Purchases'!$H:$H,'YTD Purchases'!$C:$C,Brokerage!$B222,'YTD Purchases'!$G:$G,Brokerage!AB$4)</f>
        <v>0</v>
      </c>
      <c r="AC222" s="857">
        <f>SUMIFS('YTD Sales'!$N:$N,'YTD Sales'!$B:$B,Brokerage!$B222,'YTD Sales'!$M:$M,Brokerage!AC$4)+SUMIFS('YTD Purchases'!$H:$H,'YTD Purchases'!$C:$C,Brokerage!$B222,'YTD Purchases'!$G:$G,Brokerage!AC$4)</f>
        <v>0</v>
      </c>
      <c r="AD222" s="857">
        <f>+SUMIFS(PIB!AG:AG,PIB!AF:AF,Brokerage!AD$4,PIB!AA:AA,Brokerage!$B222)+SUMIFS('T-Bills'!AB:AB,'T-Bills'!AA:AA,Brokerage!AD$4,'T-Bills'!V:V,Brokerage!$B222)</f>
        <v>0</v>
      </c>
      <c r="AE222" s="857">
        <f>+SUMIFS(PIB!AH:AH,PIB!AG:AG,Brokerage!AE$4,PIB!AB:AB,Brokerage!$B222)+SUMIFS('T-Bills'!AC:AC,'T-Bills'!AB:AB,Brokerage!AE$4,'T-Bills'!W:W,Brokerage!$B222)</f>
        <v>0</v>
      </c>
      <c r="AF222" s="857">
        <f>+SUMIFS(PIB!AI:AI,PIB!AH:AH,Brokerage!AF$4,PIB!AC:AC,Brokerage!$B222)+SUMIFS('T-Bills'!AD:AD,'T-Bills'!AC:AC,Brokerage!AF$4,'T-Bills'!X:X,Brokerage!$B222)</f>
        <v>0</v>
      </c>
      <c r="AG222" s="857">
        <f t="shared" si="23"/>
        <v>0</v>
      </c>
      <c r="AH222" s="858">
        <f t="shared" si="24"/>
        <v>0</v>
      </c>
    </row>
    <row r="223" spans="2:34" x14ac:dyDescent="0.15">
      <c r="B223" s="661">
        <f t="shared" si="22"/>
        <v>44779</v>
      </c>
      <c r="C223" s="857">
        <f>SUMIFS('YTD Sales'!$N:$N,'YTD Sales'!$B:$B,Brokerage!$B223,'YTD Sales'!$M:$M,Brokerage!C$4)+SUMIFS('YTD Purchases'!$H:$H,'YTD Purchases'!$C:$C,Brokerage!$B223,'YTD Purchases'!$G:$G,Brokerage!C$4)</f>
        <v>0</v>
      </c>
      <c r="D223" s="857">
        <f>SUMIFS('YTD Sales'!$N:$N,'YTD Sales'!$B:$B,Brokerage!$B223,'YTD Sales'!$M:$M,Brokerage!D$4)+SUMIFS('YTD Purchases'!$H:$H,'YTD Purchases'!$C:$C,Brokerage!$B223,'YTD Purchases'!$G:$G,Brokerage!D$4)</f>
        <v>0</v>
      </c>
      <c r="E223" s="857">
        <f>SUMIFS('YTD Sales'!$N:$N,'YTD Sales'!$B:$B,Brokerage!$B223,'YTD Sales'!$M:$M,Brokerage!E$4)+SUMIFS('YTD Purchases'!$H:$H,'YTD Purchases'!$C:$C,Brokerage!$B223,'YTD Purchases'!$G:$G,Brokerage!E$4)</f>
        <v>0</v>
      </c>
      <c r="F223" s="857">
        <f>SUMIFS('YTD Sales'!$N:$N,'YTD Sales'!$B:$B,Brokerage!$B223,'YTD Sales'!$M:$M,Brokerage!F$4)+SUMIFS('YTD Purchases'!$H:$H,'YTD Purchases'!$C:$C,Brokerage!$B223,'YTD Purchases'!$G:$G,Brokerage!F$4)</f>
        <v>0</v>
      </c>
      <c r="G223" s="857">
        <f>SUMIFS('YTD Sales'!$N:$N,'YTD Sales'!$B:$B,Brokerage!$B223,'YTD Sales'!$M:$M,Brokerage!G$4)+SUMIFS('YTD Purchases'!$H:$H,'YTD Purchases'!$C:$C,Brokerage!$B223,'YTD Purchases'!$G:$G,Brokerage!G$4)</f>
        <v>0</v>
      </c>
      <c r="H223" s="857">
        <f>SUMIFS('YTD Sales'!$N:$N,'YTD Sales'!$B:$B,Brokerage!$B223,'YTD Sales'!$M:$M,Brokerage!H$4)+SUMIFS('YTD Purchases'!$H:$H,'YTD Purchases'!$C:$C,Brokerage!$B223,'YTD Purchases'!$G:$G,Brokerage!H$4)</f>
        <v>0</v>
      </c>
      <c r="I223" s="857">
        <f>SUMIFS('YTD Sales'!$N:$N,'YTD Sales'!$B:$B,Brokerage!$B223,'YTD Sales'!$M:$M,Brokerage!I$4)+SUMIFS('YTD Purchases'!$H:$H,'YTD Purchases'!$C:$C,Brokerage!$B223,'YTD Purchases'!$G:$G,Brokerage!I$4)</f>
        <v>0</v>
      </c>
      <c r="J223" s="857">
        <f>SUMIFS('YTD Sales'!$N:$N,'YTD Sales'!$B:$B,Brokerage!$B223,'YTD Sales'!$M:$M,Brokerage!J$4)+SUMIFS('YTD Purchases'!$H:$H,'YTD Purchases'!$C:$C,Brokerage!$B223,'YTD Purchases'!$G:$G,Brokerage!J$4)</f>
        <v>0</v>
      </c>
      <c r="K223" s="857">
        <f>SUMIFS('YTD Sales'!$N:$N,'YTD Sales'!$B:$B,Brokerage!$B223,'YTD Sales'!$M:$M,Brokerage!K$4)+SUMIFS('YTD Purchases'!$H:$H,'YTD Purchases'!$C:$C,Brokerage!$B223,'YTD Purchases'!$G:$G,Brokerage!K$4)</f>
        <v>0</v>
      </c>
      <c r="L223" s="857">
        <f>SUMIFS('YTD Sales'!$N:$N,'YTD Sales'!$B:$B,Brokerage!$B223,'YTD Sales'!$M:$M,Brokerage!L$4)+SUMIFS('YTD Purchases'!$H:$H,'YTD Purchases'!$C:$C,Brokerage!$B223,'YTD Purchases'!$G:$G,Brokerage!L$4)</f>
        <v>0</v>
      </c>
      <c r="M223" s="857">
        <f>SUMIFS('YTD Sales'!$N:$N,'YTD Sales'!$B:$B,Brokerage!$B223,'YTD Sales'!$M:$M,Brokerage!M$4)+SUMIFS('YTD Purchases'!$H:$H,'YTD Purchases'!$C:$C,Brokerage!$B223,'YTD Purchases'!$G:$G,Brokerage!M$4)</f>
        <v>0</v>
      </c>
      <c r="N223" s="857">
        <f>SUMIFS('YTD Sales'!$N:$N,'YTD Sales'!$B:$B,Brokerage!$B223,'YTD Sales'!$M:$M,Brokerage!N$4)+SUMIFS('YTD Purchases'!$H:$H,'YTD Purchases'!$C:$C,Brokerage!$B223,'YTD Purchases'!$G:$G,Brokerage!N$4)</f>
        <v>0</v>
      </c>
      <c r="O223" s="857">
        <f>SUMIFS('YTD Sales'!$N:$N,'YTD Sales'!$B:$B,Brokerage!$B223,'YTD Sales'!$M:$M,Brokerage!O$4)+SUMIFS('YTD Purchases'!$H:$H,'YTD Purchases'!$C:$C,Brokerage!$B223,'YTD Purchases'!$G:$G,Brokerage!O$4)</f>
        <v>0</v>
      </c>
      <c r="P223" s="857">
        <f>SUMIFS('YTD Sales'!$N:$N,'YTD Sales'!$B:$B,Brokerage!$B223,'YTD Sales'!$M:$M,Brokerage!P$4)+SUMIFS('YTD Purchases'!$H:$H,'YTD Purchases'!$C:$C,Brokerage!$B223,'YTD Purchases'!$G:$G,Brokerage!P$4)</f>
        <v>0</v>
      </c>
      <c r="Q223" s="857">
        <f>SUMIFS('YTD Sales'!$N:$N,'YTD Sales'!$B:$B,Brokerage!$B223,'YTD Sales'!$M:$M,Brokerage!Q$4)+SUMIFS('YTD Purchases'!$H:$H,'YTD Purchases'!$C:$C,Brokerage!$B223,'YTD Purchases'!$G:$G,Brokerage!Q$4)</f>
        <v>0</v>
      </c>
      <c r="R223" s="857">
        <f>SUMIFS('YTD Sales'!$N:$N,'YTD Sales'!$B:$B,Brokerage!$B223,'YTD Sales'!$M:$M,Brokerage!R$4)+SUMIFS('YTD Purchases'!$H:$H,'YTD Purchases'!$C:$C,Brokerage!$B223,'YTD Purchases'!$G:$G,Brokerage!R$4)</f>
        <v>0</v>
      </c>
      <c r="S223" s="857">
        <f>SUMIFS('YTD Sales'!$N:$N,'YTD Sales'!$B:$B,Brokerage!$B223,'YTD Sales'!$M:$M,Brokerage!S$4)+SUMIFS('YTD Purchases'!$H:$H,'YTD Purchases'!$C:$C,Brokerage!$B223,'YTD Purchases'!$G:$G,Brokerage!S$4)</f>
        <v>0</v>
      </c>
      <c r="T223" s="857">
        <f>SUMIFS('YTD Sales'!$N:$N,'YTD Sales'!$B:$B,Brokerage!$B223,'YTD Sales'!$M:$M,Brokerage!T$4)+SUMIFS('YTD Purchases'!$H:$H,'YTD Purchases'!$C:$C,Brokerage!$B223,'YTD Purchases'!$G:$G,Brokerage!T$4)</f>
        <v>0</v>
      </c>
      <c r="U223" s="857">
        <f>SUMIFS('YTD Sales'!$N:$N,'YTD Sales'!$B:$B,Brokerage!$B223,'YTD Sales'!$M:$M,Brokerage!U$4)+SUMIFS('YTD Purchases'!$H:$H,'YTD Purchases'!$C:$C,Brokerage!$B223,'YTD Purchases'!$G:$G,Brokerage!U$4)</f>
        <v>0</v>
      </c>
      <c r="V223" s="857">
        <f>SUMIFS('YTD Sales'!$N:$N,'YTD Sales'!$B:$B,Brokerage!$B223,'YTD Sales'!$M:$M,Brokerage!V$4)+SUMIFS('YTD Purchases'!$H:$H,'YTD Purchases'!$C:$C,Brokerage!$B223,'YTD Purchases'!$G:$G,Brokerage!V$4)</f>
        <v>0</v>
      </c>
      <c r="W223" s="857">
        <f>SUMIFS('YTD Sales'!$N:$N,'YTD Sales'!$B:$B,Brokerage!$B223,'YTD Sales'!$M:$M,Brokerage!W$4)+SUMIFS('YTD Purchases'!$H:$H,'YTD Purchases'!$C:$C,Brokerage!$B223,'YTD Purchases'!$G:$G,Brokerage!W$4)</f>
        <v>0</v>
      </c>
      <c r="X223" s="857">
        <f>SUMIFS('YTD Sales'!$N:$N,'YTD Sales'!$B:$B,Brokerage!$B223,'YTD Sales'!$M:$M,Brokerage!X$4)+SUMIFS('YTD Purchases'!$H:$H,'YTD Purchases'!$C:$C,Brokerage!$B223,'YTD Purchases'!$G:$G,Brokerage!X$4)</f>
        <v>0</v>
      </c>
      <c r="Y223" s="857">
        <f>SUMIFS('YTD Sales'!$N:$N,'YTD Sales'!$B:$B,Brokerage!$B223,'YTD Sales'!$M:$M,Brokerage!Y$4)+SUMIFS('YTD Purchases'!$H:$H,'YTD Purchases'!$C:$C,Brokerage!$B223,'YTD Purchases'!$G:$G,Brokerage!Y$4)</f>
        <v>0</v>
      </c>
      <c r="Z223" s="857">
        <f>SUMIFS('YTD Sales'!$N:$N,'YTD Sales'!$B:$B,Brokerage!$B223,'YTD Sales'!$M:$M,Brokerage!Z$4)+SUMIFS('YTD Purchases'!$H:$H,'YTD Purchases'!$C:$C,Brokerage!$B223,'YTD Purchases'!$G:$G,Brokerage!Z$4)</f>
        <v>0</v>
      </c>
      <c r="AA223" s="857">
        <f>SUMIFS('YTD Sales'!$N:$N,'YTD Sales'!$B:$B,Brokerage!$B223,'YTD Sales'!$M:$M,Brokerage!AA$4)+SUMIFS('YTD Purchases'!$H:$H,'YTD Purchases'!$C:$C,Brokerage!$B223,'YTD Purchases'!$G:$G,Brokerage!AA$4)</f>
        <v>0</v>
      </c>
      <c r="AB223" s="857">
        <f>SUMIFS('YTD Sales'!$N:$N,'YTD Sales'!$B:$B,Brokerage!$B223,'YTD Sales'!$M:$M,Brokerage!AB$4)+SUMIFS('YTD Purchases'!$H:$H,'YTD Purchases'!$C:$C,Brokerage!$B223,'YTD Purchases'!$G:$G,Brokerage!AB$4)</f>
        <v>0</v>
      </c>
      <c r="AC223" s="857">
        <f>SUMIFS('YTD Sales'!$N:$N,'YTD Sales'!$B:$B,Brokerage!$B223,'YTD Sales'!$M:$M,Brokerage!AC$4)+SUMIFS('YTD Purchases'!$H:$H,'YTD Purchases'!$C:$C,Brokerage!$B223,'YTD Purchases'!$G:$G,Brokerage!AC$4)</f>
        <v>0</v>
      </c>
      <c r="AD223" s="857">
        <f>+SUMIFS(PIB!AG:AG,PIB!AF:AF,Brokerage!AD$4,PIB!AA:AA,Brokerage!$B223)+SUMIFS('T-Bills'!AB:AB,'T-Bills'!AA:AA,Brokerage!AD$4,'T-Bills'!V:V,Brokerage!$B223)</f>
        <v>0</v>
      </c>
      <c r="AE223" s="857">
        <f>+SUMIFS(PIB!AH:AH,PIB!AG:AG,Brokerage!AE$4,PIB!AB:AB,Brokerage!$B223)+SUMIFS('T-Bills'!AC:AC,'T-Bills'!AB:AB,Brokerage!AE$4,'T-Bills'!W:W,Brokerage!$B223)</f>
        <v>0</v>
      </c>
      <c r="AF223" s="857">
        <f>+SUMIFS(PIB!AI:AI,PIB!AH:AH,Brokerage!AF$4,PIB!AC:AC,Brokerage!$B223)+SUMIFS('T-Bills'!AD:AD,'T-Bills'!AC:AC,Brokerage!AF$4,'T-Bills'!X:X,Brokerage!$B223)</f>
        <v>0</v>
      </c>
      <c r="AG223" s="857">
        <f t="shared" si="23"/>
        <v>0</v>
      </c>
      <c r="AH223" s="858">
        <f t="shared" si="24"/>
        <v>0</v>
      </c>
    </row>
    <row r="224" spans="2:34" x14ac:dyDescent="0.15">
      <c r="B224" s="661">
        <f t="shared" si="22"/>
        <v>44780</v>
      </c>
      <c r="C224" s="857">
        <f>SUMIFS('YTD Sales'!$N:$N,'YTD Sales'!$B:$B,Brokerage!$B224,'YTD Sales'!$M:$M,Brokerage!C$4)+SUMIFS('YTD Purchases'!$H:$H,'YTD Purchases'!$C:$C,Brokerage!$B224,'YTD Purchases'!$G:$G,Brokerage!C$4)</f>
        <v>0</v>
      </c>
      <c r="D224" s="857">
        <f>SUMIFS('YTD Sales'!$N:$N,'YTD Sales'!$B:$B,Brokerage!$B224,'YTD Sales'!$M:$M,Brokerage!D$4)+SUMIFS('YTD Purchases'!$H:$H,'YTD Purchases'!$C:$C,Brokerage!$B224,'YTD Purchases'!$G:$G,Brokerage!D$4)</f>
        <v>0</v>
      </c>
      <c r="E224" s="857">
        <f>SUMIFS('YTD Sales'!$N:$N,'YTD Sales'!$B:$B,Brokerage!$B224,'YTD Sales'!$M:$M,Brokerage!E$4)+SUMIFS('YTD Purchases'!$H:$H,'YTD Purchases'!$C:$C,Brokerage!$B224,'YTD Purchases'!$G:$G,Brokerage!E$4)</f>
        <v>0</v>
      </c>
      <c r="F224" s="857">
        <f>SUMIFS('YTD Sales'!$N:$N,'YTD Sales'!$B:$B,Brokerage!$B224,'YTD Sales'!$M:$M,Brokerage!F$4)+SUMIFS('YTD Purchases'!$H:$H,'YTD Purchases'!$C:$C,Brokerage!$B224,'YTD Purchases'!$G:$G,Brokerage!F$4)</f>
        <v>0</v>
      </c>
      <c r="G224" s="857">
        <f>SUMIFS('YTD Sales'!$N:$N,'YTD Sales'!$B:$B,Brokerage!$B224,'YTD Sales'!$M:$M,Brokerage!G$4)+SUMIFS('YTD Purchases'!$H:$H,'YTD Purchases'!$C:$C,Brokerage!$B224,'YTD Purchases'!$G:$G,Brokerage!G$4)</f>
        <v>0</v>
      </c>
      <c r="H224" s="857">
        <f>SUMIFS('YTD Sales'!$N:$N,'YTD Sales'!$B:$B,Brokerage!$B224,'YTD Sales'!$M:$M,Brokerage!H$4)+SUMIFS('YTD Purchases'!$H:$H,'YTD Purchases'!$C:$C,Brokerage!$B224,'YTD Purchases'!$G:$G,Brokerage!H$4)</f>
        <v>0</v>
      </c>
      <c r="I224" s="857">
        <f>SUMIFS('YTD Sales'!$N:$N,'YTD Sales'!$B:$B,Brokerage!$B224,'YTD Sales'!$M:$M,Brokerage!I$4)+SUMIFS('YTD Purchases'!$H:$H,'YTD Purchases'!$C:$C,Brokerage!$B224,'YTD Purchases'!$G:$G,Brokerage!I$4)</f>
        <v>0</v>
      </c>
      <c r="J224" s="857">
        <f>SUMIFS('YTD Sales'!$N:$N,'YTD Sales'!$B:$B,Brokerage!$B224,'YTD Sales'!$M:$M,Brokerage!J$4)+SUMIFS('YTD Purchases'!$H:$H,'YTD Purchases'!$C:$C,Brokerage!$B224,'YTD Purchases'!$G:$G,Brokerage!J$4)</f>
        <v>0</v>
      </c>
      <c r="K224" s="857">
        <f>SUMIFS('YTD Sales'!$N:$N,'YTD Sales'!$B:$B,Brokerage!$B224,'YTD Sales'!$M:$M,Brokerage!K$4)+SUMIFS('YTD Purchases'!$H:$H,'YTD Purchases'!$C:$C,Brokerage!$B224,'YTD Purchases'!$G:$G,Brokerage!K$4)</f>
        <v>0</v>
      </c>
      <c r="L224" s="857">
        <f>SUMIFS('YTD Sales'!$N:$N,'YTD Sales'!$B:$B,Brokerage!$B224,'YTD Sales'!$M:$M,Brokerage!L$4)+SUMIFS('YTD Purchases'!$H:$H,'YTD Purchases'!$C:$C,Brokerage!$B224,'YTD Purchases'!$G:$G,Brokerage!L$4)</f>
        <v>0</v>
      </c>
      <c r="M224" s="857">
        <f>SUMIFS('YTD Sales'!$N:$N,'YTD Sales'!$B:$B,Brokerage!$B224,'YTD Sales'!$M:$M,Brokerage!M$4)+SUMIFS('YTD Purchases'!$H:$H,'YTD Purchases'!$C:$C,Brokerage!$B224,'YTD Purchases'!$G:$G,Brokerage!M$4)</f>
        <v>0</v>
      </c>
      <c r="N224" s="857">
        <f>SUMIFS('YTD Sales'!$N:$N,'YTD Sales'!$B:$B,Brokerage!$B224,'YTD Sales'!$M:$M,Brokerage!N$4)+SUMIFS('YTD Purchases'!$H:$H,'YTD Purchases'!$C:$C,Brokerage!$B224,'YTD Purchases'!$G:$G,Brokerage!N$4)</f>
        <v>0</v>
      </c>
      <c r="O224" s="857">
        <f>SUMIFS('YTD Sales'!$N:$N,'YTD Sales'!$B:$B,Brokerage!$B224,'YTD Sales'!$M:$M,Brokerage!O$4)+SUMIFS('YTD Purchases'!$H:$H,'YTD Purchases'!$C:$C,Brokerage!$B224,'YTD Purchases'!$G:$G,Brokerage!O$4)</f>
        <v>0</v>
      </c>
      <c r="P224" s="857">
        <f>SUMIFS('YTD Sales'!$N:$N,'YTD Sales'!$B:$B,Brokerage!$B224,'YTD Sales'!$M:$M,Brokerage!P$4)+SUMIFS('YTD Purchases'!$H:$H,'YTD Purchases'!$C:$C,Brokerage!$B224,'YTD Purchases'!$G:$G,Brokerage!P$4)</f>
        <v>0</v>
      </c>
      <c r="Q224" s="857">
        <f>SUMIFS('YTD Sales'!$N:$N,'YTD Sales'!$B:$B,Brokerage!$B224,'YTD Sales'!$M:$M,Brokerage!Q$4)+SUMIFS('YTD Purchases'!$H:$H,'YTD Purchases'!$C:$C,Brokerage!$B224,'YTD Purchases'!$G:$G,Brokerage!Q$4)</f>
        <v>0</v>
      </c>
      <c r="R224" s="857">
        <f>SUMIFS('YTD Sales'!$N:$N,'YTD Sales'!$B:$B,Brokerage!$B224,'YTD Sales'!$M:$M,Brokerage!R$4)+SUMIFS('YTD Purchases'!$H:$H,'YTD Purchases'!$C:$C,Brokerage!$B224,'YTD Purchases'!$G:$G,Brokerage!R$4)</f>
        <v>0</v>
      </c>
      <c r="S224" s="857">
        <f>SUMIFS('YTD Sales'!$N:$N,'YTD Sales'!$B:$B,Brokerage!$B224,'YTD Sales'!$M:$M,Brokerage!S$4)+SUMIFS('YTD Purchases'!$H:$H,'YTD Purchases'!$C:$C,Brokerage!$B224,'YTD Purchases'!$G:$G,Brokerage!S$4)</f>
        <v>0</v>
      </c>
      <c r="T224" s="857">
        <f>SUMIFS('YTD Sales'!$N:$N,'YTD Sales'!$B:$B,Brokerage!$B224,'YTD Sales'!$M:$M,Brokerage!T$4)+SUMIFS('YTD Purchases'!$H:$H,'YTD Purchases'!$C:$C,Brokerage!$B224,'YTD Purchases'!$G:$G,Brokerage!T$4)</f>
        <v>0</v>
      </c>
      <c r="U224" s="857">
        <f>SUMIFS('YTD Sales'!$N:$N,'YTD Sales'!$B:$B,Brokerage!$B224,'YTD Sales'!$M:$M,Brokerage!U$4)+SUMIFS('YTD Purchases'!$H:$H,'YTD Purchases'!$C:$C,Brokerage!$B224,'YTD Purchases'!$G:$G,Brokerage!U$4)</f>
        <v>0</v>
      </c>
      <c r="V224" s="857">
        <f>SUMIFS('YTD Sales'!$N:$N,'YTD Sales'!$B:$B,Brokerage!$B224,'YTD Sales'!$M:$M,Brokerage!V$4)+SUMIFS('YTD Purchases'!$H:$H,'YTD Purchases'!$C:$C,Brokerage!$B224,'YTD Purchases'!$G:$G,Brokerage!V$4)</f>
        <v>0</v>
      </c>
      <c r="W224" s="857">
        <f>SUMIFS('YTD Sales'!$N:$N,'YTD Sales'!$B:$B,Brokerage!$B224,'YTD Sales'!$M:$M,Brokerage!W$4)+SUMIFS('YTD Purchases'!$H:$H,'YTD Purchases'!$C:$C,Brokerage!$B224,'YTD Purchases'!$G:$G,Brokerage!W$4)</f>
        <v>0</v>
      </c>
      <c r="X224" s="857">
        <f>SUMIFS('YTD Sales'!$N:$N,'YTD Sales'!$B:$B,Brokerage!$B224,'YTD Sales'!$M:$M,Brokerage!X$4)+SUMIFS('YTD Purchases'!$H:$H,'YTD Purchases'!$C:$C,Brokerage!$B224,'YTD Purchases'!$G:$G,Brokerage!X$4)</f>
        <v>0</v>
      </c>
      <c r="Y224" s="857">
        <f>SUMIFS('YTD Sales'!$N:$N,'YTD Sales'!$B:$B,Brokerage!$B224,'YTD Sales'!$M:$M,Brokerage!Y$4)+SUMIFS('YTD Purchases'!$H:$H,'YTD Purchases'!$C:$C,Brokerage!$B224,'YTD Purchases'!$G:$G,Brokerage!Y$4)</f>
        <v>0</v>
      </c>
      <c r="Z224" s="857">
        <f>SUMIFS('YTD Sales'!$N:$N,'YTD Sales'!$B:$B,Brokerage!$B224,'YTD Sales'!$M:$M,Brokerage!Z$4)+SUMIFS('YTD Purchases'!$H:$H,'YTD Purchases'!$C:$C,Brokerage!$B224,'YTD Purchases'!$G:$G,Brokerage!Z$4)</f>
        <v>0</v>
      </c>
      <c r="AA224" s="857">
        <f>SUMIFS('YTD Sales'!$N:$N,'YTD Sales'!$B:$B,Brokerage!$B224,'YTD Sales'!$M:$M,Brokerage!AA$4)+SUMIFS('YTD Purchases'!$H:$H,'YTD Purchases'!$C:$C,Brokerage!$B224,'YTD Purchases'!$G:$G,Brokerage!AA$4)</f>
        <v>0</v>
      </c>
      <c r="AB224" s="857">
        <f>SUMIFS('YTD Sales'!$N:$N,'YTD Sales'!$B:$B,Brokerage!$B224,'YTD Sales'!$M:$M,Brokerage!AB$4)+SUMIFS('YTD Purchases'!$H:$H,'YTD Purchases'!$C:$C,Brokerage!$B224,'YTD Purchases'!$G:$G,Brokerage!AB$4)</f>
        <v>0</v>
      </c>
      <c r="AC224" s="857">
        <f>SUMIFS('YTD Sales'!$N:$N,'YTD Sales'!$B:$B,Brokerage!$B224,'YTD Sales'!$M:$M,Brokerage!AC$4)+SUMIFS('YTD Purchases'!$H:$H,'YTD Purchases'!$C:$C,Brokerage!$B224,'YTD Purchases'!$G:$G,Brokerage!AC$4)</f>
        <v>0</v>
      </c>
      <c r="AD224" s="857">
        <f>+SUMIFS(PIB!AG:AG,PIB!AF:AF,Brokerage!AD$4,PIB!AA:AA,Brokerage!$B224)+SUMIFS('T-Bills'!AB:AB,'T-Bills'!AA:AA,Brokerage!AD$4,'T-Bills'!V:V,Brokerage!$B224)</f>
        <v>0</v>
      </c>
      <c r="AE224" s="857">
        <f>+SUMIFS(PIB!AH:AH,PIB!AG:AG,Brokerage!AE$4,PIB!AB:AB,Brokerage!$B224)+SUMIFS('T-Bills'!AC:AC,'T-Bills'!AB:AB,Brokerage!AE$4,'T-Bills'!W:W,Brokerage!$B224)</f>
        <v>0</v>
      </c>
      <c r="AF224" s="857">
        <f>+SUMIFS(PIB!AI:AI,PIB!AH:AH,Brokerage!AF$4,PIB!AC:AC,Brokerage!$B224)+SUMIFS('T-Bills'!AD:AD,'T-Bills'!AC:AC,Brokerage!AF$4,'T-Bills'!X:X,Brokerage!$B224)</f>
        <v>0</v>
      </c>
      <c r="AG224" s="857">
        <f t="shared" si="23"/>
        <v>0</v>
      </c>
      <c r="AH224" s="858">
        <f t="shared" si="24"/>
        <v>0</v>
      </c>
    </row>
    <row r="225" spans="2:34" x14ac:dyDescent="0.15">
      <c r="B225" s="661">
        <f t="shared" si="22"/>
        <v>44781</v>
      </c>
      <c r="C225" s="857">
        <f>SUMIFS('YTD Sales'!$N:$N,'YTD Sales'!$B:$B,Brokerage!$B225,'YTD Sales'!$M:$M,Brokerage!C$4)+SUMIFS('YTD Purchases'!$H:$H,'YTD Purchases'!$C:$C,Brokerage!$B225,'YTD Purchases'!$G:$G,Brokerage!C$4)</f>
        <v>0</v>
      </c>
      <c r="D225" s="857">
        <f>SUMIFS('YTD Sales'!$N:$N,'YTD Sales'!$B:$B,Brokerage!$B225,'YTD Sales'!$M:$M,Brokerage!D$4)+SUMIFS('YTD Purchases'!$H:$H,'YTD Purchases'!$C:$C,Brokerage!$B225,'YTD Purchases'!$G:$G,Brokerage!D$4)</f>
        <v>0</v>
      </c>
      <c r="E225" s="857">
        <f>SUMIFS('YTD Sales'!$N:$N,'YTD Sales'!$B:$B,Brokerage!$B225,'YTD Sales'!$M:$M,Brokerage!E$4)+SUMIFS('YTD Purchases'!$H:$H,'YTD Purchases'!$C:$C,Brokerage!$B225,'YTD Purchases'!$G:$G,Brokerage!E$4)</f>
        <v>0</v>
      </c>
      <c r="F225" s="857">
        <f>SUMIFS('YTD Sales'!$N:$N,'YTD Sales'!$B:$B,Brokerage!$B225,'YTD Sales'!$M:$M,Brokerage!F$4)+SUMIFS('YTD Purchases'!$H:$H,'YTD Purchases'!$C:$C,Brokerage!$B225,'YTD Purchases'!$G:$G,Brokerage!F$4)</f>
        <v>0</v>
      </c>
      <c r="G225" s="857">
        <f>SUMIFS('YTD Sales'!$N:$N,'YTD Sales'!$B:$B,Brokerage!$B225,'YTD Sales'!$M:$M,Brokerage!G$4)+SUMIFS('YTD Purchases'!$H:$H,'YTD Purchases'!$C:$C,Brokerage!$B225,'YTD Purchases'!$G:$G,Brokerage!G$4)</f>
        <v>0</v>
      </c>
      <c r="H225" s="857">
        <f>SUMIFS('YTD Sales'!$N:$N,'YTD Sales'!$B:$B,Brokerage!$B225,'YTD Sales'!$M:$M,Brokerage!H$4)+SUMIFS('YTD Purchases'!$H:$H,'YTD Purchases'!$C:$C,Brokerage!$B225,'YTD Purchases'!$G:$G,Brokerage!H$4)</f>
        <v>0</v>
      </c>
      <c r="I225" s="857">
        <f>SUMIFS('YTD Sales'!$N:$N,'YTD Sales'!$B:$B,Brokerage!$B225,'YTD Sales'!$M:$M,Brokerage!I$4)+SUMIFS('YTD Purchases'!$H:$H,'YTD Purchases'!$C:$C,Brokerage!$B225,'YTD Purchases'!$G:$G,Brokerage!I$4)</f>
        <v>0</v>
      </c>
      <c r="J225" s="857">
        <f>SUMIFS('YTD Sales'!$N:$N,'YTD Sales'!$B:$B,Brokerage!$B225,'YTD Sales'!$M:$M,Brokerage!J$4)+SUMIFS('YTD Purchases'!$H:$H,'YTD Purchases'!$C:$C,Brokerage!$B225,'YTD Purchases'!$G:$G,Brokerage!J$4)</f>
        <v>0</v>
      </c>
      <c r="K225" s="857">
        <f>SUMIFS('YTD Sales'!$N:$N,'YTD Sales'!$B:$B,Brokerage!$B225,'YTD Sales'!$M:$M,Brokerage!K$4)+SUMIFS('YTD Purchases'!$H:$H,'YTD Purchases'!$C:$C,Brokerage!$B225,'YTD Purchases'!$G:$G,Brokerage!K$4)</f>
        <v>0</v>
      </c>
      <c r="L225" s="857">
        <f>SUMIFS('YTD Sales'!$N:$N,'YTD Sales'!$B:$B,Brokerage!$B225,'YTD Sales'!$M:$M,Brokerage!L$4)+SUMIFS('YTD Purchases'!$H:$H,'YTD Purchases'!$C:$C,Brokerage!$B225,'YTD Purchases'!$G:$G,Brokerage!L$4)</f>
        <v>0</v>
      </c>
      <c r="M225" s="857">
        <f>SUMIFS('YTD Sales'!$N:$N,'YTD Sales'!$B:$B,Brokerage!$B225,'YTD Sales'!$M:$M,Brokerage!M$4)+SUMIFS('YTD Purchases'!$H:$H,'YTD Purchases'!$C:$C,Brokerage!$B225,'YTD Purchases'!$G:$G,Brokerage!M$4)</f>
        <v>0</v>
      </c>
      <c r="N225" s="857">
        <f>SUMIFS('YTD Sales'!$N:$N,'YTD Sales'!$B:$B,Brokerage!$B225,'YTD Sales'!$M:$M,Brokerage!N$4)+SUMIFS('YTD Purchases'!$H:$H,'YTD Purchases'!$C:$C,Brokerage!$B225,'YTD Purchases'!$G:$G,Brokerage!N$4)</f>
        <v>0</v>
      </c>
      <c r="O225" s="857">
        <f>SUMIFS('YTD Sales'!$N:$N,'YTD Sales'!$B:$B,Brokerage!$B225,'YTD Sales'!$M:$M,Brokerage!O$4)+SUMIFS('YTD Purchases'!$H:$H,'YTD Purchases'!$C:$C,Brokerage!$B225,'YTD Purchases'!$G:$G,Brokerage!O$4)</f>
        <v>0</v>
      </c>
      <c r="P225" s="857">
        <f>SUMIFS('YTD Sales'!$N:$N,'YTD Sales'!$B:$B,Brokerage!$B225,'YTD Sales'!$M:$M,Brokerage!P$4)+SUMIFS('YTD Purchases'!$H:$H,'YTD Purchases'!$C:$C,Brokerage!$B225,'YTD Purchases'!$G:$G,Brokerage!P$4)</f>
        <v>0</v>
      </c>
      <c r="Q225" s="857">
        <f>SUMIFS('YTD Sales'!$N:$N,'YTD Sales'!$B:$B,Brokerage!$B225,'YTD Sales'!$M:$M,Brokerage!Q$4)+SUMIFS('YTD Purchases'!$H:$H,'YTD Purchases'!$C:$C,Brokerage!$B225,'YTD Purchases'!$G:$G,Brokerage!Q$4)</f>
        <v>0</v>
      </c>
      <c r="R225" s="857">
        <f>SUMIFS('YTD Sales'!$N:$N,'YTD Sales'!$B:$B,Brokerage!$B225,'YTD Sales'!$M:$M,Brokerage!R$4)+SUMIFS('YTD Purchases'!$H:$H,'YTD Purchases'!$C:$C,Brokerage!$B225,'YTD Purchases'!$G:$G,Brokerage!R$4)</f>
        <v>0</v>
      </c>
      <c r="S225" s="857">
        <f>SUMIFS('YTD Sales'!$N:$N,'YTD Sales'!$B:$B,Brokerage!$B225,'YTD Sales'!$M:$M,Brokerage!S$4)+SUMIFS('YTD Purchases'!$H:$H,'YTD Purchases'!$C:$C,Brokerage!$B225,'YTD Purchases'!$G:$G,Brokerage!S$4)</f>
        <v>0</v>
      </c>
      <c r="T225" s="857">
        <f>SUMIFS('YTD Sales'!$N:$N,'YTD Sales'!$B:$B,Brokerage!$B225,'YTD Sales'!$M:$M,Brokerage!T$4)+SUMIFS('YTD Purchases'!$H:$H,'YTD Purchases'!$C:$C,Brokerage!$B225,'YTD Purchases'!$G:$G,Brokerage!T$4)</f>
        <v>0</v>
      </c>
      <c r="U225" s="857">
        <f>SUMIFS('YTD Sales'!$N:$N,'YTD Sales'!$B:$B,Brokerage!$B225,'YTD Sales'!$M:$M,Brokerage!U$4)+SUMIFS('YTD Purchases'!$H:$H,'YTD Purchases'!$C:$C,Brokerage!$B225,'YTD Purchases'!$G:$G,Brokerage!U$4)</f>
        <v>0</v>
      </c>
      <c r="V225" s="857">
        <f>SUMIFS('YTD Sales'!$N:$N,'YTD Sales'!$B:$B,Brokerage!$B225,'YTD Sales'!$M:$M,Brokerage!V$4)+SUMIFS('YTD Purchases'!$H:$H,'YTD Purchases'!$C:$C,Brokerage!$B225,'YTD Purchases'!$G:$G,Brokerage!V$4)</f>
        <v>0</v>
      </c>
      <c r="W225" s="857">
        <f>SUMIFS('YTD Sales'!$N:$N,'YTD Sales'!$B:$B,Brokerage!$B225,'YTD Sales'!$M:$M,Brokerage!W$4)+SUMIFS('YTD Purchases'!$H:$H,'YTD Purchases'!$C:$C,Brokerage!$B225,'YTD Purchases'!$G:$G,Brokerage!W$4)</f>
        <v>0</v>
      </c>
      <c r="X225" s="857">
        <f>SUMIFS('YTD Sales'!$N:$N,'YTD Sales'!$B:$B,Brokerage!$B225,'YTD Sales'!$M:$M,Brokerage!X$4)+SUMIFS('YTD Purchases'!$H:$H,'YTD Purchases'!$C:$C,Brokerage!$B225,'YTD Purchases'!$G:$G,Brokerage!X$4)</f>
        <v>0</v>
      </c>
      <c r="Y225" s="857">
        <f>SUMIFS('YTD Sales'!$N:$N,'YTD Sales'!$B:$B,Brokerage!$B225,'YTD Sales'!$M:$M,Brokerage!Y$4)+SUMIFS('YTD Purchases'!$H:$H,'YTD Purchases'!$C:$C,Brokerage!$B225,'YTD Purchases'!$G:$G,Brokerage!Y$4)</f>
        <v>0</v>
      </c>
      <c r="Z225" s="857">
        <f>SUMIFS('YTD Sales'!$N:$N,'YTD Sales'!$B:$B,Brokerage!$B225,'YTD Sales'!$M:$M,Brokerage!Z$4)+SUMIFS('YTD Purchases'!$H:$H,'YTD Purchases'!$C:$C,Brokerage!$B225,'YTD Purchases'!$G:$G,Brokerage!Z$4)</f>
        <v>0</v>
      </c>
      <c r="AA225" s="857">
        <f>SUMIFS('YTD Sales'!$N:$N,'YTD Sales'!$B:$B,Brokerage!$B225,'YTD Sales'!$M:$M,Brokerage!AA$4)+SUMIFS('YTD Purchases'!$H:$H,'YTD Purchases'!$C:$C,Brokerage!$B225,'YTD Purchases'!$G:$G,Brokerage!AA$4)</f>
        <v>0</v>
      </c>
      <c r="AB225" s="857">
        <f>SUMIFS('YTD Sales'!$N:$N,'YTD Sales'!$B:$B,Brokerage!$B225,'YTD Sales'!$M:$M,Brokerage!AB$4)+SUMIFS('YTD Purchases'!$H:$H,'YTD Purchases'!$C:$C,Brokerage!$B225,'YTD Purchases'!$G:$G,Brokerage!AB$4)</f>
        <v>0</v>
      </c>
      <c r="AC225" s="857">
        <f>SUMIFS('YTD Sales'!$N:$N,'YTD Sales'!$B:$B,Brokerage!$B225,'YTD Sales'!$M:$M,Brokerage!AC$4)+SUMIFS('YTD Purchases'!$H:$H,'YTD Purchases'!$C:$C,Brokerage!$B225,'YTD Purchases'!$G:$G,Brokerage!AC$4)</f>
        <v>0</v>
      </c>
      <c r="AD225" s="857">
        <f>+SUMIFS(PIB!AG:AG,PIB!AF:AF,Brokerage!AD$4,PIB!AA:AA,Brokerage!$B225)+SUMIFS('T-Bills'!AB:AB,'T-Bills'!AA:AA,Brokerage!AD$4,'T-Bills'!V:V,Brokerage!$B225)</f>
        <v>0</v>
      </c>
      <c r="AE225" s="857">
        <f>+SUMIFS(PIB!AH:AH,PIB!AG:AG,Brokerage!AE$4,PIB!AB:AB,Brokerage!$B225)+SUMIFS('T-Bills'!AC:AC,'T-Bills'!AB:AB,Brokerage!AE$4,'T-Bills'!W:W,Brokerage!$B225)</f>
        <v>0</v>
      </c>
      <c r="AF225" s="857">
        <f>+SUMIFS(PIB!AI:AI,PIB!AH:AH,Brokerage!AF$4,PIB!AC:AC,Brokerage!$B225)+SUMIFS('T-Bills'!AD:AD,'T-Bills'!AC:AC,Brokerage!AF$4,'T-Bills'!X:X,Brokerage!$B225)</f>
        <v>0</v>
      </c>
      <c r="AG225" s="857">
        <f t="shared" si="23"/>
        <v>0</v>
      </c>
      <c r="AH225" s="858">
        <f t="shared" si="24"/>
        <v>0</v>
      </c>
    </row>
    <row r="226" spans="2:34" x14ac:dyDescent="0.15">
      <c r="B226" s="661">
        <f t="shared" si="22"/>
        <v>44782</v>
      </c>
      <c r="C226" s="857">
        <f>SUMIFS('YTD Sales'!$N:$N,'YTD Sales'!$B:$B,Brokerage!$B226,'YTD Sales'!$M:$M,Brokerage!C$4)+SUMIFS('YTD Purchases'!$H:$H,'YTD Purchases'!$C:$C,Brokerage!$B226,'YTD Purchases'!$G:$G,Brokerage!C$4)</f>
        <v>0</v>
      </c>
      <c r="D226" s="857">
        <f>SUMIFS('YTD Sales'!$N:$N,'YTD Sales'!$B:$B,Brokerage!$B226,'YTD Sales'!$M:$M,Brokerage!D$4)+SUMIFS('YTD Purchases'!$H:$H,'YTD Purchases'!$C:$C,Brokerage!$B226,'YTD Purchases'!$G:$G,Brokerage!D$4)</f>
        <v>0</v>
      </c>
      <c r="E226" s="857">
        <f>SUMIFS('YTD Sales'!$N:$N,'YTD Sales'!$B:$B,Brokerage!$B226,'YTD Sales'!$M:$M,Brokerage!E$4)+SUMIFS('YTD Purchases'!$H:$H,'YTD Purchases'!$C:$C,Brokerage!$B226,'YTD Purchases'!$G:$G,Brokerage!E$4)</f>
        <v>0</v>
      </c>
      <c r="F226" s="857">
        <f>SUMIFS('YTD Sales'!$N:$N,'YTD Sales'!$B:$B,Brokerage!$B226,'YTD Sales'!$M:$M,Brokerage!F$4)+SUMIFS('YTD Purchases'!$H:$H,'YTD Purchases'!$C:$C,Brokerage!$B226,'YTD Purchases'!$G:$G,Brokerage!F$4)</f>
        <v>0</v>
      </c>
      <c r="G226" s="857">
        <f>SUMIFS('YTD Sales'!$N:$N,'YTD Sales'!$B:$B,Brokerage!$B226,'YTD Sales'!$M:$M,Brokerage!G$4)+SUMIFS('YTD Purchases'!$H:$H,'YTD Purchases'!$C:$C,Brokerage!$B226,'YTD Purchases'!$G:$G,Brokerage!G$4)</f>
        <v>0</v>
      </c>
      <c r="H226" s="857">
        <f>SUMIFS('YTD Sales'!$N:$N,'YTD Sales'!$B:$B,Brokerage!$B226,'YTD Sales'!$M:$M,Brokerage!H$4)+SUMIFS('YTD Purchases'!$H:$H,'YTD Purchases'!$C:$C,Brokerage!$B226,'YTD Purchases'!$G:$G,Brokerage!H$4)</f>
        <v>0</v>
      </c>
      <c r="I226" s="857">
        <f>SUMIFS('YTD Sales'!$N:$N,'YTD Sales'!$B:$B,Brokerage!$B226,'YTD Sales'!$M:$M,Brokerage!I$4)+SUMIFS('YTD Purchases'!$H:$H,'YTD Purchases'!$C:$C,Brokerage!$B226,'YTD Purchases'!$G:$G,Brokerage!I$4)</f>
        <v>0</v>
      </c>
      <c r="J226" s="857">
        <f>SUMIFS('YTD Sales'!$N:$N,'YTD Sales'!$B:$B,Brokerage!$B226,'YTD Sales'!$M:$M,Brokerage!J$4)+SUMIFS('YTD Purchases'!$H:$H,'YTD Purchases'!$C:$C,Brokerage!$B226,'YTD Purchases'!$G:$G,Brokerage!J$4)</f>
        <v>0</v>
      </c>
      <c r="K226" s="857">
        <f>SUMIFS('YTD Sales'!$N:$N,'YTD Sales'!$B:$B,Brokerage!$B226,'YTD Sales'!$M:$M,Brokerage!K$4)+SUMIFS('YTD Purchases'!$H:$H,'YTD Purchases'!$C:$C,Brokerage!$B226,'YTD Purchases'!$G:$G,Brokerage!K$4)</f>
        <v>0</v>
      </c>
      <c r="L226" s="857">
        <f>SUMIFS('YTD Sales'!$N:$N,'YTD Sales'!$B:$B,Brokerage!$B226,'YTD Sales'!$M:$M,Brokerage!L$4)+SUMIFS('YTD Purchases'!$H:$H,'YTD Purchases'!$C:$C,Brokerage!$B226,'YTD Purchases'!$G:$G,Brokerage!L$4)</f>
        <v>0</v>
      </c>
      <c r="M226" s="857">
        <f>SUMIFS('YTD Sales'!$N:$N,'YTD Sales'!$B:$B,Brokerage!$B226,'YTD Sales'!$M:$M,Brokerage!M$4)+SUMIFS('YTD Purchases'!$H:$H,'YTD Purchases'!$C:$C,Brokerage!$B226,'YTD Purchases'!$G:$G,Brokerage!M$4)</f>
        <v>0</v>
      </c>
      <c r="N226" s="857">
        <f>SUMIFS('YTD Sales'!$N:$N,'YTD Sales'!$B:$B,Brokerage!$B226,'YTD Sales'!$M:$M,Brokerage!N$4)+SUMIFS('YTD Purchases'!$H:$H,'YTD Purchases'!$C:$C,Brokerage!$B226,'YTD Purchases'!$G:$G,Brokerage!N$4)</f>
        <v>0</v>
      </c>
      <c r="O226" s="857">
        <f>SUMIFS('YTD Sales'!$N:$N,'YTD Sales'!$B:$B,Brokerage!$B226,'YTD Sales'!$M:$M,Brokerage!O$4)+SUMIFS('YTD Purchases'!$H:$H,'YTD Purchases'!$C:$C,Brokerage!$B226,'YTD Purchases'!$G:$G,Brokerage!O$4)</f>
        <v>0</v>
      </c>
      <c r="P226" s="857">
        <f>SUMIFS('YTD Sales'!$N:$N,'YTD Sales'!$B:$B,Brokerage!$B226,'YTD Sales'!$M:$M,Brokerage!P$4)+SUMIFS('YTD Purchases'!$H:$H,'YTD Purchases'!$C:$C,Brokerage!$B226,'YTD Purchases'!$G:$G,Brokerage!P$4)</f>
        <v>0</v>
      </c>
      <c r="Q226" s="857">
        <f>SUMIFS('YTD Sales'!$N:$N,'YTD Sales'!$B:$B,Brokerage!$B226,'YTD Sales'!$M:$M,Brokerage!Q$4)+SUMIFS('YTD Purchases'!$H:$H,'YTD Purchases'!$C:$C,Brokerage!$B226,'YTD Purchases'!$G:$G,Brokerage!Q$4)</f>
        <v>0</v>
      </c>
      <c r="R226" s="857">
        <f>SUMIFS('YTD Sales'!$N:$N,'YTD Sales'!$B:$B,Brokerage!$B226,'YTD Sales'!$M:$M,Brokerage!R$4)+SUMIFS('YTD Purchases'!$H:$H,'YTD Purchases'!$C:$C,Brokerage!$B226,'YTD Purchases'!$G:$G,Brokerage!R$4)</f>
        <v>0</v>
      </c>
      <c r="S226" s="857">
        <f>SUMIFS('YTD Sales'!$N:$N,'YTD Sales'!$B:$B,Brokerage!$B226,'YTD Sales'!$M:$M,Brokerage!S$4)+SUMIFS('YTD Purchases'!$H:$H,'YTD Purchases'!$C:$C,Brokerage!$B226,'YTD Purchases'!$G:$G,Brokerage!S$4)</f>
        <v>0</v>
      </c>
      <c r="T226" s="857">
        <f>SUMIFS('YTD Sales'!$N:$N,'YTD Sales'!$B:$B,Brokerage!$B226,'YTD Sales'!$M:$M,Brokerage!T$4)+SUMIFS('YTD Purchases'!$H:$H,'YTD Purchases'!$C:$C,Brokerage!$B226,'YTD Purchases'!$G:$G,Brokerage!T$4)</f>
        <v>0</v>
      </c>
      <c r="U226" s="857">
        <f>SUMIFS('YTD Sales'!$N:$N,'YTD Sales'!$B:$B,Brokerage!$B226,'YTD Sales'!$M:$M,Brokerage!U$4)+SUMIFS('YTD Purchases'!$H:$H,'YTD Purchases'!$C:$C,Brokerage!$B226,'YTD Purchases'!$G:$G,Brokerage!U$4)</f>
        <v>0</v>
      </c>
      <c r="V226" s="857">
        <f>SUMIFS('YTD Sales'!$N:$N,'YTD Sales'!$B:$B,Brokerage!$B226,'YTD Sales'!$M:$M,Brokerage!V$4)+SUMIFS('YTD Purchases'!$H:$H,'YTD Purchases'!$C:$C,Brokerage!$B226,'YTD Purchases'!$G:$G,Brokerage!V$4)</f>
        <v>0</v>
      </c>
      <c r="W226" s="857">
        <f>SUMIFS('YTD Sales'!$N:$N,'YTD Sales'!$B:$B,Brokerage!$B226,'YTD Sales'!$M:$M,Brokerage!W$4)+SUMIFS('YTD Purchases'!$H:$H,'YTD Purchases'!$C:$C,Brokerage!$B226,'YTD Purchases'!$G:$G,Brokerage!W$4)</f>
        <v>0</v>
      </c>
      <c r="X226" s="857">
        <f>SUMIFS('YTD Sales'!$N:$N,'YTD Sales'!$B:$B,Brokerage!$B226,'YTD Sales'!$M:$M,Brokerage!X$4)+SUMIFS('YTD Purchases'!$H:$H,'YTD Purchases'!$C:$C,Brokerage!$B226,'YTD Purchases'!$G:$G,Brokerage!X$4)</f>
        <v>0</v>
      </c>
      <c r="Y226" s="857">
        <f>SUMIFS('YTD Sales'!$N:$N,'YTD Sales'!$B:$B,Brokerage!$B226,'YTD Sales'!$M:$M,Brokerage!Y$4)+SUMIFS('YTD Purchases'!$H:$H,'YTD Purchases'!$C:$C,Brokerage!$B226,'YTD Purchases'!$G:$G,Brokerage!Y$4)</f>
        <v>0</v>
      </c>
      <c r="Z226" s="857">
        <f>SUMIFS('YTD Sales'!$N:$N,'YTD Sales'!$B:$B,Brokerage!$B226,'YTD Sales'!$M:$M,Brokerage!Z$4)+SUMIFS('YTD Purchases'!$H:$H,'YTD Purchases'!$C:$C,Brokerage!$B226,'YTD Purchases'!$G:$G,Brokerage!Z$4)</f>
        <v>0</v>
      </c>
      <c r="AA226" s="857">
        <f>SUMIFS('YTD Sales'!$N:$N,'YTD Sales'!$B:$B,Brokerage!$B226,'YTD Sales'!$M:$M,Brokerage!AA$4)+SUMIFS('YTD Purchases'!$H:$H,'YTD Purchases'!$C:$C,Brokerage!$B226,'YTD Purchases'!$G:$G,Brokerage!AA$4)</f>
        <v>0</v>
      </c>
      <c r="AB226" s="857">
        <f>SUMIFS('YTD Sales'!$N:$N,'YTD Sales'!$B:$B,Brokerage!$B226,'YTD Sales'!$M:$M,Brokerage!AB$4)+SUMIFS('YTD Purchases'!$H:$H,'YTD Purchases'!$C:$C,Brokerage!$B226,'YTD Purchases'!$G:$G,Brokerage!AB$4)</f>
        <v>0</v>
      </c>
      <c r="AC226" s="857">
        <f>SUMIFS('YTD Sales'!$N:$N,'YTD Sales'!$B:$B,Brokerage!$B226,'YTD Sales'!$M:$M,Brokerage!AC$4)+SUMIFS('YTD Purchases'!$H:$H,'YTD Purchases'!$C:$C,Brokerage!$B226,'YTD Purchases'!$G:$G,Brokerage!AC$4)</f>
        <v>0</v>
      </c>
      <c r="AD226" s="857">
        <f>+SUMIFS(PIB!AG:AG,PIB!AF:AF,Brokerage!AD$4,PIB!AA:AA,Brokerage!$B226)+SUMIFS('T-Bills'!AB:AB,'T-Bills'!AA:AA,Brokerage!AD$4,'T-Bills'!V:V,Brokerage!$B226)</f>
        <v>0</v>
      </c>
      <c r="AE226" s="857">
        <f>+SUMIFS(PIB!AH:AH,PIB!AG:AG,Brokerage!AE$4,PIB!AB:AB,Brokerage!$B226)+SUMIFS('T-Bills'!AC:AC,'T-Bills'!AB:AB,Brokerage!AE$4,'T-Bills'!W:W,Brokerage!$B226)</f>
        <v>0</v>
      </c>
      <c r="AF226" s="857">
        <f>+SUMIFS(PIB!AI:AI,PIB!AH:AH,Brokerage!AF$4,PIB!AC:AC,Brokerage!$B226)+SUMIFS('T-Bills'!AD:AD,'T-Bills'!AC:AC,Brokerage!AF$4,'T-Bills'!X:X,Brokerage!$B226)</f>
        <v>0</v>
      </c>
      <c r="AG226" s="857">
        <f t="shared" si="23"/>
        <v>0</v>
      </c>
      <c r="AH226" s="858">
        <f t="shared" si="24"/>
        <v>0</v>
      </c>
    </row>
    <row r="227" spans="2:34" x14ac:dyDescent="0.15">
      <c r="B227" s="661">
        <f t="shared" si="22"/>
        <v>44783</v>
      </c>
      <c r="C227" s="857">
        <f>SUMIFS('YTD Sales'!$N:$N,'YTD Sales'!$B:$B,Brokerage!$B227,'YTD Sales'!$M:$M,Brokerage!C$4)+SUMIFS('YTD Purchases'!$H:$H,'YTD Purchases'!$C:$C,Brokerage!$B227,'YTD Purchases'!$G:$G,Brokerage!C$4)</f>
        <v>0</v>
      </c>
      <c r="D227" s="857">
        <f>SUMIFS('YTD Sales'!$N:$N,'YTD Sales'!$B:$B,Brokerage!$B227,'YTD Sales'!$M:$M,Brokerage!D$4)+SUMIFS('YTD Purchases'!$H:$H,'YTD Purchases'!$C:$C,Brokerage!$B227,'YTD Purchases'!$G:$G,Brokerage!D$4)</f>
        <v>0</v>
      </c>
      <c r="E227" s="857">
        <f>SUMIFS('YTD Sales'!$N:$N,'YTD Sales'!$B:$B,Brokerage!$B227,'YTD Sales'!$M:$M,Brokerage!E$4)+SUMIFS('YTD Purchases'!$H:$H,'YTD Purchases'!$C:$C,Brokerage!$B227,'YTD Purchases'!$G:$G,Brokerage!E$4)</f>
        <v>0</v>
      </c>
      <c r="F227" s="857">
        <f>SUMIFS('YTD Sales'!$N:$N,'YTD Sales'!$B:$B,Brokerage!$B227,'YTD Sales'!$M:$M,Brokerage!F$4)+SUMIFS('YTD Purchases'!$H:$H,'YTD Purchases'!$C:$C,Brokerage!$B227,'YTD Purchases'!$G:$G,Brokerage!F$4)</f>
        <v>0</v>
      </c>
      <c r="G227" s="857">
        <f>SUMIFS('YTD Sales'!$N:$N,'YTD Sales'!$B:$B,Brokerage!$B227,'YTD Sales'!$M:$M,Brokerage!G$4)+SUMIFS('YTD Purchases'!$H:$H,'YTD Purchases'!$C:$C,Brokerage!$B227,'YTD Purchases'!$G:$G,Brokerage!G$4)</f>
        <v>0</v>
      </c>
      <c r="H227" s="857">
        <f>SUMIFS('YTD Sales'!$N:$N,'YTD Sales'!$B:$B,Brokerage!$B227,'YTD Sales'!$M:$M,Brokerage!H$4)+SUMIFS('YTD Purchases'!$H:$H,'YTD Purchases'!$C:$C,Brokerage!$B227,'YTD Purchases'!$G:$G,Brokerage!H$4)</f>
        <v>0</v>
      </c>
      <c r="I227" s="857">
        <f>SUMIFS('YTD Sales'!$N:$N,'YTD Sales'!$B:$B,Brokerage!$B227,'YTD Sales'!$M:$M,Brokerage!I$4)+SUMIFS('YTD Purchases'!$H:$H,'YTD Purchases'!$C:$C,Brokerage!$B227,'YTD Purchases'!$G:$G,Brokerage!I$4)</f>
        <v>0</v>
      </c>
      <c r="J227" s="857">
        <f>SUMIFS('YTD Sales'!$N:$N,'YTD Sales'!$B:$B,Brokerage!$B227,'YTD Sales'!$M:$M,Brokerage!J$4)+SUMIFS('YTD Purchases'!$H:$H,'YTD Purchases'!$C:$C,Brokerage!$B227,'YTD Purchases'!$G:$G,Brokerage!J$4)</f>
        <v>0</v>
      </c>
      <c r="K227" s="857">
        <f>SUMIFS('YTD Sales'!$N:$N,'YTD Sales'!$B:$B,Brokerage!$B227,'YTD Sales'!$M:$M,Brokerage!K$4)+SUMIFS('YTD Purchases'!$H:$H,'YTD Purchases'!$C:$C,Brokerage!$B227,'YTD Purchases'!$G:$G,Brokerage!K$4)</f>
        <v>0</v>
      </c>
      <c r="L227" s="857">
        <f>SUMIFS('YTD Sales'!$N:$N,'YTD Sales'!$B:$B,Brokerage!$B227,'YTD Sales'!$M:$M,Brokerage!L$4)+SUMIFS('YTD Purchases'!$H:$H,'YTD Purchases'!$C:$C,Brokerage!$B227,'YTD Purchases'!$G:$G,Brokerage!L$4)</f>
        <v>0</v>
      </c>
      <c r="M227" s="857">
        <f>SUMIFS('YTD Sales'!$N:$N,'YTD Sales'!$B:$B,Brokerage!$B227,'YTD Sales'!$M:$M,Brokerage!M$4)+SUMIFS('YTD Purchases'!$H:$H,'YTD Purchases'!$C:$C,Brokerage!$B227,'YTD Purchases'!$G:$G,Brokerage!M$4)</f>
        <v>0</v>
      </c>
      <c r="N227" s="857">
        <f>SUMIFS('YTD Sales'!$N:$N,'YTD Sales'!$B:$B,Brokerage!$B227,'YTD Sales'!$M:$M,Brokerage!N$4)+SUMIFS('YTD Purchases'!$H:$H,'YTD Purchases'!$C:$C,Brokerage!$B227,'YTD Purchases'!$G:$G,Brokerage!N$4)</f>
        <v>0</v>
      </c>
      <c r="O227" s="857">
        <f>SUMIFS('YTD Sales'!$N:$N,'YTD Sales'!$B:$B,Brokerage!$B227,'YTD Sales'!$M:$M,Brokerage!O$4)+SUMIFS('YTD Purchases'!$H:$H,'YTD Purchases'!$C:$C,Brokerage!$B227,'YTD Purchases'!$G:$G,Brokerage!O$4)</f>
        <v>0</v>
      </c>
      <c r="P227" s="857">
        <f>SUMIFS('YTD Sales'!$N:$N,'YTD Sales'!$B:$B,Brokerage!$B227,'YTD Sales'!$M:$M,Brokerage!P$4)+SUMIFS('YTD Purchases'!$H:$H,'YTD Purchases'!$C:$C,Brokerage!$B227,'YTD Purchases'!$G:$G,Brokerage!P$4)</f>
        <v>0</v>
      </c>
      <c r="Q227" s="857">
        <f>SUMIFS('YTD Sales'!$N:$N,'YTD Sales'!$B:$B,Brokerage!$B227,'YTD Sales'!$M:$M,Brokerage!Q$4)+SUMIFS('YTD Purchases'!$H:$H,'YTD Purchases'!$C:$C,Brokerage!$B227,'YTD Purchases'!$G:$G,Brokerage!Q$4)</f>
        <v>0</v>
      </c>
      <c r="R227" s="857">
        <f>SUMIFS('YTD Sales'!$N:$N,'YTD Sales'!$B:$B,Brokerage!$B227,'YTD Sales'!$M:$M,Brokerage!R$4)+SUMIFS('YTD Purchases'!$H:$H,'YTD Purchases'!$C:$C,Brokerage!$B227,'YTD Purchases'!$G:$G,Brokerage!R$4)</f>
        <v>0</v>
      </c>
      <c r="S227" s="857">
        <f>SUMIFS('YTD Sales'!$N:$N,'YTD Sales'!$B:$B,Brokerage!$B227,'YTD Sales'!$M:$M,Brokerage!S$4)+SUMIFS('YTD Purchases'!$H:$H,'YTD Purchases'!$C:$C,Brokerage!$B227,'YTD Purchases'!$G:$G,Brokerage!S$4)</f>
        <v>0</v>
      </c>
      <c r="T227" s="857">
        <f>SUMIFS('YTD Sales'!$N:$N,'YTD Sales'!$B:$B,Brokerage!$B227,'YTD Sales'!$M:$M,Brokerage!T$4)+SUMIFS('YTD Purchases'!$H:$H,'YTD Purchases'!$C:$C,Brokerage!$B227,'YTD Purchases'!$G:$G,Brokerage!T$4)</f>
        <v>0</v>
      </c>
      <c r="U227" s="857">
        <f>SUMIFS('YTD Sales'!$N:$N,'YTD Sales'!$B:$B,Brokerage!$B227,'YTD Sales'!$M:$M,Brokerage!U$4)+SUMIFS('YTD Purchases'!$H:$H,'YTD Purchases'!$C:$C,Brokerage!$B227,'YTD Purchases'!$G:$G,Brokerage!U$4)</f>
        <v>0</v>
      </c>
      <c r="V227" s="857">
        <f>SUMIFS('YTD Sales'!$N:$N,'YTD Sales'!$B:$B,Brokerage!$B227,'YTD Sales'!$M:$M,Brokerage!V$4)+SUMIFS('YTD Purchases'!$H:$H,'YTD Purchases'!$C:$C,Brokerage!$B227,'YTD Purchases'!$G:$G,Brokerage!V$4)</f>
        <v>0</v>
      </c>
      <c r="W227" s="857">
        <f>SUMIFS('YTD Sales'!$N:$N,'YTD Sales'!$B:$B,Brokerage!$B227,'YTD Sales'!$M:$M,Brokerage!W$4)+SUMIFS('YTD Purchases'!$H:$H,'YTD Purchases'!$C:$C,Brokerage!$B227,'YTD Purchases'!$G:$G,Brokerage!W$4)</f>
        <v>0</v>
      </c>
      <c r="X227" s="857">
        <f>SUMIFS('YTD Sales'!$N:$N,'YTD Sales'!$B:$B,Brokerage!$B227,'YTD Sales'!$M:$M,Brokerage!X$4)+SUMIFS('YTD Purchases'!$H:$H,'YTD Purchases'!$C:$C,Brokerage!$B227,'YTD Purchases'!$G:$G,Brokerage!X$4)</f>
        <v>0</v>
      </c>
      <c r="Y227" s="857">
        <f>SUMIFS('YTD Sales'!$N:$N,'YTD Sales'!$B:$B,Brokerage!$B227,'YTD Sales'!$M:$M,Brokerage!Y$4)+SUMIFS('YTD Purchases'!$H:$H,'YTD Purchases'!$C:$C,Brokerage!$B227,'YTD Purchases'!$G:$G,Brokerage!Y$4)</f>
        <v>0</v>
      </c>
      <c r="Z227" s="857">
        <f>SUMIFS('YTD Sales'!$N:$N,'YTD Sales'!$B:$B,Brokerage!$B227,'YTD Sales'!$M:$M,Brokerage!Z$4)+SUMIFS('YTD Purchases'!$H:$H,'YTD Purchases'!$C:$C,Brokerage!$B227,'YTD Purchases'!$G:$G,Brokerage!Z$4)</f>
        <v>0</v>
      </c>
      <c r="AA227" s="857">
        <f>SUMIFS('YTD Sales'!$N:$N,'YTD Sales'!$B:$B,Brokerage!$B227,'YTD Sales'!$M:$M,Brokerage!AA$4)+SUMIFS('YTD Purchases'!$H:$H,'YTD Purchases'!$C:$C,Brokerage!$B227,'YTD Purchases'!$G:$G,Brokerage!AA$4)</f>
        <v>0</v>
      </c>
      <c r="AB227" s="857">
        <f>SUMIFS('YTD Sales'!$N:$N,'YTD Sales'!$B:$B,Brokerage!$B227,'YTD Sales'!$M:$M,Brokerage!AB$4)+SUMIFS('YTD Purchases'!$H:$H,'YTD Purchases'!$C:$C,Brokerage!$B227,'YTD Purchases'!$G:$G,Brokerage!AB$4)</f>
        <v>0</v>
      </c>
      <c r="AC227" s="857">
        <f>SUMIFS('YTD Sales'!$N:$N,'YTD Sales'!$B:$B,Brokerage!$B227,'YTD Sales'!$M:$M,Brokerage!AC$4)+SUMIFS('YTD Purchases'!$H:$H,'YTD Purchases'!$C:$C,Brokerage!$B227,'YTD Purchases'!$G:$G,Brokerage!AC$4)</f>
        <v>0</v>
      </c>
      <c r="AD227" s="857">
        <f>+SUMIFS(PIB!AG:AG,PIB!AF:AF,Brokerage!AD$4,PIB!AA:AA,Brokerage!$B227)+SUMIFS('T-Bills'!AB:AB,'T-Bills'!AA:AA,Brokerage!AD$4,'T-Bills'!V:V,Brokerage!$B227)</f>
        <v>0</v>
      </c>
      <c r="AE227" s="857">
        <f>+SUMIFS(PIB!AH:AH,PIB!AG:AG,Brokerage!AE$4,PIB!AB:AB,Brokerage!$B227)+SUMIFS('T-Bills'!AC:AC,'T-Bills'!AB:AB,Brokerage!AE$4,'T-Bills'!W:W,Brokerage!$B227)</f>
        <v>0</v>
      </c>
      <c r="AF227" s="857">
        <f>+SUMIFS(PIB!AI:AI,PIB!AH:AH,Brokerage!AF$4,PIB!AC:AC,Brokerage!$B227)+SUMIFS('T-Bills'!AD:AD,'T-Bills'!AC:AC,Brokerage!AF$4,'T-Bills'!X:X,Brokerage!$B227)</f>
        <v>0</v>
      </c>
      <c r="AG227" s="857">
        <f t="shared" si="23"/>
        <v>0</v>
      </c>
      <c r="AH227" s="858">
        <f t="shared" si="24"/>
        <v>0</v>
      </c>
    </row>
    <row r="228" spans="2:34" x14ac:dyDescent="0.15">
      <c r="B228" s="661">
        <f t="shared" si="22"/>
        <v>44784</v>
      </c>
      <c r="C228" s="857">
        <f>SUMIFS('YTD Sales'!$N:$N,'YTD Sales'!$B:$B,Brokerage!$B228,'YTD Sales'!$M:$M,Brokerage!C$4)+SUMIFS('YTD Purchases'!$H:$H,'YTD Purchases'!$C:$C,Brokerage!$B228,'YTD Purchases'!$G:$G,Brokerage!C$4)</f>
        <v>0</v>
      </c>
      <c r="D228" s="857">
        <f>SUMIFS('YTD Sales'!$N:$N,'YTD Sales'!$B:$B,Brokerage!$B228,'YTD Sales'!$M:$M,Brokerage!D$4)+SUMIFS('YTD Purchases'!$H:$H,'YTD Purchases'!$C:$C,Brokerage!$B228,'YTD Purchases'!$G:$G,Brokerage!D$4)</f>
        <v>0</v>
      </c>
      <c r="E228" s="857">
        <f>SUMIFS('YTD Sales'!$N:$N,'YTD Sales'!$B:$B,Brokerage!$B228,'YTD Sales'!$M:$M,Brokerage!E$4)+SUMIFS('YTD Purchases'!$H:$H,'YTD Purchases'!$C:$C,Brokerage!$B228,'YTD Purchases'!$G:$G,Brokerage!E$4)</f>
        <v>0</v>
      </c>
      <c r="F228" s="857">
        <f>SUMIFS('YTD Sales'!$N:$N,'YTD Sales'!$B:$B,Brokerage!$B228,'YTD Sales'!$M:$M,Brokerage!F$4)+SUMIFS('YTD Purchases'!$H:$H,'YTD Purchases'!$C:$C,Brokerage!$B228,'YTD Purchases'!$G:$G,Brokerage!F$4)</f>
        <v>0</v>
      </c>
      <c r="G228" s="857">
        <f>SUMIFS('YTD Sales'!$N:$N,'YTD Sales'!$B:$B,Brokerage!$B228,'YTD Sales'!$M:$M,Brokerage!G$4)+SUMIFS('YTD Purchases'!$H:$H,'YTD Purchases'!$C:$C,Brokerage!$B228,'YTD Purchases'!$G:$G,Brokerage!G$4)</f>
        <v>0</v>
      </c>
      <c r="H228" s="857">
        <f>SUMIFS('YTD Sales'!$N:$N,'YTD Sales'!$B:$B,Brokerage!$B228,'YTD Sales'!$M:$M,Brokerage!H$4)+SUMIFS('YTD Purchases'!$H:$H,'YTD Purchases'!$C:$C,Brokerage!$B228,'YTD Purchases'!$G:$G,Brokerage!H$4)</f>
        <v>0</v>
      </c>
      <c r="I228" s="857">
        <f>SUMIFS('YTD Sales'!$N:$N,'YTD Sales'!$B:$B,Brokerage!$B228,'YTD Sales'!$M:$M,Brokerage!I$4)+SUMIFS('YTD Purchases'!$H:$H,'YTD Purchases'!$C:$C,Brokerage!$B228,'YTD Purchases'!$G:$G,Brokerage!I$4)</f>
        <v>0</v>
      </c>
      <c r="J228" s="857">
        <f>SUMIFS('YTD Sales'!$N:$N,'YTD Sales'!$B:$B,Brokerage!$B228,'YTD Sales'!$M:$M,Brokerage!J$4)+SUMIFS('YTD Purchases'!$H:$H,'YTD Purchases'!$C:$C,Brokerage!$B228,'YTD Purchases'!$G:$G,Brokerage!J$4)</f>
        <v>0</v>
      </c>
      <c r="K228" s="857">
        <f>SUMIFS('YTD Sales'!$N:$N,'YTD Sales'!$B:$B,Brokerage!$B228,'YTD Sales'!$M:$M,Brokerage!K$4)+SUMIFS('YTD Purchases'!$H:$H,'YTD Purchases'!$C:$C,Brokerage!$B228,'YTD Purchases'!$G:$G,Brokerage!K$4)</f>
        <v>0</v>
      </c>
      <c r="L228" s="857">
        <f>SUMIFS('YTD Sales'!$N:$N,'YTD Sales'!$B:$B,Brokerage!$B228,'YTD Sales'!$M:$M,Brokerage!L$4)+SUMIFS('YTD Purchases'!$H:$H,'YTD Purchases'!$C:$C,Brokerage!$B228,'YTD Purchases'!$G:$G,Brokerage!L$4)</f>
        <v>0</v>
      </c>
      <c r="M228" s="857">
        <f>SUMIFS('YTD Sales'!$N:$N,'YTD Sales'!$B:$B,Brokerage!$B228,'YTD Sales'!$M:$M,Brokerage!M$4)+SUMIFS('YTD Purchases'!$H:$H,'YTD Purchases'!$C:$C,Brokerage!$B228,'YTD Purchases'!$G:$G,Brokerage!M$4)</f>
        <v>0</v>
      </c>
      <c r="N228" s="857">
        <f>SUMIFS('YTD Sales'!$N:$N,'YTD Sales'!$B:$B,Brokerage!$B228,'YTD Sales'!$M:$M,Brokerage!N$4)+SUMIFS('YTD Purchases'!$H:$H,'YTD Purchases'!$C:$C,Brokerage!$B228,'YTD Purchases'!$G:$G,Brokerage!N$4)</f>
        <v>0</v>
      </c>
      <c r="O228" s="857">
        <f>SUMIFS('YTD Sales'!$N:$N,'YTD Sales'!$B:$B,Brokerage!$B228,'YTD Sales'!$M:$M,Brokerage!O$4)+SUMIFS('YTD Purchases'!$H:$H,'YTD Purchases'!$C:$C,Brokerage!$B228,'YTD Purchases'!$G:$G,Brokerage!O$4)</f>
        <v>0</v>
      </c>
      <c r="P228" s="857">
        <f>SUMIFS('YTD Sales'!$N:$N,'YTD Sales'!$B:$B,Brokerage!$B228,'YTD Sales'!$M:$M,Brokerage!P$4)+SUMIFS('YTD Purchases'!$H:$H,'YTD Purchases'!$C:$C,Brokerage!$B228,'YTD Purchases'!$G:$G,Brokerage!P$4)</f>
        <v>0</v>
      </c>
      <c r="Q228" s="857">
        <f>SUMIFS('YTD Sales'!$N:$N,'YTD Sales'!$B:$B,Brokerage!$B228,'YTD Sales'!$M:$M,Brokerage!Q$4)+SUMIFS('YTD Purchases'!$H:$H,'YTD Purchases'!$C:$C,Brokerage!$B228,'YTD Purchases'!$G:$G,Brokerage!Q$4)</f>
        <v>0</v>
      </c>
      <c r="R228" s="857">
        <f>SUMIFS('YTD Sales'!$N:$N,'YTD Sales'!$B:$B,Brokerage!$B228,'YTD Sales'!$M:$M,Brokerage!R$4)+SUMIFS('YTD Purchases'!$H:$H,'YTD Purchases'!$C:$C,Brokerage!$B228,'YTD Purchases'!$G:$G,Brokerage!R$4)</f>
        <v>0</v>
      </c>
      <c r="S228" s="857">
        <f>SUMIFS('YTD Sales'!$N:$N,'YTD Sales'!$B:$B,Brokerage!$B228,'YTD Sales'!$M:$M,Brokerage!S$4)+SUMIFS('YTD Purchases'!$H:$H,'YTD Purchases'!$C:$C,Brokerage!$B228,'YTD Purchases'!$G:$G,Brokerage!S$4)</f>
        <v>0</v>
      </c>
      <c r="T228" s="857">
        <f>SUMIFS('YTD Sales'!$N:$N,'YTD Sales'!$B:$B,Brokerage!$B228,'YTD Sales'!$M:$M,Brokerage!T$4)+SUMIFS('YTD Purchases'!$H:$H,'YTD Purchases'!$C:$C,Brokerage!$B228,'YTD Purchases'!$G:$G,Brokerage!T$4)</f>
        <v>0</v>
      </c>
      <c r="U228" s="857">
        <f>SUMIFS('YTD Sales'!$N:$N,'YTD Sales'!$B:$B,Brokerage!$B228,'YTD Sales'!$M:$M,Brokerage!U$4)+SUMIFS('YTD Purchases'!$H:$H,'YTD Purchases'!$C:$C,Brokerage!$B228,'YTD Purchases'!$G:$G,Brokerage!U$4)</f>
        <v>0</v>
      </c>
      <c r="V228" s="857">
        <f>SUMIFS('YTD Sales'!$N:$N,'YTD Sales'!$B:$B,Brokerage!$B228,'YTD Sales'!$M:$M,Brokerage!V$4)+SUMIFS('YTD Purchases'!$H:$H,'YTD Purchases'!$C:$C,Brokerage!$B228,'YTD Purchases'!$G:$G,Brokerage!V$4)</f>
        <v>0</v>
      </c>
      <c r="W228" s="857">
        <f>SUMIFS('YTD Sales'!$N:$N,'YTD Sales'!$B:$B,Brokerage!$B228,'YTD Sales'!$M:$M,Brokerage!W$4)+SUMIFS('YTD Purchases'!$H:$H,'YTD Purchases'!$C:$C,Brokerage!$B228,'YTD Purchases'!$G:$G,Brokerage!W$4)</f>
        <v>0</v>
      </c>
      <c r="X228" s="857">
        <f>SUMIFS('YTD Sales'!$N:$N,'YTD Sales'!$B:$B,Brokerage!$B228,'YTD Sales'!$M:$M,Brokerage!X$4)+SUMIFS('YTD Purchases'!$H:$H,'YTD Purchases'!$C:$C,Brokerage!$B228,'YTD Purchases'!$G:$G,Brokerage!X$4)</f>
        <v>0</v>
      </c>
      <c r="Y228" s="857">
        <f>SUMIFS('YTD Sales'!$N:$N,'YTD Sales'!$B:$B,Brokerage!$B228,'YTD Sales'!$M:$M,Brokerage!Y$4)+SUMIFS('YTD Purchases'!$H:$H,'YTD Purchases'!$C:$C,Brokerage!$B228,'YTD Purchases'!$G:$G,Brokerage!Y$4)</f>
        <v>0</v>
      </c>
      <c r="Z228" s="857">
        <f>SUMIFS('YTD Sales'!$N:$N,'YTD Sales'!$B:$B,Brokerage!$B228,'YTD Sales'!$M:$M,Brokerage!Z$4)+SUMIFS('YTD Purchases'!$H:$H,'YTD Purchases'!$C:$C,Brokerage!$B228,'YTD Purchases'!$G:$G,Brokerage!Z$4)</f>
        <v>0</v>
      </c>
      <c r="AA228" s="857">
        <f>SUMIFS('YTD Sales'!$N:$N,'YTD Sales'!$B:$B,Brokerage!$B228,'YTD Sales'!$M:$M,Brokerage!AA$4)+SUMIFS('YTD Purchases'!$H:$H,'YTD Purchases'!$C:$C,Brokerage!$B228,'YTD Purchases'!$G:$G,Brokerage!AA$4)</f>
        <v>0</v>
      </c>
      <c r="AB228" s="857">
        <f>SUMIFS('YTD Sales'!$N:$N,'YTD Sales'!$B:$B,Brokerage!$B228,'YTD Sales'!$M:$M,Brokerage!AB$4)+SUMIFS('YTD Purchases'!$H:$H,'YTD Purchases'!$C:$C,Brokerage!$B228,'YTD Purchases'!$G:$G,Brokerage!AB$4)</f>
        <v>0</v>
      </c>
      <c r="AC228" s="857">
        <f>SUMIFS('YTD Sales'!$N:$N,'YTD Sales'!$B:$B,Brokerage!$B228,'YTD Sales'!$M:$M,Brokerage!AC$4)+SUMIFS('YTD Purchases'!$H:$H,'YTD Purchases'!$C:$C,Brokerage!$B228,'YTD Purchases'!$G:$G,Brokerage!AC$4)</f>
        <v>0</v>
      </c>
      <c r="AD228" s="857">
        <f>+SUMIFS(PIB!AG:AG,PIB!AF:AF,Brokerage!AD$4,PIB!AA:AA,Brokerage!$B228)+SUMIFS('T-Bills'!AB:AB,'T-Bills'!AA:AA,Brokerage!AD$4,'T-Bills'!V:V,Brokerage!$B228)</f>
        <v>0</v>
      </c>
      <c r="AE228" s="857">
        <f>+SUMIFS(PIB!AH:AH,PIB!AG:AG,Brokerage!AE$4,PIB!AB:AB,Brokerage!$B228)+SUMIFS('T-Bills'!AC:AC,'T-Bills'!AB:AB,Brokerage!AE$4,'T-Bills'!W:W,Brokerage!$B228)</f>
        <v>0</v>
      </c>
      <c r="AF228" s="857">
        <f>+SUMIFS(PIB!AI:AI,PIB!AH:AH,Brokerage!AF$4,PIB!AC:AC,Brokerage!$B228)+SUMIFS('T-Bills'!AD:AD,'T-Bills'!AC:AC,Brokerage!AF$4,'T-Bills'!X:X,Brokerage!$B228)</f>
        <v>0</v>
      </c>
      <c r="AG228" s="857">
        <f t="shared" si="23"/>
        <v>0</v>
      </c>
      <c r="AH228" s="858">
        <f t="shared" si="24"/>
        <v>0</v>
      </c>
    </row>
    <row r="229" spans="2:34" x14ac:dyDescent="0.15">
      <c r="B229" s="661">
        <f t="shared" si="22"/>
        <v>44785</v>
      </c>
      <c r="C229" s="857">
        <f>SUMIFS('YTD Sales'!$N:$N,'YTD Sales'!$B:$B,Brokerage!$B229,'YTD Sales'!$M:$M,Brokerage!C$4)+SUMIFS('YTD Purchases'!$H:$H,'YTD Purchases'!$C:$C,Brokerage!$B229,'YTD Purchases'!$G:$G,Brokerage!C$4)</f>
        <v>0</v>
      </c>
      <c r="D229" s="857">
        <f>SUMIFS('YTD Sales'!$N:$N,'YTD Sales'!$B:$B,Brokerage!$B229,'YTD Sales'!$M:$M,Brokerage!D$4)+SUMIFS('YTD Purchases'!$H:$H,'YTD Purchases'!$C:$C,Brokerage!$B229,'YTD Purchases'!$G:$G,Brokerage!D$4)</f>
        <v>0</v>
      </c>
      <c r="E229" s="857">
        <f>SUMIFS('YTD Sales'!$N:$N,'YTD Sales'!$B:$B,Brokerage!$B229,'YTD Sales'!$M:$M,Brokerage!E$4)+SUMIFS('YTD Purchases'!$H:$H,'YTD Purchases'!$C:$C,Brokerage!$B229,'YTD Purchases'!$G:$G,Brokerage!E$4)</f>
        <v>0</v>
      </c>
      <c r="F229" s="857">
        <f>SUMIFS('YTD Sales'!$N:$N,'YTD Sales'!$B:$B,Brokerage!$B229,'YTD Sales'!$M:$M,Brokerage!F$4)+SUMIFS('YTD Purchases'!$H:$H,'YTD Purchases'!$C:$C,Brokerage!$B229,'YTD Purchases'!$G:$G,Brokerage!F$4)</f>
        <v>0</v>
      </c>
      <c r="G229" s="857">
        <f>SUMIFS('YTD Sales'!$N:$N,'YTD Sales'!$B:$B,Brokerage!$B229,'YTD Sales'!$M:$M,Brokerage!G$4)+SUMIFS('YTD Purchases'!$H:$H,'YTD Purchases'!$C:$C,Brokerage!$B229,'YTD Purchases'!$G:$G,Brokerage!G$4)</f>
        <v>0</v>
      </c>
      <c r="H229" s="857">
        <f>SUMIFS('YTD Sales'!$N:$N,'YTD Sales'!$B:$B,Brokerage!$B229,'YTD Sales'!$M:$M,Brokerage!H$4)+SUMIFS('YTD Purchases'!$H:$H,'YTD Purchases'!$C:$C,Brokerage!$B229,'YTD Purchases'!$G:$G,Brokerage!H$4)</f>
        <v>0</v>
      </c>
      <c r="I229" s="857">
        <f>SUMIFS('YTD Sales'!$N:$N,'YTD Sales'!$B:$B,Brokerage!$B229,'YTD Sales'!$M:$M,Brokerage!I$4)+SUMIFS('YTD Purchases'!$H:$H,'YTD Purchases'!$C:$C,Brokerage!$B229,'YTD Purchases'!$G:$G,Brokerage!I$4)</f>
        <v>0</v>
      </c>
      <c r="J229" s="857">
        <f>SUMIFS('YTD Sales'!$N:$N,'YTD Sales'!$B:$B,Brokerage!$B229,'YTD Sales'!$M:$M,Brokerage!J$4)+SUMIFS('YTD Purchases'!$H:$H,'YTD Purchases'!$C:$C,Brokerage!$B229,'YTD Purchases'!$G:$G,Brokerage!J$4)</f>
        <v>0</v>
      </c>
      <c r="K229" s="857">
        <f>SUMIFS('YTD Sales'!$N:$N,'YTD Sales'!$B:$B,Brokerage!$B229,'YTD Sales'!$M:$M,Brokerage!K$4)+SUMIFS('YTD Purchases'!$H:$H,'YTD Purchases'!$C:$C,Brokerage!$B229,'YTD Purchases'!$G:$G,Brokerage!K$4)</f>
        <v>0</v>
      </c>
      <c r="L229" s="857">
        <f>SUMIFS('YTD Sales'!$N:$N,'YTD Sales'!$B:$B,Brokerage!$B229,'YTD Sales'!$M:$M,Brokerage!L$4)+SUMIFS('YTD Purchases'!$H:$H,'YTD Purchases'!$C:$C,Brokerage!$B229,'YTD Purchases'!$G:$G,Brokerage!L$4)</f>
        <v>0</v>
      </c>
      <c r="M229" s="857">
        <f>SUMIFS('YTD Sales'!$N:$N,'YTD Sales'!$B:$B,Brokerage!$B229,'YTD Sales'!$M:$M,Brokerage!M$4)+SUMIFS('YTD Purchases'!$H:$H,'YTD Purchases'!$C:$C,Brokerage!$B229,'YTD Purchases'!$G:$G,Brokerage!M$4)</f>
        <v>0</v>
      </c>
      <c r="N229" s="857">
        <f>SUMIFS('YTD Sales'!$N:$N,'YTD Sales'!$B:$B,Brokerage!$B229,'YTD Sales'!$M:$M,Brokerage!N$4)+SUMIFS('YTD Purchases'!$H:$H,'YTD Purchases'!$C:$C,Brokerage!$B229,'YTD Purchases'!$G:$G,Brokerage!N$4)</f>
        <v>0</v>
      </c>
      <c r="O229" s="857">
        <f>SUMIFS('YTD Sales'!$N:$N,'YTD Sales'!$B:$B,Brokerage!$B229,'YTD Sales'!$M:$M,Brokerage!O$4)+SUMIFS('YTD Purchases'!$H:$H,'YTD Purchases'!$C:$C,Brokerage!$B229,'YTD Purchases'!$G:$G,Brokerage!O$4)</f>
        <v>0</v>
      </c>
      <c r="P229" s="857">
        <f>SUMIFS('YTD Sales'!$N:$N,'YTD Sales'!$B:$B,Brokerage!$B229,'YTD Sales'!$M:$M,Brokerage!P$4)+SUMIFS('YTD Purchases'!$H:$H,'YTD Purchases'!$C:$C,Brokerage!$B229,'YTD Purchases'!$G:$G,Brokerage!P$4)</f>
        <v>0</v>
      </c>
      <c r="Q229" s="857">
        <f>SUMIFS('YTD Sales'!$N:$N,'YTD Sales'!$B:$B,Brokerage!$B229,'YTD Sales'!$M:$M,Brokerage!Q$4)+SUMIFS('YTD Purchases'!$H:$H,'YTD Purchases'!$C:$C,Brokerage!$B229,'YTD Purchases'!$G:$G,Brokerage!Q$4)</f>
        <v>0</v>
      </c>
      <c r="R229" s="857">
        <f>SUMIFS('YTD Sales'!$N:$N,'YTD Sales'!$B:$B,Brokerage!$B229,'YTD Sales'!$M:$M,Brokerage!R$4)+SUMIFS('YTD Purchases'!$H:$H,'YTD Purchases'!$C:$C,Brokerage!$B229,'YTD Purchases'!$G:$G,Brokerage!R$4)</f>
        <v>0</v>
      </c>
      <c r="S229" s="857">
        <f>SUMIFS('YTD Sales'!$N:$N,'YTD Sales'!$B:$B,Brokerage!$B229,'YTD Sales'!$M:$M,Brokerage!S$4)+SUMIFS('YTD Purchases'!$H:$H,'YTD Purchases'!$C:$C,Brokerage!$B229,'YTD Purchases'!$G:$G,Brokerage!S$4)</f>
        <v>0</v>
      </c>
      <c r="T229" s="857">
        <f>SUMIFS('YTD Sales'!$N:$N,'YTD Sales'!$B:$B,Brokerage!$B229,'YTD Sales'!$M:$M,Brokerage!T$4)+SUMIFS('YTD Purchases'!$H:$H,'YTD Purchases'!$C:$C,Brokerage!$B229,'YTD Purchases'!$G:$G,Brokerage!T$4)</f>
        <v>0</v>
      </c>
      <c r="U229" s="857">
        <f>SUMIFS('YTD Sales'!$N:$N,'YTD Sales'!$B:$B,Brokerage!$B229,'YTD Sales'!$M:$M,Brokerage!U$4)+SUMIFS('YTD Purchases'!$H:$H,'YTD Purchases'!$C:$C,Brokerage!$B229,'YTD Purchases'!$G:$G,Brokerage!U$4)</f>
        <v>0</v>
      </c>
      <c r="V229" s="857">
        <f>SUMIFS('YTD Sales'!$N:$N,'YTD Sales'!$B:$B,Brokerage!$B229,'YTD Sales'!$M:$M,Brokerage!V$4)+SUMIFS('YTD Purchases'!$H:$H,'YTD Purchases'!$C:$C,Brokerage!$B229,'YTD Purchases'!$G:$G,Brokerage!V$4)</f>
        <v>0</v>
      </c>
      <c r="W229" s="857">
        <f>SUMIFS('YTD Sales'!$N:$N,'YTD Sales'!$B:$B,Brokerage!$B229,'YTD Sales'!$M:$M,Brokerage!W$4)+SUMIFS('YTD Purchases'!$H:$H,'YTD Purchases'!$C:$C,Brokerage!$B229,'YTD Purchases'!$G:$G,Brokerage!W$4)</f>
        <v>0</v>
      </c>
      <c r="X229" s="857">
        <f>SUMIFS('YTD Sales'!$N:$N,'YTD Sales'!$B:$B,Brokerage!$B229,'YTD Sales'!$M:$M,Brokerage!X$4)+SUMIFS('YTD Purchases'!$H:$H,'YTD Purchases'!$C:$C,Brokerage!$B229,'YTD Purchases'!$G:$G,Brokerage!X$4)</f>
        <v>0</v>
      </c>
      <c r="Y229" s="857">
        <f>SUMIFS('YTD Sales'!$N:$N,'YTD Sales'!$B:$B,Brokerage!$B229,'YTD Sales'!$M:$M,Brokerage!Y$4)+SUMIFS('YTD Purchases'!$H:$H,'YTD Purchases'!$C:$C,Brokerage!$B229,'YTD Purchases'!$G:$G,Brokerage!Y$4)</f>
        <v>0</v>
      </c>
      <c r="Z229" s="857">
        <f>SUMIFS('YTD Sales'!$N:$N,'YTD Sales'!$B:$B,Brokerage!$B229,'YTD Sales'!$M:$M,Brokerage!Z$4)+SUMIFS('YTD Purchases'!$H:$H,'YTD Purchases'!$C:$C,Brokerage!$B229,'YTD Purchases'!$G:$G,Brokerage!Z$4)</f>
        <v>0</v>
      </c>
      <c r="AA229" s="857">
        <f>SUMIFS('YTD Sales'!$N:$N,'YTD Sales'!$B:$B,Brokerage!$B229,'YTD Sales'!$M:$M,Brokerage!AA$4)+SUMIFS('YTD Purchases'!$H:$H,'YTD Purchases'!$C:$C,Brokerage!$B229,'YTD Purchases'!$G:$G,Brokerage!AA$4)</f>
        <v>0</v>
      </c>
      <c r="AB229" s="857">
        <f>SUMIFS('YTD Sales'!$N:$N,'YTD Sales'!$B:$B,Brokerage!$B229,'YTD Sales'!$M:$M,Brokerage!AB$4)+SUMIFS('YTD Purchases'!$H:$H,'YTD Purchases'!$C:$C,Brokerage!$B229,'YTD Purchases'!$G:$G,Brokerage!AB$4)</f>
        <v>0</v>
      </c>
      <c r="AC229" s="857">
        <f>SUMIFS('YTD Sales'!$N:$N,'YTD Sales'!$B:$B,Brokerage!$B229,'YTD Sales'!$M:$M,Brokerage!AC$4)+SUMIFS('YTD Purchases'!$H:$H,'YTD Purchases'!$C:$C,Brokerage!$B229,'YTD Purchases'!$G:$G,Brokerage!AC$4)</f>
        <v>0</v>
      </c>
      <c r="AD229" s="857">
        <f>+SUMIFS(PIB!AG:AG,PIB!AF:AF,Brokerage!AD$4,PIB!AA:AA,Brokerage!$B229)+SUMIFS('T-Bills'!AB:AB,'T-Bills'!AA:AA,Brokerage!AD$4,'T-Bills'!V:V,Brokerage!$B229)</f>
        <v>0</v>
      </c>
      <c r="AE229" s="857">
        <f>+SUMIFS(PIB!AH:AH,PIB!AG:AG,Brokerage!AE$4,PIB!AB:AB,Brokerage!$B229)+SUMIFS('T-Bills'!AC:AC,'T-Bills'!AB:AB,Brokerage!AE$4,'T-Bills'!W:W,Brokerage!$B229)</f>
        <v>0</v>
      </c>
      <c r="AF229" s="857">
        <f>+SUMIFS(PIB!AI:AI,PIB!AH:AH,Brokerage!AF$4,PIB!AC:AC,Brokerage!$B229)+SUMIFS('T-Bills'!AD:AD,'T-Bills'!AC:AC,Brokerage!AF$4,'T-Bills'!X:X,Brokerage!$B229)</f>
        <v>0</v>
      </c>
      <c r="AG229" s="857">
        <f t="shared" si="23"/>
        <v>0</v>
      </c>
      <c r="AH229" s="858">
        <f t="shared" si="24"/>
        <v>0</v>
      </c>
    </row>
    <row r="230" spans="2:34" x14ac:dyDescent="0.15">
      <c r="B230" s="661">
        <f t="shared" si="22"/>
        <v>44786</v>
      </c>
      <c r="C230" s="857">
        <f>SUMIFS('YTD Sales'!$N:$N,'YTD Sales'!$B:$B,Brokerage!$B230,'YTD Sales'!$M:$M,Brokerage!C$4)+SUMIFS('YTD Purchases'!$H:$H,'YTD Purchases'!$C:$C,Brokerage!$B230,'YTD Purchases'!$G:$G,Brokerage!C$4)</f>
        <v>0</v>
      </c>
      <c r="D230" s="857">
        <f>SUMIFS('YTD Sales'!$N:$N,'YTD Sales'!$B:$B,Brokerage!$B230,'YTD Sales'!$M:$M,Brokerage!D$4)+SUMIFS('YTD Purchases'!$H:$H,'YTD Purchases'!$C:$C,Brokerage!$B230,'YTD Purchases'!$G:$G,Brokerage!D$4)</f>
        <v>0</v>
      </c>
      <c r="E230" s="857">
        <f>SUMIFS('YTD Sales'!$N:$N,'YTD Sales'!$B:$B,Brokerage!$B230,'YTD Sales'!$M:$M,Brokerage!E$4)+SUMIFS('YTD Purchases'!$H:$H,'YTD Purchases'!$C:$C,Brokerage!$B230,'YTD Purchases'!$G:$G,Brokerage!E$4)</f>
        <v>0</v>
      </c>
      <c r="F230" s="857">
        <f>SUMIFS('YTD Sales'!$N:$N,'YTD Sales'!$B:$B,Brokerage!$B230,'YTD Sales'!$M:$M,Brokerage!F$4)+SUMIFS('YTD Purchases'!$H:$H,'YTD Purchases'!$C:$C,Brokerage!$B230,'YTD Purchases'!$G:$G,Brokerage!F$4)</f>
        <v>0</v>
      </c>
      <c r="G230" s="857">
        <f>SUMIFS('YTD Sales'!$N:$N,'YTD Sales'!$B:$B,Brokerage!$B230,'YTD Sales'!$M:$M,Brokerage!G$4)+SUMIFS('YTD Purchases'!$H:$H,'YTD Purchases'!$C:$C,Brokerage!$B230,'YTD Purchases'!$G:$G,Brokerage!G$4)</f>
        <v>0</v>
      </c>
      <c r="H230" s="857">
        <f>SUMIFS('YTD Sales'!$N:$N,'YTD Sales'!$B:$B,Brokerage!$B230,'YTD Sales'!$M:$M,Brokerage!H$4)+SUMIFS('YTD Purchases'!$H:$H,'YTD Purchases'!$C:$C,Brokerage!$B230,'YTD Purchases'!$G:$G,Brokerage!H$4)</f>
        <v>0</v>
      </c>
      <c r="I230" s="857">
        <f>SUMIFS('YTD Sales'!$N:$N,'YTD Sales'!$B:$B,Brokerage!$B230,'YTD Sales'!$M:$M,Brokerage!I$4)+SUMIFS('YTD Purchases'!$H:$H,'YTD Purchases'!$C:$C,Brokerage!$B230,'YTD Purchases'!$G:$G,Brokerage!I$4)</f>
        <v>0</v>
      </c>
      <c r="J230" s="857">
        <f>SUMIFS('YTD Sales'!$N:$N,'YTD Sales'!$B:$B,Brokerage!$B230,'YTD Sales'!$M:$M,Brokerage!J$4)+SUMIFS('YTD Purchases'!$H:$H,'YTD Purchases'!$C:$C,Brokerage!$B230,'YTD Purchases'!$G:$G,Brokerage!J$4)</f>
        <v>0</v>
      </c>
      <c r="K230" s="857">
        <f>SUMIFS('YTD Sales'!$N:$N,'YTD Sales'!$B:$B,Brokerage!$B230,'YTD Sales'!$M:$M,Brokerage!K$4)+SUMIFS('YTD Purchases'!$H:$H,'YTD Purchases'!$C:$C,Brokerage!$B230,'YTD Purchases'!$G:$G,Brokerage!K$4)</f>
        <v>0</v>
      </c>
      <c r="L230" s="857">
        <f>SUMIFS('YTD Sales'!$N:$N,'YTD Sales'!$B:$B,Brokerage!$B230,'YTD Sales'!$M:$M,Brokerage!L$4)+SUMIFS('YTD Purchases'!$H:$H,'YTD Purchases'!$C:$C,Brokerage!$B230,'YTD Purchases'!$G:$G,Brokerage!L$4)</f>
        <v>0</v>
      </c>
      <c r="M230" s="857">
        <f>SUMIFS('YTD Sales'!$N:$N,'YTD Sales'!$B:$B,Brokerage!$B230,'YTD Sales'!$M:$M,Brokerage!M$4)+SUMIFS('YTD Purchases'!$H:$H,'YTD Purchases'!$C:$C,Brokerage!$B230,'YTD Purchases'!$G:$G,Brokerage!M$4)</f>
        <v>0</v>
      </c>
      <c r="N230" s="857">
        <f>SUMIFS('YTD Sales'!$N:$N,'YTD Sales'!$B:$B,Brokerage!$B230,'YTD Sales'!$M:$M,Brokerage!N$4)+SUMIFS('YTD Purchases'!$H:$H,'YTD Purchases'!$C:$C,Brokerage!$B230,'YTD Purchases'!$G:$G,Brokerage!N$4)</f>
        <v>0</v>
      </c>
      <c r="O230" s="857">
        <f>SUMIFS('YTD Sales'!$N:$N,'YTD Sales'!$B:$B,Brokerage!$B230,'YTD Sales'!$M:$M,Brokerage!O$4)+SUMIFS('YTD Purchases'!$H:$H,'YTD Purchases'!$C:$C,Brokerage!$B230,'YTD Purchases'!$G:$G,Brokerage!O$4)</f>
        <v>0</v>
      </c>
      <c r="P230" s="857">
        <f>SUMIFS('YTD Sales'!$N:$N,'YTD Sales'!$B:$B,Brokerage!$B230,'YTD Sales'!$M:$M,Brokerage!P$4)+SUMIFS('YTD Purchases'!$H:$H,'YTD Purchases'!$C:$C,Brokerage!$B230,'YTD Purchases'!$G:$G,Brokerage!P$4)</f>
        <v>0</v>
      </c>
      <c r="Q230" s="857">
        <f>SUMIFS('YTD Sales'!$N:$N,'YTD Sales'!$B:$B,Brokerage!$B230,'YTD Sales'!$M:$M,Brokerage!Q$4)+SUMIFS('YTD Purchases'!$H:$H,'YTD Purchases'!$C:$C,Brokerage!$B230,'YTD Purchases'!$G:$G,Brokerage!Q$4)</f>
        <v>0</v>
      </c>
      <c r="R230" s="857">
        <f>SUMIFS('YTD Sales'!$N:$N,'YTD Sales'!$B:$B,Brokerage!$B230,'YTD Sales'!$M:$M,Brokerage!R$4)+SUMIFS('YTD Purchases'!$H:$H,'YTD Purchases'!$C:$C,Brokerage!$B230,'YTD Purchases'!$G:$G,Brokerage!R$4)</f>
        <v>0</v>
      </c>
      <c r="S230" s="857">
        <f>SUMIFS('YTD Sales'!$N:$N,'YTD Sales'!$B:$B,Brokerage!$B230,'YTD Sales'!$M:$M,Brokerage!S$4)+SUMIFS('YTD Purchases'!$H:$H,'YTD Purchases'!$C:$C,Brokerage!$B230,'YTD Purchases'!$G:$G,Brokerage!S$4)</f>
        <v>0</v>
      </c>
      <c r="T230" s="857">
        <f>SUMIFS('YTD Sales'!$N:$N,'YTD Sales'!$B:$B,Brokerage!$B230,'YTD Sales'!$M:$M,Brokerage!T$4)+SUMIFS('YTD Purchases'!$H:$H,'YTD Purchases'!$C:$C,Brokerage!$B230,'YTD Purchases'!$G:$G,Brokerage!T$4)</f>
        <v>0</v>
      </c>
      <c r="U230" s="857">
        <f>SUMIFS('YTD Sales'!$N:$N,'YTD Sales'!$B:$B,Brokerage!$B230,'YTD Sales'!$M:$M,Brokerage!U$4)+SUMIFS('YTD Purchases'!$H:$H,'YTD Purchases'!$C:$C,Brokerage!$B230,'YTD Purchases'!$G:$G,Brokerage!U$4)</f>
        <v>0</v>
      </c>
      <c r="V230" s="857">
        <f>SUMIFS('YTD Sales'!$N:$N,'YTD Sales'!$B:$B,Brokerage!$B230,'YTD Sales'!$M:$M,Brokerage!V$4)+SUMIFS('YTD Purchases'!$H:$H,'YTD Purchases'!$C:$C,Brokerage!$B230,'YTD Purchases'!$G:$G,Brokerage!V$4)</f>
        <v>0</v>
      </c>
      <c r="W230" s="857">
        <f>SUMIFS('YTD Sales'!$N:$N,'YTD Sales'!$B:$B,Brokerage!$B230,'YTD Sales'!$M:$M,Brokerage!W$4)+SUMIFS('YTD Purchases'!$H:$H,'YTD Purchases'!$C:$C,Brokerage!$B230,'YTD Purchases'!$G:$G,Brokerage!W$4)</f>
        <v>0</v>
      </c>
      <c r="X230" s="857">
        <f>SUMIFS('YTD Sales'!$N:$N,'YTD Sales'!$B:$B,Brokerage!$B230,'YTD Sales'!$M:$M,Brokerage!X$4)+SUMIFS('YTD Purchases'!$H:$H,'YTD Purchases'!$C:$C,Brokerage!$B230,'YTD Purchases'!$G:$G,Brokerage!X$4)</f>
        <v>0</v>
      </c>
      <c r="Y230" s="857">
        <f>SUMIFS('YTD Sales'!$N:$N,'YTD Sales'!$B:$B,Brokerage!$B230,'YTD Sales'!$M:$M,Brokerage!Y$4)+SUMIFS('YTD Purchases'!$H:$H,'YTD Purchases'!$C:$C,Brokerage!$B230,'YTD Purchases'!$G:$G,Brokerage!Y$4)</f>
        <v>0</v>
      </c>
      <c r="Z230" s="857">
        <f>SUMIFS('YTD Sales'!$N:$N,'YTD Sales'!$B:$B,Brokerage!$B230,'YTD Sales'!$M:$M,Brokerage!Z$4)+SUMIFS('YTD Purchases'!$H:$H,'YTD Purchases'!$C:$C,Brokerage!$B230,'YTD Purchases'!$G:$G,Brokerage!Z$4)</f>
        <v>0</v>
      </c>
      <c r="AA230" s="857">
        <f>SUMIFS('YTD Sales'!$N:$N,'YTD Sales'!$B:$B,Brokerage!$B230,'YTD Sales'!$M:$M,Brokerage!AA$4)+SUMIFS('YTD Purchases'!$H:$H,'YTD Purchases'!$C:$C,Brokerage!$B230,'YTD Purchases'!$G:$G,Brokerage!AA$4)</f>
        <v>0</v>
      </c>
      <c r="AB230" s="857">
        <f>SUMIFS('YTD Sales'!$N:$N,'YTD Sales'!$B:$B,Brokerage!$B230,'YTD Sales'!$M:$M,Brokerage!AB$4)+SUMIFS('YTD Purchases'!$H:$H,'YTD Purchases'!$C:$C,Brokerage!$B230,'YTD Purchases'!$G:$G,Brokerage!AB$4)</f>
        <v>0</v>
      </c>
      <c r="AC230" s="857">
        <f>SUMIFS('YTD Sales'!$N:$N,'YTD Sales'!$B:$B,Brokerage!$B230,'YTD Sales'!$M:$M,Brokerage!AC$4)+SUMIFS('YTD Purchases'!$H:$H,'YTD Purchases'!$C:$C,Brokerage!$B230,'YTD Purchases'!$G:$G,Brokerage!AC$4)</f>
        <v>0</v>
      </c>
      <c r="AD230" s="857">
        <f>+SUMIFS(PIB!AG:AG,PIB!AF:AF,Brokerage!AD$4,PIB!AA:AA,Brokerage!$B230)+SUMIFS('T-Bills'!AB:AB,'T-Bills'!AA:AA,Brokerage!AD$4,'T-Bills'!V:V,Brokerage!$B230)</f>
        <v>0</v>
      </c>
      <c r="AE230" s="857">
        <f>+SUMIFS(PIB!AH:AH,PIB!AG:AG,Brokerage!AE$4,PIB!AB:AB,Brokerage!$B230)+SUMIFS('T-Bills'!AC:AC,'T-Bills'!AB:AB,Brokerage!AE$4,'T-Bills'!W:W,Brokerage!$B230)</f>
        <v>0</v>
      </c>
      <c r="AF230" s="857">
        <f>+SUMIFS(PIB!AI:AI,PIB!AH:AH,Brokerage!AF$4,PIB!AC:AC,Brokerage!$B230)+SUMIFS('T-Bills'!AD:AD,'T-Bills'!AC:AC,Brokerage!AF$4,'T-Bills'!X:X,Brokerage!$B230)</f>
        <v>0</v>
      </c>
      <c r="AG230" s="857">
        <f t="shared" si="23"/>
        <v>0</v>
      </c>
      <c r="AH230" s="858">
        <f t="shared" si="24"/>
        <v>0</v>
      </c>
    </row>
    <row r="231" spans="2:34" x14ac:dyDescent="0.15">
      <c r="B231" s="661">
        <f t="shared" si="22"/>
        <v>44787</v>
      </c>
      <c r="C231" s="857">
        <f>SUMIFS('YTD Sales'!$N:$N,'YTD Sales'!$B:$B,Brokerage!$B231,'YTD Sales'!$M:$M,Brokerage!C$4)+SUMIFS('YTD Purchases'!$H:$H,'YTD Purchases'!$C:$C,Brokerage!$B231,'YTD Purchases'!$G:$G,Brokerage!C$4)</f>
        <v>0</v>
      </c>
      <c r="D231" s="857">
        <f>SUMIFS('YTD Sales'!$N:$N,'YTD Sales'!$B:$B,Brokerage!$B231,'YTD Sales'!$M:$M,Brokerage!D$4)+SUMIFS('YTD Purchases'!$H:$H,'YTD Purchases'!$C:$C,Brokerage!$B231,'YTD Purchases'!$G:$G,Brokerage!D$4)</f>
        <v>0</v>
      </c>
      <c r="E231" s="857">
        <f>SUMIFS('YTD Sales'!$N:$N,'YTD Sales'!$B:$B,Brokerage!$B231,'YTD Sales'!$M:$M,Brokerage!E$4)+SUMIFS('YTD Purchases'!$H:$H,'YTD Purchases'!$C:$C,Brokerage!$B231,'YTD Purchases'!$G:$G,Brokerage!E$4)</f>
        <v>0</v>
      </c>
      <c r="F231" s="857">
        <f>SUMIFS('YTD Sales'!$N:$N,'YTD Sales'!$B:$B,Brokerage!$B231,'YTD Sales'!$M:$M,Brokerage!F$4)+SUMIFS('YTD Purchases'!$H:$H,'YTD Purchases'!$C:$C,Brokerage!$B231,'YTD Purchases'!$G:$G,Brokerage!F$4)</f>
        <v>0</v>
      </c>
      <c r="G231" s="857">
        <f>SUMIFS('YTD Sales'!$N:$N,'YTD Sales'!$B:$B,Brokerage!$B231,'YTD Sales'!$M:$M,Brokerage!G$4)+SUMIFS('YTD Purchases'!$H:$H,'YTD Purchases'!$C:$C,Brokerage!$B231,'YTD Purchases'!$G:$G,Brokerage!G$4)</f>
        <v>0</v>
      </c>
      <c r="H231" s="857">
        <f>SUMIFS('YTD Sales'!$N:$N,'YTD Sales'!$B:$B,Brokerage!$B231,'YTD Sales'!$M:$M,Brokerage!H$4)+SUMIFS('YTD Purchases'!$H:$H,'YTD Purchases'!$C:$C,Brokerage!$B231,'YTD Purchases'!$G:$G,Brokerage!H$4)</f>
        <v>0</v>
      </c>
      <c r="I231" s="857">
        <f>SUMIFS('YTD Sales'!$N:$N,'YTD Sales'!$B:$B,Brokerage!$B231,'YTD Sales'!$M:$M,Brokerage!I$4)+SUMIFS('YTD Purchases'!$H:$H,'YTD Purchases'!$C:$C,Brokerage!$B231,'YTD Purchases'!$G:$G,Brokerage!I$4)</f>
        <v>0</v>
      </c>
      <c r="J231" s="857">
        <f>SUMIFS('YTD Sales'!$N:$N,'YTD Sales'!$B:$B,Brokerage!$B231,'YTD Sales'!$M:$M,Brokerage!J$4)+SUMIFS('YTD Purchases'!$H:$H,'YTD Purchases'!$C:$C,Brokerage!$B231,'YTD Purchases'!$G:$G,Brokerage!J$4)</f>
        <v>0</v>
      </c>
      <c r="K231" s="857">
        <f>SUMIFS('YTD Sales'!$N:$N,'YTD Sales'!$B:$B,Brokerage!$B231,'YTD Sales'!$M:$M,Brokerage!K$4)+SUMIFS('YTD Purchases'!$H:$H,'YTD Purchases'!$C:$C,Brokerage!$B231,'YTD Purchases'!$G:$G,Brokerage!K$4)</f>
        <v>0</v>
      </c>
      <c r="L231" s="857">
        <f>SUMIFS('YTD Sales'!$N:$N,'YTD Sales'!$B:$B,Brokerage!$B231,'YTD Sales'!$M:$M,Brokerage!L$4)+SUMIFS('YTD Purchases'!$H:$H,'YTD Purchases'!$C:$C,Brokerage!$B231,'YTD Purchases'!$G:$G,Brokerage!L$4)</f>
        <v>0</v>
      </c>
      <c r="M231" s="857">
        <f>SUMIFS('YTD Sales'!$N:$N,'YTD Sales'!$B:$B,Brokerage!$B231,'YTD Sales'!$M:$M,Brokerage!M$4)+SUMIFS('YTD Purchases'!$H:$H,'YTD Purchases'!$C:$C,Brokerage!$B231,'YTD Purchases'!$G:$G,Brokerage!M$4)</f>
        <v>0</v>
      </c>
      <c r="N231" s="857">
        <f>SUMIFS('YTD Sales'!$N:$N,'YTD Sales'!$B:$B,Brokerage!$B231,'YTD Sales'!$M:$M,Brokerage!N$4)+SUMIFS('YTD Purchases'!$H:$H,'YTD Purchases'!$C:$C,Brokerage!$B231,'YTD Purchases'!$G:$G,Brokerage!N$4)</f>
        <v>0</v>
      </c>
      <c r="O231" s="857">
        <f>SUMIFS('YTD Sales'!$N:$N,'YTD Sales'!$B:$B,Brokerage!$B231,'YTD Sales'!$M:$M,Brokerage!O$4)+SUMIFS('YTD Purchases'!$H:$H,'YTD Purchases'!$C:$C,Brokerage!$B231,'YTD Purchases'!$G:$G,Brokerage!O$4)</f>
        <v>0</v>
      </c>
      <c r="P231" s="857">
        <f>SUMIFS('YTD Sales'!$N:$N,'YTD Sales'!$B:$B,Brokerage!$B231,'YTD Sales'!$M:$M,Brokerage!P$4)+SUMIFS('YTD Purchases'!$H:$H,'YTD Purchases'!$C:$C,Brokerage!$B231,'YTD Purchases'!$G:$G,Brokerage!P$4)</f>
        <v>0</v>
      </c>
      <c r="Q231" s="857">
        <f>SUMIFS('YTD Sales'!$N:$N,'YTD Sales'!$B:$B,Brokerage!$B231,'YTD Sales'!$M:$M,Brokerage!Q$4)+SUMIFS('YTD Purchases'!$H:$H,'YTD Purchases'!$C:$C,Brokerage!$B231,'YTD Purchases'!$G:$G,Brokerage!Q$4)</f>
        <v>0</v>
      </c>
      <c r="R231" s="857">
        <f>SUMIFS('YTD Sales'!$N:$N,'YTD Sales'!$B:$B,Brokerage!$B231,'YTD Sales'!$M:$M,Brokerage!R$4)+SUMIFS('YTD Purchases'!$H:$H,'YTD Purchases'!$C:$C,Brokerage!$B231,'YTD Purchases'!$G:$G,Brokerage!R$4)</f>
        <v>0</v>
      </c>
      <c r="S231" s="857">
        <f>SUMIFS('YTD Sales'!$N:$N,'YTD Sales'!$B:$B,Brokerage!$B231,'YTD Sales'!$M:$M,Brokerage!S$4)+SUMIFS('YTD Purchases'!$H:$H,'YTD Purchases'!$C:$C,Brokerage!$B231,'YTD Purchases'!$G:$G,Brokerage!S$4)</f>
        <v>0</v>
      </c>
      <c r="T231" s="857">
        <f>SUMIFS('YTD Sales'!$N:$N,'YTD Sales'!$B:$B,Brokerage!$B231,'YTD Sales'!$M:$M,Brokerage!T$4)+SUMIFS('YTD Purchases'!$H:$H,'YTD Purchases'!$C:$C,Brokerage!$B231,'YTD Purchases'!$G:$G,Brokerage!T$4)</f>
        <v>0</v>
      </c>
      <c r="U231" s="857">
        <f>SUMIFS('YTD Sales'!$N:$N,'YTD Sales'!$B:$B,Brokerage!$B231,'YTD Sales'!$M:$M,Brokerage!U$4)+SUMIFS('YTD Purchases'!$H:$H,'YTD Purchases'!$C:$C,Brokerage!$B231,'YTD Purchases'!$G:$G,Brokerage!U$4)</f>
        <v>0</v>
      </c>
      <c r="V231" s="857">
        <f>SUMIFS('YTD Sales'!$N:$N,'YTD Sales'!$B:$B,Brokerage!$B231,'YTD Sales'!$M:$M,Brokerage!V$4)+SUMIFS('YTD Purchases'!$H:$H,'YTD Purchases'!$C:$C,Brokerage!$B231,'YTD Purchases'!$G:$G,Brokerage!V$4)</f>
        <v>0</v>
      </c>
      <c r="W231" s="857">
        <f>SUMIFS('YTD Sales'!$N:$N,'YTD Sales'!$B:$B,Brokerage!$B231,'YTD Sales'!$M:$M,Brokerage!W$4)+SUMIFS('YTD Purchases'!$H:$H,'YTD Purchases'!$C:$C,Brokerage!$B231,'YTD Purchases'!$G:$G,Brokerage!W$4)</f>
        <v>0</v>
      </c>
      <c r="X231" s="857">
        <f>SUMIFS('YTD Sales'!$N:$N,'YTD Sales'!$B:$B,Brokerage!$B231,'YTD Sales'!$M:$M,Brokerage!X$4)+SUMIFS('YTD Purchases'!$H:$H,'YTD Purchases'!$C:$C,Brokerage!$B231,'YTD Purchases'!$G:$G,Brokerage!X$4)</f>
        <v>0</v>
      </c>
      <c r="Y231" s="857">
        <f>SUMIFS('YTD Sales'!$N:$N,'YTD Sales'!$B:$B,Brokerage!$B231,'YTD Sales'!$M:$M,Brokerage!Y$4)+SUMIFS('YTD Purchases'!$H:$H,'YTD Purchases'!$C:$C,Brokerage!$B231,'YTD Purchases'!$G:$G,Brokerage!Y$4)</f>
        <v>0</v>
      </c>
      <c r="Z231" s="857">
        <f>SUMIFS('YTD Sales'!$N:$N,'YTD Sales'!$B:$B,Brokerage!$B231,'YTD Sales'!$M:$M,Brokerage!Z$4)+SUMIFS('YTD Purchases'!$H:$H,'YTD Purchases'!$C:$C,Brokerage!$B231,'YTD Purchases'!$G:$G,Brokerage!Z$4)</f>
        <v>0</v>
      </c>
      <c r="AA231" s="857">
        <f>SUMIFS('YTD Sales'!$N:$N,'YTD Sales'!$B:$B,Brokerage!$B231,'YTD Sales'!$M:$M,Brokerage!AA$4)+SUMIFS('YTD Purchases'!$H:$H,'YTD Purchases'!$C:$C,Brokerage!$B231,'YTD Purchases'!$G:$G,Brokerage!AA$4)</f>
        <v>0</v>
      </c>
      <c r="AB231" s="857">
        <f>SUMIFS('YTD Sales'!$N:$N,'YTD Sales'!$B:$B,Brokerage!$B231,'YTD Sales'!$M:$M,Brokerage!AB$4)+SUMIFS('YTD Purchases'!$H:$H,'YTD Purchases'!$C:$C,Brokerage!$B231,'YTD Purchases'!$G:$G,Brokerage!AB$4)</f>
        <v>0</v>
      </c>
      <c r="AC231" s="857">
        <f>SUMIFS('YTD Sales'!$N:$N,'YTD Sales'!$B:$B,Brokerage!$B231,'YTD Sales'!$M:$M,Brokerage!AC$4)+SUMIFS('YTD Purchases'!$H:$H,'YTD Purchases'!$C:$C,Brokerage!$B231,'YTD Purchases'!$G:$G,Brokerage!AC$4)</f>
        <v>0</v>
      </c>
      <c r="AD231" s="857">
        <f>+SUMIFS(PIB!AG:AG,PIB!AF:AF,Brokerage!AD$4,PIB!AA:AA,Brokerage!$B231)+SUMIFS('T-Bills'!AB:AB,'T-Bills'!AA:AA,Brokerage!AD$4,'T-Bills'!V:V,Brokerage!$B231)</f>
        <v>0</v>
      </c>
      <c r="AE231" s="857">
        <f>+SUMIFS(PIB!AH:AH,PIB!AG:AG,Brokerage!AE$4,PIB!AB:AB,Brokerage!$B231)+SUMIFS('T-Bills'!AC:AC,'T-Bills'!AB:AB,Brokerage!AE$4,'T-Bills'!W:W,Brokerage!$B231)</f>
        <v>0</v>
      </c>
      <c r="AF231" s="857">
        <f>+SUMIFS(PIB!AI:AI,PIB!AH:AH,Brokerage!AF$4,PIB!AC:AC,Brokerage!$B231)+SUMIFS('T-Bills'!AD:AD,'T-Bills'!AC:AC,Brokerage!AF$4,'T-Bills'!X:X,Brokerage!$B231)</f>
        <v>0</v>
      </c>
      <c r="AG231" s="857">
        <f t="shared" si="23"/>
        <v>0</v>
      </c>
      <c r="AH231" s="858">
        <f t="shared" si="24"/>
        <v>0</v>
      </c>
    </row>
    <row r="232" spans="2:34" x14ac:dyDescent="0.15">
      <c r="B232" s="661">
        <f t="shared" si="22"/>
        <v>44788</v>
      </c>
      <c r="C232" s="857">
        <f>SUMIFS('YTD Sales'!$N:$N,'YTD Sales'!$B:$B,Brokerage!$B232,'YTD Sales'!$M:$M,Brokerage!C$4)+SUMIFS('YTD Purchases'!$H:$H,'YTD Purchases'!$C:$C,Brokerage!$B232,'YTD Purchases'!$G:$G,Brokerage!C$4)</f>
        <v>0</v>
      </c>
      <c r="D232" s="857">
        <f>SUMIFS('YTD Sales'!$N:$N,'YTD Sales'!$B:$B,Brokerage!$B232,'YTD Sales'!$M:$M,Brokerage!D$4)+SUMIFS('YTD Purchases'!$H:$H,'YTD Purchases'!$C:$C,Brokerage!$B232,'YTD Purchases'!$G:$G,Brokerage!D$4)</f>
        <v>0</v>
      </c>
      <c r="E232" s="857">
        <f>SUMIFS('YTD Sales'!$N:$N,'YTD Sales'!$B:$B,Brokerage!$B232,'YTD Sales'!$M:$M,Brokerage!E$4)+SUMIFS('YTD Purchases'!$H:$H,'YTD Purchases'!$C:$C,Brokerage!$B232,'YTD Purchases'!$G:$G,Brokerage!E$4)</f>
        <v>0</v>
      </c>
      <c r="F232" s="857">
        <f>SUMIFS('YTD Sales'!$N:$N,'YTD Sales'!$B:$B,Brokerage!$B232,'YTD Sales'!$M:$M,Brokerage!F$4)+SUMIFS('YTD Purchases'!$H:$H,'YTD Purchases'!$C:$C,Brokerage!$B232,'YTD Purchases'!$G:$G,Brokerage!F$4)</f>
        <v>0</v>
      </c>
      <c r="G232" s="857">
        <f>SUMIFS('YTD Sales'!$N:$N,'YTD Sales'!$B:$B,Brokerage!$B232,'YTD Sales'!$M:$M,Brokerage!G$4)+SUMIFS('YTD Purchases'!$H:$H,'YTD Purchases'!$C:$C,Brokerage!$B232,'YTD Purchases'!$G:$G,Brokerage!G$4)</f>
        <v>0</v>
      </c>
      <c r="H232" s="857">
        <f>SUMIFS('YTD Sales'!$N:$N,'YTD Sales'!$B:$B,Brokerage!$B232,'YTD Sales'!$M:$M,Brokerage!H$4)+SUMIFS('YTD Purchases'!$H:$H,'YTD Purchases'!$C:$C,Brokerage!$B232,'YTD Purchases'!$G:$G,Brokerage!H$4)</f>
        <v>0</v>
      </c>
      <c r="I232" s="857">
        <f>SUMIFS('YTD Sales'!$N:$N,'YTD Sales'!$B:$B,Brokerage!$B232,'YTD Sales'!$M:$M,Brokerage!I$4)+SUMIFS('YTD Purchases'!$H:$H,'YTD Purchases'!$C:$C,Brokerage!$B232,'YTD Purchases'!$G:$G,Brokerage!I$4)</f>
        <v>0</v>
      </c>
      <c r="J232" s="857">
        <f>SUMIFS('YTD Sales'!$N:$N,'YTD Sales'!$B:$B,Brokerage!$B232,'YTD Sales'!$M:$M,Brokerage!J$4)+SUMIFS('YTD Purchases'!$H:$H,'YTD Purchases'!$C:$C,Brokerage!$B232,'YTD Purchases'!$G:$G,Brokerage!J$4)</f>
        <v>0</v>
      </c>
      <c r="K232" s="857">
        <f>SUMIFS('YTD Sales'!$N:$N,'YTD Sales'!$B:$B,Brokerage!$B232,'YTD Sales'!$M:$M,Brokerage!K$4)+SUMIFS('YTD Purchases'!$H:$H,'YTD Purchases'!$C:$C,Brokerage!$B232,'YTD Purchases'!$G:$G,Brokerage!K$4)</f>
        <v>0</v>
      </c>
      <c r="L232" s="857">
        <f>SUMIFS('YTD Sales'!$N:$N,'YTD Sales'!$B:$B,Brokerage!$B232,'YTD Sales'!$M:$M,Brokerage!L$4)+SUMIFS('YTD Purchases'!$H:$H,'YTD Purchases'!$C:$C,Brokerage!$B232,'YTD Purchases'!$G:$G,Brokerage!L$4)</f>
        <v>0</v>
      </c>
      <c r="M232" s="857">
        <f>SUMIFS('YTD Sales'!$N:$N,'YTD Sales'!$B:$B,Brokerage!$B232,'YTD Sales'!$M:$M,Brokerage!M$4)+SUMIFS('YTD Purchases'!$H:$H,'YTD Purchases'!$C:$C,Brokerage!$B232,'YTD Purchases'!$G:$G,Brokerage!M$4)</f>
        <v>0</v>
      </c>
      <c r="N232" s="857">
        <f>SUMIFS('YTD Sales'!$N:$N,'YTD Sales'!$B:$B,Brokerage!$B232,'YTD Sales'!$M:$M,Brokerage!N$4)+SUMIFS('YTD Purchases'!$H:$H,'YTD Purchases'!$C:$C,Brokerage!$B232,'YTD Purchases'!$G:$G,Brokerage!N$4)</f>
        <v>0</v>
      </c>
      <c r="O232" s="857">
        <f>SUMIFS('YTD Sales'!$N:$N,'YTD Sales'!$B:$B,Brokerage!$B232,'YTD Sales'!$M:$M,Brokerage!O$4)+SUMIFS('YTD Purchases'!$H:$H,'YTD Purchases'!$C:$C,Brokerage!$B232,'YTD Purchases'!$G:$G,Brokerage!O$4)</f>
        <v>0</v>
      </c>
      <c r="P232" s="857">
        <f>SUMIFS('YTD Sales'!$N:$N,'YTD Sales'!$B:$B,Brokerage!$B232,'YTD Sales'!$M:$M,Brokerage!P$4)+SUMIFS('YTD Purchases'!$H:$H,'YTD Purchases'!$C:$C,Brokerage!$B232,'YTD Purchases'!$G:$G,Brokerage!P$4)</f>
        <v>0</v>
      </c>
      <c r="Q232" s="857">
        <f>SUMIFS('YTD Sales'!$N:$N,'YTD Sales'!$B:$B,Brokerage!$B232,'YTD Sales'!$M:$M,Brokerage!Q$4)+SUMIFS('YTD Purchases'!$H:$H,'YTD Purchases'!$C:$C,Brokerage!$B232,'YTD Purchases'!$G:$G,Brokerage!Q$4)</f>
        <v>0</v>
      </c>
      <c r="R232" s="857">
        <f>SUMIFS('YTD Sales'!$N:$N,'YTD Sales'!$B:$B,Brokerage!$B232,'YTD Sales'!$M:$M,Brokerage!R$4)+SUMIFS('YTD Purchases'!$H:$H,'YTD Purchases'!$C:$C,Brokerage!$B232,'YTD Purchases'!$G:$G,Brokerage!R$4)</f>
        <v>0</v>
      </c>
      <c r="S232" s="857">
        <f>SUMIFS('YTD Sales'!$N:$N,'YTD Sales'!$B:$B,Brokerage!$B232,'YTD Sales'!$M:$M,Brokerage!S$4)+SUMIFS('YTD Purchases'!$H:$H,'YTD Purchases'!$C:$C,Brokerage!$B232,'YTD Purchases'!$G:$G,Brokerage!S$4)</f>
        <v>0</v>
      </c>
      <c r="T232" s="857">
        <f>SUMIFS('YTD Sales'!$N:$N,'YTD Sales'!$B:$B,Brokerage!$B232,'YTD Sales'!$M:$M,Brokerage!T$4)+SUMIFS('YTD Purchases'!$H:$H,'YTD Purchases'!$C:$C,Brokerage!$B232,'YTD Purchases'!$G:$G,Brokerage!T$4)</f>
        <v>0</v>
      </c>
      <c r="U232" s="857">
        <f>SUMIFS('YTD Sales'!$N:$N,'YTD Sales'!$B:$B,Brokerage!$B232,'YTD Sales'!$M:$M,Brokerage!U$4)+SUMIFS('YTD Purchases'!$H:$H,'YTD Purchases'!$C:$C,Brokerage!$B232,'YTD Purchases'!$G:$G,Brokerage!U$4)</f>
        <v>0</v>
      </c>
      <c r="V232" s="857">
        <f>SUMIFS('YTD Sales'!$N:$N,'YTD Sales'!$B:$B,Brokerage!$B232,'YTD Sales'!$M:$M,Brokerage!V$4)+SUMIFS('YTD Purchases'!$H:$H,'YTD Purchases'!$C:$C,Brokerage!$B232,'YTD Purchases'!$G:$G,Brokerage!V$4)</f>
        <v>0</v>
      </c>
      <c r="W232" s="857">
        <f>SUMIFS('YTD Sales'!$N:$N,'YTD Sales'!$B:$B,Brokerage!$B232,'YTD Sales'!$M:$M,Brokerage!W$4)+SUMIFS('YTD Purchases'!$H:$H,'YTD Purchases'!$C:$C,Brokerage!$B232,'YTD Purchases'!$G:$G,Brokerage!W$4)</f>
        <v>0</v>
      </c>
      <c r="X232" s="857">
        <f>SUMIFS('YTD Sales'!$N:$N,'YTD Sales'!$B:$B,Brokerage!$B232,'YTD Sales'!$M:$M,Brokerage!X$4)+SUMIFS('YTD Purchases'!$H:$H,'YTD Purchases'!$C:$C,Brokerage!$B232,'YTD Purchases'!$G:$G,Brokerage!X$4)</f>
        <v>0</v>
      </c>
      <c r="Y232" s="857">
        <f>SUMIFS('YTD Sales'!$N:$N,'YTD Sales'!$B:$B,Brokerage!$B232,'YTD Sales'!$M:$M,Brokerage!Y$4)+SUMIFS('YTD Purchases'!$H:$H,'YTD Purchases'!$C:$C,Brokerage!$B232,'YTD Purchases'!$G:$G,Brokerage!Y$4)</f>
        <v>0</v>
      </c>
      <c r="Z232" s="857">
        <f>SUMIFS('YTD Sales'!$N:$N,'YTD Sales'!$B:$B,Brokerage!$B232,'YTD Sales'!$M:$M,Brokerage!Z$4)+SUMIFS('YTD Purchases'!$H:$H,'YTD Purchases'!$C:$C,Brokerage!$B232,'YTD Purchases'!$G:$G,Brokerage!Z$4)</f>
        <v>0</v>
      </c>
      <c r="AA232" s="857">
        <f>SUMIFS('YTD Sales'!$N:$N,'YTD Sales'!$B:$B,Brokerage!$B232,'YTD Sales'!$M:$M,Brokerage!AA$4)+SUMIFS('YTD Purchases'!$H:$H,'YTD Purchases'!$C:$C,Brokerage!$B232,'YTD Purchases'!$G:$G,Brokerage!AA$4)</f>
        <v>0</v>
      </c>
      <c r="AB232" s="857">
        <f>SUMIFS('YTD Sales'!$N:$N,'YTD Sales'!$B:$B,Brokerage!$B232,'YTD Sales'!$M:$M,Brokerage!AB$4)+SUMIFS('YTD Purchases'!$H:$H,'YTD Purchases'!$C:$C,Brokerage!$B232,'YTD Purchases'!$G:$G,Brokerage!AB$4)</f>
        <v>0</v>
      </c>
      <c r="AC232" s="857">
        <f>SUMIFS('YTD Sales'!$N:$N,'YTD Sales'!$B:$B,Brokerage!$B232,'YTD Sales'!$M:$M,Brokerage!AC$4)+SUMIFS('YTD Purchases'!$H:$H,'YTD Purchases'!$C:$C,Brokerage!$B232,'YTD Purchases'!$G:$G,Brokerage!AC$4)</f>
        <v>0</v>
      </c>
      <c r="AD232" s="857">
        <f>+SUMIFS(PIB!AG:AG,PIB!AF:AF,Brokerage!AD$4,PIB!AA:AA,Brokerage!$B232)+SUMIFS('T-Bills'!AB:AB,'T-Bills'!AA:AA,Brokerage!AD$4,'T-Bills'!V:V,Brokerage!$B232)</f>
        <v>0</v>
      </c>
      <c r="AE232" s="857">
        <f>+SUMIFS(PIB!AH:AH,PIB!AG:AG,Brokerage!AE$4,PIB!AB:AB,Brokerage!$B232)+SUMIFS('T-Bills'!AC:AC,'T-Bills'!AB:AB,Brokerage!AE$4,'T-Bills'!W:W,Brokerage!$B232)</f>
        <v>0</v>
      </c>
      <c r="AF232" s="857">
        <f>+SUMIFS(PIB!AI:AI,PIB!AH:AH,Brokerage!AF$4,PIB!AC:AC,Brokerage!$B232)+SUMIFS('T-Bills'!AD:AD,'T-Bills'!AC:AC,Brokerage!AF$4,'T-Bills'!X:X,Brokerage!$B232)</f>
        <v>0</v>
      </c>
      <c r="AG232" s="857">
        <f t="shared" si="23"/>
        <v>0</v>
      </c>
      <c r="AH232" s="858">
        <f t="shared" si="24"/>
        <v>0</v>
      </c>
    </row>
    <row r="233" spans="2:34" x14ac:dyDescent="0.15">
      <c r="B233" s="661">
        <f t="shared" si="22"/>
        <v>44789</v>
      </c>
      <c r="C233" s="857">
        <f>SUMIFS('YTD Sales'!$N:$N,'YTD Sales'!$B:$B,Brokerage!$B233,'YTD Sales'!$M:$M,Brokerage!C$4)+SUMIFS('YTD Purchases'!$H:$H,'YTD Purchases'!$C:$C,Brokerage!$B233,'YTD Purchases'!$G:$G,Brokerage!C$4)</f>
        <v>0</v>
      </c>
      <c r="D233" s="857">
        <f>SUMIFS('YTD Sales'!$N:$N,'YTD Sales'!$B:$B,Brokerage!$B233,'YTD Sales'!$M:$M,Brokerage!D$4)+SUMIFS('YTD Purchases'!$H:$H,'YTD Purchases'!$C:$C,Brokerage!$B233,'YTD Purchases'!$G:$G,Brokerage!D$4)</f>
        <v>0</v>
      </c>
      <c r="E233" s="857">
        <f>SUMIFS('YTD Sales'!$N:$N,'YTD Sales'!$B:$B,Brokerage!$B233,'YTD Sales'!$M:$M,Brokerage!E$4)+SUMIFS('YTD Purchases'!$H:$H,'YTD Purchases'!$C:$C,Brokerage!$B233,'YTD Purchases'!$G:$G,Brokerage!E$4)</f>
        <v>0</v>
      </c>
      <c r="F233" s="857">
        <f>SUMIFS('YTD Sales'!$N:$N,'YTD Sales'!$B:$B,Brokerage!$B233,'YTD Sales'!$M:$M,Brokerage!F$4)+SUMIFS('YTD Purchases'!$H:$H,'YTD Purchases'!$C:$C,Brokerage!$B233,'YTD Purchases'!$G:$G,Brokerage!F$4)</f>
        <v>0</v>
      </c>
      <c r="G233" s="857">
        <f>SUMIFS('YTD Sales'!$N:$N,'YTD Sales'!$B:$B,Brokerage!$B233,'YTD Sales'!$M:$M,Brokerage!G$4)+SUMIFS('YTD Purchases'!$H:$H,'YTD Purchases'!$C:$C,Brokerage!$B233,'YTD Purchases'!$G:$G,Brokerage!G$4)</f>
        <v>0</v>
      </c>
      <c r="H233" s="857">
        <f>SUMIFS('YTD Sales'!$N:$N,'YTD Sales'!$B:$B,Brokerage!$B233,'YTD Sales'!$M:$M,Brokerage!H$4)+SUMIFS('YTD Purchases'!$H:$H,'YTD Purchases'!$C:$C,Brokerage!$B233,'YTD Purchases'!$G:$G,Brokerage!H$4)</f>
        <v>0</v>
      </c>
      <c r="I233" s="857">
        <f>SUMIFS('YTD Sales'!$N:$N,'YTD Sales'!$B:$B,Brokerage!$B233,'YTD Sales'!$M:$M,Brokerage!I$4)+SUMIFS('YTD Purchases'!$H:$H,'YTD Purchases'!$C:$C,Brokerage!$B233,'YTD Purchases'!$G:$G,Brokerage!I$4)</f>
        <v>0</v>
      </c>
      <c r="J233" s="857">
        <f>SUMIFS('YTD Sales'!$N:$N,'YTD Sales'!$B:$B,Brokerage!$B233,'YTD Sales'!$M:$M,Brokerage!J$4)+SUMIFS('YTD Purchases'!$H:$H,'YTD Purchases'!$C:$C,Brokerage!$B233,'YTD Purchases'!$G:$G,Brokerage!J$4)</f>
        <v>0</v>
      </c>
      <c r="K233" s="857">
        <f>SUMIFS('YTD Sales'!$N:$N,'YTD Sales'!$B:$B,Brokerage!$B233,'YTD Sales'!$M:$M,Brokerage!K$4)+SUMIFS('YTD Purchases'!$H:$H,'YTD Purchases'!$C:$C,Brokerage!$B233,'YTD Purchases'!$G:$G,Brokerage!K$4)</f>
        <v>0</v>
      </c>
      <c r="L233" s="857">
        <f>SUMIFS('YTD Sales'!$N:$N,'YTD Sales'!$B:$B,Brokerage!$B233,'YTD Sales'!$M:$M,Brokerage!L$4)+SUMIFS('YTD Purchases'!$H:$H,'YTD Purchases'!$C:$C,Brokerage!$B233,'YTD Purchases'!$G:$G,Brokerage!L$4)</f>
        <v>0</v>
      </c>
      <c r="M233" s="857">
        <f>SUMIFS('YTD Sales'!$N:$N,'YTD Sales'!$B:$B,Brokerage!$B233,'YTD Sales'!$M:$M,Brokerage!M$4)+SUMIFS('YTD Purchases'!$H:$H,'YTD Purchases'!$C:$C,Brokerage!$B233,'YTD Purchases'!$G:$G,Brokerage!M$4)</f>
        <v>0</v>
      </c>
      <c r="N233" s="857">
        <f>SUMIFS('YTD Sales'!$N:$N,'YTD Sales'!$B:$B,Brokerage!$B233,'YTD Sales'!$M:$M,Brokerage!N$4)+SUMIFS('YTD Purchases'!$H:$H,'YTD Purchases'!$C:$C,Brokerage!$B233,'YTD Purchases'!$G:$G,Brokerage!N$4)</f>
        <v>0</v>
      </c>
      <c r="O233" s="857">
        <f>SUMIFS('YTD Sales'!$N:$N,'YTD Sales'!$B:$B,Brokerage!$B233,'YTD Sales'!$M:$M,Brokerage!O$4)+SUMIFS('YTD Purchases'!$H:$H,'YTD Purchases'!$C:$C,Brokerage!$B233,'YTD Purchases'!$G:$G,Brokerage!O$4)</f>
        <v>0</v>
      </c>
      <c r="P233" s="857">
        <f>SUMIFS('YTD Sales'!$N:$N,'YTD Sales'!$B:$B,Brokerage!$B233,'YTD Sales'!$M:$M,Brokerage!P$4)+SUMIFS('YTD Purchases'!$H:$H,'YTD Purchases'!$C:$C,Brokerage!$B233,'YTD Purchases'!$G:$G,Brokerage!P$4)</f>
        <v>0</v>
      </c>
      <c r="Q233" s="857">
        <f>SUMIFS('YTD Sales'!$N:$N,'YTD Sales'!$B:$B,Brokerage!$B233,'YTD Sales'!$M:$M,Brokerage!Q$4)+SUMIFS('YTD Purchases'!$H:$H,'YTD Purchases'!$C:$C,Brokerage!$B233,'YTD Purchases'!$G:$G,Brokerage!Q$4)</f>
        <v>0</v>
      </c>
      <c r="R233" s="857">
        <f>SUMIFS('YTD Sales'!$N:$N,'YTD Sales'!$B:$B,Brokerage!$B233,'YTD Sales'!$M:$M,Brokerage!R$4)+SUMIFS('YTD Purchases'!$H:$H,'YTD Purchases'!$C:$C,Brokerage!$B233,'YTD Purchases'!$G:$G,Brokerage!R$4)</f>
        <v>0</v>
      </c>
      <c r="S233" s="857">
        <f>SUMIFS('YTD Sales'!$N:$N,'YTD Sales'!$B:$B,Brokerage!$B233,'YTD Sales'!$M:$M,Brokerage!S$4)+SUMIFS('YTD Purchases'!$H:$H,'YTD Purchases'!$C:$C,Brokerage!$B233,'YTD Purchases'!$G:$G,Brokerage!S$4)</f>
        <v>0</v>
      </c>
      <c r="T233" s="857">
        <f>SUMIFS('YTD Sales'!$N:$N,'YTD Sales'!$B:$B,Brokerage!$B233,'YTD Sales'!$M:$M,Brokerage!T$4)+SUMIFS('YTD Purchases'!$H:$H,'YTD Purchases'!$C:$C,Brokerage!$B233,'YTD Purchases'!$G:$G,Brokerage!T$4)</f>
        <v>0</v>
      </c>
      <c r="U233" s="857">
        <f>SUMIFS('YTD Sales'!$N:$N,'YTD Sales'!$B:$B,Brokerage!$B233,'YTD Sales'!$M:$M,Brokerage!U$4)+SUMIFS('YTD Purchases'!$H:$H,'YTD Purchases'!$C:$C,Brokerage!$B233,'YTD Purchases'!$G:$G,Brokerage!U$4)</f>
        <v>0</v>
      </c>
      <c r="V233" s="857">
        <f>SUMIFS('YTD Sales'!$N:$N,'YTD Sales'!$B:$B,Brokerage!$B233,'YTD Sales'!$M:$M,Brokerage!V$4)+SUMIFS('YTD Purchases'!$H:$H,'YTD Purchases'!$C:$C,Brokerage!$B233,'YTD Purchases'!$G:$G,Brokerage!V$4)</f>
        <v>0</v>
      </c>
      <c r="W233" s="857">
        <f>SUMIFS('YTD Sales'!$N:$N,'YTD Sales'!$B:$B,Brokerage!$B233,'YTD Sales'!$M:$M,Brokerage!W$4)+SUMIFS('YTD Purchases'!$H:$H,'YTD Purchases'!$C:$C,Brokerage!$B233,'YTD Purchases'!$G:$G,Brokerage!W$4)</f>
        <v>0</v>
      </c>
      <c r="X233" s="857">
        <f>SUMIFS('YTD Sales'!$N:$N,'YTD Sales'!$B:$B,Brokerage!$B233,'YTD Sales'!$M:$M,Brokerage!X$4)+SUMIFS('YTD Purchases'!$H:$H,'YTD Purchases'!$C:$C,Brokerage!$B233,'YTD Purchases'!$G:$G,Brokerage!X$4)</f>
        <v>0</v>
      </c>
      <c r="Y233" s="857">
        <f>SUMIFS('YTD Sales'!$N:$N,'YTD Sales'!$B:$B,Brokerage!$B233,'YTD Sales'!$M:$M,Brokerage!Y$4)+SUMIFS('YTD Purchases'!$H:$H,'YTD Purchases'!$C:$C,Brokerage!$B233,'YTD Purchases'!$G:$G,Brokerage!Y$4)</f>
        <v>0</v>
      </c>
      <c r="Z233" s="857">
        <f>SUMIFS('YTD Sales'!$N:$N,'YTD Sales'!$B:$B,Brokerage!$B233,'YTD Sales'!$M:$M,Brokerage!Z$4)+SUMIFS('YTD Purchases'!$H:$H,'YTD Purchases'!$C:$C,Brokerage!$B233,'YTD Purchases'!$G:$G,Brokerage!Z$4)</f>
        <v>0</v>
      </c>
      <c r="AA233" s="857">
        <f>SUMIFS('YTD Sales'!$N:$N,'YTD Sales'!$B:$B,Brokerage!$B233,'YTD Sales'!$M:$M,Brokerage!AA$4)+SUMIFS('YTD Purchases'!$H:$H,'YTD Purchases'!$C:$C,Brokerage!$B233,'YTD Purchases'!$G:$G,Brokerage!AA$4)</f>
        <v>0</v>
      </c>
      <c r="AB233" s="857">
        <f>SUMIFS('YTD Sales'!$N:$N,'YTD Sales'!$B:$B,Brokerage!$B233,'YTD Sales'!$M:$M,Brokerage!AB$4)+SUMIFS('YTD Purchases'!$H:$H,'YTD Purchases'!$C:$C,Brokerage!$B233,'YTD Purchases'!$G:$G,Brokerage!AB$4)</f>
        <v>0</v>
      </c>
      <c r="AC233" s="857">
        <f>SUMIFS('YTD Sales'!$N:$N,'YTD Sales'!$B:$B,Brokerage!$B233,'YTD Sales'!$M:$M,Brokerage!AC$4)+SUMIFS('YTD Purchases'!$H:$H,'YTD Purchases'!$C:$C,Brokerage!$B233,'YTD Purchases'!$G:$G,Brokerage!AC$4)</f>
        <v>0</v>
      </c>
      <c r="AD233" s="857">
        <f>+SUMIFS(PIB!AG:AG,PIB!AF:AF,Brokerage!AD$4,PIB!AA:AA,Brokerage!$B233)+SUMIFS('T-Bills'!AB:AB,'T-Bills'!AA:AA,Brokerage!AD$4,'T-Bills'!V:V,Brokerage!$B233)</f>
        <v>0</v>
      </c>
      <c r="AE233" s="857">
        <f>+SUMIFS(PIB!AH:AH,PIB!AG:AG,Brokerage!AE$4,PIB!AB:AB,Brokerage!$B233)+SUMIFS('T-Bills'!AC:AC,'T-Bills'!AB:AB,Brokerage!AE$4,'T-Bills'!W:W,Brokerage!$B233)</f>
        <v>0</v>
      </c>
      <c r="AF233" s="857">
        <f>+SUMIFS(PIB!AI:AI,PIB!AH:AH,Brokerage!AF$4,PIB!AC:AC,Brokerage!$B233)+SUMIFS('T-Bills'!AD:AD,'T-Bills'!AC:AC,Brokerage!AF$4,'T-Bills'!X:X,Brokerage!$B233)</f>
        <v>0</v>
      </c>
      <c r="AG233" s="857">
        <f t="shared" si="23"/>
        <v>0</v>
      </c>
      <c r="AH233" s="858">
        <f t="shared" si="24"/>
        <v>0</v>
      </c>
    </row>
    <row r="234" spans="2:34" x14ac:dyDescent="0.15">
      <c r="B234" s="661">
        <f t="shared" si="22"/>
        <v>44790</v>
      </c>
      <c r="C234" s="857">
        <f>SUMIFS('YTD Sales'!$N:$N,'YTD Sales'!$B:$B,Brokerage!$B234,'YTD Sales'!$M:$M,Brokerage!C$4)+SUMIFS('YTD Purchases'!$H:$H,'YTD Purchases'!$C:$C,Brokerage!$B234,'YTD Purchases'!$G:$G,Brokerage!C$4)</f>
        <v>0</v>
      </c>
      <c r="D234" s="857">
        <f>SUMIFS('YTD Sales'!$N:$N,'YTD Sales'!$B:$B,Brokerage!$B234,'YTD Sales'!$M:$M,Brokerage!D$4)+SUMIFS('YTD Purchases'!$H:$H,'YTD Purchases'!$C:$C,Brokerage!$B234,'YTD Purchases'!$G:$G,Brokerage!D$4)</f>
        <v>0</v>
      </c>
      <c r="E234" s="857">
        <f>SUMIFS('YTD Sales'!$N:$N,'YTD Sales'!$B:$B,Brokerage!$B234,'YTD Sales'!$M:$M,Brokerage!E$4)+SUMIFS('YTD Purchases'!$H:$H,'YTD Purchases'!$C:$C,Brokerage!$B234,'YTD Purchases'!$G:$G,Brokerage!E$4)</f>
        <v>0</v>
      </c>
      <c r="F234" s="857">
        <f>SUMIFS('YTD Sales'!$N:$N,'YTD Sales'!$B:$B,Brokerage!$B234,'YTD Sales'!$M:$M,Brokerage!F$4)+SUMIFS('YTD Purchases'!$H:$H,'YTD Purchases'!$C:$C,Brokerage!$B234,'YTD Purchases'!$G:$G,Brokerage!F$4)</f>
        <v>0</v>
      </c>
      <c r="G234" s="857">
        <f>SUMIFS('YTD Sales'!$N:$N,'YTD Sales'!$B:$B,Brokerage!$B234,'YTD Sales'!$M:$M,Brokerage!G$4)+SUMIFS('YTD Purchases'!$H:$H,'YTD Purchases'!$C:$C,Brokerage!$B234,'YTD Purchases'!$G:$G,Brokerage!G$4)</f>
        <v>0</v>
      </c>
      <c r="H234" s="857">
        <f>SUMIFS('YTD Sales'!$N:$N,'YTD Sales'!$B:$B,Brokerage!$B234,'YTD Sales'!$M:$M,Brokerage!H$4)+SUMIFS('YTD Purchases'!$H:$H,'YTD Purchases'!$C:$C,Brokerage!$B234,'YTD Purchases'!$G:$G,Brokerage!H$4)</f>
        <v>0</v>
      </c>
      <c r="I234" s="857">
        <f>SUMIFS('YTD Sales'!$N:$N,'YTD Sales'!$B:$B,Brokerage!$B234,'YTD Sales'!$M:$M,Brokerage!I$4)+SUMIFS('YTD Purchases'!$H:$H,'YTD Purchases'!$C:$C,Brokerage!$B234,'YTD Purchases'!$G:$G,Brokerage!I$4)</f>
        <v>0</v>
      </c>
      <c r="J234" s="857">
        <f>SUMIFS('YTD Sales'!$N:$N,'YTD Sales'!$B:$B,Brokerage!$B234,'YTD Sales'!$M:$M,Brokerage!J$4)+SUMIFS('YTD Purchases'!$H:$H,'YTD Purchases'!$C:$C,Brokerage!$B234,'YTD Purchases'!$G:$G,Brokerage!J$4)</f>
        <v>0</v>
      </c>
      <c r="K234" s="857">
        <f>SUMIFS('YTD Sales'!$N:$N,'YTD Sales'!$B:$B,Brokerage!$B234,'YTD Sales'!$M:$M,Brokerage!K$4)+SUMIFS('YTD Purchases'!$H:$H,'YTD Purchases'!$C:$C,Brokerage!$B234,'YTD Purchases'!$G:$G,Brokerage!K$4)</f>
        <v>0</v>
      </c>
      <c r="L234" s="857">
        <f>SUMIFS('YTD Sales'!$N:$N,'YTD Sales'!$B:$B,Brokerage!$B234,'YTD Sales'!$M:$M,Brokerage!L$4)+SUMIFS('YTD Purchases'!$H:$H,'YTD Purchases'!$C:$C,Brokerage!$B234,'YTD Purchases'!$G:$G,Brokerage!L$4)</f>
        <v>0</v>
      </c>
      <c r="M234" s="857">
        <f>SUMIFS('YTD Sales'!$N:$N,'YTD Sales'!$B:$B,Brokerage!$B234,'YTD Sales'!$M:$M,Brokerage!M$4)+SUMIFS('YTD Purchases'!$H:$H,'YTD Purchases'!$C:$C,Brokerage!$B234,'YTD Purchases'!$G:$G,Brokerage!M$4)</f>
        <v>0</v>
      </c>
      <c r="N234" s="857">
        <f>SUMIFS('YTD Sales'!$N:$N,'YTD Sales'!$B:$B,Brokerage!$B234,'YTD Sales'!$M:$M,Brokerage!N$4)+SUMIFS('YTD Purchases'!$H:$H,'YTD Purchases'!$C:$C,Brokerage!$B234,'YTD Purchases'!$G:$G,Brokerage!N$4)</f>
        <v>0</v>
      </c>
      <c r="O234" s="857">
        <f>SUMIFS('YTD Sales'!$N:$N,'YTD Sales'!$B:$B,Brokerage!$B234,'YTD Sales'!$M:$M,Brokerage!O$4)+SUMIFS('YTD Purchases'!$H:$H,'YTD Purchases'!$C:$C,Brokerage!$B234,'YTD Purchases'!$G:$G,Brokerage!O$4)</f>
        <v>0</v>
      </c>
      <c r="P234" s="857">
        <f>SUMIFS('YTD Sales'!$N:$N,'YTD Sales'!$B:$B,Brokerage!$B234,'YTD Sales'!$M:$M,Brokerage!P$4)+SUMIFS('YTD Purchases'!$H:$H,'YTD Purchases'!$C:$C,Brokerage!$B234,'YTD Purchases'!$G:$G,Brokerage!P$4)</f>
        <v>0</v>
      </c>
      <c r="Q234" s="857">
        <f>SUMIFS('YTD Sales'!$N:$N,'YTD Sales'!$B:$B,Brokerage!$B234,'YTD Sales'!$M:$M,Brokerage!Q$4)+SUMIFS('YTD Purchases'!$H:$H,'YTD Purchases'!$C:$C,Brokerage!$B234,'YTD Purchases'!$G:$G,Brokerage!Q$4)</f>
        <v>0</v>
      </c>
      <c r="R234" s="857">
        <f>SUMIFS('YTD Sales'!$N:$N,'YTD Sales'!$B:$B,Brokerage!$B234,'YTD Sales'!$M:$M,Brokerage!R$4)+SUMIFS('YTD Purchases'!$H:$H,'YTD Purchases'!$C:$C,Brokerage!$B234,'YTD Purchases'!$G:$G,Brokerage!R$4)</f>
        <v>0</v>
      </c>
      <c r="S234" s="857">
        <f>SUMIFS('YTD Sales'!$N:$N,'YTD Sales'!$B:$B,Brokerage!$B234,'YTD Sales'!$M:$M,Brokerage!S$4)+SUMIFS('YTD Purchases'!$H:$H,'YTD Purchases'!$C:$C,Brokerage!$B234,'YTD Purchases'!$G:$G,Brokerage!S$4)</f>
        <v>0</v>
      </c>
      <c r="T234" s="857">
        <f>SUMIFS('YTD Sales'!$N:$N,'YTD Sales'!$B:$B,Brokerage!$B234,'YTD Sales'!$M:$M,Brokerage!T$4)+SUMIFS('YTD Purchases'!$H:$H,'YTD Purchases'!$C:$C,Brokerage!$B234,'YTD Purchases'!$G:$G,Brokerage!T$4)</f>
        <v>0</v>
      </c>
      <c r="U234" s="857">
        <f>SUMIFS('YTD Sales'!$N:$N,'YTD Sales'!$B:$B,Brokerage!$B234,'YTD Sales'!$M:$M,Brokerage!U$4)+SUMIFS('YTD Purchases'!$H:$H,'YTD Purchases'!$C:$C,Brokerage!$B234,'YTD Purchases'!$G:$G,Brokerage!U$4)</f>
        <v>0</v>
      </c>
      <c r="V234" s="857">
        <f>SUMIFS('YTD Sales'!$N:$N,'YTD Sales'!$B:$B,Brokerage!$B234,'YTD Sales'!$M:$M,Brokerage!V$4)+SUMIFS('YTD Purchases'!$H:$H,'YTD Purchases'!$C:$C,Brokerage!$B234,'YTD Purchases'!$G:$G,Brokerage!V$4)</f>
        <v>0</v>
      </c>
      <c r="W234" s="857">
        <f>SUMIFS('YTD Sales'!$N:$N,'YTD Sales'!$B:$B,Brokerage!$B234,'YTD Sales'!$M:$M,Brokerage!W$4)+SUMIFS('YTD Purchases'!$H:$H,'YTD Purchases'!$C:$C,Brokerage!$B234,'YTD Purchases'!$G:$G,Brokerage!W$4)</f>
        <v>0</v>
      </c>
      <c r="X234" s="857">
        <f>SUMIFS('YTD Sales'!$N:$N,'YTD Sales'!$B:$B,Brokerage!$B234,'YTD Sales'!$M:$M,Brokerage!X$4)+SUMIFS('YTD Purchases'!$H:$H,'YTD Purchases'!$C:$C,Brokerage!$B234,'YTD Purchases'!$G:$G,Brokerage!X$4)</f>
        <v>0</v>
      </c>
      <c r="Y234" s="857">
        <f>SUMIFS('YTD Sales'!$N:$N,'YTD Sales'!$B:$B,Brokerage!$B234,'YTD Sales'!$M:$M,Brokerage!Y$4)+SUMIFS('YTD Purchases'!$H:$H,'YTD Purchases'!$C:$C,Brokerage!$B234,'YTD Purchases'!$G:$G,Brokerage!Y$4)</f>
        <v>0</v>
      </c>
      <c r="Z234" s="857">
        <f>SUMIFS('YTD Sales'!$N:$N,'YTD Sales'!$B:$B,Brokerage!$B234,'YTD Sales'!$M:$M,Brokerage!Z$4)+SUMIFS('YTD Purchases'!$H:$H,'YTD Purchases'!$C:$C,Brokerage!$B234,'YTD Purchases'!$G:$G,Brokerage!Z$4)</f>
        <v>0</v>
      </c>
      <c r="AA234" s="857">
        <f>SUMIFS('YTD Sales'!$N:$N,'YTD Sales'!$B:$B,Brokerage!$B234,'YTD Sales'!$M:$M,Brokerage!AA$4)+SUMIFS('YTD Purchases'!$H:$H,'YTD Purchases'!$C:$C,Brokerage!$B234,'YTD Purchases'!$G:$G,Brokerage!AA$4)</f>
        <v>0</v>
      </c>
      <c r="AB234" s="857">
        <f>SUMIFS('YTD Sales'!$N:$N,'YTD Sales'!$B:$B,Brokerage!$B234,'YTD Sales'!$M:$M,Brokerage!AB$4)+SUMIFS('YTD Purchases'!$H:$H,'YTD Purchases'!$C:$C,Brokerage!$B234,'YTD Purchases'!$G:$G,Brokerage!AB$4)</f>
        <v>0</v>
      </c>
      <c r="AC234" s="857">
        <f>SUMIFS('YTD Sales'!$N:$N,'YTD Sales'!$B:$B,Brokerage!$B234,'YTD Sales'!$M:$M,Brokerage!AC$4)+SUMIFS('YTD Purchases'!$H:$H,'YTD Purchases'!$C:$C,Brokerage!$B234,'YTD Purchases'!$G:$G,Brokerage!AC$4)</f>
        <v>0</v>
      </c>
      <c r="AD234" s="857">
        <f>+SUMIFS(PIB!AG:AG,PIB!AF:AF,Brokerage!AD$4,PIB!AA:AA,Brokerage!$B234)+SUMIFS('T-Bills'!AB:AB,'T-Bills'!AA:AA,Brokerage!AD$4,'T-Bills'!V:V,Brokerage!$B234)</f>
        <v>0</v>
      </c>
      <c r="AE234" s="857">
        <f>+SUMIFS(PIB!AH:AH,PIB!AG:AG,Brokerage!AE$4,PIB!AB:AB,Brokerage!$B234)+SUMIFS('T-Bills'!AC:AC,'T-Bills'!AB:AB,Brokerage!AE$4,'T-Bills'!W:W,Brokerage!$B234)</f>
        <v>0</v>
      </c>
      <c r="AF234" s="857">
        <f>+SUMIFS(PIB!AI:AI,PIB!AH:AH,Brokerage!AF$4,PIB!AC:AC,Brokerage!$B234)+SUMIFS('T-Bills'!AD:AD,'T-Bills'!AC:AC,Brokerage!AF$4,'T-Bills'!X:X,Brokerage!$B234)</f>
        <v>0</v>
      </c>
      <c r="AG234" s="857">
        <f t="shared" si="23"/>
        <v>0</v>
      </c>
      <c r="AH234" s="858">
        <f t="shared" si="24"/>
        <v>0</v>
      </c>
    </row>
    <row r="235" spans="2:34" x14ac:dyDescent="0.15">
      <c r="B235" s="661">
        <f t="shared" si="22"/>
        <v>44791</v>
      </c>
      <c r="C235" s="857">
        <f>SUMIFS('YTD Sales'!$N:$N,'YTD Sales'!$B:$B,Brokerage!$B235,'YTD Sales'!$M:$M,Brokerage!C$4)+SUMIFS('YTD Purchases'!$H:$H,'YTD Purchases'!$C:$C,Brokerage!$B235,'YTD Purchases'!$G:$G,Brokerage!C$4)</f>
        <v>0</v>
      </c>
      <c r="D235" s="857">
        <f>SUMIFS('YTD Sales'!$N:$N,'YTD Sales'!$B:$B,Brokerage!$B235,'YTD Sales'!$M:$M,Brokerage!D$4)+SUMIFS('YTD Purchases'!$H:$H,'YTD Purchases'!$C:$C,Brokerage!$B235,'YTD Purchases'!$G:$G,Brokerage!D$4)</f>
        <v>0</v>
      </c>
      <c r="E235" s="857">
        <f>SUMIFS('YTD Sales'!$N:$N,'YTD Sales'!$B:$B,Brokerage!$B235,'YTD Sales'!$M:$M,Brokerage!E$4)+SUMIFS('YTD Purchases'!$H:$H,'YTD Purchases'!$C:$C,Brokerage!$B235,'YTD Purchases'!$G:$G,Brokerage!E$4)</f>
        <v>0</v>
      </c>
      <c r="F235" s="857">
        <f>SUMIFS('YTD Sales'!$N:$N,'YTD Sales'!$B:$B,Brokerage!$B235,'YTD Sales'!$M:$M,Brokerage!F$4)+SUMIFS('YTD Purchases'!$H:$H,'YTD Purchases'!$C:$C,Brokerage!$B235,'YTD Purchases'!$G:$G,Brokerage!F$4)</f>
        <v>0</v>
      </c>
      <c r="G235" s="857">
        <f>SUMIFS('YTD Sales'!$N:$N,'YTD Sales'!$B:$B,Brokerage!$B235,'YTD Sales'!$M:$M,Brokerage!G$4)+SUMIFS('YTD Purchases'!$H:$H,'YTD Purchases'!$C:$C,Brokerage!$B235,'YTD Purchases'!$G:$G,Brokerage!G$4)</f>
        <v>0</v>
      </c>
      <c r="H235" s="857">
        <f>SUMIFS('YTD Sales'!$N:$N,'YTD Sales'!$B:$B,Brokerage!$B235,'YTD Sales'!$M:$M,Brokerage!H$4)+SUMIFS('YTD Purchases'!$H:$H,'YTD Purchases'!$C:$C,Brokerage!$B235,'YTD Purchases'!$G:$G,Brokerage!H$4)</f>
        <v>0</v>
      </c>
      <c r="I235" s="857">
        <f>SUMIFS('YTD Sales'!$N:$N,'YTD Sales'!$B:$B,Brokerage!$B235,'YTD Sales'!$M:$M,Brokerage!I$4)+SUMIFS('YTD Purchases'!$H:$H,'YTD Purchases'!$C:$C,Brokerage!$B235,'YTD Purchases'!$G:$G,Brokerage!I$4)</f>
        <v>0</v>
      </c>
      <c r="J235" s="857">
        <f>SUMIFS('YTD Sales'!$N:$N,'YTD Sales'!$B:$B,Brokerage!$B235,'YTD Sales'!$M:$M,Brokerage!J$4)+SUMIFS('YTD Purchases'!$H:$H,'YTD Purchases'!$C:$C,Brokerage!$B235,'YTD Purchases'!$G:$G,Brokerage!J$4)</f>
        <v>0</v>
      </c>
      <c r="K235" s="857">
        <f>SUMIFS('YTD Sales'!$N:$N,'YTD Sales'!$B:$B,Brokerage!$B235,'YTD Sales'!$M:$M,Brokerage!K$4)+SUMIFS('YTD Purchases'!$H:$H,'YTD Purchases'!$C:$C,Brokerage!$B235,'YTD Purchases'!$G:$G,Brokerage!K$4)</f>
        <v>0</v>
      </c>
      <c r="L235" s="857">
        <f>SUMIFS('YTD Sales'!$N:$N,'YTD Sales'!$B:$B,Brokerage!$B235,'YTD Sales'!$M:$M,Brokerage!L$4)+SUMIFS('YTD Purchases'!$H:$H,'YTD Purchases'!$C:$C,Brokerage!$B235,'YTD Purchases'!$G:$G,Brokerage!L$4)</f>
        <v>0</v>
      </c>
      <c r="M235" s="857">
        <f>SUMIFS('YTD Sales'!$N:$N,'YTD Sales'!$B:$B,Brokerage!$B235,'YTD Sales'!$M:$M,Brokerage!M$4)+SUMIFS('YTD Purchases'!$H:$H,'YTD Purchases'!$C:$C,Brokerage!$B235,'YTD Purchases'!$G:$G,Brokerage!M$4)</f>
        <v>0</v>
      </c>
      <c r="N235" s="857">
        <f>SUMIFS('YTD Sales'!$N:$N,'YTD Sales'!$B:$B,Brokerage!$B235,'YTD Sales'!$M:$M,Brokerage!N$4)+SUMIFS('YTD Purchases'!$H:$H,'YTD Purchases'!$C:$C,Brokerage!$B235,'YTD Purchases'!$G:$G,Brokerage!N$4)</f>
        <v>0</v>
      </c>
      <c r="O235" s="857">
        <f>SUMIFS('YTD Sales'!$N:$N,'YTD Sales'!$B:$B,Brokerage!$B235,'YTD Sales'!$M:$M,Brokerage!O$4)+SUMIFS('YTD Purchases'!$H:$H,'YTD Purchases'!$C:$C,Brokerage!$B235,'YTD Purchases'!$G:$G,Brokerage!O$4)</f>
        <v>0</v>
      </c>
      <c r="P235" s="857">
        <f>SUMIFS('YTD Sales'!$N:$N,'YTD Sales'!$B:$B,Brokerage!$B235,'YTD Sales'!$M:$M,Brokerage!P$4)+SUMIFS('YTD Purchases'!$H:$H,'YTD Purchases'!$C:$C,Brokerage!$B235,'YTD Purchases'!$G:$G,Brokerage!P$4)</f>
        <v>0</v>
      </c>
      <c r="Q235" s="857">
        <f>SUMIFS('YTD Sales'!$N:$N,'YTD Sales'!$B:$B,Brokerage!$B235,'YTD Sales'!$M:$M,Brokerage!Q$4)+SUMIFS('YTD Purchases'!$H:$H,'YTD Purchases'!$C:$C,Brokerage!$B235,'YTD Purchases'!$G:$G,Brokerage!Q$4)</f>
        <v>0</v>
      </c>
      <c r="R235" s="857">
        <f>SUMIFS('YTD Sales'!$N:$N,'YTD Sales'!$B:$B,Brokerage!$B235,'YTD Sales'!$M:$M,Brokerage!R$4)+SUMIFS('YTD Purchases'!$H:$H,'YTD Purchases'!$C:$C,Brokerage!$B235,'YTD Purchases'!$G:$G,Brokerage!R$4)</f>
        <v>0</v>
      </c>
      <c r="S235" s="857">
        <f>SUMIFS('YTD Sales'!$N:$N,'YTD Sales'!$B:$B,Brokerage!$B235,'YTD Sales'!$M:$M,Brokerage!S$4)+SUMIFS('YTD Purchases'!$H:$H,'YTD Purchases'!$C:$C,Brokerage!$B235,'YTD Purchases'!$G:$G,Brokerage!S$4)</f>
        <v>0</v>
      </c>
      <c r="T235" s="857">
        <f>SUMIFS('YTD Sales'!$N:$N,'YTD Sales'!$B:$B,Brokerage!$B235,'YTD Sales'!$M:$M,Brokerage!T$4)+SUMIFS('YTD Purchases'!$H:$H,'YTD Purchases'!$C:$C,Brokerage!$B235,'YTD Purchases'!$G:$G,Brokerage!T$4)</f>
        <v>0</v>
      </c>
      <c r="U235" s="857">
        <f>SUMIFS('YTD Sales'!$N:$N,'YTD Sales'!$B:$B,Brokerage!$B235,'YTD Sales'!$M:$M,Brokerage!U$4)+SUMIFS('YTD Purchases'!$H:$H,'YTD Purchases'!$C:$C,Brokerage!$B235,'YTD Purchases'!$G:$G,Brokerage!U$4)</f>
        <v>0</v>
      </c>
      <c r="V235" s="857">
        <f>SUMIFS('YTD Sales'!$N:$N,'YTD Sales'!$B:$B,Brokerage!$B235,'YTD Sales'!$M:$M,Brokerage!V$4)+SUMIFS('YTD Purchases'!$H:$H,'YTD Purchases'!$C:$C,Brokerage!$B235,'YTD Purchases'!$G:$G,Brokerage!V$4)</f>
        <v>0</v>
      </c>
      <c r="W235" s="857">
        <f>SUMIFS('YTD Sales'!$N:$N,'YTD Sales'!$B:$B,Brokerage!$B235,'YTD Sales'!$M:$M,Brokerage!W$4)+SUMIFS('YTD Purchases'!$H:$H,'YTD Purchases'!$C:$C,Brokerage!$B235,'YTD Purchases'!$G:$G,Brokerage!W$4)</f>
        <v>0</v>
      </c>
      <c r="X235" s="857">
        <f>SUMIFS('YTD Sales'!$N:$N,'YTD Sales'!$B:$B,Brokerage!$B235,'YTD Sales'!$M:$M,Brokerage!X$4)+SUMIFS('YTD Purchases'!$H:$H,'YTD Purchases'!$C:$C,Brokerage!$B235,'YTD Purchases'!$G:$G,Brokerage!X$4)</f>
        <v>0</v>
      </c>
      <c r="Y235" s="857">
        <f>SUMIFS('YTD Sales'!$N:$N,'YTD Sales'!$B:$B,Brokerage!$B235,'YTD Sales'!$M:$M,Brokerage!Y$4)+SUMIFS('YTD Purchases'!$H:$H,'YTD Purchases'!$C:$C,Brokerage!$B235,'YTD Purchases'!$G:$G,Brokerage!Y$4)</f>
        <v>0</v>
      </c>
      <c r="Z235" s="857">
        <f>SUMIFS('YTD Sales'!$N:$N,'YTD Sales'!$B:$B,Brokerage!$B235,'YTD Sales'!$M:$M,Brokerage!Z$4)+SUMIFS('YTD Purchases'!$H:$H,'YTD Purchases'!$C:$C,Brokerage!$B235,'YTD Purchases'!$G:$G,Brokerage!Z$4)</f>
        <v>0</v>
      </c>
      <c r="AA235" s="857">
        <f>SUMIFS('YTD Sales'!$N:$N,'YTD Sales'!$B:$B,Brokerage!$B235,'YTD Sales'!$M:$M,Brokerage!AA$4)+SUMIFS('YTD Purchases'!$H:$H,'YTD Purchases'!$C:$C,Brokerage!$B235,'YTD Purchases'!$G:$G,Brokerage!AA$4)</f>
        <v>0</v>
      </c>
      <c r="AB235" s="857">
        <f>SUMIFS('YTD Sales'!$N:$N,'YTD Sales'!$B:$B,Brokerage!$B235,'YTD Sales'!$M:$M,Brokerage!AB$4)+SUMIFS('YTD Purchases'!$H:$H,'YTD Purchases'!$C:$C,Brokerage!$B235,'YTD Purchases'!$G:$G,Brokerage!AB$4)</f>
        <v>0</v>
      </c>
      <c r="AC235" s="857">
        <f>SUMIFS('YTD Sales'!$N:$N,'YTD Sales'!$B:$B,Brokerage!$B235,'YTD Sales'!$M:$M,Brokerage!AC$4)+SUMIFS('YTD Purchases'!$H:$H,'YTD Purchases'!$C:$C,Brokerage!$B235,'YTD Purchases'!$G:$G,Brokerage!AC$4)</f>
        <v>0</v>
      </c>
      <c r="AD235" s="857">
        <f>+SUMIFS(PIB!AG:AG,PIB!AF:AF,Brokerage!AD$4,PIB!AA:AA,Brokerage!$B235)+SUMIFS('T-Bills'!AB:AB,'T-Bills'!AA:AA,Brokerage!AD$4,'T-Bills'!V:V,Brokerage!$B235)</f>
        <v>0</v>
      </c>
      <c r="AE235" s="857">
        <f>+SUMIFS(PIB!AH:AH,PIB!AG:AG,Brokerage!AE$4,PIB!AB:AB,Brokerage!$B235)+SUMIFS('T-Bills'!AC:AC,'T-Bills'!AB:AB,Brokerage!AE$4,'T-Bills'!W:W,Brokerage!$B235)</f>
        <v>0</v>
      </c>
      <c r="AF235" s="857">
        <f>+SUMIFS(PIB!AI:AI,PIB!AH:AH,Brokerage!AF$4,PIB!AC:AC,Brokerage!$B235)+SUMIFS('T-Bills'!AD:AD,'T-Bills'!AC:AC,Brokerage!AF$4,'T-Bills'!X:X,Brokerage!$B235)</f>
        <v>0</v>
      </c>
      <c r="AG235" s="857">
        <f t="shared" si="23"/>
        <v>0</v>
      </c>
      <c r="AH235" s="858">
        <f t="shared" si="24"/>
        <v>0</v>
      </c>
    </row>
    <row r="236" spans="2:34" x14ac:dyDescent="0.15">
      <c r="B236" s="661">
        <f t="shared" si="22"/>
        <v>44792</v>
      </c>
      <c r="C236" s="857">
        <f>SUMIFS('YTD Sales'!$N:$N,'YTD Sales'!$B:$B,Brokerage!$B236,'YTD Sales'!$M:$M,Brokerage!C$4)+SUMIFS('YTD Purchases'!$H:$H,'YTD Purchases'!$C:$C,Brokerage!$B236,'YTD Purchases'!$G:$G,Brokerage!C$4)</f>
        <v>0</v>
      </c>
      <c r="D236" s="857">
        <f>SUMIFS('YTD Sales'!$N:$N,'YTD Sales'!$B:$B,Brokerage!$B236,'YTD Sales'!$M:$M,Brokerage!D$4)+SUMIFS('YTD Purchases'!$H:$H,'YTD Purchases'!$C:$C,Brokerage!$B236,'YTD Purchases'!$G:$G,Brokerage!D$4)</f>
        <v>0</v>
      </c>
      <c r="E236" s="857">
        <f>SUMIFS('YTD Sales'!$N:$N,'YTD Sales'!$B:$B,Brokerage!$B236,'YTD Sales'!$M:$M,Brokerage!E$4)+SUMIFS('YTD Purchases'!$H:$H,'YTD Purchases'!$C:$C,Brokerage!$B236,'YTD Purchases'!$G:$G,Brokerage!E$4)</f>
        <v>0</v>
      </c>
      <c r="F236" s="857">
        <f>SUMIFS('YTD Sales'!$N:$N,'YTD Sales'!$B:$B,Brokerage!$B236,'YTD Sales'!$M:$M,Brokerage!F$4)+SUMIFS('YTD Purchases'!$H:$H,'YTD Purchases'!$C:$C,Brokerage!$B236,'YTD Purchases'!$G:$G,Brokerage!F$4)</f>
        <v>0</v>
      </c>
      <c r="G236" s="857">
        <f>SUMIFS('YTD Sales'!$N:$N,'YTD Sales'!$B:$B,Brokerage!$B236,'YTD Sales'!$M:$M,Brokerage!G$4)+SUMIFS('YTD Purchases'!$H:$H,'YTD Purchases'!$C:$C,Brokerage!$B236,'YTD Purchases'!$G:$G,Brokerage!G$4)</f>
        <v>0</v>
      </c>
      <c r="H236" s="857">
        <f>SUMIFS('YTD Sales'!$N:$N,'YTD Sales'!$B:$B,Brokerage!$B236,'YTD Sales'!$M:$M,Brokerage!H$4)+SUMIFS('YTD Purchases'!$H:$H,'YTD Purchases'!$C:$C,Brokerage!$B236,'YTD Purchases'!$G:$G,Brokerage!H$4)</f>
        <v>0</v>
      </c>
      <c r="I236" s="857">
        <f>SUMIFS('YTD Sales'!$N:$N,'YTD Sales'!$B:$B,Brokerage!$B236,'YTD Sales'!$M:$M,Brokerage!I$4)+SUMIFS('YTD Purchases'!$H:$H,'YTD Purchases'!$C:$C,Brokerage!$B236,'YTD Purchases'!$G:$G,Brokerage!I$4)</f>
        <v>0</v>
      </c>
      <c r="J236" s="857">
        <f>SUMIFS('YTD Sales'!$N:$N,'YTD Sales'!$B:$B,Brokerage!$B236,'YTD Sales'!$M:$M,Brokerage!J$4)+SUMIFS('YTD Purchases'!$H:$H,'YTD Purchases'!$C:$C,Brokerage!$B236,'YTD Purchases'!$G:$G,Brokerage!J$4)</f>
        <v>0</v>
      </c>
      <c r="K236" s="857">
        <f>SUMIFS('YTD Sales'!$N:$N,'YTD Sales'!$B:$B,Brokerage!$B236,'YTD Sales'!$M:$M,Brokerage!K$4)+SUMIFS('YTD Purchases'!$H:$H,'YTD Purchases'!$C:$C,Brokerage!$B236,'YTD Purchases'!$G:$G,Brokerage!K$4)</f>
        <v>0</v>
      </c>
      <c r="L236" s="857">
        <f>SUMIFS('YTD Sales'!$N:$N,'YTD Sales'!$B:$B,Brokerage!$B236,'YTD Sales'!$M:$M,Brokerage!L$4)+SUMIFS('YTD Purchases'!$H:$H,'YTD Purchases'!$C:$C,Brokerage!$B236,'YTD Purchases'!$G:$G,Brokerage!L$4)</f>
        <v>0</v>
      </c>
      <c r="M236" s="857">
        <f>SUMIFS('YTD Sales'!$N:$N,'YTD Sales'!$B:$B,Brokerage!$B236,'YTD Sales'!$M:$M,Brokerage!M$4)+SUMIFS('YTD Purchases'!$H:$H,'YTD Purchases'!$C:$C,Brokerage!$B236,'YTD Purchases'!$G:$G,Brokerage!M$4)</f>
        <v>0</v>
      </c>
      <c r="N236" s="857">
        <f>SUMIFS('YTD Sales'!$N:$N,'YTD Sales'!$B:$B,Brokerage!$B236,'YTD Sales'!$M:$M,Brokerage!N$4)+SUMIFS('YTD Purchases'!$H:$H,'YTD Purchases'!$C:$C,Brokerage!$B236,'YTD Purchases'!$G:$G,Brokerage!N$4)</f>
        <v>0</v>
      </c>
      <c r="O236" s="857">
        <f>SUMIFS('YTD Sales'!$N:$N,'YTD Sales'!$B:$B,Brokerage!$B236,'YTD Sales'!$M:$M,Brokerage!O$4)+SUMIFS('YTD Purchases'!$H:$H,'YTD Purchases'!$C:$C,Brokerage!$B236,'YTD Purchases'!$G:$G,Brokerage!O$4)</f>
        <v>0</v>
      </c>
      <c r="P236" s="857">
        <f>SUMIFS('YTD Sales'!$N:$N,'YTD Sales'!$B:$B,Brokerage!$B236,'YTD Sales'!$M:$M,Brokerage!P$4)+SUMIFS('YTD Purchases'!$H:$H,'YTD Purchases'!$C:$C,Brokerage!$B236,'YTD Purchases'!$G:$G,Brokerage!P$4)</f>
        <v>0</v>
      </c>
      <c r="Q236" s="857">
        <f>SUMIFS('YTD Sales'!$N:$N,'YTD Sales'!$B:$B,Brokerage!$B236,'YTD Sales'!$M:$M,Brokerage!Q$4)+SUMIFS('YTD Purchases'!$H:$H,'YTD Purchases'!$C:$C,Brokerage!$B236,'YTD Purchases'!$G:$G,Brokerage!Q$4)</f>
        <v>0</v>
      </c>
      <c r="R236" s="857">
        <f>SUMIFS('YTD Sales'!$N:$N,'YTD Sales'!$B:$B,Brokerage!$B236,'YTD Sales'!$M:$M,Brokerage!R$4)+SUMIFS('YTD Purchases'!$H:$H,'YTD Purchases'!$C:$C,Brokerage!$B236,'YTD Purchases'!$G:$G,Brokerage!R$4)</f>
        <v>0</v>
      </c>
      <c r="S236" s="857">
        <f>SUMIFS('YTD Sales'!$N:$N,'YTD Sales'!$B:$B,Brokerage!$B236,'YTD Sales'!$M:$M,Brokerage!S$4)+SUMIFS('YTD Purchases'!$H:$H,'YTD Purchases'!$C:$C,Brokerage!$B236,'YTD Purchases'!$G:$G,Brokerage!S$4)</f>
        <v>0</v>
      </c>
      <c r="T236" s="857">
        <f>SUMIFS('YTD Sales'!$N:$N,'YTD Sales'!$B:$B,Brokerage!$B236,'YTD Sales'!$M:$M,Brokerage!T$4)+SUMIFS('YTD Purchases'!$H:$H,'YTD Purchases'!$C:$C,Brokerage!$B236,'YTD Purchases'!$G:$G,Brokerage!T$4)</f>
        <v>0</v>
      </c>
      <c r="U236" s="857">
        <f>SUMIFS('YTD Sales'!$N:$N,'YTD Sales'!$B:$B,Brokerage!$B236,'YTD Sales'!$M:$M,Brokerage!U$4)+SUMIFS('YTD Purchases'!$H:$H,'YTD Purchases'!$C:$C,Brokerage!$B236,'YTD Purchases'!$G:$G,Brokerage!U$4)</f>
        <v>0</v>
      </c>
      <c r="V236" s="857">
        <f>SUMIFS('YTD Sales'!$N:$N,'YTD Sales'!$B:$B,Brokerage!$B236,'YTD Sales'!$M:$M,Brokerage!V$4)+SUMIFS('YTD Purchases'!$H:$H,'YTD Purchases'!$C:$C,Brokerage!$B236,'YTD Purchases'!$G:$G,Brokerage!V$4)</f>
        <v>0</v>
      </c>
      <c r="W236" s="857">
        <f>SUMIFS('YTD Sales'!$N:$N,'YTD Sales'!$B:$B,Brokerage!$B236,'YTD Sales'!$M:$M,Brokerage!W$4)+SUMIFS('YTD Purchases'!$H:$H,'YTD Purchases'!$C:$C,Brokerage!$B236,'YTD Purchases'!$G:$G,Brokerage!W$4)</f>
        <v>0</v>
      </c>
      <c r="X236" s="857">
        <f>SUMIFS('YTD Sales'!$N:$N,'YTD Sales'!$B:$B,Brokerage!$B236,'YTD Sales'!$M:$M,Brokerage!X$4)+SUMIFS('YTD Purchases'!$H:$H,'YTD Purchases'!$C:$C,Brokerage!$B236,'YTD Purchases'!$G:$G,Brokerage!X$4)</f>
        <v>0</v>
      </c>
      <c r="Y236" s="857">
        <f>SUMIFS('YTD Sales'!$N:$N,'YTD Sales'!$B:$B,Brokerage!$B236,'YTD Sales'!$M:$M,Brokerage!Y$4)+SUMIFS('YTD Purchases'!$H:$H,'YTD Purchases'!$C:$C,Brokerage!$B236,'YTD Purchases'!$G:$G,Brokerage!Y$4)</f>
        <v>0</v>
      </c>
      <c r="Z236" s="857">
        <f>SUMIFS('YTD Sales'!$N:$N,'YTD Sales'!$B:$B,Brokerage!$B236,'YTD Sales'!$M:$M,Brokerage!Z$4)+SUMIFS('YTD Purchases'!$H:$H,'YTD Purchases'!$C:$C,Brokerage!$B236,'YTD Purchases'!$G:$G,Brokerage!Z$4)</f>
        <v>0</v>
      </c>
      <c r="AA236" s="857">
        <f>SUMIFS('YTD Sales'!$N:$N,'YTD Sales'!$B:$B,Brokerage!$B236,'YTD Sales'!$M:$M,Brokerage!AA$4)+SUMIFS('YTD Purchases'!$H:$H,'YTD Purchases'!$C:$C,Brokerage!$B236,'YTD Purchases'!$G:$G,Brokerage!AA$4)</f>
        <v>0</v>
      </c>
      <c r="AB236" s="857">
        <f>SUMIFS('YTD Sales'!$N:$N,'YTD Sales'!$B:$B,Brokerage!$B236,'YTD Sales'!$M:$M,Brokerage!AB$4)+SUMIFS('YTD Purchases'!$H:$H,'YTD Purchases'!$C:$C,Brokerage!$B236,'YTD Purchases'!$G:$G,Brokerage!AB$4)</f>
        <v>0</v>
      </c>
      <c r="AC236" s="857">
        <f>SUMIFS('YTD Sales'!$N:$N,'YTD Sales'!$B:$B,Brokerage!$B236,'YTD Sales'!$M:$M,Brokerage!AC$4)+SUMIFS('YTD Purchases'!$H:$H,'YTD Purchases'!$C:$C,Brokerage!$B236,'YTD Purchases'!$G:$G,Brokerage!AC$4)</f>
        <v>0</v>
      </c>
      <c r="AD236" s="857">
        <f>+SUMIFS(PIB!AG:AG,PIB!AF:AF,Brokerage!AD$4,PIB!AA:AA,Brokerage!$B236)+SUMIFS('T-Bills'!AB:AB,'T-Bills'!AA:AA,Brokerage!AD$4,'T-Bills'!V:V,Brokerage!$B236)</f>
        <v>0</v>
      </c>
      <c r="AE236" s="857">
        <f>+SUMIFS(PIB!AH:AH,PIB!AG:AG,Brokerage!AE$4,PIB!AB:AB,Brokerage!$B236)+SUMIFS('T-Bills'!AC:AC,'T-Bills'!AB:AB,Brokerage!AE$4,'T-Bills'!W:W,Brokerage!$B236)</f>
        <v>0</v>
      </c>
      <c r="AF236" s="857">
        <f>+SUMIFS(PIB!AI:AI,PIB!AH:AH,Brokerage!AF$4,PIB!AC:AC,Brokerage!$B236)+SUMIFS('T-Bills'!AD:AD,'T-Bills'!AC:AC,Brokerage!AF$4,'T-Bills'!X:X,Brokerage!$B236)</f>
        <v>0</v>
      </c>
      <c r="AG236" s="857">
        <f t="shared" si="23"/>
        <v>0</v>
      </c>
      <c r="AH236" s="858">
        <f t="shared" si="24"/>
        <v>0</v>
      </c>
    </row>
    <row r="237" spans="2:34" x14ac:dyDescent="0.15">
      <c r="B237" s="661">
        <f t="shared" si="22"/>
        <v>44793</v>
      </c>
      <c r="C237" s="857">
        <f>SUMIFS('YTD Sales'!$N:$N,'YTD Sales'!$B:$B,Brokerage!$B237,'YTD Sales'!$M:$M,Brokerage!C$4)+SUMIFS('YTD Purchases'!$H:$H,'YTD Purchases'!$C:$C,Brokerage!$B237,'YTD Purchases'!$G:$G,Brokerage!C$4)</f>
        <v>0</v>
      </c>
      <c r="D237" s="857">
        <f>SUMIFS('YTD Sales'!$N:$N,'YTD Sales'!$B:$B,Brokerage!$B237,'YTD Sales'!$M:$M,Brokerage!D$4)+SUMIFS('YTD Purchases'!$H:$H,'YTD Purchases'!$C:$C,Brokerage!$B237,'YTD Purchases'!$G:$G,Brokerage!D$4)</f>
        <v>0</v>
      </c>
      <c r="E237" s="857">
        <f>SUMIFS('YTD Sales'!$N:$N,'YTD Sales'!$B:$B,Brokerage!$B237,'YTD Sales'!$M:$M,Brokerage!E$4)+SUMIFS('YTD Purchases'!$H:$H,'YTD Purchases'!$C:$C,Brokerage!$B237,'YTD Purchases'!$G:$G,Brokerage!E$4)</f>
        <v>0</v>
      </c>
      <c r="F237" s="857">
        <f>SUMIFS('YTD Sales'!$N:$N,'YTD Sales'!$B:$B,Brokerage!$B237,'YTD Sales'!$M:$M,Brokerage!F$4)+SUMIFS('YTD Purchases'!$H:$H,'YTD Purchases'!$C:$C,Brokerage!$B237,'YTD Purchases'!$G:$G,Brokerage!F$4)</f>
        <v>0</v>
      </c>
      <c r="G237" s="857">
        <f>SUMIFS('YTD Sales'!$N:$N,'YTD Sales'!$B:$B,Brokerage!$B237,'YTD Sales'!$M:$M,Brokerage!G$4)+SUMIFS('YTD Purchases'!$H:$H,'YTD Purchases'!$C:$C,Brokerage!$B237,'YTD Purchases'!$G:$G,Brokerage!G$4)</f>
        <v>0</v>
      </c>
      <c r="H237" s="857">
        <f>SUMIFS('YTD Sales'!$N:$N,'YTD Sales'!$B:$B,Brokerage!$B237,'YTD Sales'!$M:$M,Brokerage!H$4)+SUMIFS('YTD Purchases'!$H:$H,'YTD Purchases'!$C:$C,Brokerage!$B237,'YTD Purchases'!$G:$G,Brokerage!H$4)</f>
        <v>0</v>
      </c>
      <c r="I237" s="857">
        <f>SUMIFS('YTD Sales'!$N:$N,'YTD Sales'!$B:$B,Brokerage!$B237,'YTD Sales'!$M:$M,Brokerage!I$4)+SUMIFS('YTD Purchases'!$H:$H,'YTD Purchases'!$C:$C,Brokerage!$B237,'YTD Purchases'!$G:$G,Brokerage!I$4)</f>
        <v>0</v>
      </c>
      <c r="J237" s="857">
        <f>SUMIFS('YTD Sales'!$N:$N,'YTD Sales'!$B:$B,Brokerage!$B237,'YTD Sales'!$M:$M,Brokerage!J$4)+SUMIFS('YTD Purchases'!$H:$H,'YTD Purchases'!$C:$C,Brokerage!$B237,'YTD Purchases'!$G:$G,Brokerage!J$4)</f>
        <v>0</v>
      </c>
      <c r="K237" s="857">
        <f>SUMIFS('YTD Sales'!$N:$N,'YTD Sales'!$B:$B,Brokerage!$B237,'YTD Sales'!$M:$M,Brokerage!K$4)+SUMIFS('YTD Purchases'!$H:$H,'YTD Purchases'!$C:$C,Brokerage!$B237,'YTD Purchases'!$G:$G,Brokerage!K$4)</f>
        <v>0</v>
      </c>
      <c r="L237" s="857">
        <f>SUMIFS('YTD Sales'!$N:$N,'YTD Sales'!$B:$B,Brokerage!$B237,'YTD Sales'!$M:$M,Brokerage!L$4)+SUMIFS('YTD Purchases'!$H:$H,'YTD Purchases'!$C:$C,Brokerage!$B237,'YTD Purchases'!$G:$G,Brokerage!L$4)</f>
        <v>0</v>
      </c>
      <c r="M237" s="857">
        <f>SUMIFS('YTD Sales'!$N:$N,'YTD Sales'!$B:$B,Brokerage!$B237,'YTD Sales'!$M:$M,Brokerage!M$4)+SUMIFS('YTD Purchases'!$H:$H,'YTD Purchases'!$C:$C,Brokerage!$B237,'YTD Purchases'!$G:$G,Brokerage!M$4)</f>
        <v>0</v>
      </c>
      <c r="N237" s="857">
        <f>SUMIFS('YTD Sales'!$N:$N,'YTD Sales'!$B:$B,Brokerage!$B237,'YTD Sales'!$M:$M,Brokerage!N$4)+SUMIFS('YTD Purchases'!$H:$H,'YTD Purchases'!$C:$C,Brokerage!$B237,'YTD Purchases'!$G:$G,Brokerage!N$4)</f>
        <v>0</v>
      </c>
      <c r="O237" s="857">
        <f>SUMIFS('YTD Sales'!$N:$N,'YTD Sales'!$B:$B,Brokerage!$B237,'YTD Sales'!$M:$M,Brokerage!O$4)+SUMIFS('YTD Purchases'!$H:$H,'YTD Purchases'!$C:$C,Brokerage!$B237,'YTD Purchases'!$G:$G,Brokerage!O$4)</f>
        <v>0</v>
      </c>
      <c r="P237" s="857">
        <f>SUMIFS('YTD Sales'!$N:$N,'YTD Sales'!$B:$B,Brokerage!$B237,'YTD Sales'!$M:$M,Brokerage!P$4)+SUMIFS('YTD Purchases'!$H:$H,'YTD Purchases'!$C:$C,Brokerage!$B237,'YTD Purchases'!$G:$G,Brokerage!P$4)</f>
        <v>0</v>
      </c>
      <c r="Q237" s="857">
        <f>SUMIFS('YTD Sales'!$N:$N,'YTD Sales'!$B:$B,Brokerage!$B237,'YTD Sales'!$M:$M,Brokerage!Q$4)+SUMIFS('YTD Purchases'!$H:$H,'YTD Purchases'!$C:$C,Brokerage!$B237,'YTD Purchases'!$G:$G,Brokerage!Q$4)</f>
        <v>0</v>
      </c>
      <c r="R237" s="857">
        <f>SUMIFS('YTD Sales'!$N:$N,'YTD Sales'!$B:$B,Brokerage!$B237,'YTD Sales'!$M:$M,Brokerage!R$4)+SUMIFS('YTD Purchases'!$H:$H,'YTD Purchases'!$C:$C,Brokerage!$B237,'YTD Purchases'!$G:$G,Brokerage!R$4)</f>
        <v>0</v>
      </c>
      <c r="S237" s="857">
        <f>SUMIFS('YTD Sales'!$N:$N,'YTD Sales'!$B:$B,Brokerage!$B237,'YTD Sales'!$M:$M,Brokerage!S$4)+SUMIFS('YTD Purchases'!$H:$H,'YTD Purchases'!$C:$C,Brokerage!$B237,'YTD Purchases'!$G:$G,Brokerage!S$4)</f>
        <v>0</v>
      </c>
      <c r="T237" s="857">
        <f>SUMIFS('YTD Sales'!$N:$N,'YTD Sales'!$B:$B,Brokerage!$B237,'YTD Sales'!$M:$M,Brokerage!T$4)+SUMIFS('YTD Purchases'!$H:$H,'YTD Purchases'!$C:$C,Brokerage!$B237,'YTD Purchases'!$G:$G,Brokerage!T$4)</f>
        <v>0</v>
      </c>
      <c r="U237" s="857">
        <f>SUMIFS('YTD Sales'!$N:$N,'YTD Sales'!$B:$B,Brokerage!$B237,'YTD Sales'!$M:$M,Brokerage!U$4)+SUMIFS('YTD Purchases'!$H:$H,'YTD Purchases'!$C:$C,Brokerage!$B237,'YTD Purchases'!$G:$G,Brokerage!U$4)</f>
        <v>0</v>
      </c>
      <c r="V237" s="857">
        <f>SUMIFS('YTD Sales'!$N:$N,'YTD Sales'!$B:$B,Brokerage!$B237,'YTD Sales'!$M:$M,Brokerage!V$4)+SUMIFS('YTD Purchases'!$H:$H,'YTD Purchases'!$C:$C,Brokerage!$B237,'YTD Purchases'!$G:$G,Brokerage!V$4)</f>
        <v>0</v>
      </c>
      <c r="W237" s="857">
        <f>SUMIFS('YTD Sales'!$N:$N,'YTD Sales'!$B:$B,Brokerage!$B237,'YTD Sales'!$M:$M,Brokerage!W$4)+SUMIFS('YTD Purchases'!$H:$H,'YTD Purchases'!$C:$C,Brokerage!$B237,'YTD Purchases'!$G:$G,Brokerage!W$4)</f>
        <v>0</v>
      </c>
      <c r="X237" s="857">
        <f>SUMIFS('YTD Sales'!$N:$N,'YTD Sales'!$B:$B,Brokerage!$B237,'YTD Sales'!$M:$M,Brokerage!X$4)+SUMIFS('YTD Purchases'!$H:$H,'YTD Purchases'!$C:$C,Brokerage!$B237,'YTD Purchases'!$G:$G,Brokerage!X$4)</f>
        <v>0</v>
      </c>
      <c r="Y237" s="857">
        <f>SUMIFS('YTD Sales'!$N:$N,'YTD Sales'!$B:$B,Brokerage!$B237,'YTD Sales'!$M:$M,Brokerage!Y$4)+SUMIFS('YTD Purchases'!$H:$H,'YTD Purchases'!$C:$C,Brokerage!$B237,'YTD Purchases'!$G:$G,Brokerage!Y$4)</f>
        <v>0</v>
      </c>
      <c r="Z237" s="857">
        <f>SUMIFS('YTD Sales'!$N:$N,'YTD Sales'!$B:$B,Brokerage!$B237,'YTD Sales'!$M:$M,Brokerage!Z$4)+SUMIFS('YTD Purchases'!$H:$H,'YTD Purchases'!$C:$C,Brokerage!$B237,'YTD Purchases'!$G:$G,Brokerage!Z$4)</f>
        <v>0</v>
      </c>
      <c r="AA237" s="857">
        <f>SUMIFS('YTD Sales'!$N:$N,'YTD Sales'!$B:$B,Brokerage!$B237,'YTD Sales'!$M:$M,Brokerage!AA$4)+SUMIFS('YTD Purchases'!$H:$H,'YTD Purchases'!$C:$C,Brokerage!$B237,'YTD Purchases'!$G:$G,Brokerage!AA$4)</f>
        <v>0</v>
      </c>
      <c r="AB237" s="857">
        <f>SUMIFS('YTD Sales'!$N:$N,'YTD Sales'!$B:$B,Brokerage!$B237,'YTD Sales'!$M:$M,Brokerage!AB$4)+SUMIFS('YTD Purchases'!$H:$H,'YTD Purchases'!$C:$C,Brokerage!$B237,'YTD Purchases'!$G:$G,Brokerage!AB$4)</f>
        <v>0</v>
      </c>
      <c r="AC237" s="857">
        <f>SUMIFS('YTD Sales'!$N:$N,'YTD Sales'!$B:$B,Brokerage!$B237,'YTD Sales'!$M:$M,Brokerage!AC$4)+SUMIFS('YTD Purchases'!$H:$H,'YTD Purchases'!$C:$C,Brokerage!$B237,'YTD Purchases'!$G:$G,Brokerage!AC$4)</f>
        <v>0</v>
      </c>
      <c r="AD237" s="857">
        <f>+SUMIFS(PIB!AG:AG,PIB!AF:AF,Brokerage!AD$4,PIB!AA:AA,Brokerage!$B237)+SUMIFS('T-Bills'!AB:AB,'T-Bills'!AA:AA,Brokerage!AD$4,'T-Bills'!V:V,Brokerage!$B237)</f>
        <v>0</v>
      </c>
      <c r="AE237" s="857">
        <f>+SUMIFS(PIB!AH:AH,PIB!AG:AG,Brokerage!AE$4,PIB!AB:AB,Brokerage!$B237)+SUMIFS('T-Bills'!AC:AC,'T-Bills'!AB:AB,Brokerage!AE$4,'T-Bills'!W:W,Brokerage!$B237)</f>
        <v>0</v>
      </c>
      <c r="AF237" s="857">
        <f>+SUMIFS(PIB!AI:AI,PIB!AH:AH,Brokerage!AF$4,PIB!AC:AC,Brokerage!$B237)+SUMIFS('T-Bills'!AD:AD,'T-Bills'!AC:AC,Brokerage!AF$4,'T-Bills'!X:X,Brokerage!$B237)</f>
        <v>0</v>
      </c>
      <c r="AG237" s="857">
        <f t="shared" si="23"/>
        <v>0</v>
      </c>
      <c r="AH237" s="858">
        <f t="shared" si="24"/>
        <v>0</v>
      </c>
    </row>
    <row r="238" spans="2:34" x14ac:dyDescent="0.15">
      <c r="B238" s="661">
        <f t="shared" si="22"/>
        <v>44794</v>
      </c>
      <c r="C238" s="857">
        <f>SUMIFS('YTD Sales'!$N:$N,'YTD Sales'!$B:$B,Brokerage!$B238,'YTD Sales'!$M:$M,Brokerage!C$4)+SUMIFS('YTD Purchases'!$H:$H,'YTD Purchases'!$C:$C,Brokerage!$B238,'YTD Purchases'!$G:$G,Brokerage!C$4)</f>
        <v>0</v>
      </c>
      <c r="D238" s="857">
        <f>SUMIFS('YTD Sales'!$N:$N,'YTD Sales'!$B:$B,Brokerage!$B238,'YTD Sales'!$M:$M,Brokerage!D$4)+SUMIFS('YTD Purchases'!$H:$H,'YTD Purchases'!$C:$C,Brokerage!$B238,'YTD Purchases'!$G:$G,Brokerage!D$4)</f>
        <v>0</v>
      </c>
      <c r="E238" s="857">
        <f>SUMIFS('YTD Sales'!$N:$N,'YTD Sales'!$B:$B,Brokerage!$B238,'YTD Sales'!$M:$M,Brokerage!E$4)+SUMIFS('YTD Purchases'!$H:$H,'YTD Purchases'!$C:$C,Brokerage!$B238,'YTD Purchases'!$G:$G,Brokerage!E$4)</f>
        <v>0</v>
      </c>
      <c r="F238" s="857">
        <f>SUMIFS('YTD Sales'!$N:$N,'YTD Sales'!$B:$B,Brokerage!$B238,'YTD Sales'!$M:$M,Brokerage!F$4)+SUMIFS('YTD Purchases'!$H:$H,'YTD Purchases'!$C:$C,Brokerage!$B238,'YTD Purchases'!$G:$G,Brokerage!F$4)</f>
        <v>0</v>
      </c>
      <c r="G238" s="857">
        <f>SUMIFS('YTD Sales'!$N:$N,'YTD Sales'!$B:$B,Brokerage!$B238,'YTD Sales'!$M:$M,Brokerage!G$4)+SUMIFS('YTD Purchases'!$H:$H,'YTD Purchases'!$C:$C,Brokerage!$B238,'YTD Purchases'!$G:$G,Brokerage!G$4)</f>
        <v>0</v>
      </c>
      <c r="H238" s="857">
        <f>SUMIFS('YTD Sales'!$N:$N,'YTD Sales'!$B:$B,Brokerage!$B238,'YTD Sales'!$M:$M,Brokerage!H$4)+SUMIFS('YTD Purchases'!$H:$H,'YTD Purchases'!$C:$C,Brokerage!$B238,'YTD Purchases'!$G:$G,Brokerage!H$4)</f>
        <v>0</v>
      </c>
      <c r="I238" s="857">
        <f>SUMIFS('YTD Sales'!$N:$N,'YTD Sales'!$B:$B,Brokerage!$B238,'YTD Sales'!$M:$M,Brokerage!I$4)+SUMIFS('YTD Purchases'!$H:$H,'YTD Purchases'!$C:$C,Brokerage!$B238,'YTD Purchases'!$G:$G,Brokerage!I$4)</f>
        <v>0</v>
      </c>
      <c r="J238" s="857">
        <f>SUMIFS('YTD Sales'!$N:$N,'YTD Sales'!$B:$B,Brokerage!$B238,'YTD Sales'!$M:$M,Brokerage!J$4)+SUMIFS('YTD Purchases'!$H:$H,'YTD Purchases'!$C:$C,Brokerage!$B238,'YTD Purchases'!$G:$G,Brokerage!J$4)</f>
        <v>0</v>
      </c>
      <c r="K238" s="857">
        <f>SUMIFS('YTD Sales'!$N:$N,'YTD Sales'!$B:$B,Brokerage!$B238,'YTD Sales'!$M:$M,Brokerage!K$4)+SUMIFS('YTD Purchases'!$H:$H,'YTD Purchases'!$C:$C,Brokerage!$B238,'YTD Purchases'!$G:$G,Brokerage!K$4)</f>
        <v>0</v>
      </c>
      <c r="L238" s="857">
        <f>SUMIFS('YTD Sales'!$N:$N,'YTD Sales'!$B:$B,Brokerage!$B238,'YTD Sales'!$M:$M,Brokerage!L$4)+SUMIFS('YTD Purchases'!$H:$H,'YTD Purchases'!$C:$C,Brokerage!$B238,'YTD Purchases'!$G:$G,Brokerage!L$4)</f>
        <v>0</v>
      </c>
      <c r="M238" s="857">
        <f>SUMIFS('YTD Sales'!$N:$N,'YTD Sales'!$B:$B,Brokerage!$B238,'YTD Sales'!$M:$M,Brokerage!M$4)+SUMIFS('YTD Purchases'!$H:$H,'YTD Purchases'!$C:$C,Brokerage!$B238,'YTD Purchases'!$G:$G,Brokerage!M$4)</f>
        <v>0</v>
      </c>
      <c r="N238" s="857">
        <f>SUMIFS('YTD Sales'!$N:$N,'YTD Sales'!$B:$B,Brokerage!$B238,'YTD Sales'!$M:$M,Brokerage!N$4)+SUMIFS('YTD Purchases'!$H:$H,'YTD Purchases'!$C:$C,Brokerage!$B238,'YTD Purchases'!$G:$G,Brokerage!N$4)</f>
        <v>0</v>
      </c>
      <c r="O238" s="857">
        <f>SUMIFS('YTD Sales'!$N:$N,'YTD Sales'!$B:$B,Brokerage!$B238,'YTD Sales'!$M:$M,Brokerage!O$4)+SUMIFS('YTD Purchases'!$H:$H,'YTD Purchases'!$C:$C,Brokerage!$B238,'YTD Purchases'!$G:$G,Brokerage!O$4)</f>
        <v>0</v>
      </c>
      <c r="P238" s="857">
        <f>SUMIFS('YTD Sales'!$N:$N,'YTD Sales'!$B:$B,Brokerage!$B238,'YTD Sales'!$M:$M,Brokerage!P$4)+SUMIFS('YTD Purchases'!$H:$H,'YTD Purchases'!$C:$C,Brokerage!$B238,'YTD Purchases'!$G:$G,Brokerage!P$4)</f>
        <v>0</v>
      </c>
      <c r="Q238" s="857">
        <f>SUMIFS('YTD Sales'!$N:$N,'YTD Sales'!$B:$B,Brokerage!$B238,'YTD Sales'!$M:$M,Brokerage!Q$4)+SUMIFS('YTD Purchases'!$H:$H,'YTD Purchases'!$C:$C,Brokerage!$B238,'YTD Purchases'!$G:$G,Brokerage!Q$4)</f>
        <v>0</v>
      </c>
      <c r="R238" s="857">
        <f>SUMIFS('YTD Sales'!$N:$N,'YTD Sales'!$B:$B,Brokerage!$B238,'YTD Sales'!$M:$M,Brokerage!R$4)+SUMIFS('YTD Purchases'!$H:$H,'YTD Purchases'!$C:$C,Brokerage!$B238,'YTD Purchases'!$G:$G,Brokerage!R$4)</f>
        <v>0</v>
      </c>
      <c r="S238" s="857">
        <f>SUMIFS('YTD Sales'!$N:$N,'YTD Sales'!$B:$B,Brokerage!$B238,'YTD Sales'!$M:$M,Brokerage!S$4)+SUMIFS('YTD Purchases'!$H:$H,'YTD Purchases'!$C:$C,Brokerage!$B238,'YTD Purchases'!$G:$G,Brokerage!S$4)</f>
        <v>0</v>
      </c>
      <c r="T238" s="857">
        <f>SUMIFS('YTD Sales'!$N:$N,'YTD Sales'!$B:$B,Brokerage!$B238,'YTD Sales'!$M:$M,Brokerage!T$4)+SUMIFS('YTD Purchases'!$H:$H,'YTD Purchases'!$C:$C,Brokerage!$B238,'YTD Purchases'!$G:$G,Brokerage!T$4)</f>
        <v>0</v>
      </c>
      <c r="U238" s="857">
        <f>SUMIFS('YTD Sales'!$N:$N,'YTD Sales'!$B:$B,Brokerage!$B238,'YTD Sales'!$M:$M,Brokerage!U$4)+SUMIFS('YTD Purchases'!$H:$H,'YTD Purchases'!$C:$C,Brokerage!$B238,'YTD Purchases'!$G:$G,Brokerage!U$4)</f>
        <v>0</v>
      </c>
      <c r="V238" s="857">
        <f>SUMIFS('YTD Sales'!$N:$N,'YTD Sales'!$B:$B,Brokerage!$B238,'YTD Sales'!$M:$M,Brokerage!V$4)+SUMIFS('YTD Purchases'!$H:$H,'YTD Purchases'!$C:$C,Brokerage!$B238,'YTD Purchases'!$G:$G,Brokerage!V$4)</f>
        <v>0</v>
      </c>
      <c r="W238" s="857">
        <f>SUMIFS('YTD Sales'!$N:$N,'YTD Sales'!$B:$B,Brokerage!$B238,'YTD Sales'!$M:$M,Brokerage!W$4)+SUMIFS('YTD Purchases'!$H:$H,'YTD Purchases'!$C:$C,Brokerage!$B238,'YTD Purchases'!$G:$G,Brokerage!W$4)</f>
        <v>0</v>
      </c>
      <c r="X238" s="857">
        <f>SUMIFS('YTD Sales'!$N:$N,'YTD Sales'!$B:$B,Brokerage!$B238,'YTD Sales'!$M:$M,Brokerage!X$4)+SUMIFS('YTD Purchases'!$H:$H,'YTD Purchases'!$C:$C,Brokerage!$B238,'YTD Purchases'!$G:$G,Brokerage!X$4)</f>
        <v>0</v>
      </c>
      <c r="Y238" s="857">
        <f>SUMIFS('YTD Sales'!$N:$N,'YTD Sales'!$B:$B,Brokerage!$B238,'YTD Sales'!$M:$M,Brokerage!Y$4)+SUMIFS('YTD Purchases'!$H:$H,'YTD Purchases'!$C:$C,Brokerage!$B238,'YTD Purchases'!$G:$G,Brokerage!Y$4)</f>
        <v>0</v>
      </c>
      <c r="Z238" s="857">
        <f>SUMIFS('YTD Sales'!$N:$N,'YTD Sales'!$B:$B,Brokerage!$B238,'YTD Sales'!$M:$M,Brokerage!Z$4)+SUMIFS('YTD Purchases'!$H:$H,'YTD Purchases'!$C:$C,Brokerage!$B238,'YTD Purchases'!$G:$G,Brokerage!Z$4)</f>
        <v>0</v>
      </c>
      <c r="AA238" s="857">
        <f>SUMIFS('YTD Sales'!$N:$N,'YTD Sales'!$B:$B,Brokerage!$B238,'YTD Sales'!$M:$M,Brokerage!AA$4)+SUMIFS('YTD Purchases'!$H:$H,'YTD Purchases'!$C:$C,Brokerage!$B238,'YTD Purchases'!$G:$G,Brokerage!AA$4)</f>
        <v>0</v>
      </c>
      <c r="AB238" s="857">
        <f>SUMIFS('YTD Sales'!$N:$N,'YTD Sales'!$B:$B,Brokerage!$B238,'YTD Sales'!$M:$M,Brokerage!AB$4)+SUMIFS('YTD Purchases'!$H:$H,'YTD Purchases'!$C:$C,Brokerage!$B238,'YTD Purchases'!$G:$G,Brokerage!AB$4)</f>
        <v>0</v>
      </c>
      <c r="AC238" s="857">
        <f>SUMIFS('YTD Sales'!$N:$N,'YTD Sales'!$B:$B,Brokerage!$B238,'YTD Sales'!$M:$M,Brokerage!AC$4)+SUMIFS('YTD Purchases'!$H:$H,'YTD Purchases'!$C:$C,Brokerage!$B238,'YTD Purchases'!$G:$G,Brokerage!AC$4)</f>
        <v>0</v>
      </c>
      <c r="AD238" s="857">
        <f>+SUMIFS(PIB!AG:AG,PIB!AF:AF,Brokerage!AD$4,PIB!AA:AA,Brokerage!$B238)+SUMIFS('T-Bills'!AB:AB,'T-Bills'!AA:AA,Brokerage!AD$4,'T-Bills'!V:V,Brokerage!$B238)</f>
        <v>0</v>
      </c>
      <c r="AE238" s="857">
        <f>+SUMIFS(PIB!AH:AH,PIB!AG:AG,Brokerage!AE$4,PIB!AB:AB,Brokerage!$B238)+SUMIFS('T-Bills'!AC:AC,'T-Bills'!AB:AB,Brokerage!AE$4,'T-Bills'!W:W,Brokerage!$B238)</f>
        <v>0</v>
      </c>
      <c r="AF238" s="857">
        <f>+SUMIFS(PIB!AI:AI,PIB!AH:AH,Brokerage!AF$4,PIB!AC:AC,Brokerage!$B238)+SUMIFS('T-Bills'!AD:AD,'T-Bills'!AC:AC,Brokerage!AF$4,'T-Bills'!X:X,Brokerage!$B238)</f>
        <v>0</v>
      </c>
      <c r="AG238" s="857">
        <f t="shared" si="23"/>
        <v>0</v>
      </c>
      <c r="AH238" s="858">
        <f t="shared" si="24"/>
        <v>0</v>
      </c>
    </row>
    <row r="239" spans="2:34" x14ac:dyDescent="0.15">
      <c r="B239" s="661">
        <f t="shared" si="22"/>
        <v>44795</v>
      </c>
      <c r="C239" s="857">
        <f>SUMIFS('YTD Sales'!$N:$N,'YTD Sales'!$B:$B,Brokerage!$B239,'YTD Sales'!$M:$M,Brokerage!C$4)+SUMIFS('YTD Purchases'!$H:$H,'YTD Purchases'!$C:$C,Brokerage!$B239,'YTD Purchases'!$G:$G,Brokerage!C$4)</f>
        <v>0</v>
      </c>
      <c r="D239" s="857">
        <f>SUMIFS('YTD Sales'!$N:$N,'YTD Sales'!$B:$B,Brokerage!$B239,'YTD Sales'!$M:$M,Brokerage!D$4)+SUMIFS('YTD Purchases'!$H:$H,'YTD Purchases'!$C:$C,Brokerage!$B239,'YTD Purchases'!$G:$G,Brokerage!D$4)</f>
        <v>0</v>
      </c>
      <c r="E239" s="857">
        <f>SUMIFS('YTD Sales'!$N:$N,'YTD Sales'!$B:$B,Brokerage!$B239,'YTD Sales'!$M:$M,Brokerage!E$4)+SUMIFS('YTD Purchases'!$H:$H,'YTD Purchases'!$C:$C,Brokerage!$B239,'YTD Purchases'!$G:$G,Brokerage!E$4)</f>
        <v>0</v>
      </c>
      <c r="F239" s="857">
        <f>SUMIFS('YTD Sales'!$N:$N,'YTD Sales'!$B:$B,Brokerage!$B239,'YTD Sales'!$M:$M,Brokerage!F$4)+SUMIFS('YTD Purchases'!$H:$H,'YTD Purchases'!$C:$C,Brokerage!$B239,'YTD Purchases'!$G:$G,Brokerage!F$4)</f>
        <v>0</v>
      </c>
      <c r="G239" s="857">
        <f>SUMIFS('YTD Sales'!$N:$N,'YTD Sales'!$B:$B,Brokerage!$B239,'YTD Sales'!$M:$M,Brokerage!G$4)+SUMIFS('YTD Purchases'!$H:$H,'YTD Purchases'!$C:$C,Brokerage!$B239,'YTD Purchases'!$G:$G,Brokerage!G$4)</f>
        <v>0</v>
      </c>
      <c r="H239" s="857">
        <f>SUMIFS('YTD Sales'!$N:$N,'YTD Sales'!$B:$B,Brokerage!$B239,'YTD Sales'!$M:$M,Brokerage!H$4)+SUMIFS('YTD Purchases'!$H:$H,'YTD Purchases'!$C:$C,Brokerage!$B239,'YTD Purchases'!$G:$G,Brokerage!H$4)</f>
        <v>0</v>
      </c>
      <c r="I239" s="857">
        <f>SUMIFS('YTD Sales'!$N:$N,'YTD Sales'!$B:$B,Brokerage!$B239,'YTD Sales'!$M:$M,Brokerage!I$4)+SUMIFS('YTD Purchases'!$H:$H,'YTD Purchases'!$C:$C,Brokerage!$B239,'YTD Purchases'!$G:$G,Brokerage!I$4)</f>
        <v>0</v>
      </c>
      <c r="J239" s="857">
        <f>SUMIFS('YTD Sales'!$N:$N,'YTD Sales'!$B:$B,Brokerage!$B239,'YTD Sales'!$M:$M,Brokerage!J$4)+SUMIFS('YTD Purchases'!$H:$H,'YTD Purchases'!$C:$C,Brokerage!$B239,'YTD Purchases'!$G:$G,Brokerage!J$4)</f>
        <v>0</v>
      </c>
      <c r="K239" s="857">
        <f>SUMIFS('YTD Sales'!$N:$N,'YTD Sales'!$B:$B,Brokerage!$B239,'YTD Sales'!$M:$M,Brokerage!K$4)+SUMIFS('YTD Purchases'!$H:$H,'YTD Purchases'!$C:$C,Brokerage!$B239,'YTD Purchases'!$G:$G,Brokerage!K$4)</f>
        <v>0</v>
      </c>
      <c r="L239" s="857">
        <f>SUMIFS('YTD Sales'!$N:$N,'YTD Sales'!$B:$B,Brokerage!$B239,'YTD Sales'!$M:$M,Brokerage!L$4)+SUMIFS('YTD Purchases'!$H:$H,'YTD Purchases'!$C:$C,Brokerage!$B239,'YTD Purchases'!$G:$G,Brokerage!L$4)</f>
        <v>0</v>
      </c>
      <c r="M239" s="857">
        <f>SUMIFS('YTD Sales'!$N:$N,'YTD Sales'!$B:$B,Brokerage!$B239,'YTD Sales'!$M:$M,Brokerage!M$4)+SUMIFS('YTD Purchases'!$H:$H,'YTD Purchases'!$C:$C,Brokerage!$B239,'YTD Purchases'!$G:$G,Brokerage!M$4)</f>
        <v>0</v>
      </c>
      <c r="N239" s="857">
        <f>SUMIFS('YTD Sales'!$N:$N,'YTD Sales'!$B:$B,Brokerage!$B239,'YTD Sales'!$M:$M,Brokerage!N$4)+SUMIFS('YTD Purchases'!$H:$H,'YTD Purchases'!$C:$C,Brokerage!$B239,'YTD Purchases'!$G:$G,Brokerage!N$4)</f>
        <v>0</v>
      </c>
      <c r="O239" s="857">
        <f>SUMIFS('YTD Sales'!$N:$N,'YTD Sales'!$B:$B,Brokerage!$B239,'YTD Sales'!$M:$M,Brokerage!O$4)+SUMIFS('YTD Purchases'!$H:$H,'YTD Purchases'!$C:$C,Brokerage!$B239,'YTD Purchases'!$G:$G,Brokerage!O$4)</f>
        <v>0</v>
      </c>
      <c r="P239" s="857">
        <f>SUMIFS('YTD Sales'!$N:$N,'YTD Sales'!$B:$B,Brokerage!$B239,'YTD Sales'!$M:$M,Brokerage!P$4)+SUMIFS('YTD Purchases'!$H:$H,'YTD Purchases'!$C:$C,Brokerage!$B239,'YTD Purchases'!$G:$G,Brokerage!P$4)</f>
        <v>0</v>
      </c>
      <c r="Q239" s="857">
        <f>SUMIFS('YTD Sales'!$N:$N,'YTD Sales'!$B:$B,Brokerage!$B239,'YTD Sales'!$M:$M,Brokerage!Q$4)+SUMIFS('YTD Purchases'!$H:$H,'YTD Purchases'!$C:$C,Brokerage!$B239,'YTD Purchases'!$G:$G,Brokerage!Q$4)</f>
        <v>0</v>
      </c>
      <c r="R239" s="857">
        <f>SUMIFS('YTD Sales'!$N:$N,'YTD Sales'!$B:$B,Brokerage!$B239,'YTD Sales'!$M:$M,Brokerage!R$4)+SUMIFS('YTD Purchases'!$H:$H,'YTD Purchases'!$C:$C,Brokerage!$B239,'YTD Purchases'!$G:$G,Brokerage!R$4)</f>
        <v>0</v>
      </c>
      <c r="S239" s="857">
        <f>SUMIFS('YTD Sales'!$N:$N,'YTD Sales'!$B:$B,Brokerage!$B239,'YTD Sales'!$M:$M,Brokerage!S$4)+SUMIFS('YTD Purchases'!$H:$H,'YTD Purchases'!$C:$C,Brokerage!$B239,'YTD Purchases'!$G:$G,Brokerage!S$4)</f>
        <v>0</v>
      </c>
      <c r="T239" s="857">
        <f>SUMIFS('YTD Sales'!$N:$N,'YTD Sales'!$B:$B,Brokerage!$B239,'YTD Sales'!$M:$M,Brokerage!T$4)+SUMIFS('YTD Purchases'!$H:$H,'YTD Purchases'!$C:$C,Brokerage!$B239,'YTD Purchases'!$G:$G,Brokerage!T$4)</f>
        <v>0</v>
      </c>
      <c r="U239" s="857">
        <f>SUMIFS('YTD Sales'!$N:$N,'YTD Sales'!$B:$B,Brokerage!$B239,'YTD Sales'!$M:$M,Brokerage!U$4)+SUMIFS('YTD Purchases'!$H:$H,'YTD Purchases'!$C:$C,Brokerage!$B239,'YTD Purchases'!$G:$G,Brokerage!U$4)</f>
        <v>0</v>
      </c>
      <c r="V239" s="857">
        <f>SUMIFS('YTD Sales'!$N:$N,'YTD Sales'!$B:$B,Brokerage!$B239,'YTD Sales'!$M:$M,Brokerage!V$4)+SUMIFS('YTD Purchases'!$H:$H,'YTD Purchases'!$C:$C,Brokerage!$B239,'YTD Purchases'!$G:$G,Brokerage!V$4)</f>
        <v>0</v>
      </c>
      <c r="W239" s="857">
        <f>SUMIFS('YTD Sales'!$N:$N,'YTD Sales'!$B:$B,Brokerage!$B239,'YTD Sales'!$M:$M,Brokerage!W$4)+SUMIFS('YTD Purchases'!$H:$H,'YTD Purchases'!$C:$C,Brokerage!$B239,'YTD Purchases'!$G:$G,Brokerage!W$4)</f>
        <v>0</v>
      </c>
      <c r="X239" s="857">
        <f>SUMIFS('YTD Sales'!$N:$N,'YTD Sales'!$B:$B,Brokerage!$B239,'YTD Sales'!$M:$M,Brokerage!X$4)+SUMIFS('YTD Purchases'!$H:$H,'YTD Purchases'!$C:$C,Brokerage!$B239,'YTD Purchases'!$G:$G,Brokerage!X$4)</f>
        <v>0</v>
      </c>
      <c r="Y239" s="857">
        <f>SUMIFS('YTD Sales'!$N:$N,'YTD Sales'!$B:$B,Brokerage!$B239,'YTD Sales'!$M:$M,Brokerage!Y$4)+SUMIFS('YTD Purchases'!$H:$H,'YTD Purchases'!$C:$C,Brokerage!$B239,'YTD Purchases'!$G:$G,Brokerage!Y$4)</f>
        <v>0</v>
      </c>
      <c r="Z239" s="857">
        <f>SUMIFS('YTD Sales'!$N:$N,'YTD Sales'!$B:$B,Brokerage!$B239,'YTD Sales'!$M:$M,Brokerage!Z$4)+SUMIFS('YTD Purchases'!$H:$H,'YTD Purchases'!$C:$C,Brokerage!$B239,'YTD Purchases'!$G:$G,Brokerage!Z$4)</f>
        <v>0</v>
      </c>
      <c r="AA239" s="857">
        <f>SUMIFS('YTD Sales'!$N:$N,'YTD Sales'!$B:$B,Brokerage!$B239,'YTD Sales'!$M:$M,Brokerage!AA$4)+SUMIFS('YTD Purchases'!$H:$H,'YTD Purchases'!$C:$C,Brokerage!$B239,'YTD Purchases'!$G:$G,Brokerage!AA$4)</f>
        <v>0</v>
      </c>
      <c r="AB239" s="857">
        <f>SUMIFS('YTD Sales'!$N:$N,'YTD Sales'!$B:$B,Brokerage!$B239,'YTD Sales'!$M:$M,Brokerage!AB$4)+SUMIFS('YTD Purchases'!$H:$H,'YTD Purchases'!$C:$C,Brokerage!$B239,'YTD Purchases'!$G:$G,Brokerage!AB$4)</f>
        <v>0</v>
      </c>
      <c r="AC239" s="857">
        <f>SUMIFS('YTD Sales'!$N:$N,'YTD Sales'!$B:$B,Brokerage!$B239,'YTD Sales'!$M:$M,Brokerage!AC$4)+SUMIFS('YTD Purchases'!$H:$H,'YTD Purchases'!$C:$C,Brokerage!$B239,'YTD Purchases'!$G:$G,Brokerage!AC$4)</f>
        <v>0</v>
      </c>
      <c r="AD239" s="857">
        <f>+SUMIFS(PIB!AG:AG,PIB!AF:AF,Brokerage!AD$4,PIB!AA:AA,Brokerage!$B239)+SUMIFS('T-Bills'!AB:AB,'T-Bills'!AA:AA,Brokerage!AD$4,'T-Bills'!V:V,Brokerage!$B239)</f>
        <v>0</v>
      </c>
      <c r="AE239" s="857">
        <f>+SUMIFS(PIB!AH:AH,PIB!AG:AG,Brokerage!AE$4,PIB!AB:AB,Brokerage!$B239)+SUMIFS('T-Bills'!AC:AC,'T-Bills'!AB:AB,Brokerage!AE$4,'T-Bills'!W:W,Brokerage!$B239)</f>
        <v>0</v>
      </c>
      <c r="AF239" s="857">
        <f>+SUMIFS(PIB!AI:AI,PIB!AH:AH,Brokerage!AF$4,PIB!AC:AC,Brokerage!$B239)+SUMIFS('T-Bills'!AD:AD,'T-Bills'!AC:AC,Brokerage!AF$4,'T-Bills'!X:X,Brokerage!$B239)</f>
        <v>0</v>
      </c>
      <c r="AG239" s="857">
        <f t="shared" si="23"/>
        <v>0</v>
      </c>
      <c r="AH239" s="858">
        <f t="shared" si="24"/>
        <v>0</v>
      </c>
    </row>
    <row r="240" spans="2:34" x14ac:dyDescent="0.15">
      <c r="B240" s="661">
        <f t="shared" si="22"/>
        <v>44796</v>
      </c>
      <c r="C240" s="857">
        <f>SUMIFS('YTD Sales'!$N:$N,'YTD Sales'!$B:$B,Brokerage!$B240,'YTD Sales'!$M:$M,Brokerage!C$4)+SUMIFS('YTD Purchases'!$H:$H,'YTD Purchases'!$C:$C,Brokerage!$B240,'YTD Purchases'!$G:$G,Brokerage!C$4)</f>
        <v>0</v>
      </c>
      <c r="D240" s="857">
        <f>SUMIFS('YTD Sales'!$N:$N,'YTD Sales'!$B:$B,Brokerage!$B240,'YTD Sales'!$M:$M,Brokerage!D$4)+SUMIFS('YTD Purchases'!$H:$H,'YTD Purchases'!$C:$C,Brokerage!$B240,'YTD Purchases'!$G:$G,Brokerage!D$4)</f>
        <v>0</v>
      </c>
      <c r="E240" s="857">
        <f>SUMIFS('YTD Sales'!$N:$N,'YTD Sales'!$B:$B,Brokerage!$B240,'YTD Sales'!$M:$M,Brokerage!E$4)+SUMIFS('YTD Purchases'!$H:$H,'YTD Purchases'!$C:$C,Brokerage!$B240,'YTD Purchases'!$G:$G,Brokerage!E$4)</f>
        <v>0</v>
      </c>
      <c r="F240" s="857">
        <f>SUMIFS('YTD Sales'!$N:$N,'YTD Sales'!$B:$B,Brokerage!$B240,'YTD Sales'!$M:$M,Brokerage!F$4)+SUMIFS('YTD Purchases'!$H:$H,'YTD Purchases'!$C:$C,Brokerage!$B240,'YTD Purchases'!$G:$G,Brokerage!F$4)</f>
        <v>0</v>
      </c>
      <c r="G240" s="857">
        <f>SUMIFS('YTD Sales'!$N:$N,'YTD Sales'!$B:$B,Brokerage!$B240,'YTD Sales'!$M:$M,Brokerage!G$4)+SUMIFS('YTD Purchases'!$H:$H,'YTD Purchases'!$C:$C,Brokerage!$B240,'YTD Purchases'!$G:$G,Brokerage!G$4)</f>
        <v>0</v>
      </c>
      <c r="H240" s="857">
        <f>SUMIFS('YTD Sales'!$N:$N,'YTD Sales'!$B:$B,Brokerage!$B240,'YTD Sales'!$M:$M,Brokerage!H$4)+SUMIFS('YTD Purchases'!$H:$H,'YTD Purchases'!$C:$C,Brokerage!$B240,'YTD Purchases'!$G:$G,Brokerage!H$4)</f>
        <v>0</v>
      </c>
      <c r="I240" s="857">
        <f>SUMIFS('YTD Sales'!$N:$N,'YTD Sales'!$B:$B,Brokerage!$B240,'YTD Sales'!$M:$M,Brokerage!I$4)+SUMIFS('YTD Purchases'!$H:$H,'YTD Purchases'!$C:$C,Brokerage!$B240,'YTD Purchases'!$G:$G,Brokerage!I$4)</f>
        <v>0</v>
      </c>
      <c r="J240" s="857">
        <f>SUMIFS('YTD Sales'!$N:$N,'YTD Sales'!$B:$B,Brokerage!$B240,'YTD Sales'!$M:$M,Brokerage!J$4)+SUMIFS('YTD Purchases'!$H:$H,'YTD Purchases'!$C:$C,Brokerage!$B240,'YTD Purchases'!$G:$G,Brokerage!J$4)</f>
        <v>0</v>
      </c>
      <c r="K240" s="857">
        <f>SUMIFS('YTD Sales'!$N:$N,'YTD Sales'!$B:$B,Brokerage!$B240,'YTD Sales'!$M:$M,Brokerage!K$4)+SUMIFS('YTD Purchases'!$H:$H,'YTD Purchases'!$C:$C,Brokerage!$B240,'YTD Purchases'!$G:$G,Brokerage!K$4)</f>
        <v>0</v>
      </c>
      <c r="L240" s="857">
        <f>SUMIFS('YTD Sales'!$N:$N,'YTD Sales'!$B:$B,Brokerage!$B240,'YTD Sales'!$M:$M,Brokerage!L$4)+SUMIFS('YTD Purchases'!$H:$H,'YTD Purchases'!$C:$C,Brokerage!$B240,'YTD Purchases'!$G:$G,Brokerage!L$4)</f>
        <v>0</v>
      </c>
      <c r="M240" s="857">
        <f>SUMIFS('YTD Sales'!$N:$N,'YTD Sales'!$B:$B,Brokerage!$B240,'YTD Sales'!$M:$M,Brokerage!M$4)+SUMIFS('YTD Purchases'!$H:$H,'YTD Purchases'!$C:$C,Brokerage!$B240,'YTD Purchases'!$G:$G,Brokerage!M$4)</f>
        <v>0</v>
      </c>
      <c r="N240" s="857">
        <f>SUMIFS('YTD Sales'!$N:$N,'YTD Sales'!$B:$B,Brokerage!$B240,'YTD Sales'!$M:$M,Brokerage!N$4)+SUMIFS('YTD Purchases'!$H:$H,'YTD Purchases'!$C:$C,Brokerage!$B240,'YTD Purchases'!$G:$G,Brokerage!N$4)</f>
        <v>0</v>
      </c>
      <c r="O240" s="857">
        <f>SUMIFS('YTD Sales'!$N:$N,'YTD Sales'!$B:$B,Brokerage!$B240,'YTD Sales'!$M:$M,Brokerage!O$4)+SUMIFS('YTD Purchases'!$H:$H,'YTD Purchases'!$C:$C,Brokerage!$B240,'YTD Purchases'!$G:$G,Brokerage!O$4)</f>
        <v>0</v>
      </c>
      <c r="P240" s="857">
        <f>SUMIFS('YTD Sales'!$N:$N,'YTD Sales'!$B:$B,Brokerage!$B240,'YTD Sales'!$M:$M,Brokerage!P$4)+SUMIFS('YTD Purchases'!$H:$H,'YTD Purchases'!$C:$C,Brokerage!$B240,'YTD Purchases'!$G:$G,Brokerage!P$4)</f>
        <v>0</v>
      </c>
      <c r="Q240" s="857">
        <f>SUMIFS('YTD Sales'!$N:$N,'YTD Sales'!$B:$B,Brokerage!$B240,'YTD Sales'!$M:$M,Brokerage!Q$4)+SUMIFS('YTD Purchases'!$H:$H,'YTD Purchases'!$C:$C,Brokerage!$B240,'YTD Purchases'!$G:$G,Brokerage!Q$4)</f>
        <v>0</v>
      </c>
      <c r="R240" s="857">
        <f>SUMIFS('YTD Sales'!$N:$N,'YTD Sales'!$B:$B,Brokerage!$B240,'YTD Sales'!$M:$M,Brokerage!R$4)+SUMIFS('YTD Purchases'!$H:$H,'YTD Purchases'!$C:$C,Brokerage!$B240,'YTD Purchases'!$G:$G,Brokerage!R$4)</f>
        <v>0</v>
      </c>
      <c r="S240" s="857">
        <f>SUMIFS('YTD Sales'!$N:$N,'YTD Sales'!$B:$B,Brokerage!$B240,'YTD Sales'!$M:$M,Brokerage!S$4)+SUMIFS('YTD Purchases'!$H:$H,'YTD Purchases'!$C:$C,Brokerage!$B240,'YTD Purchases'!$G:$G,Brokerage!S$4)</f>
        <v>0</v>
      </c>
      <c r="T240" s="857">
        <f>SUMIFS('YTD Sales'!$N:$N,'YTD Sales'!$B:$B,Brokerage!$B240,'YTD Sales'!$M:$M,Brokerage!T$4)+SUMIFS('YTD Purchases'!$H:$H,'YTD Purchases'!$C:$C,Brokerage!$B240,'YTD Purchases'!$G:$G,Brokerage!T$4)</f>
        <v>0</v>
      </c>
      <c r="U240" s="857">
        <f>SUMIFS('YTD Sales'!$N:$N,'YTD Sales'!$B:$B,Brokerage!$B240,'YTD Sales'!$M:$M,Brokerage!U$4)+SUMIFS('YTD Purchases'!$H:$H,'YTD Purchases'!$C:$C,Brokerage!$B240,'YTD Purchases'!$G:$G,Brokerage!U$4)</f>
        <v>0</v>
      </c>
      <c r="V240" s="857">
        <f>SUMIFS('YTD Sales'!$N:$N,'YTD Sales'!$B:$B,Brokerage!$B240,'YTD Sales'!$M:$M,Brokerage!V$4)+SUMIFS('YTD Purchases'!$H:$H,'YTD Purchases'!$C:$C,Brokerage!$B240,'YTD Purchases'!$G:$G,Brokerage!V$4)</f>
        <v>0</v>
      </c>
      <c r="W240" s="857">
        <f>SUMIFS('YTD Sales'!$N:$N,'YTD Sales'!$B:$B,Brokerage!$B240,'YTD Sales'!$M:$M,Brokerage!W$4)+SUMIFS('YTD Purchases'!$H:$H,'YTD Purchases'!$C:$C,Brokerage!$B240,'YTD Purchases'!$G:$G,Brokerage!W$4)</f>
        <v>0</v>
      </c>
      <c r="X240" s="857">
        <f>SUMIFS('YTD Sales'!$N:$N,'YTD Sales'!$B:$B,Brokerage!$B240,'YTD Sales'!$M:$M,Brokerage!X$4)+SUMIFS('YTD Purchases'!$H:$H,'YTD Purchases'!$C:$C,Brokerage!$B240,'YTD Purchases'!$G:$G,Brokerage!X$4)</f>
        <v>0</v>
      </c>
      <c r="Y240" s="857">
        <f>SUMIFS('YTD Sales'!$N:$N,'YTD Sales'!$B:$B,Brokerage!$B240,'YTD Sales'!$M:$M,Brokerage!Y$4)+SUMIFS('YTD Purchases'!$H:$H,'YTD Purchases'!$C:$C,Brokerage!$B240,'YTD Purchases'!$G:$G,Brokerage!Y$4)</f>
        <v>0</v>
      </c>
      <c r="Z240" s="857">
        <f>SUMIFS('YTD Sales'!$N:$N,'YTD Sales'!$B:$B,Brokerage!$B240,'YTD Sales'!$M:$M,Brokerage!Z$4)+SUMIFS('YTD Purchases'!$H:$H,'YTD Purchases'!$C:$C,Brokerage!$B240,'YTD Purchases'!$G:$G,Brokerage!Z$4)</f>
        <v>0</v>
      </c>
      <c r="AA240" s="857">
        <f>SUMIFS('YTD Sales'!$N:$N,'YTD Sales'!$B:$B,Brokerage!$B240,'YTD Sales'!$M:$M,Brokerage!AA$4)+SUMIFS('YTD Purchases'!$H:$H,'YTD Purchases'!$C:$C,Brokerage!$B240,'YTD Purchases'!$G:$G,Brokerage!AA$4)</f>
        <v>0</v>
      </c>
      <c r="AB240" s="857">
        <f>SUMIFS('YTD Sales'!$N:$N,'YTD Sales'!$B:$B,Brokerage!$B240,'YTD Sales'!$M:$M,Brokerage!AB$4)+SUMIFS('YTD Purchases'!$H:$H,'YTD Purchases'!$C:$C,Brokerage!$B240,'YTD Purchases'!$G:$G,Brokerage!AB$4)</f>
        <v>0</v>
      </c>
      <c r="AC240" s="857">
        <f>SUMIFS('YTD Sales'!$N:$N,'YTD Sales'!$B:$B,Brokerage!$B240,'YTD Sales'!$M:$M,Brokerage!AC$4)+SUMIFS('YTD Purchases'!$H:$H,'YTD Purchases'!$C:$C,Brokerage!$B240,'YTD Purchases'!$G:$G,Brokerage!AC$4)</f>
        <v>0</v>
      </c>
      <c r="AD240" s="857">
        <f>+SUMIFS(PIB!AG:AG,PIB!AF:AF,Brokerage!AD$4,PIB!AA:AA,Brokerage!$B240)+SUMIFS('T-Bills'!AB:AB,'T-Bills'!AA:AA,Brokerage!AD$4,'T-Bills'!V:V,Brokerage!$B240)</f>
        <v>0</v>
      </c>
      <c r="AE240" s="857">
        <f>+SUMIFS(PIB!AH:AH,PIB!AG:AG,Brokerage!AE$4,PIB!AB:AB,Brokerage!$B240)+SUMIFS('T-Bills'!AC:AC,'T-Bills'!AB:AB,Brokerage!AE$4,'T-Bills'!W:W,Brokerage!$B240)</f>
        <v>0</v>
      </c>
      <c r="AF240" s="857">
        <f>+SUMIFS(PIB!AI:AI,PIB!AH:AH,Brokerage!AF$4,PIB!AC:AC,Brokerage!$B240)+SUMIFS('T-Bills'!AD:AD,'T-Bills'!AC:AC,Brokerage!AF$4,'T-Bills'!X:X,Brokerage!$B240)</f>
        <v>0</v>
      </c>
      <c r="AG240" s="857">
        <f t="shared" si="23"/>
        <v>0</v>
      </c>
      <c r="AH240" s="858">
        <f t="shared" si="24"/>
        <v>0</v>
      </c>
    </row>
    <row r="241" spans="2:34" x14ac:dyDescent="0.15">
      <c r="B241" s="661">
        <f t="shared" si="22"/>
        <v>44797</v>
      </c>
      <c r="C241" s="857">
        <f>SUMIFS('YTD Sales'!$N:$N,'YTD Sales'!$B:$B,Brokerage!$B241,'YTD Sales'!$M:$M,Brokerage!C$4)+SUMIFS('YTD Purchases'!$H:$H,'YTD Purchases'!$C:$C,Brokerage!$B241,'YTD Purchases'!$G:$G,Brokerage!C$4)</f>
        <v>0</v>
      </c>
      <c r="D241" s="857">
        <f>SUMIFS('YTD Sales'!$N:$N,'YTD Sales'!$B:$B,Brokerage!$B241,'YTD Sales'!$M:$M,Brokerage!D$4)+SUMIFS('YTD Purchases'!$H:$H,'YTD Purchases'!$C:$C,Brokerage!$B241,'YTD Purchases'!$G:$G,Brokerage!D$4)</f>
        <v>0</v>
      </c>
      <c r="E241" s="857">
        <f>SUMIFS('YTD Sales'!$N:$N,'YTD Sales'!$B:$B,Brokerage!$B241,'YTD Sales'!$M:$M,Brokerage!E$4)+SUMIFS('YTD Purchases'!$H:$H,'YTD Purchases'!$C:$C,Brokerage!$B241,'YTD Purchases'!$G:$G,Brokerage!E$4)</f>
        <v>0</v>
      </c>
      <c r="F241" s="857">
        <f>SUMIFS('YTD Sales'!$N:$N,'YTD Sales'!$B:$B,Brokerage!$B241,'YTD Sales'!$M:$M,Brokerage!F$4)+SUMIFS('YTD Purchases'!$H:$H,'YTD Purchases'!$C:$C,Brokerage!$B241,'YTD Purchases'!$G:$G,Brokerage!F$4)</f>
        <v>0</v>
      </c>
      <c r="G241" s="857">
        <f>SUMIFS('YTD Sales'!$N:$N,'YTD Sales'!$B:$B,Brokerage!$B241,'YTD Sales'!$M:$M,Brokerage!G$4)+SUMIFS('YTD Purchases'!$H:$H,'YTD Purchases'!$C:$C,Brokerage!$B241,'YTD Purchases'!$G:$G,Brokerage!G$4)</f>
        <v>0</v>
      </c>
      <c r="H241" s="857">
        <f>SUMIFS('YTD Sales'!$N:$N,'YTD Sales'!$B:$B,Brokerage!$B241,'YTD Sales'!$M:$M,Brokerage!H$4)+SUMIFS('YTD Purchases'!$H:$H,'YTD Purchases'!$C:$C,Brokerage!$B241,'YTD Purchases'!$G:$G,Brokerage!H$4)</f>
        <v>0</v>
      </c>
      <c r="I241" s="857">
        <f>SUMIFS('YTD Sales'!$N:$N,'YTD Sales'!$B:$B,Brokerage!$B241,'YTD Sales'!$M:$M,Brokerage!I$4)+SUMIFS('YTD Purchases'!$H:$H,'YTD Purchases'!$C:$C,Brokerage!$B241,'YTD Purchases'!$G:$G,Brokerage!I$4)</f>
        <v>0</v>
      </c>
      <c r="J241" s="857">
        <f>SUMIFS('YTD Sales'!$N:$N,'YTD Sales'!$B:$B,Brokerage!$B241,'YTD Sales'!$M:$M,Brokerage!J$4)+SUMIFS('YTD Purchases'!$H:$H,'YTD Purchases'!$C:$C,Brokerage!$B241,'YTD Purchases'!$G:$G,Brokerage!J$4)</f>
        <v>0</v>
      </c>
      <c r="K241" s="857">
        <f>SUMIFS('YTD Sales'!$N:$N,'YTD Sales'!$B:$B,Brokerage!$B241,'YTD Sales'!$M:$M,Brokerage!K$4)+SUMIFS('YTD Purchases'!$H:$H,'YTD Purchases'!$C:$C,Brokerage!$B241,'YTD Purchases'!$G:$G,Brokerage!K$4)</f>
        <v>0</v>
      </c>
      <c r="L241" s="857">
        <f>SUMIFS('YTD Sales'!$N:$N,'YTD Sales'!$B:$B,Brokerage!$B241,'YTD Sales'!$M:$M,Brokerage!L$4)+SUMIFS('YTD Purchases'!$H:$H,'YTD Purchases'!$C:$C,Brokerage!$B241,'YTD Purchases'!$G:$G,Brokerage!L$4)</f>
        <v>0</v>
      </c>
      <c r="M241" s="857">
        <f>SUMIFS('YTD Sales'!$N:$N,'YTD Sales'!$B:$B,Brokerage!$B241,'YTD Sales'!$M:$M,Brokerage!M$4)+SUMIFS('YTD Purchases'!$H:$H,'YTD Purchases'!$C:$C,Brokerage!$B241,'YTD Purchases'!$G:$G,Brokerage!M$4)</f>
        <v>0</v>
      </c>
      <c r="N241" s="857">
        <f>SUMIFS('YTD Sales'!$N:$N,'YTD Sales'!$B:$B,Brokerage!$B241,'YTD Sales'!$M:$M,Brokerage!N$4)+SUMIFS('YTD Purchases'!$H:$H,'YTD Purchases'!$C:$C,Brokerage!$B241,'YTD Purchases'!$G:$G,Brokerage!N$4)</f>
        <v>0</v>
      </c>
      <c r="O241" s="857">
        <f>SUMIFS('YTD Sales'!$N:$N,'YTD Sales'!$B:$B,Brokerage!$B241,'YTD Sales'!$M:$M,Brokerage!O$4)+SUMIFS('YTD Purchases'!$H:$H,'YTD Purchases'!$C:$C,Brokerage!$B241,'YTD Purchases'!$G:$G,Brokerage!O$4)</f>
        <v>0</v>
      </c>
      <c r="P241" s="857">
        <f>SUMIFS('YTD Sales'!$N:$N,'YTD Sales'!$B:$B,Brokerage!$B241,'YTD Sales'!$M:$M,Brokerage!P$4)+SUMIFS('YTD Purchases'!$H:$H,'YTD Purchases'!$C:$C,Brokerage!$B241,'YTD Purchases'!$G:$G,Brokerage!P$4)</f>
        <v>0</v>
      </c>
      <c r="Q241" s="857">
        <f>SUMIFS('YTD Sales'!$N:$N,'YTD Sales'!$B:$B,Brokerage!$B241,'YTD Sales'!$M:$M,Brokerage!Q$4)+SUMIFS('YTD Purchases'!$H:$H,'YTD Purchases'!$C:$C,Brokerage!$B241,'YTD Purchases'!$G:$G,Brokerage!Q$4)</f>
        <v>0</v>
      </c>
      <c r="R241" s="857">
        <f>SUMIFS('YTD Sales'!$N:$N,'YTD Sales'!$B:$B,Brokerage!$B241,'YTD Sales'!$M:$M,Brokerage!R$4)+SUMIFS('YTD Purchases'!$H:$H,'YTD Purchases'!$C:$C,Brokerage!$B241,'YTD Purchases'!$G:$G,Brokerage!R$4)</f>
        <v>0</v>
      </c>
      <c r="S241" s="857">
        <f>SUMIFS('YTD Sales'!$N:$N,'YTD Sales'!$B:$B,Brokerage!$B241,'YTD Sales'!$M:$M,Brokerage!S$4)+SUMIFS('YTD Purchases'!$H:$H,'YTD Purchases'!$C:$C,Brokerage!$B241,'YTD Purchases'!$G:$G,Brokerage!S$4)</f>
        <v>0</v>
      </c>
      <c r="T241" s="857">
        <f>SUMIFS('YTD Sales'!$N:$N,'YTD Sales'!$B:$B,Brokerage!$B241,'YTD Sales'!$M:$M,Brokerage!T$4)+SUMIFS('YTD Purchases'!$H:$H,'YTD Purchases'!$C:$C,Brokerage!$B241,'YTD Purchases'!$G:$G,Brokerage!T$4)</f>
        <v>0</v>
      </c>
      <c r="U241" s="857">
        <f>SUMIFS('YTD Sales'!$N:$N,'YTD Sales'!$B:$B,Brokerage!$B241,'YTD Sales'!$M:$M,Brokerage!U$4)+SUMIFS('YTD Purchases'!$H:$H,'YTD Purchases'!$C:$C,Brokerage!$B241,'YTD Purchases'!$G:$G,Brokerage!U$4)</f>
        <v>0</v>
      </c>
      <c r="V241" s="857">
        <f>SUMIFS('YTD Sales'!$N:$N,'YTD Sales'!$B:$B,Brokerage!$B241,'YTD Sales'!$M:$M,Brokerage!V$4)+SUMIFS('YTD Purchases'!$H:$H,'YTD Purchases'!$C:$C,Brokerage!$B241,'YTD Purchases'!$G:$G,Brokerage!V$4)</f>
        <v>0</v>
      </c>
      <c r="W241" s="857">
        <f>SUMIFS('YTD Sales'!$N:$N,'YTD Sales'!$B:$B,Brokerage!$B241,'YTD Sales'!$M:$M,Brokerage!W$4)+SUMIFS('YTD Purchases'!$H:$H,'YTD Purchases'!$C:$C,Brokerage!$B241,'YTD Purchases'!$G:$G,Brokerage!W$4)</f>
        <v>0</v>
      </c>
      <c r="X241" s="857">
        <f>SUMIFS('YTD Sales'!$N:$N,'YTD Sales'!$B:$B,Brokerage!$B241,'YTD Sales'!$M:$M,Brokerage!X$4)+SUMIFS('YTD Purchases'!$H:$H,'YTD Purchases'!$C:$C,Brokerage!$B241,'YTD Purchases'!$G:$G,Brokerage!X$4)</f>
        <v>0</v>
      </c>
      <c r="Y241" s="857">
        <f>SUMIFS('YTD Sales'!$N:$N,'YTD Sales'!$B:$B,Brokerage!$B241,'YTD Sales'!$M:$M,Brokerage!Y$4)+SUMIFS('YTD Purchases'!$H:$H,'YTD Purchases'!$C:$C,Brokerage!$B241,'YTD Purchases'!$G:$G,Brokerage!Y$4)</f>
        <v>0</v>
      </c>
      <c r="Z241" s="857">
        <f>SUMIFS('YTD Sales'!$N:$N,'YTD Sales'!$B:$B,Brokerage!$B241,'YTD Sales'!$M:$M,Brokerage!Z$4)+SUMIFS('YTD Purchases'!$H:$H,'YTD Purchases'!$C:$C,Brokerage!$B241,'YTD Purchases'!$G:$G,Brokerage!Z$4)</f>
        <v>0</v>
      </c>
      <c r="AA241" s="857">
        <f>SUMIFS('YTD Sales'!$N:$N,'YTD Sales'!$B:$B,Brokerage!$B241,'YTD Sales'!$M:$M,Brokerage!AA$4)+SUMIFS('YTD Purchases'!$H:$H,'YTD Purchases'!$C:$C,Brokerage!$B241,'YTD Purchases'!$G:$G,Brokerage!AA$4)</f>
        <v>0</v>
      </c>
      <c r="AB241" s="857">
        <f>SUMIFS('YTD Sales'!$N:$N,'YTD Sales'!$B:$B,Brokerage!$B241,'YTD Sales'!$M:$M,Brokerage!AB$4)+SUMIFS('YTD Purchases'!$H:$H,'YTD Purchases'!$C:$C,Brokerage!$B241,'YTD Purchases'!$G:$G,Brokerage!AB$4)</f>
        <v>0</v>
      </c>
      <c r="AC241" s="857">
        <f>SUMIFS('YTD Sales'!$N:$N,'YTD Sales'!$B:$B,Brokerage!$B241,'YTD Sales'!$M:$M,Brokerage!AC$4)+SUMIFS('YTD Purchases'!$H:$H,'YTD Purchases'!$C:$C,Brokerage!$B241,'YTD Purchases'!$G:$G,Brokerage!AC$4)</f>
        <v>0</v>
      </c>
      <c r="AD241" s="857">
        <f>+SUMIFS(PIB!AG:AG,PIB!AF:AF,Brokerage!AD$4,PIB!AA:AA,Brokerage!$B241)+SUMIFS('T-Bills'!AB:AB,'T-Bills'!AA:AA,Brokerage!AD$4,'T-Bills'!V:V,Brokerage!$B241)</f>
        <v>0</v>
      </c>
      <c r="AE241" s="857">
        <f>+SUMIFS(PIB!AH:AH,PIB!AG:AG,Brokerage!AE$4,PIB!AB:AB,Brokerage!$B241)+SUMIFS('T-Bills'!AC:AC,'T-Bills'!AB:AB,Brokerage!AE$4,'T-Bills'!W:W,Brokerage!$B241)</f>
        <v>0</v>
      </c>
      <c r="AF241" s="857">
        <f>+SUMIFS(PIB!AI:AI,PIB!AH:AH,Brokerage!AF$4,PIB!AC:AC,Brokerage!$B241)+SUMIFS('T-Bills'!AD:AD,'T-Bills'!AC:AC,Brokerage!AF$4,'T-Bills'!X:X,Brokerage!$B241)</f>
        <v>0</v>
      </c>
      <c r="AG241" s="857">
        <f t="shared" si="23"/>
        <v>0</v>
      </c>
      <c r="AH241" s="858">
        <f t="shared" si="24"/>
        <v>0</v>
      </c>
    </row>
    <row r="242" spans="2:34" x14ac:dyDescent="0.15">
      <c r="B242" s="661">
        <f t="shared" si="22"/>
        <v>44798</v>
      </c>
      <c r="C242" s="857">
        <f>SUMIFS('YTD Sales'!$N:$N,'YTD Sales'!$B:$B,Brokerage!$B242,'YTD Sales'!$M:$M,Brokerage!C$4)+SUMIFS('YTD Purchases'!$H:$H,'YTD Purchases'!$C:$C,Brokerage!$B242,'YTD Purchases'!$G:$G,Brokerage!C$4)</f>
        <v>0</v>
      </c>
      <c r="D242" s="857">
        <f>SUMIFS('YTD Sales'!$N:$N,'YTD Sales'!$B:$B,Brokerage!$B242,'YTD Sales'!$M:$M,Brokerage!D$4)+SUMIFS('YTD Purchases'!$H:$H,'YTD Purchases'!$C:$C,Brokerage!$B242,'YTD Purchases'!$G:$G,Brokerage!D$4)</f>
        <v>0</v>
      </c>
      <c r="E242" s="857">
        <f>SUMIFS('YTD Sales'!$N:$N,'YTD Sales'!$B:$B,Brokerage!$B242,'YTD Sales'!$M:$M,Brokerage!E$4)+SUMIFS('YTD Purchases'!$H:$H,'YTD Purchases'!$C:$C,Brokerage!$B242,'YTD Purchases'!$G:$G,Brokerage!E$4)</f>
        <v>0</v>
      </c>
      <c r="F242" s="857">
        <f>SUMIFS('YTD Sales'!$N:$N,'YTD Sales'!$B:$B,Brokerage!$B242,'YTD Sales'!$M:$M,Brokerage!F$4)+SUMIFS('YTD Purchases'!$H:$H,'YTD Purchases'!$C:$C,Brokerage!$B242,'YTD Purchases'!$G:$G,Brokerage!F$4)</f>
        <v>0</v>
      </c>
      <c r="G242" s="857">
        <f>SUMIFS('YTD Sales'!$N:$N,'YTD Sales'!$B:$B,Brokerage!$B242,'YTD Sales'!$M:$M,Brokerage!G$4)+SUMIFS('YTD Purchases'!$H:$H,'YTD Purchases'!$C:$C,Brokerage!$B242,'YTD Purchases'!$G:$G,Brokerage!G$4)</f>
        <v>0</v>
      </c>
      <c r="H242" s="857">
        <f>SUMIFS('YTD Sales'!$N:$N,'YTD Sales'!$B:$B,Brokerage!$B242,'YTD Sales'!$M:$M,Brokerage!H$4)+SUMIFS('YTD Purchases'!$H:$H,'YTD Purchases'!$C:$C,Brokerage!$B242,'YTD Purchases'!$G:$G,Brokerage!H$4)</f>
        <v>0</v>
      </c>
      <c r="I242" s="857">
        <f>SUMIFS('YTD Sales'!$N:$N,'YTD Sales'!$B:$B,Brokerage!$B242,'YTD Sales'!$M:$M,Brokerage!I$4)+SUMIFS('YTD Purchases'!$H:$H,'YTD Purchases'!$C:$C,Brokerage!$B242,'YTD Purchases'!$G:$G,Brokerage!I$4)</f>
        <v>0</v>
      </c>
      <c r="J242" s="857">
        <f>SUMIFS('YTD Sales'!$N:$N,'YTD Sales'!$B:$B,Brokerage!$B242,'YTD Sales'!$M:$M,Brokerage!J$4)+SUMIFS('YTD Purchases'!$H:$H,'YTD Purchases'!$C:$C,Brokerage!$B242,'YTD Purchases'!$G:$G,Brokerage!J$4)</f>
        <v>0</v>
      </c>
      <c r="K242" s="857">
        <f>SUMIFS('YTD Sales'!$N:$N,'YTD Sales'!$B:$B,Brokerage!$B242,'YTD Sales'!$M:$M,Brokerage!K$4)+SUMIFS('YTD Purchases'!$H:$H,'YTD Purchases'!$C:$C,Brokerage!$B242,'YTD Purchases'!$G:$G,Brokerage!K$4)</f>
        <v>0</v>
      </c>
      <c r="L242" s="857">
        <f>SUMIFS('YTD Sales'!$N:$N,'YTD Sales'!$B:$B,Brokerage!$B242,'YTD Sales'!$M:$M,Brokerage!L$4)+SUMIFS('YTD Purchases'!$H:$H,'YTD Purchases'!$C:$C,Brokerage!$B242,'YTD Purchases'!$G:$G,Brokerage!L$4)</f>
        <v>0</v>
      </c>
      <c r="M242" s="857">
        <f>SUMIFS('YTD Sales'!$N:$N,'YTD Sales'!$B:$B,Brokerage!$B242,'YTD Sales'!$M:$M,Brokerage!M$4)+SUMIFS('YTD Purchases'!$H:$H,'YTD Purchases'!$C:$C,Brokerage!$B242,'YTD Purchases'!$G:$G,Brokerage!M$4)</f>
        <v>0</v>
      </c>
      <c r="N242" s="857">
        <f>SUMIFS('YTD Sales'!$N:$N,'YTD Sales'!$B:$B,Brokerage!$B242,'YTD Sales'!$M:$M,Brokerage!N$4)+SUMIFS('YTD Purchases'!$H:$H,'YTD Purchases'!$C:$C,Brokerage!$B242,'YTD Purchases'!$G:$G,Brokerage!N$4)</f>
        <v>0</v>
      </c>
      <c r="O242" s="857">
        <f>SUMIFS('YTD Sales'!$N:$N,'YTD Sales'!$B:$B,Brokerage!$B242,'YTD Sales'!$M:$M,Brokerage!O$4)+SUMIFS('YTD Purchases'!$H:$H,'YTD Purchases'!$C:$C,Brokerage!$B242,'YTD Purchases'!$G:$G,Brokerage!O$4)</f>
        <v>0</v>
      </c>
      <c r="P242" s="857">
        <f>SUMIFS('YTD Sales'!$N:$N,'YTD Sales'!$B:$B,Brokerage!$B242,'YTD Sales'!$M:$M,Brokerage!P$4)+SUMIFS('YTD Purchases'!$H:$H,'YTD Purchases'!$C:$C,Brokerage!$B242,'YTD Purchases'!$G:$G,Brokerage!P$4)</f>
        <v>0</v>
      </c>
      <c r="Q242" s="857">
        <f>SUMIFS('YTD Sales'!$N:$N,'YTD Sales'!$B:$B,Brokerage!$B242,'YTD Sales'!$M:$M,Brokerage!Q$4)+SUMIFS('YTD Purchases'!$H:$H,'YTD Purchases'!$C:$C,Brokerage!$B242,'YTD Purchases'!$G:$G,Brokerage!Q$4)</f>
        <v>0</v>
      </c>
      <c r="R242" s="857">
        <f>SUMIFS('YTD Sales'!$N:$N,'YTD Sales'!$B:$B,Brokerage!$B242,'YTD Sales'!$M:$M,Brokerage!R$4)+SUMIFS('YTD Purchases'!$H:$H,'YTD Purchases'!$C:$C,Brokerage!$B242,'YTD Purchases'!$G:$G,Brokerage!R$4)</f>
        <v>0</v>
      </c>
      <c r="S242" s="857">
        <f>SUMIFS('YTD Sales'!$N:$N,'YTD Sales'!$B:$B,Brokerage!$B242,'YTD Sales'!$M:$M,Brokerage!S$4)+SUMIFS('YTD Purchases'!$H:$H,'YTD Purchases'!$C:$C,Brokerage!$B242,'YTD Purchases'!$G:$G,Brokerage!S$4)</f>
        <v>0</v>
      </c>
      <c r="T242" s="857">
        <f>SUMIFS('YTD Sales'!$N:$N,'YTD Sales'!$B:$B,Brokerage!$B242,'YTD Sales'!$M:$M,Brokerage!T$4)+SUMIFS('YTD Purchases'!$H:$H,'YTD Purchases'!$C:$C,Brokerage!$B242,'YTD Purchases'!$G:$G,Brokerage!T$4)</f>
        <v>0</v>
      </c>
      <c r="U242" s="857">
        <f>SUMIFS('YTD Sales'!$N:$N,'YTD Sales'!$B:$B,Brokerage!$B242,'YTD Sales'!$M:$M,Brokerage!U$4)+SUMIFS('YTD Purchases'!$H:$H,'YTD Purchases'!$C:$C,Brokerage!$B242,'YTD Purchases'!$G:$G,Brokerage!U$4)</f>
        <v>0</v>
      </c>
      <c r="V242" s="857">
        <f>SUMIFS('YTD Sales'!$N:$N,'YTD Sales'!$B:$B,Brokerage!$B242,'YTD Sales'!$M:$M,Brokerage!V$4)+SUMIFS('YTD Purchases'!$H:$H,'YTD Purchases'!$C:$C,Brokerage!$B242,'YTD Purchases'!$G:$G,Brokerage!V$4)</f>
        <v>0</v>
      </c>
      <c r="W242" s="857">
        <f>SUMIFS('YTD Sales'!$N:$N,'YTD Sales'!$B:$B,Brokerage!$B242,'YTD Sales'!$M:$M,Brokerage!W$4)+SUMIFS('YTD Purchases'!$H:$H,'YTD Purchases'!$C:$C,Brokerage!$B242,'YTD Purchases'!$G:$G,Brokerage!W$4)</f>
        <v>0</v>
      </c>
      <c r="X242" s="857">
        <f>SUMIFS('YTD Sales'!$N:$N,'YTD Sales'!$B:$B,Brokerage!$B242,'YTD Sales'!$M:$M,Brokerage!X$4)+SUMIFS('YTD Purchases'!$H:$H,'YTD Purchases'!$C:$C,Brokerage!$B242,'YTD Purchases'!$G:$G,Brokerage!X$4)</f>
        <v>0</v>
      </c>
      <c r="Y242" s="857">
        <f>SUMIFS('YTD Sales'!$N:$N,'YTD Sales'!$B:$B,Brokerage!$B242,'YTD Sales'!$M:$M,Brokerage!Y$4)+SUMIFS('YTD Purchases'!$H:$H,'YTD Purchases'!$C:$C,Brokerage!$B242,'YTD Purchases'!$G:$G,Brokerage!Y$4)</f>
        <v>0</v>
      </c>
      <c r="Z242" s="857">
        <f>SUMIFS('YTD Sales'!$N:$N,'YTD Sales'!$B:$B,Brokerage!$B242,'YTD Sales'!$M:$M,Brokerage!Z$4)+SUMIFS('YTD Purchases'!$H:$H,'YTD Purchases'!$C:$C,Brokerage!$B242,'YTD Purchases'!$G:$G,Brokerage!Z$4)</f>
        <v>0</v>
      </c>
      <c r="AA242" s="857">
        <f>SUMIFS('YTD Sales'!$N:$N,'YTD Sales'!$B:$B,Brokerage!$B242,'YTD Sales'!$M:$M,Brokerage!AA$4)+SUMIFS('YTD Purchases'!$H:$H,'YTD Purchases'!$C:$C,Brokerage!$B242,'YTD Purchases'!$G:$G,Brokerage!AA$4)</f>
        <v>0</v>
      </c>
      <c r="AB242" s="857">
        <f>SUMIFS('YTD Sales'!$N:$N,'YTD Sales'!$B:$B,Brokerage!$B242,'YTD Sales'!$M:$M,Brokerage!AB$4)+SUMIFS('YTD Purchases'!$H:$H,'YTD Purchases'!$C:$C,Brokerage!$B242,'YTD Purchases'!$G:$G,Brokerage!AB$4)</f>
        <v>0</v>
      </c>
      <c r="AC242" s="857">
        <f>SUMIFS('YTD Sales'!$N:$N,'YTD Sales'!$B:$B,Brokerage!$B242,'YTD Sales'!$M:$M,Brokerage!AC$4)+SUMIFS('YTD Purchases'!$H:$H,'YTD Purchases'!$C:$C,Brokerage!$B242,'YTD Purchases'!$G:$G,Brokerage!AC$4)</f>
        <v>0</v>
      </c>
      <c r="AD242" s="857">
        <f>+SUMIFS(PIB!AG:AG,PIB!AF:AF,Brokerage!AD$4,PIB!AA:AA,Brokerage!$B242)+SUMIFS('T-Bills'!AB:AB,'T-Bills'!AA:AA,Brokerage!AD$4,'T-Bills'!V:V,Brokerage!$B242)</f>
        <v>0</v>
      </c>
      <c r="AE242" s="857">
        <f>+SUMIFS(PIB!AH:AH,PIB!AG:AG,Brokerage!AE$4,PIB!AB:AB,Brokerage!$B242)+SUMIFS('T-Bills'!AC:AC,'T-Bills'!AB:AB,Brokerage!AE$4,'T-Bills'!W:W,Brokerage!$B242)</f>
        <v>0</v>
      </c>
      <c r="AF242" s="857">
        <f>+SUMIFS(PIB!AI:AI,PIB!AH:AH,Brokerage!AF$4,PIB!AC:AC,Brokerage!$B242)+SUMIFS('T-Bills'!AD:AD,'T-Bills'!AC:AC,Brokerage!AF$4,'T-Bills'!X:X,Brokerage!$B242)</f>
        <v>0</v>
      </c>
      <c r="AG242" s="857">
        <f t="shared" si="23"/>
        <v>0</v>
      </c>
      <c r="AH242" s="858">
        <f t="shared" si="24"/>
        <v>0</v>
      </c>
    </row>
    <row r="243" spans="2:34" x14ac:dyDescent="0.15">
      <c r="B243" s="661">
        <f t="shared" si="22"/>
        <v>44799</v>
      </c>
      <c r="C243" s="857">
        <f>SUMIFS('YTD Sales'!$N:$N,'YTD Sales'!$B:$B,Brokerage!$B243,'YTD Sales'!$M:$M,Brokerage!C$4)+SUMIFS('YTD Purchases'!$H:$H,'YTD Purchases'!$C:$C,Brokerage!$B243,'YTD Purchases'!$G:$G,Brokerage!C$4)</f>
        <v>0</v>
      </c>
      <c r="D243" s="857">
        <f>SUMIFS('YTD Sales'!$N:$N,'YTD Sales'!$B:$B,Brokerage!$B243,'YTD Sales'!$M:$M,Brokerage!D$4)+SUMIFS('YTD Purchases'!$H:$H,'YTD Purchases'!$C:$C,Brokerage!$B243,'YTD Purchases'!$G:$G,Brokerage!D$4)</f>
        <v>0</v>
      </c>
      <c r="E243" s="857">
        <f>SUMIFS('YTD Sales'!$N:$N,'YTD Sales'!$B:$B,Brokerage!$B243,'YTD Sales'!$M:$M,Brokerage!E$4)+SUMIFS('YTD Purchases'!$H:$H,'YTD Purchases'!$C:$C,Brokerage!$B243,'YTD Purchases'!$G:$G,Brokerage!E$4)</f>
        <v>0</v>
      </c>
      <c r="F243" s="857">
        <f>SUMIFS('YTD Sales'!$N:$N,'YTD Sales'!$B:$B,Brokerage!$B243,'YTD Sales'!$M:$M,Brokerage!F$4)+SUMIFS('YTD Purchases'!$H:$H,'YTD Purchases'!$C:$C,Brokerage!$B243,'YTD Purchases'!$G:$G,Brokerage!F$4)</f>
        <v>0</v>
      </c>
      <c r="G243" s="857">
        <f>SUMIFS('YTD Sales'!$N:$N,'YTD Sales'!$B:$B,Brokerage!$B243,'YTD Sales'!$M:$M,Brokerage!G$4)+SUMIFS('YTD Purchases'!$H:$H,'YTD Purchases'!$C:$C,Brokerage!$B243,'YTD Purchases'!$G:$G,Brokerage!G$4)</f>
        <v>0</v>
      </c>
      <c r="H243" s="857">
        <f>SUMIFS('YTD Sales'!$N:$N,'YTD Sales'!$B:$B,Brokerage!$B243,'YTD Sales'!$M:$M,Brokerage!H$4)+SUMIFS('YTD Purchases'!$H:$H,'YTD Purchases'!$C:$C,Brokerage!$B243,'YTD Purchases'!$G:$G,Brokerage!H$4)</f>
        <v>0</v>
      </c>
      <c r="I243" s="857">
        <f>SUMIFS('YTD Sales'!$N:$N,'YTD Sales'!$B:$B,Brokerage!$B243,'YTD Sales'!$M:$M,Brokerage!I$4)+SUMIFS('YTD Purchases'!$H:$H,'YTD Purchases'!$C:$C,Brokerage!$B243,'YTD Purchases'!$G:$G,Brokerage!I$4)</f>
        <v>0</v>
      </c>
      <c r="J243" s="857">
        <f>SUMIFS('YTD Sales'!$N:$N,'YTD Sales'!$B:$B,Brokerage!$B243,'YTD Sales'!$M:$M,Brokerage!J$4)+SUMIFS('YTD Purchases'!$H:$H,'YTD Purchases'!$C:$C,Brokerage!$B243,'YTD Purchases'!$G:$G,Brokerage!J$4)</f>
        <v>0</v>
      </c>
      <c r="K243" s="857">
        <f>SUMIFS('YTD Sales'!$N:$N,'YTD Sales'!$B:$B,Brokerage!$B243,'YTD Sales'!$M:$M,Brokerage!K$4)+SUMIFS('YTD Purchases'!$H:$H,'YTD Purchases'!$C:$C,Brokerage!$B243,'YTD Purchases'!$G:$G,Brokerage!K$4)</f>
        <v>0</v>
      </c>
      <c r="L243" s="857">
        <f>SUMIFS('YTD Sales'!$N:$N,'YTD Sales'!$B:$B,Brokerage!$B243,'YTD Sales'!$M:$M,Brokerage!L$4)+SUMIFS('YTD Purchases'!$H:$H,'YTD Purchases'!$C:$C,Brokerage!$B243,'YTD Purchases'!$G:$G,Brokerage!L$4)</f>
        <v>0</v>
      </c>
      <c r="M243" s="857">
        <f>SUMIFS('YTD Sales'!$N:$N,'YTD Sales'!$B:$B,Brokerage!$B243,'YTD Sales'!$M:$M,Brokerage!M$4)+SUMIFS('YTD Purchases'!$H:$H,'YTD Purchases'!$C:$C,Brokerage!$B243,'YTD Purchases'!$G:$G,Brokerage!M$4)</f>
        <v>0</v>
      </c>
      <c r="N243" s="857">
        <f>SUMIFS('YTD Sales'!$N:$N,'YTD Sales'!$B:$B,Brokerage!$B243,'YTD Sales'!$M:$M,Brokerage!N$4)+SUMIFS('YTD Purchases'!$H:$H,'YTD Purchases'!$C:$C,Brokerage!$B243,'YTD Purchases'!$G:$G,Brokerage!N$4)</f>
        <v>0</v>
      </c>
      <c r="O243" s="857">
        <f>SUMIFS('YTD Sales'!$N:$N,'YTD Sales'!$B:$B,Brokerage!$B243,'YTD Sales'!$M:$M,Brokerage!O$4)+SUMIFS('YTD Purchases'!$H:$H,'YTD Purchases'!$C:$C,Brokerage!$B243,'YTD Purchases'!$G:$G,Brokerage!O$4)</f>
        <v>0</v>
      </c>
      <c r="P243" s="857">
        <f>SUMIFS('YTD Sales'!$N:$N,'YTD Sales'!$B:$B,Brokerage!$B243,'YTD Sales'!$M:$M,Brokerage!P$4)+SUMIFS('YTD Purchases'!$H:$H,'YTD Purchases'!$C:$C,Brokerage!$B243,'YTD Purchases'!$G:$G,Brokerage!P$4)</f>
        <v>0</v>
      </c>
      <c r="Q243" s="857">
        <f>SUMIFS('YTD Sales'!$N:$N,'YTD Sales'!$B:$B,Brokerage!$B243,'YTD Sales'!$M:$M,Brokerage!Q$4)+SUMIFS('YTD Purchases'!$H:$H,'YTD Purchases'!$C:$C,Brokerage!$B243,'YTD Purchases'!$G:$G,Brokerage!Q$4)</f>
        <v>0</v>
      </c>
      <c r="R243" s="857">
        <f>SUMIFS('YTD Sales'!$N:$N,'YTD Sales'!$B:$B,Brokerage!$B243,'YTD Sales'!$M:$M,Brokerage!R$4)+SUMIFS('YTD Purchases'!$H:$H,'YTD Purchases'!$C:$C,Brokerage!$B243,'YTD Purchases'!$G:$G,Brokerage!R$4)</f>
        <v>0</v>
      </c>
      <c r="S243" s="857">
        <f>SUMIFS('YTD Sales'!$N:$N,'YTD Sales'!$B:$B,Brokerage!$B243,'YTD Sales'!$M:$M,Brokerage!S$4)+SUMIFS('YTD Purchases'!$H:$H,'YTD Purchases'!$C:$C,Brokerage!$B243,'YTD Purchases'!$G:$G,Brokerage!S$4)</f>
        <v>0</v>
      </c>
      <c r="T243" s="857">
        <f>SUMIFS('YTD Sales'!$N:$N,'YTD Sales'!$B:$B,Brokerage!$B243,'YTD Sales'!$M:$M,Brokerage!T$4)+SUMIFS('YTD Purchases'!$H:$H,'YTD Purchases'!$C:$C,Brokerage!$B243,'YTD Purchases'!$G:$G,Brokerage!T$4)</f>
        <v>0</v>
      </c>
      <c r="U243" s="857">
        <f>SUMIFS('YTD Sales'!$N:$N,'YTD Sales'!$B:$B,Brokerage!$B243,'YTD Sales'!$M:$M,Brokerage!U$4)+SUMIFS('YTD Purchases'!$H:$H,'YTD Purchases'!$C:$C,Brokerage!$B243,'YTD Purchases'!$G:$G,Brokerage!U$4)</f>
        <v>0</v>
      </c>
      <c r="V243" s="857">
        <f>SUMIFS('YTD Sales'!$N:$N,'YTD Sales'!$B:$B,Brokerage!$B243,'YTD Sales'!$M:$M,Brokerage!V$4)+SUMIFS('YTD Purchases'!$H:$H,'YTD Purchases'!$C:$C,Brokerage!$B243,'YTD Purchases'!$G:$G,Brokerage!V$4)</f>
        <v>0</v>
      </c>
      <c r="W243" s="857">
        <f>SUMIFS('YTD Sales'!$N:$N,'YTD Sales'!$B:$B,Brokerage!$B243,'YTD Sales'!$M:$M,Brokerage!W$4)+SUMIFS('YTD Purchases'!$H:$H,'YTD Purchases'!$C:$C,Brokerage!$B243,'YTD Purchases'!$G:$G,Brokerage!W$4)</f>
        <v>0</v>
      </c>
      <c r="X243" s="857">
        <f>SUMIFS('YTD Sales'!$N:$N,'YTD Sales'!$B:$B,Brokerage!$B243,'YTD Sales'!$M:$M,Brokerage!X$4)+SUMIFS('YTD Purchases'!$H:$H,'YTD Purchases'!$C:$C,Brokerage!$B243,'YTD Purchases'!$G:$G,Brokerage!X$4)</f>
        <v>0</v>
      </c>
      <c r="Y243" s="857">
        <f>SUMIFS('YTD Sales'!$N:$N,'YTD Sales'!$B:$B,Brokerage!$B243,'YTD Sales'!$M:$M,Brokerage!Y$4)+SUMIFS('YTD Purchases'!$H:$H,'YTD Purchases'!$C:$C,Brokerage!$B243,'YTD Purchases'!$G:$G,Brokerage!Y$4)</f>
        <v>0</v>
      </c>
      <c r="Z243" s="857">
        <f>SUMIFS('YTD Sales'!$N:$N,'YTD Sales'!$B:$B,Brokerage!$B243,'YTD Sales'!$M:$M,Brokerage!Z$4)+SUMIFS('YTD Purchases'!$H:$H,'YTD Purchases'!$C:$C,Brokerage!$B243,'YTD Purchases'!$G:$G,Brokerage!Z$4)</f>
        <v>0</v>
      </c>
      <c r="AA243" s="857">
        <f>SUMIFS('YTD Sales'!$N:$N,'YTD Sales'!$B:$B,Brokerage!$B243,'YTD Sales'!$M:$M,Brokerage!AA$4)+SUMIFS('YTD Purchases'!$H:$H,'YTD Purchases'!$C:$C,Brokerage!$B243,'YTD Purchases'!$G:$G,Brokerage!AA$4)</f>
        <v>0</v>
      </c>
      <c r="AB243" s="857">
        <f>SUMIFS('YTD Sales'!$N:$N,'YTD Sales'!$B:$B,Brokerage!$B243,'YTD Sales'!$M:$M,Brokerage!AB$4)+SUMIFS('YTD Purchases'!$H:$H,'YTD Purchases'!$C:$C,Brokerage!$B243,'YTD Purchases'!$G:$G,Brokerage!AB$4)</f>
        <v>0</v>
      </c>
      <c r="AC243" s="857">
        <f>SUMIFS('YTD Sales'!$N:$N,'YTD Sales'!$B:$B,Brokerage!$B243,'YTD Sales'!$M:$M,Brokerage!AC$4)+SUMIFS('YTD Purchases'!$H:$H,'YTD Purchases'!$C:$C,Brokerage!$B243,'YTD Purchases'!$G:$G,Brokerage!AC$4)</f>
        <v>0</v>
      </c>
      <c r="AD243" s="857">
        <f>+SUMIFS(PIB!AG:AG,PIB!AF:AF,Brokerage!AD$4,PIB!AA:AA,Brokerage!$B243)+SUMIFS('T-Bills'!AB:AB,'T-Bills'!AA:AA,Brokerage!AD$4,'T-Bills'!V:V,Brokerage!$B243)</f>
        <v>0</v>
      </c>
      <c r="AE243" s="857">
        <f>+SUMIFS(PIB!AH:AH,PIB!AG:AG,Brokerage!AE$4,PIB!AB:AB,Brokerage!$B243)+SUMIFS('T-Bills'!AC:AC,'T-Bills'!AB:AB,Brokerage!AE$4,'T-Bills'!W:W,Brokerage!$B243)</f>
        <v>0</v>
      </c>
      <c r="AF243" s="857">
        <f>+SUMIFS(PIB!AI:AI,PIB!AH:AH,Brokerage!AF$4,PIB!AC:AC,Brokerage!$B243)+SUMIFS('T-Bills'!AD:AD,'T-Bills'!AC:AC,Brokerage!AF$4,'T-Bills'!X:X,Brokerage!$B243)</f>
        <v>0</v>
      </c>
      <c r="AG243" s="857">
        <f t="shared" si="23"/>
        <v>0</v>
      </c>
      <c r="AH243" s="858">
        <f t="shared" si="24"/>
        <v>0</v>
      </c>
    </row>
    <row r="244" spans="2:34" x14ac:dyDescent="0.15">
      <c r="B244" s="661">
        <f t="shared" si="22"/>
        <v>44800</v>
      </c>
      <c r="C244" s="857">
        <f>SUMIFS('YTD Sales'!$N:$N,'YTD Sales'!$B:$B,Brokerage!$B244,'YTD Sales'!$M:$M,Brokerage!C$4)+SUMIFS('YTD Purchases'!$H:$H,'YTD Purchases'!$C:$C,Brokerage!$B244,'YTD Purchases'!$G:$G,Brokerage!C$4)</f>
        <v>0</v>
      </c>
      <c r="D244" s="857">
        <f>SUMIFS('YTD Sales'!$N:$N,'YTD Sales'!$B:$B,Brokerage!$B244,'YTD Sales'!$M:$M,Brokerage!D$4)+SUMIFS('YTD Purchases'!$H:$H,'YTD Purchases'!$C:$C,Brokerage!$B244,'YTD Purchases'!$G:$G,Brokerage!D$4)</f>
        <v>0</v>
      </c>
      <c r="E244" s="857">
        <f>SUMIFS('YTD Sales'!$N:$N,'YTD Sales'!$B:$B,Brokerage!$B244,'YTD Sales'!$M:$M,Brokerage!E$4)+SUMIFS('YTD Purchases'!$H:$H,'YTD Purchases'!$C:$C,Brokerage!$B244,'YTD Purchases'!$G:$G,Brokerage!E$4)</f>
        <v>0</v>
      </c>
      <c r="F244" s="857">
        <f>SUMIFS('YTD Sales'!$N:$N,'YTD Sales'!$B:$B,Brokerage!$B244,'YTD Sales'!$M:$M,Brokerage!F$4)+SUMIFS('YTD Purchases'!$H:$H,'YTD Purchases'!$C:$C,Brokerage!$B244,'YTD Purchases'!$G:$G,Brokerage!F$4)</f>
        <v>0</v>
      </c>
      <c r="G244" s="857">
        <f>SUMIFS('YTD Sales'!$N:$N,'YTD Sales'!$B:$B,Brokerage!$B244,'YTD Sales'!$M:$M,Brokerage!G$4)+SUMIFS('YTD Purchases'!$H:$H,'YTD Purchases'!$C:$C,Brokerage!$B244,'YTD Purchases'!$G:$G,Brokerage!G$4)</f>
        <v>0</v>
      </c>
      <c r="H244" s="857">
        <f>SUMIFS('YTD Sales'!$N:$N,'YTD Sales'!$B:$B,Brokerage!$B244,'YTD Sales'!$M:$M,Brokerage!H$4)+SUMIFS('YTD Purchases'!$H:$H,'YTD Purchases'!$C:$C,Brokerage!$B244,'YTD Purchases'!$G:$G,Brokerage!H$4)</f>
        <v>0</v>
      </c>
      <c r="I244" s="857">
        <f>SUMIFS('YTD Sales'!$N:$N,'YTD Sales'!$B:$B,Brokerage!$B244,'YTD Sales'!$M:$M,Brokerage!I$4)+SUMIFS('YTD Purchases'!$H:$H,'YTD Purchases'!$C:$C,Brokerage!$B244,'YTD Purchases'!$G:$G,Brokerage!I$4)</f>
        <v>0</v>
      </c>
      <c r="J244" s="857">
        <f>SUMIFS('YTD Sales'!$N:$N,'YTD Sales'!$B:$B,Brokerage!$B244,'YTD Sales'!$M:$M,Brokerage!J$4)+SUMIFS('YTD Purchases'!$H:$H,'YTD Purchases'!$C:$C,Brokerage!$B244,'YTD Purchases'!$G:$G,Brokerage!J$4)</f>
        <v>0</v>
      </c>
      <c r="K244" s="857">
        <f>SUMIFS('YTD Sales'!$N:$N,'YTD Sales'!$B:$B,Brokerage!$B244,'YTD Sales'!$M:$M,Brokerage!K$4)+SUMIFS('YTD Purchases'!$H:$H,'YTD Purchases'!$C:$C,Brokerage!$B244,'YTD Purchases'!$G:$G,Brokerage!K$4)</f>
        <v>0</v>
      </c>
      <c r="L244" s="857">
        <f>SUMIFS('YTD Sales'!$N:$N,'YTD Sales'!$B:$B,Brokerage!$B244,'YTD Sales'!$M:$M,Brokerage!L$4)+SUMIFS('YTD Purchases'!$H:$H,'YTD Purchases'!$C:$C,Brokerage!$B244,'YTD Purchases'!$G:$G,Brokerage!L$4)</f>
        <v>0</v>
      </c>
      <c r="M244" s="857">
        <f>SUMIFS('YTD Sales'!$N:$N,'YTD Sales'!$B:$B,Brokerage!$B244,'YTD Sales'!$M:$M,Brokerage!M$4)+SUMIFS('YTD Purchases'!$H:$H,'YTD Purchases'!$C:$C,Brokerage!$B244,'YTD Purchases'!$G:$G,Brokerage!M$4)</f>
        <v>0</v>
      </c>
      <c r="N244" s="857">
        <f>SUMIFS('YTD Sales'!$N:$N,'YTD Sales'!$B:$B,Brokerage!$B244,'YTD Sales'!$M:$M,Brokerage!N$4)+SUMIFS('YTD Purchases'!$H:$H,'YTD Purchases'!$C:$C,Brokerage!$B244,'YTD Purchases'!$G:$G,Brokerage!N$4)</f>
        <v>0</v>
      </c>
      <c r="O244" s="857">
        <f>SUMIFS('YTD Sales'!$N:$N,'YTD Sales'!$B:$B,Brokerage!$B244,'YTD Sales'!$M:$M,Brokerage!O$4)+SUMIFS('YTD Purchases'!$H:$H,'YTD Purchases'!$C:$C,Brokerage!$B244,'YTD Purchases'!$G:$G,Brokerage!O$4)</f>
        <v>0</v>
      </c>
      <c r="P244" s="857">
        <f>SUMIFS('YTD Sales'!$N:$N,'YTD Sales'!$B:$B,Brokerage!$B244,'YTD Sales'!$M:$M,Brokerage!P$4)+SUMIFS('YTD Purchases'!$H:$H,'YTD Purchases'!$C:$C,Brokerage!$B244,'YTD Purchases'!$G:$G,Brokerage!P$4)</f>
        <v>0</v>
      </c>
      <c r="Q244" s="857">
        <f>SUMIFS('YTD Sales'!$N:$N,'YTD Sales'!$B:$B,Brokerage!$B244,'YTD Sales'!$M:$M,Brokerage!Q$4)+SUMIFS('YTD Purchases'!$H:$H,'YTD Purchases'!$C:$C,Brokerage!$B244,'YTD Purchases'!$G:$G,Brokerage!Q$4)</f>
        <v>0</v>
      </c>
      <c r="R244" s="857">
        <f>SUMIFS('YTD Sales'!$N:$N,'YTD Sales'!$B:$B,Brokerage!$B244,'YTD Sales'!$M:$M,Brokerage!R$4)+SUMIFS('YTD Purchases'!$H:$H,'YTD Purchases'!$C:$C,Brokerage!$B244,'YTD Purchases'!$G:$G,Brokerage!R$4)</f>
        <v>0</v>
      </c>
      <c r="S244" s="857">
        <f>SUMIFS('YTD Sales'!$N:$N,'YTD Sales'!$B:$B,Brokerage!$B244,'YTD Sales'!$M:$M,Brokerage!S$4)+SUMIFS('YTD Purchases'!$H:$H,'YTD Purchases'!$C:$C,Brokerage!$B244,'YTD Purchases'!$G:$G,Brokerage!S$4)</f>
        <v>0</v>
      </c>
      <c r="T244" s="857">
        <f>SUMIFS('YTD Sales'!$N:$N,'YTD Sales'!$B:$B,Brokerage!$B244,'YTD Sales'!$M:$M,Brokerage!T$4)+SUMIFS('YTD Purchases'!$H:$H,'YTD Purchases'!$C:$C,Brokerage!$B244,'YTD Purchases'!$G:$G,Brokerage!T$4)</f>
        <v>0</v>
      </c>
      <c r="U244" s="857">
        <f>SUMIFS('YTD Sales'!$N:$N,'YTD Sales'!$B:$B,Brokerage!$B244,'YTD Sales'!$M:$M,Brokerage!U$4)+SUMIFS('YTD Purchases'!$H:$H,'YTD Purchases'!$C:$C,Brokerage!$B244,'YTD Purchases'!$G:$G,Brokerage!U$4)</f>
        <v>0</v>
      </c>
      <c r="V244" s="857">
        <f>SUMIFS('YTD Sales'!$N:$N,'YTD Sales'!$B:$B,Brokerage!$B244,'YTD Sales'!$M:$M,Brokerage!V$4)+SUMIFS('YTD Purchases'!$H:$H,'YTD Purchases'!$C:$C,Brokerage!$B244,'YTD Purchases'!$G:$G,Brokerage!V$4)</f>
        <v>0</v>
      </c>
      <c r="W244" s="857">
        <f>SUMIFS('YTD Sales'!$N:$N,'YTD Sales'!$B:$B,Brokerage!$B244,'YTD Sales'!$M:$M,Brokerage!W$4)+SUMIFS('YTD Purchases'!$H:$H,'YTD Purchases'!$C:$C,Brokerage!$B244,'YTD Purchases'!$G:$G,Brokerage!W$4)</f>
        <v>0</v>
      </c>
      <c r="X244" s="857">
        <f>SUMIFS('YTD Sales'!$N:$N,'YTD Sales'!$B:$B,Brokerage!$B244,'YTD Sales'!$M:$M,Brokerage!X$4)+SUMIFS('YTD Purchases'!$H:$H,'YTD Purchases'!$C:$C,Brokerage!$B244,'YTD Purchases'!$G:$G,Brokerage!X$4)</f>
        <v>0</v>
      </c>
      <c r="Y244" s="857">
        <f>SUMIFS('YTD Sales'!$N:$N,'YTD Sales'!$B:$B,Brokerage!$B244,'YTD Sales'!$M:$M,Brokerage!Y$4)+SUMIFS('YTD Purchases'!$H:$H,'YTD Purchases'!$C:$C,Brokerage!$B244,'YTD Purchases'!$G:$G,Brokerage!Y$4)</f>
        <v>0</v>
      </c>
      <c r="Z244" s="857">
        <f>SUMIFS('YTD Sales'!$N:$N,'YTD Sales'!$B:$B,Brokerage!$B244,'YTD Sales'!$M:$M,Brokerage!Z$4)+SUMIFS('YTD Purchases'!$H:$H,'YTD Purchases'!$C:$C,Brokerage!$B244,'YTD Purchases'!$G:$G,Brokerage!Z$4)</f>
        <v>0</v>
      </c>
      <c r="AA244" s="857">
        <f>SUMIFS('YTD Sales'!$N:$N,'YTD Sales'!$B:$B,Brokerage!$B244,'YTD Sales'!$M:$M,Brokerage!AA$4)+SUMIFS('YTD Purchases'!$H:$H,'YTD Purchases'!$C:$C,Brokerage!$B244,'YTD Purchases'!$G:$G,Brokerage!AA$4)</f>
        <v>0</v>
      </c>
      <c r="AB244" s="857">
        <f>SUMIFS('YTD Sales'!$N:$N,'YTD Sales'!$B:$B,Brokerage!$B244,'YTD Sales'!$M:$M,Brokerage!AB$4)+SUMIFS('YTD Purchases'!$H:$H,'YTD Purchases'!$C:$C,Brokerage!$B244,'YTD Purchases'!$G:$G,Brokerage!AB$4)</f>
        <v>0</v>
      </c>
      <c r="AC244" s="857">
        <f>SUMIFS('YTD Sales'!$N:$N,'YTD Sales'!$B:$B,Brokerage!$B244,'YTD Sales'!$M:$M,Brokerage!AC$4)+SUMIFS('YTD Purchases'!$H:$H,'YTD Purchases'!$C:$C,Brokerage!$B244,'YTD Purchases'!$G:$G,Brokerage!AC$4)</f>
        <v>0</v>
      </c>
      <c r="AD244" s="857">
        <f>+SUMIFS(PIB!AG:AG,PIB!AF:AF,Brokerage!AD$4,PIB!AA:AA,Brokerage!$B244)+SUMIFS('T-Bills'!AB:AB,'T-Bills'!AA:AA,Brokerage!AD$4,'T-Bills'!V:V,Brokerage!$B244)</f>
        <v>0</v>
      </c>
      <c r="AE244" s="857">
        <f>+SUMIFS(PIB!AH:AH,PIB!AG:AG,Brokerage!AE$4,PIB!AB:AB,Brokerage!$B244)+SUMIFS('T-Bills'!AC:AC,'T-Bills'!AB:AB,Brokerage!AE$4,'T-Bills'!W:W,Brokerage!$B244)</f>
        <v>0</v>
      </c>
      <c r="AF244" s="857">
        <f>+SUMIFS(PIB!AI:AI,PIB!AH:AH,Brokerage!AF$4,PIB!AC:AC,Brokerage!$B244)+SUMIFS('T-Bills'!AD:AD,'T-Bills'!AC:AC,Brokerage!AF$4,'T-Bills'!X:X,Brokerage!$B244)</f>
        <v>0</v>
      </c>
      <c r="AG244" s="857">
        <f t="shared" si="23"/>
        <v>0</v>
      </c>
      <c r="AH244" s="858">
        <f t="shared" si="24"/>
        <v>0</v>
      </c>
    </row>
    <row r="245" spans="2:34" x14ac:dyDescent="0.15">
      <c r="B245" s="661">
        <f t="shared" si="22"/>
        <v>44801</v>
      </c>
      <c r="C245" s="857">
        <f>SUMIFS('YTD Sales'!$N:$N,'YTD Sales'!$B:$B,Brokerage!$B245,'YTD Sales'!$M:$M,Brokerage!C$4)+SUMIFS('YTD Purchases'!$H:$H,'YTD Purchases'!$C:$C,Brokerage!$B245,'YTD Purchases'!$G:$G,Brokerage!C$4)</f>
        <v>0</v>
      </c>
      <c r="D245" s="857">
        <f>SUMIFS('YTD Sales'!$N:$N,'YTD Sales'!$B:$B,Brokerage!$B245,'YTD Sales'!$M:$M,Brokerage!D$4)+SUMIFS('YTD Purchases'!$H:$H,'YTD Purchases'!$C:$C,Brokerage!$B245,'YTD Purchases'!$G:$G,Brokerage!D$4)</f>
        <v>0</v>
      </c>
      <c r="E245" s="857">
        <f>SUMIFS('YTD Sales'!$N:$N,'YTD Sales'!$B:$B,Brokerage!$B245,'YTD Sales'!$M:$M,Brokerage!E$4)+SUMIFS('YTD Purchases'!$H:$H,'YTD Purchases'!$C:$C,Brokerage!$B245,'YTD Purchases'!$G:$G,Brokerage!E$4)</f>
        <v>0</v>
      </c>
      <c r="F245" s="857">
        <f>SUMIFS('YTD Sales'!$N:$N,'YTD Sales'!$B:$B,Brokerage!$B245,'YTD Sales'!$M:$M,Brokerage!F$4)+SUMIFS('YTD Purchases'!$H:$H,'YTD Purchases'!$C:$C,Brokerage!$B245,'YTD Purchases'!$G:$G,Brokerage!F$4)</f>
        <v>0</v>
      </c>
      <c r="G245" s="857">
        <f>SUMIFS('YTD Sales'!$N:$N,'YTD Sales'!$B:$B,Brokerage!$B245,'YTD Sales'!$M:$M,Brokerage!G$4)+SUMIFS('YTD Purchases'!$H:$H,'YTD Purchases'!$C:$C,Brokerage!$B245,'YTD Purchases'!$G:$G,Brokerage!G$4)</f>
        <v>0</v>
      </c>
      <c r="H245" s="857">
        <f>SUMIFS('YTD Sales'!$N:$N,'YTD Sales'!$B:$B,Brokerage!$B245,'YTD Sales'!$M:$M,Brokerage!H$4)+SUMIFS('YTD Purchases'!$H:$H,'YTD Purchases'!$C:$C,Brokerage!$B245,'YTD Purchases'!$G:$G,Brokerage!H$4)</f>
        <v>0</v>
      </c>
      <c r="I245" s="857">
        <f>SUMIFS('YTD Sales'!$N:$N,'YTD Sales'!$B:$B,Brokerage!$B245,'YTD Sales'!$M:$M,Brokerage!I$4)+SUMIFS('YTD Purchases'!$H:$H,'YTD Purchases'!$C:$C,Brokerage!$B245,'YTD Purchases'!$G:$G,Brokerage!I$4)</f>
        <v>0</v>
      </c>
      <c r="J245" s="857">
        <f>SUMIFS('YTD Sales'!$N:$N,'YTD Sales'!$B:$B,Brokerage!$B245,'YTD Sales'!$M:$M,Brokerage!J$4)+SUMIFS('YTD Purchases'!$H:$H,'YTD Purchases'!$C:$C,Brokerage!$B245,'YTD Purchases'!$G:$G,Brokerage!J$4)</f>
        <v>0</v>
      </c>
      <c r="K245" s="857">
        <f>SUMIFS('YTD Sales'!$N:$N,'YTD Sales'!$B:$B,Brokerage!$B245,'YTD Sales'!$M:$M,Brokerage!K$4)+SUMIFS('YTD Purchases'!$H:$H,'YTD Purchases'!$C:$C,Brokerage!$B245,'YTD Purchases'!$G:$G,Brokerage!K$4)</f>
        <v>0</v>
      </c>
      <c r="L245" s="857">
        <f>SUMIFS('YTD Sales'!$N:$N,'YTD Sales'!$B:$B,Brokerage!$B245,'YTD Sales'!$M:$M,Brokerage!L$4)+SUMIFS('YTD Purchases'!$H:$H,'YTD Purchases'!$C:$C,Brokerage!$B245,'YTD Purchases'!$G:$G,Brokerage!L$4)</f>
        <v>0</v>
      </c>
      <c r="M245" s="857">
        <f>SUMIFS('YTD Sales'!$N:$N,'YTD Sales'!$B:$B,Brokerage!$B245,'YTD Sales'!$M:$M,Brokerage!M$4)+SUMIFS('YTD Purchases'!$H:$H,'YTD Purchases'!$C:$C,Brokerage!$B245,'YTD Purchases'!$G:$G,Brokerage!M$4)</f>
        <v>0</v>
      </c>
      <c r="N245" s="857">
        <f>SUMIFS('YTD Sales'!$N:$N,'YTD Sales'!$B:$B,Brokerage!$B245,'YTD Sales'!$M:$M,Brokerage!N$4)+SUMIFS('YTD Purchases'!$H:$H,'YTD Purchases'!$C:$C,Brokerage!$B245,'YTD Purchases'!$G:$G,Brokerage!N$4)</f>
        <v>0</v>
      </c>
      <c r="O245" s="857">
        <f>SUMIFS('YTD Sales'!$N:$N,'YTD Sales'!$B:$B,Brokerage!$B245,'YTD Sales'!$M:$M,Brokerage!O$4)+SUMIFS('YTD Purchases'!$H:$H,'YTD Purchases'!$C:$C,Brokerage!$B245,'YTD Purchases'!$G:$G,Brokerage!O$4)</f>
        <v>0</v>
      </c>
      <c r="P245" s="857">
        <f>SUMIFS('YTD Sales'!$N:$N,'YTD Sales'!$B:$B,Brokerage!$B245,'YTD Sales'!$M:$M,Brokerage!P$4)+SUMIFS('YTD Purchases'!$H:$H,'YTD Purchases'!$C:$C,Brokerage!$B245,'YTD Purchases'!$G:$G,Brokerage!P$4)</f>
        <v>0</v>
      </c>
      <c r="Q245" s="857">
        <f>SUMIFS('YTD Sales'!$N:$N,'YTD Sales'!$B:$B,Brokerage!$B245,'YTD Sales'!$M:$M,Brokerage!Q$4)+SUMIFS('YTD Purchases'!$H:$H,'YTD Purchases'!$C:$C,Brokerage!$B245,'YTD Purchases'!$G:$G,Brokerage!Q$4)</f>
        <v>0</v>
      </c>
      <c r="R245" s="857">
        <f>SUMIFS('YTD Sales'!$N:$N,'YTD Sales'!$B:$B,Brokerage!$B245,'YTD Sales'!$M:$M,Brokerage!R$4)+SUMIFS('YTD Purchases'!$H:$H,'YTD Purchases'!$C:$C,Brokerage!$B245,'YTD Purchases'!$G:$G,Brokerage!R$4)</f>
        <v>0</v>
      </c>
      <c r="S245" s="857">
        <f>SUMIFS('YTD Sales'!$N:$N,'YTD Sales'!$B:$B,Brokerage!$B245,'YTD Sales'!$M:$M,Brokerage!S$4)+SUMIFS('YTD Purchases'!$H:$H,'YTD Purchases'!$C:$C,Brokerage!$B245,'YTD Purchases'!$G:$G,Brokerage!S$4)</f>
        <v>0</v>
      </c>
      <c r="T245" s="857">
        <f>SUMIFS('YTD Sales'!$N:$N,'YTD Sales'!$B:$B,Brokerage!$B245,'YTD Sales'!$M:$M,Brokerage!T$4)+SUMIFS('YTD Purchases'!$H:$H,'YTD Purchases'!$C:$C,Brokerage!$B245,'YTD Purchases'!$G:$G,Brokerage!T$4)</f>
        <v>0</v>
      </c>
      <c r="U245" s="857">
        <f>SUMIFS('YTD Sales'!$N:$N,'YTD Sales'!$B:$B,Brokerage!$B245,'YTD Sales'!$M:$M,Brokerage!U$4)+SUMIFS('YTD Purchases'!$H:$H,'YTD Purchases'!$C:$C,Brokerage!$B245,'YTD Purchases'!$G:$G,Brokerage!U$4)</f>
        <v>0</v>
      </c>
      <c r="V245" s="857">
        <f>SUMIFS('YTD Sales'!$N:$N,'YTD Sales'!$B:$B,Brokerage!$B245,'YTD Sales'!$M:$M,Brokerage!V$4)+SUMIFS('YTD Purchases'!$H:$H,'YTD Purchases'!$C:$C,Brokerage!$B245,'YTD Purchases'!$G:$G,Brokerage!V$4)</f>
        <v>0</v>
      </c>
      <c r="W245" s="857">
        <f>SUMIFS('YTD Sales'!$N:$N,'YTD Sales'!$B:$B,Brokerage!$B245,'YTD Sales'!$M:$M,Brokerage!W$4)+SUMIFS('YTD Purchases'!$H:$H,'YTD Purchases'!$C:$C,Brokerage!$B245,'YTD Purchases'!$G:$G,Brokerage!W$4)</f>
        <v>0</v>
      </c>
      <c r="X245" s="857">
        <f>SUMIFS('YTD Sales'!$N:$N,'YTD Sales'!$B:$B,Brokerage!$B245,'YTD Sales'!$M:$M,Brokerage!X$4)+SUMIFS('YTD Purchases'!$H:$H,'YTD Purchases'!$C:$C,Brokerage!$B245,'YTD Purchases'!$G:$G,Brokerage!X$4)</f>
        <v>0</v>
      </c>
      <c r="Y245" s="857">
        <f>SUMIFS('YTD Sales'!$N:$N,'YTD Sales'!$B:$B,Brokerage!$B245,'YTD Sales'!$M:$M,Brokerage!Y$4)+SUMIFS('YTD Purchases'!$H:$H,'YTD Purchases'!$C:$C,Brokerage!$B245,'YTD Purchases'!$G:$G,Brokerage!Y$4)</f>
        <v>0</v>
      </c>
      <c r="Z245" s="857">
        <f>SUMIFS('YTD Sales'!$N:$N,'YTD Sales'!$B:$B,Brokerage!$B245,'YTD Sales'!$M:$M,Brokerage!Z$4)+SUMIFS('YTD Purchases'!$H:$H,'YTD Purchases'!$C:$C,Brokerage!$B245,'YTD Purchases'!$G:$G,Brokerage!Z$4)</f>
        <v>0</v>
      </c>
      <c r="AA245" s="857">
        <f>SUMIFS('YTD Sales'!$N:$N,'YTD Sales'!$B:$B,Brokerage!$B245,'YTD Sales'!$M:$M,Brokerage!AA$4)+SUMIFS('YTD Purchases'!$H:$H,'YTD Purchases'!$C:$C,Brokerage!$B245,'YTD Purchases'!$G:$G,Brokerage!AA$4)</f>
        <v>0</v>
      </c>
      <c r="AB245" s="857">
        <f>SUMIFS('YTD Sales'!$N:$N,'YTD Sales'!$B:$B,Brokerage!$B245,'YTD Sales'!$M:$M,Brokerage!AB$4)+SUMIFS('YTD Purchases'!$H:$H,'YTD Purchases'!$C:$C,Brokerage!$B245,'YTD Purchases'!$G:$G,Brokerage!AB$4)</f>
        <v>0</v>
      </c>
      <c r="AC245" s="857">
        <f>SUMIFS('YTD Sales'!$N:$N,'YTD Sales'!$B:$B,Brokerage!$B245,'YTD Sales'!$M:$M,Brokerage!AC$4)+SUMIFS('YTD Purchases'!$H:$H,'YTD Purchases'!$C:$C,Brokerage!$B245,'YTD Purchases'!$G:$G,Brokerage!AC$4)</f>
        <v>0</v>
      </c>
      <c r="AD245" s="857">
        <f>+SUMIFS(PIB!AG:AG,PIB!AF:AF,Brokerage!AD$4,PIB!AA:AA,Brokerage!$B245)+SUMIFS('T-Bills'!AB:AB,'T-Bills'!AA:AA,Brokerage!AD$4,'T-Bills'!V:V,Brokerage!$B245)</f>
        <v>0</v>
      </c>
      <c r="AE245" s="857">
        <f>+SUMIFS(PIB!AH:AH,PIB!AG:AG,Brokerage!AE$4,PIB!AB:AB,Brokerage!$B245)+SUMIFS('T-Bills'!AC:AC,'T-Bills'!AB:AB,Brokerage!AE$4,'T-Bills'!W:W,Brokerage!$B245)</f>
        <v>0</v>
      </c>
      <c r="AF245" s="857">
        <f>+SUMIFS(PIB!AI:AI,PIB!AH:AH,Brokerage!AF$4,PIB!AC:AC,Brokerage!$B245)+SUMIFS('T-Bills'!AD:AD,'T-Bills'!AC:AC,Brokerage!AF$4,'T-Bills'!X:X,Brokerage!$B245)</f>
        <v>0</v>
      </c>
      <c r="AG245" s="857">
        <f t="shared" si="23"/>
        <v>0</v>
      </c>
      <c r="AH245" s="858">
        <f t="shared" si="24"/>
        <v>0</v>
      </c>
    </row>
    <row r="246" spans="2:34" x14ac:dyDescent="0.15">
      <c r="B246" s="661">
        <f t="shared" si="22"/>
        <v>44802</v>
      </c>
      <c r="C246" s="857">
        <f>SUMIFS('YTD Sales'!$N:$N,'YTD Sales'!$B:$B,Brokerage!$B246,'YTD Sales'!$M:$M,Brokerage!C$4)+SUMIFS('YTD Purchases'!$H:$H,'YTD Purchases'!$C:$C,Brokerage!$B246,'YTD Purchases'!$G:$G,Brokerage!C$4)</f>
        <v>0</v>
      </c>
      <c r="D246" s="857">
        <f>SUMIFS('YTD Sales'!$N:$N,'YTD Sales'!$B:$B,Brokerage!$B246,'YTD Sales'!$M:$M,Brokerage!D$4)+SUMIFS('YTD Purchases'!$H:$H,'YTD Purchases'!$C:$C,Brokerage!$B246,'YTD Purchases'!$G:$G,Brokerage!D$4)</f>
        <v>0</v>
      </c>
      <c r="E246" s="857">
        <f>SUMIFS('YTD Sales'!$N:$N,'YTD Sales'!$B:$B,Brokerage!$B246,'YTD Sales'!$M:$M,Brokerage!E$4)+SUMIFS('YTD Purchases'!$H:$H,'YTD Purchases'!$C:$C,Brokerage!$B246,'YTD Purchases'!$G:$G,Brokerage!E$4)</f>
        <v>0</v>
      </c>
      <c r="F246" s="857">
        <f>SUMIFS('YTD Sales'!$N:$N,'YTD Sales'!$B:$B,Brokerage!$B246,'YTD Sales'!$M:$M,Brokerage!F$4)+SUMIFS('YTD Purchases'!$H:$H,'YTD Purchases'!$C:$C,Brokerage!$B246,'YTD Purchases'!$G:$G,Brokerage!F$4)</f>
        <v>0</v>
      </c>
      <c r="G246" s="857">
        <f>SUMIFS('YTD Sales'!$N:$N,'YTD Sales'!$B:$B,Brokerage!$B246,'YTD Sales'!$M:$M,Brokerage!G$4)+SUMIFS('YTD Purchases'!$H:$H,'YTD Purchases'!$C:$C,Brokerage!$B246,'YTD Purchases'!$G:$G,Brokerage!G$4)</f>
        <v>0</v>
      </c>
      <c r="H246" s="857">
        <f>SUMIFS('YTD Sales'!$N:$N,'YTD Sales'!$B:$B,Brokerage!$B246,'YTD Sales'!$M:$M,Brokerage!H$4)+SUMIFS('YTD Purchases'!$H:$H,'YTD Purchases'!$C:$C,Brokerage!$B246,'YTD Purchases'!$G:$G,Brokerage!H$4)</f>
        <v>0</v>
      </c>
      <c r="I246" s="857">
        <f>SUMIFS('YTD Sales'!$N:$N,'YTD Sales'!$B:$B,Brokerage!$B246,'YTD Sales'!$M:$M,Brokerage!I$4)+SUMIFS('YTD Purchases'!$H:$H,'YTD Purchases'!$C:$C,Brokerage!$B246,'YTD Purchases'!$G:$G,Brokerage!I$4)</f>
        <v>0</v>
      </c>
      <c r="J246" s="857">
        <f>SUMIFS('YTD Sales'!$N:$N,'YTD Sales'!$B:$B,Brokerage!$B246,'YTD Sales'!$M:$M,Brokerage!J$4)+SUMIFS('YTD Purchases'!$H:$H,'YTD Purchases'!$C:$C,Brokerage!$B246,'YTD Purchases'!$G:$G,Brokerage!J$4)</f>
        <v>0</v>
      </c>
      <c r="K246" s="857">
        <f>SUMIFS('YTD Sales'!$N:$N,'YTD Sales'!$B:$B,Brokerage!$B246,'YTD Sales'!$M:$M,Brokerage!K$4)+SUMIFS('YTD Purchases'!$H:$H,'YTD Purchases'!$C:$C,Brokerage!$B246,'YTD Purchases'!$G:$G,Brokerage!K$4)</f>
        <v>0</v>
      </c>
      <c r="L246" s="857">
        <f>SUMIFS('YTD Sales'!$N:$N,'YTD Sales'!$B:$B,Brokerage!$B246,'YTD Sales'!$M:$M,Brokerage!L$4)+SUMIFS('YTD Purchases'!$H:$H,'YTD Purchases'!$C:$C,Brokerage!$B246,'YTD Purchases'!$G:$G,Brokerage!L$4)</f>
        <v>0</v>
      </c>
      <c r="M246" s="857">
        <f>SUMIFS('YTD Sales'!$N:$N,'YTD Sales'!$B:$B,Brokerage!$B246,'YTD Sales'!$M:$M,Brokerage!M$4)+SUMIFS('YTD Purchases'!$H:$H,'YTD Purchases'!$C:$C,Brokerage!$B246,'YTD Purchases'!$G:$G,Brokerage!M$4)</f>
        <v>0</v>
      </c>
      <c r="N246" s="857">
        <f>SUMIFS('YTD Sales'!$N:$N,'YTD Sales'!$B:$B,Brokerage!$B246,'YTD Sales'!$M:$M,Brokerage!N$4)+SUMIFS('YTD Purchases'!$H:$H,'YTD Purchases'!$C:$C,Brokerage!$B246,'YTD Purchases'!$G:$G,Brokerage!N$4)</f>
        <v>0</v>
      </c>
      <c r="O246" s="857">
        <f>SUMIFS('YTD Sales'!$N:$N,'YTD Sales'!$B:$B,Brokerage!$B246,'YTD Sales'!$M:$M,Brokerage!O$4)+SUMIFS('YTD Purchases'!$H:$H,'YTD Purchases'!$C:$C,Brokerage!$B246,'YTD Purchases'!$G:$G,Brokerage!O$4)</f>
        <v>0</v>
      </c>
      <c r="P246" s="857">
        <f>SUMIFS('YTD Sales'!$N:$N,'YTD Sales'!$B:$B,Brokerage!$B246,'YTD Sales'!$M:$M,Brokerage!P$4)+SUMIFS('YTD Purchases'!$H:$H,'YTD Purchases'!$C:$C,Brokerage!$B246,'YTD Purchases'!$G:$G,Brokerage!P$4)</f>
        <v>0</v>
      </c>
      <c r="Q246" s="857">
        <f>SUMIFS('YTD Sales'!$N:$N,'YTD Sales'!$B:$B,Brokerage!$B246,'YTD Sales'!$M:$M,Brokerage!Q$4)+SUMIFS('YTD Purchases'!$H:$H,'YTD Purchases'!$C:$C,Brokerage!$B246,'YTD Purchases'!$G:$G,Brokerage!Q$4)</f>
        <v>0</v>
      </c>
      <c r="R246" s="857">
        <f>SUMIFS('YTD Sales'!$N:$N,'YTD Sales'!$B:$B,Brokerage!$B246,'YTD Sales'!$M:$M,Brokerage!R$4)+SUMIFS('YTD Purchases'!$H:$H,'YTD Purchases'!$C:$C,Brokerage!$B246,'YTD Purchases'!$G:$G,Brokerage!R$4)</f>
        <v>0</v>
      </c>
      <c r="S246" s="857">
        <f>SUMIFS('YTD Sales'!$N:$N,'YTD Sales'!$B:$B,Brokerage!$B246,'YTD Sales'!$M:$M,Brokerage!S$4)+SUMIFS('YTD Purchases'!$H:$H,'YTD Purchases'!$C:$C,Brokerage!$B246,'YTD Purchases'!$G:$G,Brokerage!S$4)</f>
        <v>0</v>
      </c>
      <c r="T246" s="857">
        <f>SUMIFS('YTD Sales'!$N:$N,'YTD Sales'!$B:$B,Brokerage!$B246,'YTD Sales'!$M:$M,Brokerage!T$4)+SUMIFS('YTD Purchases'!$H:$H,'YTD Purchases'!$C:$C,Brokerage!$B246,'YTD Purchases'!$G:$G,Brokerage!T$4)</f>
        <v>0</v>
      </c>
      <c r="U246" s="857">
        <f>SUMIFS('YTD Sales'!$N:$N,'YTD Sales'!$B:$B,Brokerage!$B246,'YTD Sales'!$M:$M,Brokerage!U$4)+SUMIFS('YTD Purchases'!$H:$H,'YTD Purchases'!$C:$C,Brokerage!$B246,'YTD Purchases'!$G:$G,Brokerage!U$4)</f>
        <v>0</v>
      </c>
      <c r="V246" s="857">
        <f>SUMIFS('YTD Sales'!$N:$N,'YTD Sales'!$B:$B,Brokerage!$B246,'YTD Sales'!$M:$M,Brokerage!V$4)+SUMIFS('YTD Purchases'!$H:$H,'YTD Purchases'!$C:$C,Brokerage!$B246,'YTD Purchases'!$G:$G,Brokerage!V$4)</f>
        <v>0</v>
      </c>
      <c r="W246" s="857">
        <f>SUMIFS('YTD Sales'!$N:$N,'YTD Sales'!$B:$B,Brokerage!$B246,'YTD Sales'!$M:$M,Brokerage!W$4)+SUMIFS('YTD Purchases'!$H:$H,'YTD Purchases'!$C:$C,Brokerage!$B246,'YTD Purchases'!$G:$G,Brokerage!W$4)</f>
        <v>0</v>
      </c>
      <c r="X246" s="857">
        <f>SUMIFS('YTD Sales'!$N:$N,'YTD Sales'!$B:$B,Brokerage!$B246,'YTD Sales'!$M:$M,Brokerage!X$4)+SUMIFS('YTD Purchases'!$H:$H,'YTD Purchases'!$C:$C,Brokerage!$B246,'YTD Purchases'!$G:$G,Brokerage!X$4)</f>
        <v>0</v>
      </c>
      <c r="Y246" s="857">
        <f>SUMIFS('YTD Sales'!$N:$N,'YTD Sales'!$B:$B,Brokerage!$B246,'YTD Sales'!$M:$M,Brokerage!Y$4)+SUMIFS('YTD Purchases'!$H:$H,'YTD Purchases'!$C:$C,Brokerage!$B246,'YTD Purchases'!$G:$G,Brokerage!Y$4)</f>
        <v>0</v>
      </c>
      <c r="Z246" s="857">
        <f>SUMIFS('YTD Sales'!$N:$N,'YTD Sales'!$B:$B,Brokerage!$B246,'YTD Sales'!$M:$M,Brokerage!Z$4)+SUMIFS('YTD Purchases'!$H:$H,'YTD Purchases'!$C:$C,Brokerage!$B246,'YTD Purchases'!$G:$G,Brokerage!Z$4)</f>
        <v>0</v>
      </c>
      <c r="AA246" s="857">
        <f>SUMIFS('YTD Sales'!$N:$N,'YTD Sales'!$B:$B,Brokerage!$B246,'YTD Sales'!$M:$M,Brokerage!AA$4)+SUMIFS('YTD Purchases'!$H:$H,'YTD Purchases'!$C:$C,Brokerage!$B246,'YTD Purchases'!$G:$G,Brokerage!AA$4)</f>
        <v>0</v>
      </c>
      <c r="AB246" s="857">
        <f>SUMIFS('YTD Sales'!$N:$N,'YTD Sales'!$B:$B,Brokerage!$B246,'YTD Sales'!$M:$M,Brokerage!AB$4)+SUMIFS('YTD Purchases'!$H:$H,'YTD Purchases'!$C:$C,Brokerage!$B246,'YTD Purchases'!$G:$G,Brokerage!AB$4)</f>
        <v>0</v>
      </c>
      <c r="AC246" s="857">
        <f>SUMIFS('YTD Sales'!$N:$N,'YTD Sales'!$B:$B,Brokerage!$B246,'YTD Sales'!$M:$M,Brokerage!AC$4)+SUMIFS('YTD Purchases'!$H:$H,'YTD Purchases'!$C:$C,Brokerage!$B246,'YTD Purchases'!$G:$G,Brokerage!AC$4)</f>
        <v>0</v>
      </c>
      <c r="AD246" s="857">
        <f>+SUMIFS(PIB!AG:AG,PIB!AF:AF,Brokerage!AD$4,PIB!AA:AA,Brokerage!$B246)+SUMIFS('T-Bills'!AB:AB,'T-Bills'!AA:AA,Brokerage!AD$4,'T-Bills'!V:V,Brokerage!$B246)</f>
        <v>0</v>
      </c>
      <c r="AE246" s="857">
        <f>+SUMIFS(PIB!AH:AH,PIB!AG:AG,Brokerage!AE$4,PIB!AB:AB,Brokerage!$B246)+SUMIFS('T-Bills'!AC:AC,'T-Bills'!AB:AB,Brokerage!AE$4,'T-Bills'!W:W,Brokerage!$B246)</f>
        <v>0</v>
      </c>
      <c r="AF246" s="857">
        <f>+SUMIFS(PIB!AI:AI,PIB!AH:AH,Brokerage!AF$4,PIB!AC:AC,Brokerage!$B246)+SUMIFS('T-Bills'!AD:AD,'T-Bills'!AC:AC,Brokerage!AF$4,'T-Bills'!X:X,Brokerage!$B246)</f>
        <v>0</v>
      </c>
      <c r="AG246" s="857">
        <f t="shared" si="23"/>
        <v>0</v>
      </c>
      <c r="AH246" s="858">
        <f t="shared" si="24"/>
        <v>0</v>
      </c>
    </row>
    <row r="247" spans="2:34" x14ac:dyDescent="0.15">
      <c r="B247" s="661">
        <f t="shared" si="22"/>
        <v>44803</v>
      </c>
      <c r="C247" s="857">
        <f>SUMIFS('YTD Sales'!$N:$N,'YTD Sales'!$B:$B,Brokerage!$B247,'YTD Sales'!$M:$M,Brokerage!C$4)+SUMIFS('YTD Purchases'!$H:$H,'YTD Purchases'!$C:$C,Brokerage!$B247,'YTD Purchases'!$G:$G,Brokerage!C$4)</f>
        <v>0</v>
      </c>
      <c r="D247" s="857">
        <f>SUMIFS('YTD Sales'!$N:$N,'YTD Sales'!$B:$B,Brokerage!$B247,'YTD Sales'!$M:$M,Brokerage!D$4)+SUMIFS('YTD Purchases'!$H:$H,'YTD Purchases'!$C:$C,Brokerage!$B247,'YTD Purchases'!$G:$G,Brokerage!D$4)</f>
        <v>0</v>
      </c>
      <c r="E247" s="857">
        <f>SUMIFS('YTD Sales'!$N:$N,'YTD Sales'!$B:$B,Brokerage!$B247,'YTD Sales'!$M:$M,Brokerage!E$4)+SUMIFS('YTD Purchases'!$H:$H,'YTD Purchases'!$C:$C,Brokerage!$B247,'YTD Purchases'!$G:$G,Brokerage!E$4)</f>
        <v>0</v>
      </c>
      <c r="F247" s="857">
        <f>SUMIFS('YTD Sales'!$N:$N,'YTD Sales'!$B:$B,Brokerage!$B247,'YTD Sales'!$M:$M,Brokerage!F$4)+SUMIFS('YTD Purchases'!$H:$H,'YTD Purchases'!$C:$C,Brokerage!$B247,'YTD Purchases'!$G:$G,Brokerage!F$4)</f>
        <v>0</v>
      </c>
      <c r="G247" s="857">
        <f>SUMIFS('YTD Sales'!$N:$N,'YTD Sales'!$B:$B,Brokerage!$B247,'YTD Sales'!$M:$M,Brokerage!G$4)+SUMIFS('YTD Purchases'!$H:$H,'YTD Purchases'!$C:$C,Brokerage!$B247,'YTD Purchases'!$G:$G,Brokerage!G$4)</f>
        <v>0</v>
      </c>
      <c r="H247" s="857">
        <f>SUMIFS('YTD Sales'!$N:$N,'YTD Sales'!$B:$B,Brokerage!$B247,'YTD Sales'!$M:$M,Brokerage!H$4)+SUMIFS('YTD Purchases'!$H:$H,'YTD Purchases'!$C:$C,Brokerage!$B247,'YTD Purchases'!$G:$G,Brokerage!H$4)</f>
        <v>0</v>
      </c>
      <c r="I247" s="857">
        <f>SUMIFS('YTD Sales'!$N:$N,'YTD Sales'!$B:$B,Brokerage!$B247,'YTD Sales'!$M:$M,Brokerage!I$4)+SUMIFS('YTD Purchases'!$H:$H,'YTD Purchases'!$C:$C,Brokerage!$B247,'YTD Purchases'!$G:$G,Brokerage!I$4)</f>
        <v>0</v>
      </c>
      <c r="J247" s="857">
        <f>SUMIFS('YTD Sales'!$N:$N,'YTD Sales'!$B:$B,Brokerage!$B247,'YTD Sales'!$M:$M,Brokerage!J$4)+SUMIFS('YTD Purchases'!$H:$H,'YTD Purchases'!$C:$C,Brokerage!$B247,'YTD Purchases'!$G:$G,Brokerage!J$4)</f>
        <v>0</v>
      </c>
      <c r="K247" s="857">
        <f>SUMIFS('YTD Sales'!$N:$N,'YTD Sales'!$B:$B,Brokerage!$B247,'YTD Sales'!$M:$M,Brokerage!K$4)+SUMIFS('YTD Purchases'!$H:$H,'YTD Purchases'!$C:$C,Brokerage!$B247,'YTD Purchases'!$G:$G,Brokerage!K$4)</f>
        <v>0</v>
      </c>
      <c r="L247" s="857">
        <f>SUMIFS('YTD Sales'!$N:$N,'YTD Sales'!$B:$B,Brokerage!$B247,'YTD Sales'!$M:$M,Brokerage!L$4)+SUMIFS('YTD Purchases'!$H:$H,'YTD Purchases'!$C:$C,Brokerage!$B247,'YTD Purchases'!$G:$G,Brokerage!L$4)</f>
        <v>0</v>
      </c>
      <c r="M247" s="857">
        <f>SUMIFS('YTD Sales'!$N:$N,'YTD Sales'!$B:$B,Brokerage!$B247,'YTD Sales'!$M:$M,Brokerage!M$4)+SUMIFS('YTD Purchases'!$H:$H,'YTD Purchases'!$C:$C,Brokerage!$B247,'YTD Purchases'!$G:$G,Brokerage!M$4)</f>
        <v>0</v>
      </c>
      <c r="N247" s="857">
        <f>SUMIFS('YTD Sales'!$N:$N,'YTD Sales'!$B:$B,Brokerage!$B247,'YTD Sales'!$M:$M,Brokerage!N$4)+SUMIFS('YTD Purchases'!$H:$H,'YTD Purchases'!$C:$C,Brokerage!$B247,'YTD Purchases'!$G:$G,Brokerage!N$4)</f>
        <v>0</v>
      </c>
      <c r="O247" s="857">
        <f>SUMIFS('YTD Sales'!$N:$N,'YTD Sales'!$B:$B,Brokerage!$B247,'YTD Sales'!$M:$M,Brokerage!O$4)+SUMIFS('YTD Purchases'!$H:$H,'YTD Purchases'!$C:$C,Brokerage!$B247,'YTD Purchases'!$G:$G,Brokerage!O$4)</f>
        <v>0</v>
      </c>
      <c r="P247" s="857">
        <f>SUMIFS('YTD Sales'!$N:$N,'YTD Sales'!$B:$B,Brokerage!$B247,'YTD Sales'!$M:$M,Brokerage!P$4)+SUMIFS('YTD Purchases'!$H:$H,'YTD Purchases'!$C:$C,Brokerage!$B247,'YTD Purchases'!$G:$G,Brokerage!P$4)</f>
        <v>0</v>
      </c>
      <c r="Q247" s="857">
        <f>SUMIFS('YTD Sales'!$N:$N,'YTD Sales'!$B:$B,Brokerage!$B247,'YTD Sales'!$M:$M,Brokerage!Q$4)+SUMIFS('YTD Purchases'!$H:$H,'YTD Purchases'!$C:$C,Brokerage!$B247,'YTD Purchases'!$G:$G,Brokerage!Q$4)</f>
        <v>0</v>
      </c>
      <c r="R247" s="857">
        <f>SUMIFS('YTD Sales'!$N:$N,'YTD Sales'!$B:$B,Brokerage!$B247,'YTD Sales'!$M:$M,Brokerage!R$4)+SUMIFS('YTD Purchases'!$H:$H,'YTD Purchases'!$C:$C,Brokerage!$B247,'YTD Purchases'!$G:$G,Brokerage!R$4)</f>
        <v>0</v>
      </c>
      <c r="S247" s="857">
        <f>SUMIFS('YTD Sales'!$N:$N,'YTD Sales'!$B:$B,Brokerage!$B247,'YTD Sales'!$M:$M,Brokerage!S$4)+SUMIFS('YTD Purchases'!$H:$H,'YTD Purchases'!$C:$C,Brokerage!$B247,'YTD Purchases'!$G:$G,Brokerage!S$4)</f>
        <v>0</v>
      </c>
      <c r="T247" s="857">
        <f>SUMIFS('YTD Sales'!$N:$N,'YTD Sales'!$B:$B,Brokerage!$B247,'YTD Sales'!$M:$M,Brokerage!T$4)+SUMIFS('YTD Purchases'!$H:$H,'YTD Purchases'!$C:$C,Brokerage!$B247,'YTD Purchases'!$G:$G,Brokerage!T$4)</f>
        <v>0</v>
      </c>
      <c r="U247" s="857">
        <f>SUMIFS('YTD Sales'!$N:$N,'YTD Sales'!$B:$B,Brokerage!$B247,'YTD Sales'!$M:$M,Brokerage!U$4)+SUMIFS('YTD Purchases'!$H:$H,'YTD Purchases'!$C:$C,Brokerage!$B247,'YTD Purchases'!$G:$G,Brokerage!U$4)</f>
        <v>0</v>
      </c>
      <c r="V247" s="857">
        <f>SUMIFS('YTD Sales'!$N:$N,'YTD Sales'!$B:$B,Brokerage!$B247,'YTD Sales'!$M:$M,Brokerage!V$4)+SUMIFS('YTD Purchases'!$H:$H,'YTD Purchases'!$C:$C,Brokerage!$B247,'YTD Purchases'!$G:$G,Brokerage!V$4)</f>
        <v>0</v>
      </c>
      <c r="W247" s="857">
        <f>SUMIFS('YTD Sales'!$N:$N,'YTD Sales'!$B:$B,Brokerage!$B247,'YTD Sales'!$M:$M,Brokerage!W$4)+SUMIFS('YTD Purchases'!$H:$H,'YTD Purchases'!$C:$C,Brokerage!$B247,'YTD Purchases'!$G:$G,Brokerage!W$4)</f>
        <v>0</v>
      </c>
      <c r="X247" s="857">
        <f>SUMIFS('YTD Sales'!$N:$N,'YTD Sales'!$B:$B,Brokerage!$B247,'YTD Sales'!$M:$M,Brokerage!X$4)+SUMIFS('YTD Purchases'!$H:$H,'YTD Purchases'!$C:$C,Brokerage!$B247,'YTD Purchases'!$G:$G,Brokerage!X$4)</f>
        <v>0</v>
      </c>
      <c r="Y247" s="857">
        <f>SUMIFS('YTD Sales'!$N:$N,'YTD Sales'!$B:$B,Brokerage!$B247,'YTD Sales'!$M:$M,Brokerage!Y$4)+SUMIFS('YTD Purchases'!$H:$H,'YTD Purchases'!$C:$C,Brokerage!$B247,'YTD Purchases'!$G:$G,Brokerage!Y$4)</f>
        <v>0</v>
      </c>
      <c r="Z247" s="857">
        <f>SUMIFS('YTD Sales'!$N:$N,'YTD Sales'!$B:$B,Brokerage!$B247,'YTD Sales'!$M:$M,Brokerage!Z$4)+SUMIFS('YTD Purchases'!$H:$H,'YTD Purchases'!$C:$C,Brokerage!$B247,'YTD Purchases'!$G:$G,Brokerage!Z$4)</f>
        <v>0</v>
      </c>
      <c r="AA247" s="857">
        <f>SUMIFS('YTD Sales'!$N:$N,'YTD Sales'!$B:$B,Brokerage!$B247,'YTD Sales'!$M:$M,Brokerage!AA$4)+SUMIFS('YTD Purchases'!$H:$H,'YTD Purchases'!$C:$C,Brokerage!$B247,'YTD Purchases'!$G:$G,Brokerage!AA$4)</f>
        <v>0</v>
      </c>
      <c r="AB247" s="857">
        <f>SUMIFS('YTD Sales'!$N:$N,'YTD Sales'!$B:$B,Brokerage!$B247,'YTD Sales'!$M:$M,Brokerage!AB$4)+SUMIFS('YTD Purchases'!$H:$H,'YTD Purchases'!$C:$C,Brokerage!$B247,'YTD Purchases'!$G:$G,Brokerage!AB$4)</f>
        <v>0</v>
      </c>
      <c r="AC247" s="857">
        <f>SUMIFS('YTD Sales'!$N:$N,'YTD Sales'!$B:$B,Brokerage!$B247,'YTD Sales'!$M:$M,Brokerage!AC$4)+SUMIFS('YTD Purchases'!$H:$H,'YTD Purchases'!$C:$C,Brokerage!$B247,'YTD Purchases'!$G:$G,Brokerage!AC$4)</f>
        <v>0</v>
      </c>
      <c r="AD247" s="857">
        <f>+SUMIFS(PIB!AG:AG,PIB!AF:AF,Brokerage!AD$4,PIB!AA:AA,Brokerage!$B247)+SUMIFS('T-Bills'!AB:AB,'T-Bills'!AA:AA,Brokerage!AD$4,'T-Bills'!V:V,Brokerage!$B247)</f>
        <v>0</v>
      </c>
      <c r="AE247" s="857">
        <f>+SUMIFS(PIB!AH:AH,PIB!AG:AG,Brokerage!AE$4,PIB!AB:AB,Brokerage!$B247)+SUMIFS('T-Bills'!AC:AC,'T-Bills'!AB:AB,Brokerage!AE$4,'T-Bills'!W:W,Brokerage!$B247)</f>
        <v>0</v>
      </c>
      <c r="AF247" s="857">
        <f>+SUMIFS(PIB!AI:AI,PIB!AH:AH,Brokerage!AF$4,PIB!AC:AC,Brokerage!$B247)+SUMIFS('T-Bills'!AD:AD,'T-Bills'!AC:AC,Brokerage!AF$4,'T-Bills'!X:X,Brokerage!$B247)</f>
        <v>0</v>
      </c>
      <c r="AG247" s="857">
        <f t="shared" si="23"/>
        <v>0</v>
      </c>
      <c r="AH247" s="858">
        <f t="shared" si="24"/>
        <v>0</v>
      </c>
    </row>
    <row r="248" spans="2:34" x14ac:dyDescent="0.15">
      <c r="B248" s="661">
        <f t="shared" si="22"/>
        <v>44804</v>
      </c>
      <c r="C248" s="857">
        <f>SUMIFS('YTD Sales'!$N:$N,'YTD Sales'!$B:$B,Brokerage!$B248,'YTD Sales'!$M:$M,Brokerage!C$4)+SUMIFS('YTD Purchases'!$H:$H,'YTD Purchases'!$C:$C,Brokerage!$B248,'YTD Purchases'!$G:$G,Brokerage!C$4)</f>
        <v>0</v>
      </c>
      <c r="D248" s="857">
        <f>SUMIFS('YTD Sales'!$N:$N,'YTD Sales'!$B:$B,Brokerage!$B248,'YTD Sales'!$M:$M,Brokerage!D$4)+SUMIFS('YTD Purchases'!$H:$H,'YTD Purchases'!$C:$C,Brokerage!$B248,'YTD Purchases'!$G:$G,Brokerage!D$4)</f>
        <v>0</v>
      </c>
      <c r="E248" s="857">
        <f>SUMIFS('YTD Sales'!$N:$N,'YTD Sales'!$B:$B,Brokerage!$B248,'YTD Sales'!$M:$M,Brokerage!E$4)+SUMIFS('YTD Purchases'!$H:$H,'YTD Purchases'!$C:$C,Brokerage!$B248,'YTD Purchases'!$G:$G,Brokerage!E$4)</f>
        <v>0</v>
      </c>
      <c r="F248" s="857">
        <f>SUMIFS('YTD Sales'!$N:$N,'YTD Sales'!$B:$B,Brokerage!$B248,'YTD Sales'!$M:$M,Brokerage!F$4)+SUMIFS('YTD Purchases'!$H:$H,'YTD Purchases'!$C:$C,Brokerage!$B248,'YTD Purchases'!$G:$G,Brokerage!F$4)</f>
        <v>0</v>
      </c>
      <c r="G248" s="857">
        <f>SUMIFS('YTD Sales'!$N:$N,'YTD Sales'!$B:$B,Brokerage!$B248,'YTD Sales'!$M:$M,Brokerage!G$4)+SUMIFS('YTD Purchases'!$H:$H,'YTD Purchases'!$C:$C,Brokerage!$B248,'YTD Purchases'!$G:$G,Brokerage!G$4)</f>
        <v>0</v>
      </c>
      <c r="H248" s="857">
        <f>SUMIFS('YTD Sales'!$N:$N,'YTD Sales'!$B:$B,Brokerage!$B248,'YTD Sales'!$M:$M,Brokerage!H$4)+SUMIFS('YTD Purchases'!$H:$H,'YTD Purchases'!$C:$C,Brokerage!$B248,'YTD Purchases'!$G:$G,Brokerage!H$4)</f>
        <v>0</v>
      </c>
      <c r="I248" s="857">
        <f>SUMIFS('YTD Sales'!$N:$N,'YTD Sales'!$B:$B,Brokerage!$B248,'YTD Sales'!$M:$M,Brokerage!I$4)+SUMIFS('YTD Purchases'!$H:$H,'YTD Purchases'!$C:$C,Brokerage!$B248,'YTD Purchases'!$G:$G,Brokerage!I$4)</f>
        <v>0</v>
      </c>
      <c r="J248" s="857">
        <f>SUMIFS('YTD Sales'!$N:$N,'YTD Sales'!$B:$B,Brokerage!$B248,'YTD Sales'!$M:$M,Brokerage!J$4)+SUMIFS('YTD Purchases'!$H:$H,'YTD Purchases'!$C:$C,Brokerage!$B248,'YTD Purchases'!$G:$G,Brokerage!J$4)</f>
        <v>0</v>
      </c>
      <c r="K248" s="857">
        <f>SUMIFS('YTD Sales'!$N:$N,'YTD Sales'!$B:$B,Brokerage!$B248,'YTD Sales'!$M:$M,Brokerage!K$4)+SUMIFS('YTD Purchases'!$H:$H,'YTD Purchases'!$C:$C,Brokerage!$B248,'YTD Purchases'!$G:$G,Brokerage!K$4)</f>
        <v>0</v>
      </c>
      <c r="L248" s="857">
        <f>SUMIFS('YTD Sales'!$N:$N,'YTD Sales'!$B:$B,Brokerage!$B248,'YTD Sales'!$M:$M,Brokerage!L$4)+SUMIFS('YTD Purchases'!$H:$H,'YTD Purchases'!$C:$C,Brokerage!$B248,'YTD Purchases'!$G:$G,Brokerage!L$4)</f>
        <v>0</v>
      </c>
      <c r="M248" s="857">
        <f>SUMIFS('YTD Sales'!$N:$N,'YTD Sales'!$B:$B,Brokerage!$B248,'YTD Sales'!$M:$M,Brokerage!M$4)+SUMIFS('YTD Purchases'!$H:$H,'YTD Purchases'!$C:$C,Brokerage!$B248,'YTD Purchases'!$G:$G,Brokerage!M$4)</f>
        <v>0</v>
      </c>
      <c r="N248" s="857">
        <f>SUMIFS('YTD Sales'!$N:$N,'YTD Sales'!$B:$B,Brokerage!$B248,'YTD Sales'!$M:$M,Brokerage!N$4)+SUMIFS('YTD Purchases'!$H:$H,'YTD Purchases'!$C:$C,Brokerage!$B248,'YTD Purchases'!$G:$G,Brokerage!N$4)</f>
        <v>0</v>
      </c>
      <c r="O248" s="857">
        <f>SUMIFS('YTD Sales'!$N:$N,'YTD Sales'!$B:$B,Brokerage!$B248,'YTD Sales'!$M:$M,Brokerage!O$4)+SUMIFS('YTD Purchases'!$H:$H,'YTD Purchases'!$C:$C,Brokerage!$B248,'YTD Purchases'!$G:$G,Brokerage!O$4)</f>
        <v>0</v>
      </c>
      <c r="P248" s="857">
        <f>SUMIFS('YTD Sales'!$N:$N,'YTD Sales'!$B:$B,Brokerage!$B248,'YTD Sales'!$M:$M,Brokerage!P$4)+SUMIFS('YTD Purchases'!$H:$H,'YTD Purchases'!$C:$C,Brokerage!$B248,'YTD Purchases'!$G:$G,Brokerage!P$4)</f>
        <v>0</v>
      </c>
      <c r="Q248" s="857">
        <f>SUMIFS('YTD Sales'!$N:$N,'YTD Sales'!$B:$B,Brokerage!$B248,'YTD Sales'!$M:$M,Brokerage!Q$4)+SUMIFS('YTD Purchases'!$H:$H,'YTD Purchases'!$C:$C,Brokerage!$B248,'YTD Purchases'!$G:$G,Brokerage!Q$4)</f>
        <v>0</v>
      </c>
      <c r="R248" s="857">
        <f>SUMIFS('YTD Sales'!$N:$N,'YTD Sales'!$B:$B,Brokerage!$B248,'YTD Sales'!$M:$M,Brokerage!R$4)+SUMIFS('YTD Purchases'!$H:$H,'YTD Purchases'!$C:$C,Brokerage!$B248,'YTD Purchases'!$G:$G,Brokerage!R$4)</f>
        <v>0</v>
      </c>
      <c r="S248" s="857">
        <f>SUMIFS('YTD Sales'!$N:$N,'YTD Sales'!$B:$B,Brokerage!$B248,'YTD Sales'!$M:$M,Brokerage!S$4)+SUMIFS('YTD Purchases'!$H:$H,'YTD Purchases'!$C:$C,Brokerage!$B248,'YTD Purchases'!$G:$G,Brokerage!S$4)</f>
        <v>0</v>
      </c>
      <c r="T248" s="857">
        <f>SUMIFS('YTD Sales'!$N:$N,'YTD Sales'!$B:$B,Brokerage!$B248,'YTD Sales'!$M:$M,Brokerage!T$4)+SUMIFS('YTD Purchases'!$H:$H,'YTD Purchases'!$C:$C,Brokerage!$B248,'YTD Purchases'!$G:$G,Brokerage!T$4)</f>
        <v>0</v>
      </c>
      <c r="U248" s="857">
        <f>SUMIFS('YTD Sales'!$N:$N,'YTD Sales'!$B:$B,Brokerage!$B248,'YTD Sales'!$M:$M,Brokerage!U$4)+SUMIFS('YTD Purchases'!$H:$H,'YTD Purchases'!$C:$C,Brokerage!$B248,'YTD Purchases'!$G:$G,Brokerage!U$4)</f>
        <v>0</v>
      </c>
      <c r="V248" s="857">
        <f>SUMIFS('YTD Sales'!$N:$N,'YTD Sales'!$B:$B,Brokerage!$B248,'YTD Sales'!$M:$M,Brokerage!V$4)+SUMIFS('YTD Purchases'!$H:$H,'YTD Purchases'!$C:$C,Brokerage!$B248,'YTD Purchases'!$G:$G,Brokerage!V$4)</f>
        <v>0</v>
      </c>
      <c r="W248" s="857">
        <f>SUMIFS('YTD Sales'!$N:$N,'YTD Sales'!$B:$B,Brokerage!$B248,'YTD Sales'!$M:$M,Brokerage!W$4)+SUMIFS('YTD Purchases'!$H:$H,'YTD Purchases'!$C:$C,Brokerage!$B248,'YTD Purchases'!$G:$G,Brokerage!W$4)</f>
        <v>0</v>
      </c>
      <c r="X248" s="857">
        <f>SUMIFS('YTD Sales'!$N:$N,'YTD Sales'!$B:$B,Brokerage!$B248,'YTD Sales'!$M:$M,Brokerage!X$4)+SUMIFS('YTD Purchases'!$H:$H,'YTD Purchases'!$C:$C,Brokerage!$B248,'YTD Purchases'!$G:$G,Brokerage!X$4)</f>
        <v>0</v>
      </c>
      <c r="Y248" s="857">
        <f>SUMIFS('YTD Sales'!$N:$N,'YTD Sales'!$B:$B,Brokerage!$B248,'YTD Sales'!$M:$M,Brokerage!Y$4)+SUMIFS('YTD Purchases'!$H:$H,'YTD Purchases'!$C:$C,Brokerage!$B248,'YTD Purchases'!$G:$G,Brokerage!Y$4)</f>
        <v>0</v>
      </c>
      <c r="Z248" s="857">
        <f>SUMIFS('YTD Sales'!$N:$N,'YTD Sales'!$B:$B,Brokerage!$B248,'YTD Sales'!$M:$M,Brokerage!Z$4)+SUMIFS('YTD Purchases'!$H:$H,'YTD Purchases'!$C:$C,Brokerage!$B248,'YTD Purchases'!$G:$G,Brokerage!Z$4)</f>
        <v>0</v>
      </c>
      <c r="AA248" s="857">
        <f>SUMIFS('YTD Sales'!$N:$N,'YTD Sales'!$B:$B,Brokerage!$B248,'YTD Sales'!$M:$M,Brokerage!AA$4)+SUMIFS('YTD Purchases'!$H:$H,'YTD Purchases'!$C:$C,Brokerage!$B248,'YTD Purchases'!$G:$G,Brokerage!AA$4)</f>
        <v>0</v>
      </c>
      <c r="AB248" s="857">
        <f>SUMIFS('YTD Sales'!$N:$N,'YTD Sales'!$B:$B,Brokerage!$B248,'YTD Sales'!$M:$M,Brokerage!AB$4)+SUMIFS('YTD Purchases'!$H:$H,'YTD Purchases'!$C:$C,Brokerage!$B248,'YTD Purchases'!$G:$G,Brokerage!AB$4)</f>
        <v>0</v>
      </c>
      <c r="AC248" s="857">
        <f>SUMIFS('YTD Sales'!$N:$N,'YTD Sales'!$B:$B,Brokerage!$B248,'YTD Sales'!$M:$M,Brokerage!AC$4)+SUMIFS('YTD Purchases'!$H:$H,'YTD Purchases'!$C:$C,Brokerage!$B248,'YTD Purchases'!$G:$G,Brokerage!AC$4)</f>
        <v>0</v>
      </c>
      <c r="AD248" s="857">
        <f>+SUMIFS(PIB!AG:AG,PIB!AF:AF,Brokerage!AD$4,PIB!AA:AA,Brokerage!$B248)+SUMIFS('T-Bills'!AB:AB,'T-Bills'!AA:AA,Brokerage!AD$4,'T-Bills'!V:V,Brokerage!$B248)</f>
        <v>0</v>
      </c>
      <c r="AE248" s="857">
        <f>+SUMIFS(PIB!AH:AH,PIB!AG:AG,Brokerage!AE$4,PIB!AB:AB,Brokerage!$B248)+SUMIFS('T-Bills'!AC:AC,'T-Bills'!AB:AB,Brokerage!AE$4,'T-Bills'!W:W,Brokerage!$B248)</f>
        <v>0</v>
      </c>
      <c r="AF248" s="857">
        <f>+SUMIFS(PIB!AI:AI,PIB!AH:AH,Brokerage!AF$4,PIB!AC:AC,Brokerage!$B248)+SUMIFS('T-Bills'!AD:AD,'T-Bills'!AC:AC,Brokerage!AF$4,'T-Bills'!X:X,Brokerage!$B248)</f>
        <v>0</v>
      </c>
      <c r="AG248" s="857">
        <f t="shared" si="23"/>
        <v>0</v>
      </c>
      <c r="AH248" s="858">
        <f t="shared" si="24"/>
        <v>0</v>
      </c>
    </row>
    <row r="249" spans="2:34" x14ac:dyDescent="0.15">
      <c r="B249" s="661">
        <f t="shared" si="22"/>
        <v>44805</v>
      </c>
      <c r="C249" s="857">
        <f>SUMIFS('YTD Sales'!$N:$N,'YTD Sales'!$B:$B,Brokerage!$B249,'YTD Sales'!$M:$M,Brokerage!C$4)+SUMIFS('YTD Purchases'!$H:$H,'YTD Purchases'!$C:$C,Brokerage!$B249,'YTD Purchases'!$G:$G,Brokerage!C$4)</f>
        <v>0</v>
      </c>
      <c r="D249" s="857">
        <f>SUMIFS('YTD Sales'!$N:$N,'YTD Sales'!$B:$B,Brokerage!$B249,'YTD Sales'!$M:$M,Brokerage!D$4)+SUMIFS('YTD Purchases'!$H:$H,'YTD Purchases'!$C:$C,Brokerage!$B249,'YTD Purchases'!$G:$G,Brokerage!D$4)</f>
        <v>0</v>
      </c>
      <c r="E249" s="857">
        <f>SUMIFS('YTD Sales'!$N:$N,'YTD Sales'!$B:$B,Brokerage!$B249,'YTD Sales'!$M:$M,Brokerage!E$4)+SUMIFS('YTD Purchases'!$H:$H,'YTD Purchases'!$C:$C,Brokerage!$B249,'YTD Purchases'!$G:$G,Brokerage!E$4)</f>
        <v>0</v>
      </c>
      <c r="F249" s="857">
        <f>SUMIFS('YTD Sales'!$N:$N,'YTD Sales'!$B:$B,Brokerage!$B249,'YTD Sales'!$M:$M,Brokerage!F$4)+SUMIFS('YTD Purchases'!$H:$H,'YTD Purchases'!$C:$C,Brokerage!$B249,'YTD Purchases'!$G:$G,Brokerage!F$4)</f>
        <v>0</v>
      </c>
      <c r="G249" s="857">
        <f>SUMIFS('YTD Sales'!$N:$N,'YTD Sales'!$B:$B,Brokerage!$B249,'YTD Sales'!$M:$M,Brokerage!G$4)+SUMIFS('YTD Purchases'!$H:$H,'YTD Purchases'!$C:$C,Brokerage!$B249,'YTD Purchases'!$G:$G,Brokerage!G$4)</f>
        <v>0</v>
      </c>
      <c r="H249" s="857">
        <f>SUMIFS('YTD Sales'!$N:$N,'YTD Sales'!$B:$B,Brokerage!$B249,'YTD Sales'!$M:$M,Brokerage!H$4)+SUMIFS('YTD Purchases'!$H:$H,'YTD Purchases'!$C:$C,Brokerage!$B249,'YTD Purchases'!$G:$G,Brokerage!H$4)</f>
        <v>0</v>
      </c>
      <c r="I249" s="857">
        <f>SUMIFS('YTD Sales'!$N:$N,'YTD Sales'!$B:$B,Brokerage!$B249,'YTD Sales'!$M:$M,Brokerage!I$4)+SUMIFS('YTD Purchases'!$H:$H,'YTD Purchases'!$C:$C,Brokerage!$B249,'YTD Purchases'!$G:$G,Brokerage!I$4)</f>
        <v>0</v>
      </c>
      <c r="J249" s="857">
        <f>SUMIFS('YTD Sales'!$N:$N,'YTD Sales'!$B:$B,Brokerage!$B249,'YTD Sales'!$M:$M,Brokerage!J$4)+SUMIFS('YTD Purchases'!$H:$H,'YTD Purchases'!$C:$C,Brokerage!$B249,'YTD Purchases'!$G:$G,Brokerage!J$4)</f>
        <v>0</v>
      </c>
      <c r="K249" s="857">
        <f>SUMIFS('YTD Sales'!$N:$N,'YTD Sales'!$B:$B,Brokerage!$B249,'YTD Sales'!$M:$M,Brokerage!K$4)+SUMIFS('YTD Purchases'!$H:$H,'YTD Purchases'!$C:$C,Brokerage!$B249,'YTD Purchases'!$G:$G,Brokerage!K$4)</f>
        <v>0</v>
      </c>
      <c r="L249" s="857">
        <f>SUMIFS('YTD Sales'!$N:$N,'YTD Sales'!$B:$B,Brokerage!$B249,'YTD Sales'!$M:$M,Brokerage!L$4)+SUMIFS('YTD Purchases'!$H:$H,'YTD Purchases'!$C:$C,Brokerage!$B249,'YTD Purchases'!$G:$G,Brokerage!L$4)</f>
        <v>0</v>
      </c>
      <c r="M249" s="857">
        <f>SUMIFS('YTD Sales'!$N:$N,'YTD Sales'!$B:$B,Brokerage!$B249,'YTD Sales'!$M:$M,Brokerage!M$4)+SUMIFS('YTD Purchases'!$H:$H,'YTD Purchases'!$C:$C,Brokerage!$B249,'YTD Purchases'!$G:$G,Brokerage!M$4)</f>
        <v>0</v>
      </c>
      <c r="N249" s="857">
        <f>SUMIFS('YTD Sales'!$N:$N,'YTD Sales'!$B:$B,Brokerage!$B249,'YTD Sales'!$M:$M,Brokerage!N$4)+SUMIFS('YTD Purchases'!$H:$H,'YTD Purchases'!$C:$C,Brokerage!$B249,'YTD Purchases'!$G:$G,Brokerage!N$4)</f>
        <v>0</v>
      </c>
      <c r="O249" s="857">
        <f>SUMIFS('YTD Sales'!$N:$N,'YTD Sales'!$B:$B,Brokerage!$B249,'YTD Sales'!$M:$M,Brokerage!O$4)+SUMIFS('YTD Purchases'!$H:$H,'YTD Purchases'!$C:$C,Brokerage!$B249,'YTD Purchases'!$G:$G,Brokerage!O$4)</f>
        <v>0</v>
      </c>
      <c r="P249" s="857">
        <f>SUMIFS('YTD Sales'!$N:$N,'YTD Sales'!$B:$B,Brokerage!$B249,'YTD Sales'!$M:$M,Brokerage!P$4)+SUMIFS('YTD Purchases'!$H:$H,'YTD Purchases'!$C:$C,Brokerage!$B249,'YTD Purchases'!$G:$G,Brokerage!P$4)</f>
        <v>0</v>
      </c>
      <c r="Q249" s="857">
        <f>SUMIFS('YTD Sales'!$N:$N,'YTD Sales'!$B:$B,Brokerage!$B249,'YTD Sales'!$M:$M,Brokerage!Q$4)+SUMIFS('YTD Purchases'!$H:$H,'YTD Purchases'!$C:$C,Brokerage!$B249,'YTD Purchases'!$G:$G,Brokerage!Q$4)</f>
        <v>0</v>
      </c>
      <c r="R249" s="857">
        <f>SUMIFS('YTD Sales'!$N:$N,'YTD Sales'!$B:$B,Brokerage!$B249,'YTD Sales'!$M:$M,Brokerage!R$4)+SUMIFS('YTD Purchases'!$H:$H,'YTD Purchases'!$C:$C,Brokerage!$B249,'YTD Purchases'!$G:$G,Brokerage!R$4)</f>
        <v>0</v>
      </c>
      <c r="S249" s="857">
        <f>SUMIFS('YTD Sales'!$N:$N,'YTD Sales'!$B:$B,Brokerage!$B249,'YTD Sales'!$M:$M,Brokerage!S$4)+SUMIFS('YTD Purchases'!$H:$H,'YTD Purchases'!$C:$C,Brokerage!$B249,'YTD Purchases'!$G:$G,Brokerage!S$4)</f>
        <v>0</v>
      </c>
      <c r="T249" s="857">
        <f>SUMIFS('YTD Sales'!$N:$N,'YTD Sales'!$B:$B,Brokerage!$B249,'YTD Sales'!$M:$M,Brokerage!T$4)+SUMIFS('YTD Purchases'!$H:$H,'YTD Purchases'!$C:$C,Brokerage!$B249,'YTD Purchases'!$G:$G,Brokerage!T$4)</f>
        <v>0</v>
      </c>
      <c r="U249" s="857">
        <f>SUMIFS('YTD Sales'!$N:$N,'YTD Sales'!$B:$B,Brokerage!$B249,'YTD Sales'!$M:$M,Brokerage!U$4)+SUMIFS('YTD Purchases'!$H:$H,'YTD Purchases'!$C:$C,Brokerage!$B249,'YTD Purchases'!$G:$G,Brokerage!U$4)</f>
        <v>0</v>
      </c>
      <c r="V249" s="857">
        <f>SUMIFS('YTD Sales'!$N:$N,'YTD Sales'!$B:$B,Brokerage!$B249,'YTD Sales'!$M:$M,Brokerage!V$4)+SUMIFS('YTD Purchases'!$H:$H,'YTD Purchases'!$C:$C,Brokerage!$B249,'YTD Purchases'!$G:$G,Brokerage!V$4)</f>
        <v>0</v>
      </c>
      <c r="W249" s="857">
        <f>SUMIFS('YTD Sales'!$N:$N,'YTD Sales'!$B:$B,Brokerage!$B249,'YTD Sales'!$M:$M,Brokerage!W$4)+SUMIFS('YTD Purchases'!$H:$H,'YTD Purchases'!$C:$C,Brokerage!$B249,'YTD Purchases'!$G:$G,Brokerage!W$4)</f>
        <v>0</v>
      </c>
      <c r="X249" s="857">
        <f>SUMIFS('YTD Sales'!$N:$N,'YTD Sales'!$B:$B,Brokerage!$B249,'YTD Sales'!$M:$M,Brokerage!X$4)+SUMIFS('YTD Purchases'!$H:$H,'YTD Purchases'!$C:$C,Brokerage!$B249,'YTD Purchases'!$G:$G,Brokerage!X$4)</f>
        <v>0</v>
      </c>
      <c r="Y249" s="857">
        <f>SUMIFS('YTD Sales'!$N:$N,'YTD Sales'!$B:$B,Brokerage!$B249,'YTD Sales'!$M:$M,Brokerage!Y$4)+SUMIFS('YTD Purchases'!$H:$H,'YTD Purchases'!$C:$C,Brokerage!$B249,'YTD Purchases'!$G:$G,Brokerage!Y$4)</f>
        <v>0</v>
      </c>
      <c r="Z249" s="857">
        <f>SUMIFS('YTD Sales'!$N:$N,'YTD Sales'!$B:$B,Brokerage!$B249,'YTD Sales'!$M:$M,Brokerage!Z$4)+SUMIFS('YTD Purchases'!$H:$H,'YTD Purchases'!$C:$C,Brokerage!$B249,'YTD Purchases'!$G:$G,Brokerage!Z$4)</f>
        <v>0</v>
      </c>
      <c r="AA249" s="857">
        <f>SUMIFS('YTD Sales'!$N:$N,'YTD Sales'!$B:$B,Brokerage!$B249,'YTD Sales'!$M:$M,Brokerage!AA$4)+SUMIFS('YTD Purchases'!$H:$H,'YTD Purchases'!$C:$C,Brokerage!$B249,'YTD Purchases'!$G:$G,Brokerage!AA$4)</f>
        <v>0</v>
      </c>
      <c r="AB249" s="857">
        <f>SUMIFS('YTD Sales'!$N:$N,'YTD Sales'!$B:$B,Brokerage!$B249,'YTD Sales'!$M:$M,Brokerage!AB$4)+SUMIFS('YTD Purchases'!$H:$H,'YTD Purchases'!$C:$C,Brokerage!$B249,'YTD Purchases'!$G:$G,Brokerage!AB$4)</f>
        <v>0</v>
      </c>
      <c r="AC249" s="857">
        <f>SUMIFS('YTD Sales'!$N:$N,'YTD Sales'!$B:$B,Brokerage!$B249,'YTD Sales'!$M:$M,Brokerage!AC$4)+SUMIFS('YTD Purchases'!$H:$H,'YTD Purchases'!$C:$C,Brokerage!$B249,'YTD Purchases'!$G:$G,Brokerage!AC$4)</f>
        <v>0</v>
      </c>
      <c r="AD249" s="857">
        <f>+SUMIFS(PIB!AG:AG,PIB!AF:AF,Brokerage!AD$4,PIB!AA:AA,Brokerage!$B249)+SUMIFS('T-Bills'!AB:AB,'T-Bills'!AA:AA,Brokerage!AD$4,'T-Bills'!V:V,Brokerage!$B249)</f>
        <v>0</v>
      </c>
      <c r="AE249" s="857">
        <f>+SUMIFS(PIB!AH:AH,PIB!AG:AG,Brokerage!AE$4,PIB!AB:AB,Brokerage!$B249)+SUMIFS('T-Bills'!AC:AC,'T-Bills'!AB:AB,Brokerage!AE$4,'T-Bills'!W:W,Brokerage!$B249)</f>
        <v>0</v>
      </c>
      <c r="AF249" s="857">
        <f>+SUMIFS(PIB!AI:AI,PIB!AH:AH,Brokerage!AF$4,PIB!AC:AC,Brokerage!$B249)+SUMIFS('T-Bills'!AD:AD,'T-Bills'!AC:AC,Brokerage!AF$4,'T-Bills'!X:X,Brokerage!$B249)</f>
        <v>0</v>
      </c>
      <c r="AG249" s="857">
        <f t="shared" si="23"/>
        <v>0</v>
      </c>
      <c r="AH249" s="858">
        <f t="shared" si="24"/>
        <v>0</v>
      </c>
    </row>
    <row r="250" spans="2:34" x14ac:dyDescent="0.15">
      <c r="B250" s="661">
        <f t="shared" si="22"/>
        <v>44806</v>
      </c>
      <c r="C250" s="857">
        <f>SUMIFS('YTD Sales'!$N:$N,'YTD Sales'!$B:$B,Brokerage!$B250,'YTD Sales'!$M:$M,Brokerage!C$4)+SUMIFS('YTD Purchases'!$H:$H,'YTD Purchases'!$C:$C,Brokerage!$B250,'YTD Purchases'!$G:$G,Brokerage!C$4)</f>
        <v>0</v>
      </c>
      <c r="D250" s="857">
        <f>SUMIFS('YTD Sales'!$N:$N,'YTD Sales'!$B:$B,Brokerage!$B250,'YTD Sales'!$M:$M,Brokerage!D$4)+SUMIFS('YTD Purchases'!$H:$H,'YTD Purchases'!$C:$C,Brokerage!$B250,'YTD Purchases'!$G:$G,Brokerage!D$4)</f>
        <v>0</v>
      </c>
      <c r="E250" s="857">
        <f>SUMIFS('YTD Sales'!$N:$N,'YTD Sales'!$B:$B,Brokerage!$B250,'YTD Sales'!$M:$M,Brokerage!E$4)+SUMIFS('YTD Purchases'!$H:$H,'YTD Purchases'!$C:$C,Brokerage!$B250,'YTD Purchases'!$G:$G,Brokerage!E$4)</f>
        <v>0</v>
      </c>
      <c r="F250" s="857">
        <f>SUMIFS('YTD Sales'!$N:$N,'YTD Sales'!$B:$B,Brokerage!$B250,'YTD Sales'!$M:$M,Brokerage!F$4)+SUMIFS('YTD Purchases'!$H:$H,'YTD Purchases'!$C:$C,Brokerage!$B250,'YTD Purchases'!$G:$G,Brokerage!F$4)</f>
        <v>0</v>
      </c>
      <c r="G250" s="857">
        <f>SUMIFS('YTD Sales'!$N:$N,'YTD Sales'!$B:$B,Brokerage!$B250,'YTD Sales'!$M:$M,Brokerage!G$4)+SUMIFS('YTD Purchases'!$H:$H,'YTD Purchases'!$C:$C,Brokerage!$B250,'YTD Purchases'!$G:$G,Brokerage!G$4)</f>
        <v>0</v>
      </c>
      <c r="H250" s="857">
        <f>SUMIFS('YTD Sales'!$N:$N,'YTD Sales'!$B:$B,Brokerage!$B250,'YTD Sales'!$M:$M,Brokerage!H$4)+SUMIFS('YTD Purchases'!$H:$H,'YTD Purchases'!$C:$C,Brokerage!$B250,'YTD Purchases'!$G:$G,Brokerage!H$4)</f>
        <v>0</v>
      </c>
      <c r="I250" s="857">
        <f>SUMIFS('YTD Sales'!$N:$N,'YTD Sales'!$B:$B,Brokerage!$B250,'YTD Sales'!$M:$M,Brokerage!I$4)+SUMIFS('YTD Purchases'!$H:$H,'YTD Purchases'!$C:$C,Brokerage!$B250,'YTD Purchases'!$G:$G,Brokerage!I$4)</f>
        <v>0</v>
      </c>
      <c r="J250" s="857">
        <f>SUMIFS('YTD Sales'!$N:$N,'YTD Sales'!$B:$B,Brokerage!$B250,'YTD Sales'!$M:$M,Brokerage!J$4)+SUMIFS('YTD Purchases'!$H:$H,'YTD Purchases'!$C:$C,Brokerage!$B250,'YTD Purchases'!$G:$G,Brokerage!J$4)</f>
        <v>0</v>
      </c>
      <c r="K250" s="857">
        <f>SUMIFS('YTD Sales'!$N:$N,'YTD Sales'!$B:$B,Brokerage!$B250,'YTD Sales'!$M:$M,Brokerage!K$4)+SUMIFS('YTD Purchases'!$H:$H,'YTD Purchases'!$C:$C,Brokerage!$B250,'YTD Purchases'!$G:$G,Brokerage!K$4)</f>
        <v>0</v>
      </c>
      <c r="L250" s="857">
        <f>SUMIFS('YTD Sales'!$N:$N,'YTD Sales'!$B:$B,Brokerage!$B250,'YTD Sales'!$M:$M,Brokerage!L$4)+SUMIFS('YTD Purchases'!$H:$H,'YTD Purchases'!$C:$C,Brokerage!$B250,'YTD Purchases'!$G:$G,Brokerage!L$4)</f>
        <v>0</v>
      </c>
      <c r="M250" s="857">
        <f>SUMIFS('YTD Sales'!$N:$N,'YTD Sales'!$B:$B,Brokerage!$B250,'YTD Sales'!$M:$M,Brokerage!M$4)+SUMIFS('YTD Purchases'!$H:$H,'YTD Purchases'!$C:$C,Brokerage!$B250,'YTD Purchases'!$G:$G,Brokerage!M$4)</f>
        <v>0</v>
      </c>
      <c r="N250" s="857">
        <f>SUMIFS('YTD Sales'!$N:$N,'YTD Sales'!$B:$B,Brokerage!$B250,'YTD Sales'!$M:$M,Brokerage!N$4)+SUMIFS('YTD Purchases'!$H:$H,'YTD Purchases'!$C:$C,Brokerage!$B250,'YTD Purchases'!$G:$G,Brokerage!N$4)</f>
        <v>0</v>
      </c>
      <c r="O250" s="857">
        <f>SUMIFS('YTD Sales'!$N:$N,'YTD Sales'!$B:$B,Brokerage!$B250,'YTD Sales'!$M:$M,Brokerage!O$4)+SUMIFS('YTD Purchases'!$H:$H,'YTD Purchases'!$C:$C,Brokerage!$B250,'YTD Purchases'!$G:$G,Brokerage!O$4)</f>
        <v>0</v>
      </c>
      <c r="P250" s="857">
        <f>SUMIFS('YTD Sales'!$N:$N,'YTD Sales'!$B:$B,Brokerage!$B250,'YTD Sales'!$M:$M,Brokerage!P$4)+SUMIFS('YTD Purchases'!$H:$H,'YTD Purchases'!$C:$C,Brokerage!$B250,'YTD Purchases'!$G:$G,Brokerage!P$4)</f>
        <v>0</v>
      </c>
      <c r="Q250" s="857">
        <f>SUMIFS('YTD Sales'!$N:$N,'YTD Sales'!$B:$B,Brokerage!$B250,'YTD Sales'!$M:$M,Brokerage!Q$4)+SUMIFS('YTD Purchases'!$H:$H,'YTD Purchases'!$C:$C,Brokerage!$B250,'YTD Purchases'!$G:$G,Brokerage!Q$4)</f>
        <v>0</v>
      </c>
      <c r="R250" s="857">
        <f>SUMIFS('YTD Sales'!$N:$N,'YTD Sales'!$B:$B,Brokerage!$B250,'YTD Sales'!$M:$M,Brokerage!R$4)+SUMIFS('YTD Purchases'!$H:$H,'YTD Purchases'!$C:$C,Brokerage!$B250,'YTD Purchases'!$G:$G,Brokerage!R$4)</f>
        <v>0</v>
      </c>
      <c r="S250" s="857">
        <f>SUMIFS('YTD Sales'!$N:$N,'YTD Sales'!$B:$B,Brokerage!$B250,'YTD Sales'!$M:$M,Brokerage!S$4)+SUMIFS('YTD Purchases'!$H:$H,'YTD Purchases'!$C:$C,Brokerage!$B250,'YTD Purchases'!$G:$G,Brokerage!S$4)</f>
        <v>0</v>
      </c>
      <c r="T250" s="857">
        <f>SUMIFS('YTD Sales'!$N:$N,'YTD Sales'!$B:$B,Brokerage!$B250,'YTD Sales'!$M:$M,Brokerage!T$4)+SUMIFS('YTD Purchases'!$H:$H,'YTD Purchases'!$C:$C,Brokerage!$B250,'YTD Purchases'!$G:$G,Brokerage!T$4)</f>
        <v>0</v>
      </c>
      <c r="U250" s="857">
        <f>SUMIFS('YTD Sales'!$N:$N,'YTD Sales'!$B:$B,Brokerage!$B250,'YTD Sales'!$M:$M,Brokerage!U$4)+SUMIFS('YTD Purchases'!$H:$H,'YTD Purchases'!$C:$C,Brokerage!$B250,'YTD Purchases'!$G:$G,Brokerage!U$4)</f>
        <v>0</v>
      </c>
      <c r="V250" s="857">
        <f>SUMIFS('YTD Sales'!$N:$N,'YTD Sales'!$B:$B,Brokerage!$B250,'YTD Sales'!$M:$M,Brokerage!V$4)+SUMIFS('YTD Purchases'!$H:$H,'YTD Purchases'!$C:$C,Brokerage!$B250,'YTD Purchases'!$G:$G,Brokerage!V$4)</f>
        <v>0</v>
      </c>
      <c r="W250" s="857">
        <f>SUMIFS('YTD Sales'!$N:$N,'YTD Sales'!$B:$B,Brokerage!$B250,'YTD Sales'!$M:$M,Brokerage!W$4)+SUMIFS('YTD Purchases'!$H:$H,'YTD Purchases'!$C:$C,Brokerage!$B250,'YTD Purchases'!$G:$G,Brokerage!W$4)</f>
        <v>0</v>
      </c>
      <c r="X250" s="857">
        <f>SUMIFS('YTD Sales'!$N:$N,'YTD Sales'!$B:$B,Brokerage!$B250,'YTD Sales'!$M:$M,Brokerage!X$4)+SUMIFS('YTD Purchases'!$H:$H,'YTD Purchases'!$C:$C,Brokerage!$B250,'YTD Purchases'!$G:$G,Brokerage!X$4)</f>
        <v>0</v>
      </c>
      <c r="Y250" s="857">
        <f>SUMIFS('YTD Sales'!$N:$N,'YTD Sales'!$B:$B,Brokerage!$B250,'YTD Sales'!$M:$M,Brokerage!Y$4)+SUMIFS('YTD Purchases'!$H:$H,'YTD Purchases'!$C:$C,Brokerage!$B250,'YTD Purchases'!$G:$G,Brokerage!Y$4)</f>
        <v>0</v>
      </c>
      <c r="Z250" s="857">
        <f>SUMIFS('YTD Sales'!$N:$N,'YTD Sales'!$B:$B,Brokerage!$B250,'YTD Sales'!$M:$M,Brokerage!Z$4)+SUMIFS('YTD Purchases'!$H:$H,'YTD Purchases'!$C:$C,Brokerage!$B250,'YTD Purchases'!$G:$G,Brokerage!Z$4)</f>
        <v>0</v>
      </c>
      <c r="AA250" s="857">
        <f>SUMIFS('YTD Sales'!$N:$N,'YTD Sales'!$B:$B,Brokerage!$B250,'YTD Sales'!$M:$M,Brokerage!AA$4)+SUMIFS('YTD Purchases'!$H:$H,'YTD Purchases'!$C:$C,Brokerage!$B250,'YTD Purchases'!$G:$G,Brokerage!AA$4)</f>
        <v>0</v>
      </c>
      <c r="AB250" s="857">
        <f>SUMIFS('YTD Sales'!$N:$N,'YTD Sales'!$B:$B,Brokerage!$B250,'YTD Sales'!$M:$M,Brokerage!AB$4)+SUMIFS('YTD Purchases'!$H:$H,'YTD Purchases'!$C:$C,Brokerage!$B250,'YTD Purchases'!$G:$G,Brokerage!AB$4)</f>
        <v>0</v>
      </c>
      <c r="AC250" s="857">
        <f>SUMIFS('YTD Sales'!$N:$N,'YTD Sales'!$B:$B,Brokerage!$B250,'YTD Sales'!$M:$M,Brokerage!AC$4)+SUMIFS('YTD Purchases'!$H:$H,'YTD Purchases'!$C:$C,Brokerage!$B250,'YTD Purchases'!$G:$G,Brokerage!AC$4)</f>
        <v>0</v>
      </c>
      <c r="AD250" s="857">
        <f>+SUMIFS(PIB!AG:AG,PIB!AF:AF,Brokerage!AD$4,PIB!AA:AA,Brokerage!$B250)+SUMIFS('T-Bills'!AB:AB,'T-Bills'!AA:AA,Brokerage!AD$4,'T-Bills'!V:V,Brokerage!$B250)</f>
        <v>0</v>
      </c>
      <c r="AE250" s="857">
        <f>+SUMIFS(PIB!AH:AH,PIB!AG:AG,Brokerage!AE$4,PIB!AB:AB,Brokerage!$B250)+SUMIFS('T-Bills'!AC:AC,'T-Bills'!AB:AB,Brokerage!AE$4,'T-Bills'!W:W,Brokerage!$B250)</f>
        <v>0</v>
      </c>
      <c r="AF250" s="857">
        <f>+SUMIFS(PIB!AI:AI,PIB!AH:AH,Brokerage!AF$4,PIB!AC:AC,Brokerage!$B250)+SUMIFS('T-Bills'!AD:AD,'T-Bills'!AC:AC,Brokerage!AF$4,'T-Bills'!X:X,Brokerage!$B250)</f>
        <v>0</v>
      </c>
      <c r="AG250" s="857">
        <f t="shared" si="23"/>
        <v>0</v>
      </c>
      <c r="AH250" s="858">
        <f t="shared" si="24"/>
        <v>0</v>
      </c>
    </row>
    <row r="251" spans="2:34" x14ac:dyDescent="0.15">
      <c r="B251" s="661">
        <f t="shared" si="22"/>
        <v>44807</v>
      </c>
      <c r="C251" s="857">
        <f>SUMIFS('YTD Sales'!$N:$N,'YTD Sales'!$B:$B,Brokerage!$B251,'YTD Sales'!$M:$M,Brokerage!C$4)+SUMIFS('YTD Purchases'!$H:$H,'YTD Purchases'!$C:$C,Brokerage!$B251,'YTD Purchases'!$G:$G,Brokerage!C$4)</f>
        <v>0</v>
      </c>
      <c r="D251" s="857">
        <f>SUMIFS('YTD Sales'!$N:$N,'YTD Sales'!$B:$B,Brokerage!$B251,'YTD Sales'!$M:$M,Brokerage!D$4)+SUMIFS('YTD Purchases'!$H:$H,'YTD Purchases'!$C:$C,Brokerage!$B251,'YTD Purchases'!$G:$G,Brokerage!D$4)</f>
        <v>0</v>
      </c>
      <c r="E251" s="857">
        <f>SUMIFS('YTD Sales'!$N:$N,'YTD Sales'!$B:$B,Brokerage!$B251,'YTD Sales'!$M:$M,Brokerage!E$4)+SUMIFS('YTD Purchases'!$H:$H,'YTD Purchases'!$C:$C,Brokerage!$B251,'YTD Purchases'!$G:$G,Brokerage!E$4)</f>
        <v>0</v>
      </c>
      <c r="F251" s="857">
        <f>SUMIFS('YTD Sales'!$N:$N,'YTD Sales'!$B:$B,Brokerage!$B251,'YTD Sales'!$M:$M,Brokerage!F$4)+SUMIFS('YTD Purchases'!$H:$H,'YTD Purchases'!$C:$C,Brokerage!$B251,'YTD Purchases'!$G:$G,Brokerage!F$4)</f>
        <v>0</v>
      </c>
      <c r="G251" s="857">
        <f>SUMIFS('YTD Sales'!$N:$N,'YTD Sales'!$B:$B,Brokerage!$B251,'YTD Sales'!$M:$M,Brokerage!G$4)+SUMIFS('YTD Purchases'!$H:$H,'YTD Purchases'!$C:$C,Brokerage!$B251,'YTD Purchases'!$G:$G,Brokerage!G$4)</f>
        <v>0</v>
      </c>
      <c r="H251" s="857">
        <f>SUMIFS('YTD Sales'!$N:$N,'YTD Sales'!$B:$B,Brokerage!$B251,'YTD Sales'!$M:$M,Brokerage!H$4)+SUMIFS('YTD Purchases'!$H:$H,'YTD Purchases'!$C:$C,Brokerage!$B251,'YTD Purchases'!$G:$G,Brokerage!H$4)</f>
        <v>0</v>
      </c>
      <c r="I251" s="857">
        <f>SUMIFS('YTD Sales'!$N:$N,'YTD Sales'!$B:$B,Brokerage!$B251,'YTD Sales'!$M:$M,Brokerage!I$4)+SUMIFS('YTD Purchases'!$H:$H,'YTD Purchases'!$C:$C,Brokerage!$B251,'YTD Purchases'!$G:$G,Brokerage!I$4)</f>
        <v>0</v>
      </c>
      <c r="J251" s="857">
        <f>SUMIFS('YTD Sales'!$N:$N,'YTD Sales'!$B:$B,Brokerage!$B251,'YTD Sales'!$M:$M,Brokerage!J$4)+SUMIFS('YTD Purchases'!$H:$H,'YTD Purchases'!$C:$C,Brokerage!$B251,'YTD Purchases'!$G:$G,Brokerage!J$4)</f>
        <v>0</v>
      </c>
      <c r="K251" s="857">
        <f>SUMIFS('YTD Sales'!$N:$N,'YTD Sales'!$B:$B,Brokerage!$B251,'YTD Sales'!$M:$M,Brokerage!K$4)+SUMIFS('YTD Purchases'!$H:$H,'YTD Purchases'!$C:$C,Brokerage!$B251,'YTD Purchases'!$G:$G,Brokerage!K$4)</f>
        <v>0</v>
      </c>
      <c r="L251" s="857">
        <f>SUMIFS('YTD Sales'!$N:$N,'YTD Sales'!$B:$B,Brokerage!$B251,'YTD Sales'!$M:$M,Brokerage!L$4)+SUMIFS('YTD Purchases'!$H:$H,'YTD Purchases'!$C:$C,Brokerage!$B251,'YTD Purchases'!$G:$G,Brokerage!L$4)</f>
        <v>0</v>
      </c>
      <c r="M251" s="857">
        <f>SUMIFS('YTD Sales'!$N:$N,'YTD Sales'!$B:$B,Brokerage!$B251,'YTD Sales'!$M:$M,Brokerage!M$4)+SUMIFS('YTD Purchases'!$H:$H,'YTD Purchases'!$C:$C,Brokerage!$B251,'YTD Purchases'!$G:$G,Brokerage!M$4)</f>
        <v>0</v>
      </c>
      <c r="N251" s="857">
        <f>SUMIFS('YTD Sales'!$N:$N,'YTD Sales'!$B:$B,Brokerage!$B251,'YTD Sales'!$M:$M,Brokerage!N$4)+SUMIFS('YTD Purchases'!$H:$H,'YTD Purchases'!$C:$C,Brokerage!$B251,'YTD Purchases'!$G:$G,Brokerage!N$4)</f>
        <v>0</v>
      </c>
      <c r="O251" s="857">
        <f>SUMIFS('YTD Sales'!$N:$N,'YTD Sales'!$B:$B,Brokerage!$B251,'YTD Sales'!$M:$M,Brokerage!O$4)+SUMIFS('YTD Purchases'!$H:$H,'YTD Purchases'!$C:$C,Brokerage!$B251,'YTD Purchases'!$G:$G,Brokerage!O$4)</f>
        <v>0</v>
      </c>
      <c r="P251" s="857">
        <f>SUMIFS('YTD Sales'!$N:$N,'YTD Sales'!$B:$B,Brokerage!$B251,'YTD Sales'!$M:$M,Brokerage!P$4)+SUMIFS('YTD Purchases'!$H:$H,'YTD Purchases'!$C:$C,Brokerage!$B251,'YTD Purchases'!$G:$G,Brokerage!P$4)</f>
        <v>0</v>
      </c>
      <c r="Q251" s="857">
        <f>SUMIFS('YTD Sales'!$N:$N,'YTD Sales'!$B:$B,Brokerage!$B251,'YTD Sales'!$M:$M,Brokerage!Q$4)+SUMIFS('YTD Purchases'!$H:$H,'YTD Purchases'!$C:$C,Brokerage!$B251,'YTD Purchases'!$G:$G,Brokerage!Q$4)</f>
        <v>0</v>
      </c>
      <c r="R251" s="857">
        <f>SUMIFS('YTD Sales'!$N:$N,'YTD Sales'!$B:$B,Brokerage!$B251,'YTD Sales'!$M:$M,Brokerage!R$4)+SUMIFS('YTD Purchases'!$H:$H,'YTD Purchases'!$C:$C,Brokerage!$B251,'YTD Purchases'!$G:$G,Brokerage!R$4)</f>
        <v>0</v>
      </c>
      <c r="S251" s="857">
        <f>SUMIFS('YTD Sales'!$N:$N,'YTD Sales'!$B:$B,Brokerage!$B251,'YTD Sales'!$M:$M,Brokerage!S$4)+SUMIFS('YTD Purchases'!$H:$H,'YTD Purchases'!$C:$C,Brokerage!$B251,'YTD Purchases'!$G:$G,Brokerage!S$4)</f>
        <v>0</v>
      </c>
      <c r="T251" s="857">
        <f>SUMIFS('YTD Sales'!$N:$N,'YTD Sales'!$B:$B,Brokerage!$B251,'YTD Sales'!$M:$M,Brokerage!T$4)+SUMIFS('YTD Purchases'!$H:$H,'YTD Purchases'!$C:$C,Brokerage!$B251,'YTD Purchases'!$G:$G,Brokerage!T$4)</f>
        <v>0</v>
      </c>
      <c r="U251" s="857">
        <f>SUMIFS('YTD Sales'!$N:$N,'YTD Sales'!$B:$B,Brokerage!$B251,'YTD Sales'!$M:$M,Brokerage!U$4)+SUMIFS('YTD Purchases'!$H:$H,'YTD Purchases'!$C:$C,Brokerage!$B251,'YTD Purchases'!$G:$G,Brokerage!U$4)</f>
        <v>0</v>
      </c>
      <c r="V251" s="857">
        <f>SUMIFS('YTD Sales'!$N:$N,'YTD Sales'!$B:$B,Brokerage!$B251,'YTD Sales'!$M:$M,Brokerage!V$4)+SUMIFS('YTD Purchases'!$H:$H,'YTD Purchases'!$C:$C,Brokerage!$B251,'YTD Purchases'!$G:$G,Brokerage!V$4)</f>
        <v>0</v>
      </c>
      <c r="W251" s="857">
        <f>SUMIFS('YTD Sales'!$N:$N,'YTD Sales'!$B:$B,Brokerage!$B251,'YTD Sales'!$M:$M,Brokerage!W$4)+SUMIFS('YTD Purchases'!$H:$H,'YTD Purchases'!$C:$C,Brokerage!$B251,'YTD Purchases'!$G:$G,Brokerage!W$4)</f>
        <v>0</v>
      </c>
      <c r="X251" s="857">
        <f>SUMIFS('YTD Sales'!$N:$N,'YTD Sales'!$B:$B,Brokerage!$B251,'YTD Sales'!$M:$M,Brokerage!X$4)+SUMIFS('YTD Purchases'!$H:$H,'YTD Purchases'!$C:$C,Brokerage!$B251,'YTD Purchases'!$G:$G,Brokerage!X$4)</f>
        <v>0</v>
      </c>
      <c r="Y251" s="857">
        <f>SUMIFS('YTD Sales'!$N:$N,'YTD Sales'!$B:$B,Brokerage!$B251,'YTD Sales'!$M:$M,Brokerage!Y$4)+SUMIFS('YTD Purchases'!$H:$H,'YTD Purchases'!$C:$C,Brokerage!$B251,'YTD Purchases'!$G:$G,Brokerage!Y$4)</f>
        <v>0</v>
      </c>
      <c r="Z251" s="857">
        <f>SUMIFS('YTD Sales'!$N:$N,'YTD Sales'!$B:$B,Brokerage!$B251,'YTD Sales'!$M:$M,Brokerage!Z$4)+SUMIFS('YTD Purchases'!$H:$H,'YTD Purchases'!$C:$C,Brokerage!$B251,'YTD Purchases'!$G:$G,Brokerage!Z$4)</f>
        <v>0</v>
      </c>
      <c r="AA251" s="857">
        <f>SUMIFS('YTD Sales'!$N:$N,'YTD Sales'!$B:$B,Brokerage!$B251,'YTD Sales'!$M:$M,Brokerage!AA$4)+SUMIFS('YTD Purchases'!$H:$H,'YTD Purchases'!$C:$C,Brokerage!$B251,'YTD Purchases'!$G:$G,Brokerage!AA$4)</f>
        <v>0</v>
      </c>
      <c r="AB251" s="857">
        <f>SUMIFS('YTD Sales'!$N:$N,'YTD Sales'!$B:$B,Brokerage!$B251,'YTD Sales'!$M:$M,Brokerage!AB$4)+SUMIFS('YTD Purchases'!$H:$H,'YTD Purchases'!$C:$C,Brokerage!$B251,'YTD Purchases'!$G:$G,Brokerage!AB$4)</f>
        <v>0</v>
      </c>
      <c r="AC251" s="857">
        <f>SUMIFS('YTD Sales'!$N:$N,'YTD Sales'!$B:$B,Brokerage!$B251,'YTD Sales'!$M:$M,Brokerage!AC$4)+SUMIFS('YTD Purchases'!$H:$H,'YTD Purchases'!$C:$C,Brokerage!$B251,'YTD Purchases'!$G:$G,Brokerage!AC$4)</f>
        <v>0</v>
      </c>
      <c r="AD251" s="857">
        <f>+SUMIFS(PIB!AG:AG,PIB!AF:AF,Brokerage!AD$4,PIB!AA:AA,Brokerage!$B251)+SUMIFS('T-Bills'!AB:AB,'T-Bills'!AA:AA,Brokerage!AD$4,'T-Bills'!V:V,Brokerage!$B251)</f>
        <v>0</v>
      </c>
      <c r="AE251" s="857">
        <f>+SUMIFS(PIB!AH:AH,PIB!AG:AG,Brokerage!AE$4,PIB!AB:AB,Brokerage!$B251)+SUMIFS('T-Bills'!AC:AC,'T-Bills'!AB:AB,Brokerage!AE$4,'T-Bills'!W:W,Brokerage!$B251)</f>
        <v>0</v>
      </c>
      <c r="AF251" s="857">
        <f>+SUMIFS(PIB!AI:AI,PIB!AH:AH,Brokerage!AF$4,PIB!AC:AC,Brokerage!$B251)+SUMIFS('T-Bills'!AD:AD,'T-Bills'!AC:AC,Brokerage!AF$4,'T-Bills'!X:X,Brokerage!$B251)</f>
        <v>0</v>
      </c>
      <c r="AG251" s="857">
        <f t="shared" si="23"/>
        <v>0</v>
      </c>
      <c r="AH251" s="858">
        <f t="shared" si="24"/>
        <v>0</v>
      </c>
    </row>
    <row r="252" spans="2:34" x14ac:dyDescent="0.15">
      <c r="B252" s="661">
        <f t="shared" si="22"/>
        <v>44808</v>
      </c>
      <c r="C252" s="857">
        <f>SUMIFS('YTD Sales'!$N:$N,'YTD Sales'!$B:$B,Brokerage!$B252,'YTD Sales'!$M:$M,Brokerage!C$4)+SUMIFS('YTD Purchases'!$H:$H,'YTD Purchases'!$C:$C,Brokerage!$B252,'YTD Purchases'!$G:$G,Brokerage!C$4)</f>
        <v>0</v>
      </c>
      <c r="D252" s="857">
        <f>SUMIFS('YTD Sales'!$N:$N,'YTD Sales'!$B:$B,Brokerage!$B252,'YTD Sales'!$M:$M,Brokerage!D$4)+SUMIFS('YTD Purchases'!$H:$H,'YTD Purchases'!$C:$C,Brokerage!$B252,'YTD Purchases'!$G:$G,Brokerage!D$4)</f>
        <v>0</v>
      </c>
      <c r="E252" s="857">
        <f>SUMIFS('YTD Sales'!$N:$N,'YTD Sales'!$B:$B,Brokerage!$B252,'YTD Sales'!$M:$M,Brokerage!E$4)+SUMIFS('YTD Purchases'!$H:$H,'YTD Purchases'!$C:$C,Brokerage!$B252,'YTD Purchases'!$G:$G,Brokerage!E$4)</f>
        <v>0</v>
      </c>
      <c r="F252" s="857">
        <f>SUMIFS('YTD Sales'!$N:$N,'YTD Sales'!$B:$B,Brokerage!$B252,'YTD Sales'!$M:$M,Brokerage!F$4)+SUMIFS('YTD Purchases'!$H:$H,'YTD Purchases'!$C:$C,Brokerage!$B252,'YTD Purchases'!$G:$G,Brokerage!F$4)</f>
        <v>0</v>
      </c>
      <c r="G252" s="857">
        <f>SUMIFS('YTD Sales'!$N:$N,'YTD Sales'!$B:$B,Brokerage!$B252,'YTD Sales'!$M:$M,Brokerage!G$4)+SUMIFS('YTD Purchases'!$H:$H,'YTD Purchases'!$C:$C,Brokerage!$B252,'YTD Purchases'!$G:$G,Brokerage!G$4)</f>
        <v>0</v>
      </c>
      <c r="H252" s="857">
        <f>SUMIFS('YTD Sales'!$N:$N,'YTD Sales'!$B:$B,Brokerage!$B252,'YTD Sales'!$M:$M,Brokerage!H$4)+SUMIFS('YTD Purchases'!$H:$H,'YTD Purchases'!$C:$C,Brokerage!$B252,'YTD Purchases'!$G:$G,Brokerage!H$4)</f>
        <v>0</v>
      </c>
      <c r="I252" s="857">
        <f>SUMIFS('YTD Sales'!$N:$N,'YTD Sales'!$B:$B,Brokerage!$B252,'YTD Sales'!$M:$M,Brokerage!I$4)+SUMIFS('YTD Purchases'!$H:$H,'YTD Purchases'!$C:$C,Brokerage!$B252,'YTD Purchases'!$G:$G,Brokerage!I$4)</f>
        <v>0</v>
      </c>
      <c r="J252" s="857">
        <f>SUMIFS('YTD Sales'!$N:$N,'YTD Sales'!$B:$B,Brokerage!$B252,'YTD Sales'!$M:$M,Brokerage!J$4)+SUMIFS('YTD Purchases'!$H:$H,'YTD Purchases'!$C:$C,Brokerage!$B252,'YTD Purchases'!$G:$G,Brokerage!J$4)</f>
        <v>0</v>
      </c>
      <c r="K252" s="857">
        <f>SUMIFS('YTD Sales'!$N:$N,'YTD Sales'!$B:$B,Brokerage!$B252,'YTD Sales'!$M:$M,Brokerage!K$4)+SUMIFS('YTD Purchases'!$H:$H,'YTD Purchases'!$C:$C,Brokerage!$B252,'YTD Purchases'!$G:$G,Brokerage!K$4)</f>
        <v>0</v>
      </c>
      <c r="L252" s="857">
        <f>SUMIFS('YTD Sales'!$N:$N,'YTD Sales'!$B:$B,Brokerage!$B252,'YTD Sales'!$M:$M,Brokerage!L$4)+SUMIFS('YTD Purchases'!$H:$H,'YTD Purchases'!$C:$C,Brokerage!$B252,'YTD Purchases'!$G:$G,Brokerage!L$4)</f>
        <v>0</v>
      </c>
      <c r="M252" s="857">
        <f>SUMIFS('YTD Sales'!$N:$N,'YTD Sales'!$B:$B,Brokerage!$B252,'YTD Sales'!$M:$M,Brokerage!M$4)+SUMIFS('YTD Purchases'!$H:$H,'YTD Purchases'!$C:$C,Brokerage!$B252,'YTD Purchases'!$G:$G,Brokerage!M$4)</f>
        <v>0</v>
      </c>
      <c r="N252" s="857">
        <f>SUMIFS('YTD Sales'!$N:$N,'YTD Sales'!$B:$B,Brokerage!$B252,'YTD Sales'!$M:$M,Brokerage!N$4)+SUMIFS('YTD Purchases'!$H:$H,'YTD Purchases'!$C:$C,Brokerage!$B252,'YTD Purchases'!$G:$G,Brokerage!N$4)</f>
        <v>0</v>
      </c>
      <c r="O252" s="857">
        <f>SUMIFS('YTD Sales'!$N:$N,'YTD Sales'!$B:$B,Brokerage!$B252,'YTD Sales'!$M:$M,Brokerage!O$4)+SUMIFS('YTD Purchases'!$H:$H,'YTD Purchases'!$C:$C,Brokerage!$B252,'YTD Purchases'!$G:$G,Brokerage!O$4)</f>
        <v>0</v>
      </c>
      <c r="P252" s="857">
        <f>SUMIFS('YTD Sales'!$N:$N,'YTD Sales'!$B:$B,Brokerage!$B252,'YTD Sales'!$M:$M,Brokerage!P$4)+SUMIFS('YTD Purchases'!$H:$H,'YTD Purchases'!$C:$C,Brokerage!$B252,'YTD Purchases'!$G:$G,Brokerage!P$4)</f>
        <v>0</v>
      </c>
      <c r="Q252" s="857">
        <f>SUMIFS('YTD Sales'!$N:$N,'YTD Sales'!$B:$B,Brokerage!$B252,'YTD Sales'!$M:$M,Brokerage!Q$4)+SUMIFS('YTD Purchases'!$H:$H,'YTD Purchases'!$C:$C,Brokerage!$B252,'YTD Purchases'!$G:$G,Brokerage!Q$4)</f>
        <v>0</v>
      </c>
      <c r="R252" s="857">
        <f>SUMIFS('YTD Sales'!$N:$N,'YTD Sales'!$B:$B,Brokerage!$B252,'YTD Sales'!$M:$M,Brokerage!R$4)+SUMIFS('YTD Purchases'!$H:$H,'YTD Purchases'!$C:$C,Brokerage!$B252,'YTD Purchases'!$G:$G,Brokerage!R$4)</f>
        <v>0</v>
      </c>
      <c r="S252" s="857">
        <f>SUMIFS('YTD Sales'!$N:$N,'YTD Sales'!$B:$B,Brokerage!$B252,'YTD Sales'!$M:$M,Brokerage!S$4)+SUMIFS('YTD Purchases'!$H:$H,'YTD Purchases'!$C:$C,Brokerage!$B252,'YTD Purchases'!$G:$G,Brokerage!S$4)</f>
        <v>0</v>
      </c>
      <c r="T252" s="857">
        <f>SUMIFS('YTD Sales'!$N:$N,'YTD Sales'!$B:$B,Brokerage!$B252,'YTD Sales'!$M:$M,Brokerage!T$4)+SUMIFS('YTD Purchases'!$H:$H,'YTD Purchases'!$C:$C,Brokerage!$B252,'YTD Purchases'!$G:$G,Brokerage!T$4)</f>
        <v>0</v>
      </c>
      <c r="U252" s="857">
        <f>SUMIFS('YTD Sales'!$N:$N,'YTD Sales'!$B:$B,Brokerage!$B252,'YTD Sales'!$M:$M,Brokerage!U$4)+SUMIFS('YTD Purchases'!$H:$H,'YTD Purchases'!$C:$C,Brokerage!$B252,'YTD Purchases'!$G:$G,Brokerage!U$4)</f>
        <v>0</v>
      </c>
      <c r="V252" s="857">
        <f>SUMIFS('YTD Sales'!$N:$N,'YTD Sales'!$B:$B,Brokerage!$B252,'YTD Sales'!$M:$M,Brokerage!V$4)+SUMIFS('YTD Purchases'!$H:$H,'YTD Purchases'!$C:$C,Brokerage!$B252,'YTD Purchases'!$G:$G,Brokerage!V$4)</f>
        <v>0</v>
      </c>
      <c r="W252" s="857">
        <f>SUMIFS('YTD Sales'!$N:$N,'YTD Sales'!$B:$B,Brokerage!$B252,'YTD Sales'!$M:$M,Brokerage!W$4)+SUMIFS('YTD Purchases'!$H:$H,'YTD Purchases'!$C:$C,Brokerage!$B252,'YTD Purchases'!$G:$G,Brokerage!W$4)</f>
        <v>0</v>
      </c>
      <c r="X252" s="857">
        <f>SUMIFS('YTD Sales'!$N:$N,'YTD Sales'!$B:$B,Brokerage!$B252,'YTD Sales'!$M:$M,Brokerage!X$4)+SUMIFS('YTD Purchases'!$H:$H,'YTD Purchases'!$C:$C,Brokerage!$B252,'YTD Purchases'!$G:$G,Brokerage!X$4)</f>
        <v>0</v>
      </c>
      <c r="Y252" s="857">
        <f>SUMIFS('YTD Sales'!$N:$N,'YTD Sales'!$B:$B,Brokerage!$B252,'YTD Sales'!$M:$M,Brokerage!Y$4)+SUMIFS('YTD Purchases'!$H:$H,'YTD Purchases'!$C:$C,Brokerage!$B252,'YTD Purchases'!$G:$G,Brokerage!Y$4)</f>
        <v>0</v>
      </c>
      <c r="Z252" s="857">
        <f>SUMIFS('YTD Sales'!$N:$N,'YTD Sales'!$B:$B,Brokerage!$B252,'YTD Sales'!$M:$M,Brokerage!Z$4)+SUMIFS('YTD Purchases'!$H:$H,'YTD Purchases'!$C:$C,Brokerage!$B252,'YTD Purchases'!$G:$G,Brokerage!Z$4)</f>
        <v>0</v>
      </c>
      <c r="AA252" s="857">
        <f>SUMIFS('YTD Sales'!$N:$N,'YTD Sales'!$B:$B,Brokerage!$B252,'YTD Sales'!$M:$M,Brokerage!AA$4)+SUMIFS('YTD Purchases'!$H:$H,'YTD Purchases'!$C:$C,Brokerage!$B252,'YTD Purchases'!$G:$G,Brokerage!AA$4)</f>
        <v>0</v>
      </c>
      <c r="AB252" s="857">
        <f>SUMIFS('YTD Sales'!$N:$N,'YTD Sales'!$B:$B,Brokerage!$B252,'YTD Sales'!$M:$M,Brokerage!AB$4)+SUMIFS('YTD Purchases'!$H:$H,'YTD Purchases'!$C:$C,Brokerage!$B252,'YTD Purchases'!$G:$G,Brokerage!AB$4)</f>
        <v>0</v>
      </c>
      <c r="AC252" s="857">
        <f>SUMIFS('YTD Sales'!$N:$N,'YTD Sales'!$B:$B,Brokerage!$B252,'YTD Sales'!$M:$M,Brokerage!AC$4)+SUMIFS('YTD Purchases'!$H:$H,'YTD Purchases'!$C:$C,Brokerage!$B252,'YTD Purchases'!$G:$G,Brokerage!AC$4)</f>
        <v>0</v>
      </c>
      <c r="AD252" s="857">
        <f>+SUMIFS(PIB!AG:AG,PIB!AF:AF,Brokerage!AD$4,PIB!AA:AA,Brokerage!$B252)+SUMIFS('T-Bills'!AB:AB,'T-Bills'!AA:AA,Brokerage!AD$4,'T-Bills'!V:V,Brokerage!$B252)</f>
        <v>0</v>
      </c>
      <c r="AE252" s="857">
        <f>+SUMIFS(PIB!AH:AH,PIB!AG:AG,Brokerage!AE$4,PIB!AB:AB,Brokerage!$B252)+SUMIFS('T-Bills'!AC:AC,'T-Bills'!AB:AB,Brokerage!AE$4,'T-Bills'!W:W,Brokerage!$B252)</f>
        <v>0</v>
      </c>
      <c r="AF252" s="857">
        <f>+SUMIFS(PIB!AI:AI,PIB!AH:AH,Brokerage!AF$4,PIB!AC:AC,Brokerage!$B252)+SUMIFS('T-Bills'!AD:AD,'T-Bills'!AC:AC,Brokerage!AF$4,'T-Bills'!X:X,Brokerage!$B252)</f>
        <v>0</v>
      </c>
      <c r="AG252" s="857">
        <f t="shared" si="23"/>
        <v>0</v>
      </c>
      <c r="AH252" s="858">
        <f t="shared" si="24"/>
        <v>0</v>
      </c>
    </row>
    <row r="253" spans="2:34" x14ac:dyDescent="0.15">
      <c r="B253" s="661">
        <f t="shared" si="22"/>
        <v>44809</v>
      </c>
      <c r="C253" s="857">
        <f>SUMIFS('YTD Sales'!$N:$N,'YTD Sales'!$B:$B,Brokerage!$B253,'YTD Sales'!$M:$M,Brokerage!C$4)+SUMIFS('YTD Purchases'!$H:$H,'YTD Purchases'!$C:$C,Brokerage!$B253,'YTD Purchases'!$G:$G,Brokerage!C$4)</f>
        <v>0</v>
      </c>
      <c r="D253" s="857">
        <f>SUMIFS('YTD Sales'!$N:$N,'YTD Sales'!$B:$B,Brokerage!$B253,'YTD Sales'!$M:$M,Brokerage!D$4)+SUMIFS('YTD Purchases'!$H:$H,'YTD Purchases'!$C:$C,Brokerage!$B253,'YTD Purchases'!$G:$G,Brokerage!D$4)</f>
        <v>0</v>
      </c>
      <c r="E253" s="857">
        <f>SUMIFS('YTD Sales'!$N:$N,'YTD Sales'!$B:$B,Brokerage!$B253,'YTD Sales'!$M:$M,Brokerage!E$4)+SUMIFS('YTD Purchases'!$H:$H,'YTD Purchases'!$C:$C,Brokerage!$B253,'YTD Purchases'!$G:$G,Brokerage!E$4)</f>
        <v>0</v>
      </c>
      <c r="F253" s="857">
        <f>SUMIFS('YTD Sales'!$N:$N,'YTD Sales'!$B:$B,Brokerage!$B253,'YTD Sales'!$M:$M,Brokerage!F$4)+SUMIFS('YTD Purchases'!$H:$H,'YTD Purchases'!$C:$C,Brokerage!$B253,'YTD Purchases'!$G:$G,Brokerage!F$4)</f>
        <v>0</v>
      </c>
      <c r="G253" s="857">
        <f>SUMIFS('YTD Sales'!$N:$N,'YTD Sales'!$B:$B,Brokerage!$B253,'YTD Sales'!$M:$M,Brokerage!G$4)+SUMIFS('YTD Purchases'!$H:$H,'YTD Purchases'!$C:$C,Brokerage!$B253,'YTD Purchases'!$G:$G,Brokerage!G$4)</f>
        <v>0</v>
      </c>
      <c r="H253" s="857">
        <f>SUMIFS('YTD Sales'!$N:$N,'YTD Sales'!$B:$B,Brokerage!$B253,'YTD Sales'!$M:$M,Brokerage!H$4)+SUMIFS('YTD Purchases'!$H:$H,'YTD Purchases'!$C:$C,Brokerage!$B253,'YTD Purchases'!$G:$G,Brokerage!H$4)</f>
        <v>0</v>
      </c>
      <c r="I253" s="857">
        <f>SUMIFS('YTD Sales'!$N:$N,'YTD Sales'!$B:$B,Brokerage!$B253,'YTD Sales'!$M:$M,Brokerage!I$4)+SUMIFS('YTD Purchases'!$H:$H,'YTD Purchases'!$C:$C,Brokerage!$B253,'YTD Purchases'!$G:$G,Brokerage!I$4)</f>
        <v>0</v>
      </c>
      <c r="J253" s="857">
        <f>SUMIFS('YTD Sales'!$N:$N,'YTD Sales'!$B:$B,Brokerage!$B253,'YTD Sales'!$M:$M,Brokerage!J$4)+SUMIFS('YTD Purchases'!$H:$H,'YTD Purchases'!$C:$C,Brokerage!$B253,'YTD Purchases'!$G:$G,Brokerage!J$4)</f>
        <v>0</v>
      </c>
      <c r="K253" s="857">
        <f>SUMIFS('YTD Sales'!$N:$N,'YTD Sales'!$B:$B,Brokerage!$B253,'YTD Sales'!$M:$M,Brokerage!K$4)+SUMIFS('YTD Purchases'!$H:$H,'YTD Purchases'!$C:$C,Brokerage!$B253,'YTD Purchases'!$G:$G,Brokerage!K$4)</f>
        <v>0</v>
      </c>
      <c r="L253" s="857">
        <f>SUMIFS('YTD Sales'!$N:$N,'YTD Sales'!$B:$B,Brokerage!$B253,'YTD Sales'!$M:$M,Brokerage!L$4)+SUMIFS('YTD Purchases'!$H:$H,'YTD Purchases'!$C:$C,Brokerage!$B253,'YTD Purchases'!$G:$G,Brokerage!L$4)</f>
        <v>0</v>
      </c>
      <c r="M253" s="857">
        <f>SUMIFS('YTD Sales'!$N:$N,'YTD Sales'!$B:$B,Brokerage!$B253,'YTD Sales'!$M:$M,Brokerage!M$4)+SUMIFS('YTD Purchases'!$H:$H,'YTD Purchases'!$C:$C,Brokerage!$B253,'YTD Purchases'!$G:$G,Brokerage!M$4)</f>
        <v>0</v>
      </c>
      <c r="N253" s="857">
        <f>SUMIFS('YTD Sales'!$N:$N,'YTD Sales'!$B:$B,Brokerage!$B253,'YTD Sales'!$M:$M,Brokerage!N$4)+SUMIFS('YTD Purchases'!$H:$H,'YTD Purchases'!$C:$C,Brokerage!$B253,'YTD Purchases'!$G:$G,Brokerage!N$4)</f>
        <v>0</v>
      </c>
      <c r="O253" s="857">
        <f>SUMIFS('YTD Sales'!$N:$N,'YTD Sales'!$B:$B,Brokerage!$B253,'YTD Sales'!$M:$M,Brokerage!O$4)+SUMIFS('YTD Purchases'!$H:$H,'YTD Purchases'!$C:$C,Brokerage!$B253,'YTD Purchases'!$G:$G,Brokerage!O$4)</f>
        <v>0</v>
      </c>
      <c r="P253" s="857">
        <f>SUMIFS('YTD Sales'!$N:$N,'YTD Sales'!$B:$B,Brokerage!$B253,'YTD Sales'!$M:$M,Brokerage!P$4)+SUMIFS('YTD Purchases'!$H:$H,'YTD Purchases'!$C:$C,Brokerage!$B253,'YTD Purchases'!$G:$G,Brokerage!P$4)</f>
        <v>0</v>
      </c>
      <c r="Q253" s="857">
        <f>SUMIFS('YTD Sales'!$N:$N,'YTD Sales'!$B:$B,Brokerage!$B253,'YTD Sales'!$M:$M,Brokerage!Q$4)+SUMIFS('YTD Purchases'!$H:$H,'YTD Purchases'!$C:$C,Brokerage!$B253,'YTD Purchases'!$G:$G,Brokerage!Q$4)</f>
        <v>0</v>
      </c>
      <c r="R253" s="857">
        <f>SUMIFS('YTD Sales'!$N:$N,'YTD Sales'!$B:$B,Brokerage!$B253,'YTD Sales'!$M:$M,Brokerage!R$4)+SUMIFS('YTD Purchases'!$H:$H,'YTD Purchases'!$C:$C,Brokerage!$B253,'YTD Purchases'!$G:$G,Brokerage!R$4)</f>
        <v>0</v>
      </c>
      <c r="S253" s="857">
        <f>SUMIFS('YTD Sales'!$N:$N,'YTD Sales'!$B:$B,Brokerage!$B253,'YTD Sales'!$M:$M,Brokerage!S$4)+SUMIFS('YTD Purchases'!$H:$H,'YTD Purchases'!$C:$C,Brokerage!$B253,'YTD Purchases'!$G:$G,Brokerage!S$4)</f>
        <v>0</v>
      </c>
      <c r="T253" s="857">
        <f>SUMIFS('YTD Sales'!$N:$N,'YTD Sales'!$B:$B,Brokerage!$B253,'YTD Sales'!$M:$M,Brokerage!T$4)+SUMIFS('YTD Purchases'!$H:$H,'YTD Purchases'!$C:$C,Brokerage!$B253,'YTD Purchases'!$G:$G,Brokerage!T$4)</f>
        <v>0</v>
      </c>
      <c r="U253" s="857">
        <f>SUMIFS('YTD Sales'!$N:$N,'YTD Sales'!$B:$B,Brokerage!$B253,'YTD Sales'!$M:$M,Brokerage!U$4)+SUMIFS('YTD Purchases'!$H:$H,'YTD Purchases'!$C:$C,Brokerage!$B253,'YTD Purchases'!$G:$G,Brokerage!U$4)</f>
        <v>0</v>
      </c>
      <c r="V253" s="857">
        <f>SUMIFS('YTD Sales'!$N:$N,'YTD Sales'!$B:$B,Brokerage!$B253,'YTD Sales'!$M:$M,Brokerage!V$4)+SUMIFS('YTD Purchases'!$H:$H,'YTD Purchases'!$C:$C,Brokerage!$B253,'YTD Purchases'!$G:$G,Brokerage!V$4)</f>
        <v>0</v>
      </c>
      <c r="W253" s="857">
        <f>SUMIFS('YTD Sales'!$N:$N,'YTD Sales'!$B:$B,Brokerage!$B253,'YTD Sales'!$M:$M,Brokerage!W$4)+SUMIFS('YTD Purchases'!$H:$H,'YTD Purchases'!$C:$C,Brokerage!$B253,'YTD Purchases'!$G:$G,Brokerage!W$4)</f>
        <v>0</v>
      </c>
      <c r="X253" s="857">
        <f>SUMIFS('YTD Sales'!$N:$N,'YTD Sales'!$B:$B,Brokerage!$B253,'YTD Sales'!$M:$M,Brokerage!X$4)+SUMIFS('YTD Purchases'!$H:$H,'YTD Purchases'!$C:$C,Brokerage!$B253,'YTD Purchases'!$G:$G,Brokerage!X$4)</f>
        <v>0</v>
      </c>
      <c r="Y253" s="857">
        <f>SUMIFS('YTD Sales'!$N:$N,'YTD Sales'!$B:$B,Brokerage!$B253,'YTD Sales'!$M:$M,Brokerage!Y$4)+SUMIFS('YTD Purchases'!$H:$H,'YTD Purchases'!$C:$C,Brokerage!$B253,'YTD Purchases'!$G:$G,Brokerage!Y$4)</f>
        <v>0</v>
      </c>
      <c r="Z253" s="857">
        <f>SUMIFS('YTD Sales'!$N:$N,'YTD Sales'!$B:$B,Brokerage!$B253,'YTD Sales'!$M:$M,Brokerage!Z$4)+SUMIFS('YTD Purchases'!$H:$H,'YTD Purchases'!$C:$C,Brokerage!$B253,'YTD Purchases'!$G:$G,Brokerage!Z$4)</f>
        <v>0</v>
      </c>
      <c r="AA253" s="857">
        <f>SUMIFS('YTD Sales'!$N:$N,'YTD Sales'!$B:$B,Brokerage!$B253,'YTD Sales'!$M:$M,Brokerage!AA$4)+SUMIFS('YTD Purchases'!$H:$H,'YTD Purchases'!$C:$C,Brokerage!$B253,'YTD Purchases'!$G:$G,Brokerage!AA$4)</f>
        <v>0</v>
      </c>
      <c r="AB253" s="857">
        <f>SUMIFS('YTD Sales'!$N:$N,'YTD Sales'!$B:$B,Brokerage!$B253,'YTD Sales'!$M:$M,Brokerage!AB$4)+SUMIFS('YTD Purchases'!$H:$H,'YTD Purchases'!$C:$C,Brokerage!$B253,'YTD Purchases'!$G:$G,Brokerage!AB$4)</f>
        <v>0</v>
      </c>
      <c r="AC253" s="857">
        <f>SUMIFS('YTD Sales'!$N:$N,'YTD Sales'!$B:$B,Brokerage!$B253,'YTD Sales'!$M:$M,Brokerage!AC$4)+SUMIFS('YTD Purchases'!$H:$H,'YTD Purchases'!$C:$C,Brokerage!$B253,'YTD Purchases'!$G:$G,Brokerage!AC$4)</f>
        <v>0</v>
      </c>
      <c r="AD253" s="857">
        <f>+SUMIFS(PIB!AG:AG,PIB!AF:AF,Brokerage!AD$4,PIB!AA:AA,Brokerage!$B253)+SUMIFS('T-Bills'!AB:AB,'T-Bills'!AA:AA,Brokerage!AD$4,'T-Bills'!V:V,Brokerage!$B253)</f>
        <v>0</v>
      </c>
      <c r="AE253" s="857">
        <f>+SUMIFS(PIB!AH:AH,PIB!AG:AG,Brokerage!AE$4,PIB!AB:AB,Brokerage!$B253)+SUMIFS('T-Bills'!AC:AC,'T-Bills'!AB:AB,Brokerage!AE$4,'T-Bills'!W:W,Brokerage!$B253)</f>
        <v>0</v>
      </c>
      <c r="AF253" s="857">
        <f>+SUMIFS(PIB!AI:AI,PIB!AH:AH,Brokerage!AF$4,PIB!AC:AC,Brokerage!$B253)+SUMIFS('T-Bills'!AD:AD,'T-Bills'!AC:AC,Brokerage!AF$4,'T-Bills'!X:X,Brokerage!$B253)</f>
        <v>0</v>
      </c>
      <c r="AG253" s="857">
        <f t="shared" si="23"/>
        <v>0</v>
      </c>
      <c r="AH253" s="858">
        <f t="shared" si="24"/>
        <v>0</v>
      </c>
    </row>
    <row r="254" spans="2:34" x14ac:dyDescent="0.15">
      <c r="B254" s="661">
        <f t="shared" si="22"/>
        <v>44810</v>
      </c>
      <c r="C254" s="857">
        <f>SUMIFS('YTD Sales'!$N:$N,'YTD Sales'!$B:$B,Brokerage!$B254,'YTD Sales'!$M:$M,Brokerage!C$4)+SUMIFS('YTD Purchases'!$H:$H,'YTD Purchases'!$C:$C,Brokerage!$B254,'YTD Purchases'!$G:$G,Brokerage!C$4)</f>
        <v>0</v>
      </c>
      <c r="D254" s="857">
        <f>SUMIFS('YTD Sales'!$N:$N,'YTD Sales'!$B:$B,Brokerage!$B254,'YTD Sales'!$M:$M,Brokerage!D$4)+SUMIFS('YTD Purchases'!$H:$H,'YTD Purchases'!$C:$C,Brokerage!$B254,'YTD Purchases'!$G:$G,Brokerage!D$4)</f>
        <v>0</v>
      </c>
      <c r="E254" s="857">
        <f>SUMIFS('YTD Sales'!$N:$N,'YTD Sales'!$B:$B,Brokerage!$B254,'YTD Sales'!$M:$M,Brokerage!E$4)+SUMIFS('YTD Purchases'!$H:$H,'YTD Purchases'!$C:$C,Brokerage!$B254,'YTD Purchases'!$G:$G,Brokerage!E$4)</f>
        <v>0</v>
      </c>
      <c r="F254" s="857">
        <f>SUMIFS('YTD Sales'!$N:$N,'YTD Sales'!$B:$B,Brokerage!$B254,'YTD Sales'!$M:$M,Brokerage!F$4)+SUMIFS('YTD Purchases'!$H:$H,'YTD Purchases'!$C:$C,Brokerage!$B254,'YTD Purchases'!$G:$G,Brokerage!F$4)</f>
        <v>0</v>
      </c>
      <c r="G254" s="857">
        <f>SUMIFS('YTD Sales'!$N:$N,'YTD Sales'!$B:$B,Brokerage!$B254,'YTD Sales'!$M:$M,Brokerage!G$4)+SUMIFS('YTD Purchases'!$H:$H,'YTD Purchases'!$C:$C,Brokerage!$B254,'YTD Purchases'!$G:$G,Brokerage!G$4)</f>
        <v>0</v>
      </c>
      <c r="H254" s="857">
        <f>SUMIFS('YTD Sales'!$N:$N,'YTD Sales'!$B:$B,Brokerage!$B254,'YTD Sales'!$M:$M,Brokerage!H$4)+SUMIFS('YTD Purchases'!$H:$H,'YTD Purchases'!$C:$C,Brokerage!$B254,'YTD Purchases'!$G:$G,Brokerage!H$4)</f>
        <v>0</v>
      </c>
      <c r="I254" s="857">
        <f>SUMIFS('YTD Sales'!$N:$N,'YTD Sales'!$B:$B,Brokerage!$B254,'YTD Sales'!$M:$M,Brokerage!I$4)+SUMIFS('YTD Purchases'!$H:$H,'YTD Purchases'!$C:$C,Brokerage!$B254,'YTD Purchases'!$G:$G,Brokerage!I$4)</f>
        <v>0</v>
      </c>
      <c r="J254" s="857">
        <f>SUMIFS('YTD Sales'!$N:$N,'YTD Sales'!$B:$B,Brokerage!$B254,'YTD Sales'!$M:$M,Brokerage!J$4)+SUMIFS('YTD Purchases'!$H:$H,'YTD Purchases'!$C:$C,Brokerage!$B254,'YTD Purchases'!$G:$G,Brokerage!J$4)</f>
        <v>0</v>
      </c>
      <c r="K254" s="857">
        <f>SUMIFS('YTD Sales'!$N:$N,'YTD Sales'!$B:$B,Brokerage!$B254,'YTD Sales'!$M:$M,Brokerage!K$4)+SUMIFS('YTD Purchases'!$H:$H,'YTD Purchases'!$C:$C,Brokerage!$B254,'YTD Purchases'!$G:$G,Brokerage!K$4)</f>
        <v>0</v>
      </c>
      <c r="L254" s="857">
        <f>SUMIFS('YTD Sales'!$N:$N,'YTD Sales'!$B:$B,Brokerage!$B254,'YTD Sales'!$M:$M,Brokerage!L$4)+SUMIFS('YTD Purchases'!$H:$H,'YTD Purchases'!$C:$C,Brokerage!$B254,'YTD Purchases'!$G:$G,Brokerage!L$4)</f>
        <v>0</v>
      </c>
      <c r="M254" s="857">
        <f>SUMIFS('YTD Sales'!$N:$N,'YTD Sales'!$B:$B,Brokerage!$B254,'YTD Sales'!$M:$M,Brokerage!M$4)+SUMIFS('YTD Purchases'!$H:$H,'YTD Purchases'!$C:$C,Brokerage!$B254,'YTD Purchases'!$G:$G,Brokerage!M$4)</f>
        <v>0</v>
      </c>
      <c r="N254" s="857">
        <f>SUMIFS('YTD Sales'!$N:$N,'YTD Sales'!$B:$B,Brokerage!$B254,'YTD Sales'!$M:$M,Brokerage!N$4)+SUMIFS('YTD Purchases'!$H:$H,'YTD Purchases'!$C:$C,Brokerage!$B254,'YTD Purchases'!$G:$G,Brokerage!N$4)</f>
        <v>0</v>
      </c>
      <c r="O254" s="857">
        <f>SUMIFS('YTD Sales'!$N:$N,'YTD Sales'!$B:$B,Brokerage!$B254,'YTD Sales'!$M:$M,Brokerage!O$4)+SUMIFS('YTD Purchases'!$H:$H,'YTD Purchases'!$C:$C,Brokerage!$B254,'YTD Purchases'!$G:$G,Brokerage!O$4)</f>
        <v>0</v>
      </c>
      <c r="P254" s="857">
        <f>SUMIFS('YTD Sales'!$N:$N,'YTD Sales'!$B:$B,Brokerage!$B254,'YTD Sales'!$M:$M,Brokerage!P$4)+SUMIFS('YTD Purchases'!$H:$H,'YTD Purchases'!$C:$C,Brokerage!$B254,'YTD Purchases'!$G:$G,Brokerage!P$4)</f>
        <v>0</v>
      </c>
      <c r="Q254" s="857">
        <f>SUMIFS('YTD Sales'!$N:$N,'YTD Sales'!$B:$B,Brokerage!$B254,'YTD Sales'!$M:$M,Brokerage!Q$4)+SUMIFS('YTD Purchases'!$H:$H,'YTD Purchases'!$C:$C,Brokerage!$B254,'YTD Purchases'!$G:$G,Brokerage!Q$4)</f>
        <v>0</v>
      </c>
      <c r="R254" s="857">
        <f>SUMIFS('YTD Sales'!$N:$N,'YTD Sales'!$B:$B,Brokerage!$B254,'YTD Sales'!$M:$M,Brokerage!R$4)+SUMIFS('YTD Purchases'!$H:$H,'YTD Purchases'!$C:$C,Brokerage!$B254,'YTD Purchases'!$G:$G,Brokerage!R$4)</f>
        <v>0</v>
      </c>
      <c r="S254" s="857">
        <f>SUMIFS('YTD Sales'!$N:$N,'YTD Sales'!$B:$B,Brokerage!$B254,'YTD Sales'!$M:$M,Brokerage!S$4)+SUMIFS('YTD Purchases'!$H:$H,'YTD Purchases'!$C:$C,Brokerage!$B254,'YTD Purchases'!$G:$G,Brokerage!S$4)</f>
        <v>0</v>
      </c>
      <c r="T254" s="857">
        <f>SUMIFS('YTD Sales'!$N:$N,'YTD Sales'!$B:$B,Brokerage!$B254,'YTD Sales'!$M:$M,Brokerage!T$4)+SUMIFS('YTD Purchases'!$H:$H,'YTD Purchases'!$C:$C,Brokerage!$B254,'YTD Purchases'!$G:$G,Brokerage!T$4)</f>
        <v>0</v>
      </c>
      <c r="U254" s="857">
        <f>SUMIFS('YTD Sales'!$N:$N,'YTD Sales'!$B:$B,Brokerage!$B254,'YTD Sales'!$M:$M,Brokerage!U$4)+SUMIFS('YTD Purchases'!$H:$H,'YTD Purchases'!$C:$C,Brokerage!$B254,'YTD Purchases'!$G:$G,Brokerage!U$4)</f>
        <v>0</v>
      </c>
      <c r="V254" s="857">
        <f>SUMIFS('YTD Sales'!$N:$N,'YTD Sales'!$B:$B,Brokerage!$B254,'YTD Sales'!$M:$M,Brokerage!V$4)+SUMIFS('YTD Purchases'!$H:$H,'YTD Purchases'!$C:$C,Brokerage!$B254,'YTD Purchases'!$G:$G,Brokerage!V$4)</f>
        <v>0</v>
      </c>
      <c r="W254" s="857">
        <f>SUMIFS('YTD Sales'!$N:$N,'YTD Sales'!$B:$B,Brokerage!$B254,'YTD Sales'!$M:$M,Brokerage!W$4)+SUMIFS('YTD Purchases'!$H:$H,'YTD Purchases'!$C:$C,Brokerage!$B254,'YTD Purchases'!$G:$G,Brokerage!W$4)</f>
        <v>0</v>
      </c>
      <c r="X254" s="857">
        <f>SUMIFS('YTD Sales'!$N:$N,'YTD Sales'!$B:$B,Brokerage!$B254,'YTD Sales'!$M:$M,Brokerage!X$4)+SUMIFS('YTD Purchases'!$H:$H,'YTD Purchases'!$C:$C,Brokerage!$B254,'YTD Purchases'!$G:$G,Brokerage!X$4)</f>
        <v>0</v>
      </c>
      <c r="Y254" s="857">
        <f>SUMIFS('YTD Sales'!$N:$N,'YTD Sales'!$B:$B,Brokerage!$B254,'YTD Sales'!$M:$M,Brokerage!Y$4)+SUMIFS('YTD Purchases'!$H:$H,'YTD Purchases'!$C:$C,Brokerage!$B254,'YTD Purchases'!$G:$G,Brokerage!Y$4)</f>
        <v>0</v>
      </c>
      <c r="Z254" s="857">
        <f>SUMIFS('YTD Sales'!$N:$N,'YTD Sales'!$B:$B,Brokerage!$B254,'YTD Sales'!$M:$M,Brokerage!Z$4)+SUMIFS('YTD Purchases'!$H:$H,'YTD Purchases'!$C:$C,Brokerage!$B254,'YTD Purchases'!$G:$G,Brokerage!Z$4)</f>
        <v>0</v>
      </c>
      <c r="AA254" s="857">
        <f>SUMIFS('YTD Sales'!$N:$N,'YTD Sales'!$B:$B,Brokerage!$B254,'YTD Sales'!$M:$M,Brokerage!AA$4)+SUMIFS('YTD Purchases'!$H:$H,'YTD Purchases'!$C:$C,Brokerage!$B254,'YTD Purchases'!$G:$G,Brokerage!AA$4)</f>
        <v>0</v>
      </c>
      <c r="AB254" s="857">
        <f>SUMIFS('YTD Sales'!$N:$N,'YTD Sales'!$B:$B,Brokerage!$B254,'YTD Sales'!$M:$M,Brokerage!AB$4)+SUMIFS('YTD Purchases'!$H:$H,'YTD Purchases'!$C:$C,Brokerage!$B254,'YTD Purchases'!$G:$G,Brokerage!AB$4)</f>
        <v>0</v>
      </c>
      <c r="AC254" s="857">
        <f>SUMIFS('YTD Sales'!$N:$N,'YTD Sales'!$B:$B,Brokerage!$B254,'YTD Sales'!$M:$M,Brokerage!AC$4)+SUMIFS('YTD Purchases'!$H:$H,'YTD Purchases'!$C:$C,Brokerage!$B254,'YTD Purchases'!$G:$G,Brokerage!AC$4)</f>
        <v>0</v>
      </c>
      <c r="AD254" s="857">
        <f>+SUMIFS(PIB!AG:AG,PIB!AF:AF,Brokerage!AD$4,PIB!AA:AA,Brokerage!$B254)+SUMIFS('T-Bills'!AB:AB,'T-Bills'!AA:AA,Brokerage!AD$4,'T-Bills'!V:V,Brokerage!$B254)</f>
        <v>0</v>
      </c>
      <c r="AE254" s="857">
        <f>+SUMIFS(PIB!AH:AH,PIB!AG:AG,Brokerage!AE$4,PIB!AB:AB,Brokerage!$B254)+SUMIFS('T-Bills'!AC:AC,'T-Bills'!AB:AB,Brokerage!AE$4,'T-Bills'!W:W,Brokerage!$B254)</f>
        <v>0</v>
      </c>
      <c r="AF254" s="857">
        <f>+SUMIFS(PIB!AI:AI,PIB!AH:AH,Brokerage!AF$4,PIB!AC:AC,Brokerage!$B254)+SUMIFS('T-Bills'!AD:AD,'T-Bills'!AC:AC,Brokerage!AF$4,'T-Bills'!X:X,Brokerage!$B254)</f>
        <v>0</v>
      </c>
      <c r="AG254" s="857">
        <f t="shared" si="23"/>
        <v>0</v>
      </c>
      <c r="AH254" s="858">
        <f t="shared" si="24"/>
        <v>0</v>
      </c>
    </row>
    <row r="255" spans="2:34" x14ac:dyDescent="0.15">
      <c r="B255" s="661">
        <f t="shared" si="22"/>
        <v>44811</v>
      </c>
      <c r="C255" s="857">
        <f>SUMIFS('YTD Sales'!$N:$N,'YTD Sales'!$B:$B,Brokerage!$B255,'YTD Sales'!$M:$M,Brokerage!C$4)+SUMIFS('YTD Purchases'!$H:$H,'YTD Purchases'!$C:$C,Brokerage!$B255,'YTD Purchases'!$G:$G,Brokerage!C$4)</f>
        <v>0</v>
      </c>
      <c r="D255" s="857">
        <f>SUMIFS('YTD Sales'!$N:$N,'YTD Sales'!$B:$B,Brokerage!$B255,'YTD Sales'!$M:$M,Brokerage!D$4)+SUMIFS('YTD Purchases'!$H:$H,'YTD Purchases'!$C:$C,Brokerage!$B255,'YTD Purchases'!$G:$G,Brokerage!D$4)</f>
        <v>0</v>
      </c>
      <c r="E255" s="857">
        <f>SUMIFS('YTD Sales'!$N:$N,'YTD Sales'!$B:$B,Brokerage!$B255,'YTD Sales'!$M:$M,Brokerage!E$4)+SUMIFS('YTD Purchases'!$H:$H,'YTD Purchases'!$C:$C,Brokerage!$B255,'YTD Purchases'!$G:$G,Brokerage!E$4)</f>
        <v>0</v>
      </c>
      <c r="F255" s="857">
        <f>SUMIFS('YTD Sales'!$N:$N,'YTD Sales'!$B:$B,Brokerage!$B255,'YTD Sales'!$M:$M,Brokerage!F$4)+SUMIFS('YTD Purchases'!$H:$H,'YTD Purchases'!$C:$C,Brokerage!$B255,'YTD Purchases'!$G:$G,Brokerage!F$4)</f>
        <v>0</v>
      </c>
      <c r="G255" s="857">
        <f>SUMIFS('YTD Sales'!$N:$N,'YTD Sales'!$B:$B,Brokerage!$B255,'YTD Sales'!$M:$M,Brokerage!G$4)+SUMIFS('YTD Purchases'!$H:$H,'YTD Purchases'!$C:$C,Brokerage!$B255,'YTD Purchases'!$G:$G,Brokerage!G$4)</f>
        <v>0</v>
      </c>
      <c r="H255" s="857">
        <f>SUMIFS('YTD Sales'!$N:$N,'YTD Sales'!$B:$B,Brokerage!$B255,'YTD Sales'!$M:$M,Brokerage!H$4)+SUMIFS('YTD Purchases'!$H:$H,'YTD Purchases'!$C:$C,Brokerage!$B255,'YTD Purchases'!$G:$G,Brokerage!H$4)</f>
        <v>0</v>
      </c>
      <c r="I255" s="857">
        <f>SUMIFS('YTD Sales'!$N:$N,'YTD Sales'!$B:$B,Brokerage!$B255,'YTD Sales'!$M:$M,Brokerage!I$4)+SUMIFS('YTD Purchases'!$H:$H,'YTD Purchases'!$C:$C,Brokerage!$B255,'YTD Purchases'!$G:$G,Brokerage!I$4)</f>
        <v>0</v>
      </c>
      <c r="J255" s="857">
        <f>SUMIFS('YTD Sales'!$N:$N,'YTD Sales'!$B:$B,Brokerage!$B255,'YTD Sales'!$M:$M,Brokerage!J$4)+SUMIFS('YTD Purchases'!$H:$H,'YTD Purchases'!$C:$C,Brokerage!$B255,'YTD Purchases'!$G:$G,Brokerage!J$4)</f>
        <v>0</v>
      </c>
      <c r="K255" s="857">
        <f>SUMIFS('YTD Sales'!$N:$N,'YTD Sales'!$B:$B,Brokerage!$B255,'YTD Sales'!$M:$M,Brokerage!K$4)+SUMIFS('YTD Purchases'!$H:$H,'YTD Purchases'!$C:$C,Brokerage!$B255,'YTD Purchases'!$G:$G,Brokerage!K$4)</f>
        <v>0</v>
      </c>
      <c r="L255" s="857">
        <f>SUMIFS('YTD Sales'!$N:$N,'YTD Sales'!$B:$B,Brokerage!$B255,'YTD Sales'!$M:$M,Brokerage!L$4)+SUMIFS('YTD Purchases'!$H:$H,'YTD Purchases'!$C:$C,Brokerage!$B255,'YTD Purchases'!$G:$G,Brokerage!L$4)</f>
        <v>0</v>
      </c>
      <c r="M255" s="857">
        <f>SUMIFS('YTD Sales'!$N:$N,'YTD Sales'!$B:$B,Brokerage!$B255,'YTD Sales'!$M:$M,Brokerage!M$4)+SUMIFS('YTD Purchases'!$H:$H,'YTD Purchases'!$C:$C,Brokerage!$B255,'YTD Purchases'!$G:$G,Brokerage!M$4)</f>
        <v>0</v>
      </c>
      <c r="N255" s="857">
        <f>SUMIFS('YTD Sales'!$N:$N,'YTD Sales'!$B:$B,Brokerage!$B255,'YTD Sales'!$M:$M,Brokerage!N$4)+SUMIFS('YTD Purchases'!$H:$H,'YTD Purchases'!$C:$C,Brokerage!$B255,'YTD Purchases'!$G:$G,Brokerage!N$4)</f>
        <v>0</v>
      </c>
      <c r="O255" s="857">
        <f>SUMIFS('YTD Sales'!$N:$N,'YTD Sales'!$B:$B,Brokerage!$B255,'YTD Sales'!$M:$M,Brokerage!O$4)+SUMIFS('YTD Purchases'!$H:$H,'YTD Purchases'!$C:$C,Brokerage!$B255,'YTD Purchases'!$G:$G,Brokerage!O$4)</f>
        <v>0</v>
      </c>
      <c r="P255" s="857">
        <f>SUMIFS('YTD Sales'!$N:$N,'YTD Sales'!$B:$B,Brokerage!$B255,'YTD Sales'!$M:$M,Brokerage!P$4)+SUMIFS('YTD Purchases'!$H:$H,'YTD Purchases'!$C:$C,Brokerage!$B255,'YTD Purchases'!$G:$G,Brokerage!P$4)</f>
        <v>0</v>
      </c>
      <c r="Q255" s="857">
        <f>SUMIFS('YTD Sales'!$N:$N,'YTD Sales'!$B:$B,Brokerage!$B255,'YTD Sales'!$M:$M,Brokerage!Q$4)+SUMIFS('YTD Purchases'!$H:$H,'YTD Purchases'!$C:$C,Brokerage!$B255,'YTD Purchases'!$G:$G,Brokerage!Q$4)</f>
        <v>0</v>
      </c>
      <c r="R255" s="857">
        <f>SUMIFS('YTD Sales'!$N:$N,'YTD Sales'!$B:$B,Brokerage!$B255,'YTD Sales'!$M:$M,Brokerage!R$4)+SUMIFS('YTD Purchases'!$H:$H,'YTD Purchases'!$C:$C,Brokerage!$B255,'YTD Purchases'!$G:$G,Brokerage!R$4)</f>
        <v>0</v>
      </c>
      <c r="S255" s="857">
        <f>SUMIFS('YTD Sales'!$N:$N,'YTD Sales'!$B:$B,Brokerage!$B255,'YTD Sales'!$M:$M,Brokerage!S$4)+SUMIFS('YTD Purchases'!$H:$H,'YTD Purchases'!$C:$C,Brokerage!$B255,'YTD Purchases'!$G:$G,Brokerage!S$4)</f>
        <v>0</v>
      </c>
      <c r="T255" s="857">
        <f>SUMIFS('YTD Sales'!$N:$N,'YTD Sales'!$B:$B,Brokerage!$B255,'YTD Sales'!$M:$M,Brokerage!T$4)+SUMIFS('YTD Purchases'!$H:$H,'YTD Purchases'!$C:$C,Brokerage!$B255,'YTD Purchases'!$G:$G,Brokerage!T$4)</f>
        <v>0</v>
      </c>
      <c r="U255" s="857">
        <f>SUMIFS('YTD Sales'!$N:$N,'YTD Sales'!$B:$B,Brokerage!$B255,'YTD Sales'!$M:$M,Brokerage!U$4)+SUMIFS('YTD Purchases'!$H:$H,'YTD Purchases'!$C:$C,Brokerage!$B255,'YTD Purchases'!$G:$G,Brokerage!U$4)</f>
        <v>0</v>
      </c>
      <c r="V255" s="857">
        <f>SUMIFS('YTD Sales'!$N:$N,'YTD Sales'!$B:$B,Brokerage!$B255,'YTD Sales'!$M:$M,Brokerage!V$4)+SUMIFS('YTD Purchases'!$H:$H,'YTD Purchases'!$C:$C,Brokerage!$B255,'YTD Purchases'!$G:$G,Brokerage!V$4)</f>
        <v>0</v>
      </c>
      <c r="W255" s="857">
        <f>SUMIFS('YTD Sales'!$N:$N,'YTD Sales'!$B:$B,Brokerage!$B255,'YTD Sales'!$M:$M,Brokerage!W$4)+SUMIFS('YTD Purchases'!$H:$H,'YTD Purchases'!$C:$C,Brokerage!$B255,'YTD Purchases'!$G:$G,Brokerage!W$4)</f>
        <v>0</v>
      </c>
      <c r="X255" s="857">
        <f>SUMIFS('YTD Sales'!$N:$N,'YTD Sales'!$B:$B,Brokerage!$B255,'YTD Sales'!$M:$M,Brokerage!X$4)+SUMIFS('YTD Purchases'!$H:$H,'YTD Purchases'!$C:$C,Brokerage!$B255,'YTD Purchases'!$G:$G,Brokerage!X$4)</f>
        <v>0</v>
      </c>
      <c r="Y255" s="857">
        <f>SUMIFS('YTD Sales'!$N:$N,'YTD Sales'!$B:$B,Brokerage!$B255,'YTD Sales'!$M:$M,Brokerage!Y$4)+SUMIFS('YTD Purchases'!$H:$H,'YTD Purchases'!$C:$C,Brokerage!$B255,'YTD Purchases'!$G:$G,Brokerage!Y$4)</f>
        <v>0</v>
      </c>
      <c r="Z255" s="857">
        <f>SUMIFS('YTD Sales'!$N:$N,'YTD Sales'!$B:$B,Brokerage!$B255,'YTD Sales'!$M:$M,Brokerage!Z$4)+SUMIFS('YTD Purchases'!$H:$H,'YTD Purchases'!$C:$C,Brokerage!$B255,'YTD Purchases'!$G:$G,Brokerage!Z$4)</f>
        <v>0</v>
      </c>
      <c r="AA255" s="857">
        <f>SUMIFS('YTD Sales'!$N:$N,'YTD Sales'!$B:$B,Brokerage!$B255,'YTD Sales'!$M:$M,Brokerage!AA$4)+SUMIFS('YTD Purchases'!$H:$H,'YTD Purchases'!$C:$C,Brokerage!$B255,'YTD Purchases'!$G:$G,Brokerage!AA$4)</f>
        <v>0</v>
      </c>
      <c r="AB255" s="857">
        <f>SUMIFS('YTD Sales'!$N:$N,'YTD Sales'!$B:$B,Brokerage!$B255,'YTD Sales'!$M:$M,Brokerage!AB$4)+SUMIFS('YTD Purchases'!$H:$H,'YTD Purchases'!$C:$C,Brokerage!$B255,'YTD Purchases'!$G:$G,Brokerage!AB$4)</f>
        <v>0</v>
      </c>
      <c r="AC255" s="857">
        <f>SUMIFS('YTD Sales'!$N:$N,'YTD Sales'!$B:$B,Brokerage!$B255,'YTD Sales'!$M:$M,Brokerage!AC$4)+SUMIFS('YTD Purchases'!$H:$H,'YTD Purchases'!$C:$C,Brokerage!$B255,'YTD Purchases'!$G:$G,Brokerage!AC$4)</f>
        <v>0</v>
      </c>
      <c r="AD255" s="857">
        <f>+SUMIFS(PIB!AG:AG,PIB!AF:AF,Brokerage!AD$4,PIB!AA:AA,Brokerage!$B255)+SUMIFS('T-Bills'!AB:AB,'T-Bills'!AA:AA,Brokerage!AD$4,'T-Bills'!V:V,Brokerage!$B255)</f>
        <v>0</v>
      </c>
      <c r="AE255" s="857">
        <f>+SUMIFS(PIB!AH:AH,PIB!AG:AG,Brokerage!AE$4,PIB!AB:AB,Brokerage!$B255)+SUMIFS('T-Bills'!AC:AC,'T-Bills'!AB:AB,Brokerage!AE$4,'T-Bills'!W:W,Brokerage!$B255)</f>
        <v>0</v>
      </c>
      <c r="AF255" s="857">
        <f>+SUMIFS(PIB!AI:AI,PIB!AH:AH,Brokerage!AF$4,PIB!AC:AC,Brokerage!$B255)+SUMIFS('T-Bills'!AD:AD,'T-Bills'!AC:AC,Brokerage!AF$4,'T-Bills'!X:X,Brokerage!$B255)</f>
        <v>0</v>
      </c>
      <c r="AG255" s="857">
        <f t="shared" si="23"/>
        <v>0</v>
      </c>
      <c r="AH255" s="858">
        <f t="shared" si="24"/>
        <v>0</v>
      </c>
    </row>
    <row r="256" spans="2:34" x14ac:dyDescent="0.15">
      <c r="B256" s="661">
        <f t="shared" si="22"/>
        <v>44812</v>
      </c>
      <c r="C256" s="857">
        <f>SUMIFS('YTD Sales'!$N:$N,'YTD Sales'!$B:$B,Brokerage!$B256,'YTD Sales'!$M:$M,Brokerage!C$4)+SUMIFS('YTD Purchases'!$H:$H,'YTD Purchases'!$C:$C,Brokerage!$B256,'YTD Purchases'!$G:$G,Brokerage!C$4)</f>
        <v>0</v>
      </c>
      <c r="D256" s="857">
        <f>SUMIFS('YTD Sales'!$N:$N,'YTD Sales'!$B:$B,Brokerage!$B256,'YTD Sales'!$M:$M,Brokerage!D$4)+SUMIFS('YTD Purchases'!$H:$H,'YTD Purchases'!$C:$C,Brokerage!$B256,'YTD Purchases'!$G:$G,Brokerage!D$4)</f>
        <v>0</v>
      </c>
      <c r="E256" s="857">
        <f>SUMIFS('YTD Sales'!$N:$N,'YTD Sales'!$B:$B,Brokerage!$B256,'YTD Sales'!$M:$M,Brokerage!E$4)+SUMIFS('YTD Purchases'!$H:$H,'YTD Purchases'!$C:$C,Brokerage!$B256,'YTD Purchases'!$G:$G,Brokerage!E$4)</f>
        <v>0</v>
      </c>
      <c r="F256" s="857">
        <f>SUMIFS('YTD Sales'!$N:$N,'YTD Sales'!$B:$B,Brokerage!$B256,'YTD Sales'!$M:$M,Brokerage!F$4)+SUMIFS('YTD Purchases'!$H:$H,'YTD Purchases'!$C:$C,Brokerage!$B256,'YTD Purchases'!$G:$G,Brokerage!F$4)</f>
        <v>0</v>
      </c>
      <c r="G256" s="857">
        <f>SUMIFS('YTD Sales'!$N:$N,'YTD Sales'!$B:$B,Brokerage!$B256,'YTD Sales'!$M:$M,Brokerage!G$4)+SUMIFS('YTD Purchases'!$H:$H,'YTD Purchases'!$C:$C,Brokerage!$B256,'YTD Purchases'!$G:$G,Brokerage!G$4)</f>
        <v>0</v>
      </c>
      <c r="H256" s="857">
        <f>SUMIFS('YTD Sales'!$N:$N,'YTD Sales'!$B:$B,Brokerage!$B256,'YTD Sales'!$M:$M,Brokerage!H$4)+SUMIFS('YTD Purchases'!$H:$H,'YTD Purchases'!$C:$C,Brokerage!$B256,'YTD Purchases'!$G:$G,Brokerage!H$4)</f>
        <v>0</v>
      </c>
      <c r="I256" s="857">
        <f>SUMIFS('YTD Sales'!$N:$N,'YTD Sales'!$B:$B,Brokerage!$B256,'YTD Sales'!$M:$M,Brokerage!I$4)+SUMIFS('YTD Purchases'!$H:$H,'YTD Purchases'!$C:$C,Brokerage!$B256,'YTD Purchases'!$G:$G,Brokerage!I$4)</f>
        <v>0</v>
      </c>
      <c r="J256" s="857">
        <f>SUMIFS('YTD Sales'!$N:$N,'YTD Sales'!$B:$B,Brokerage!$B256,'YTD Sales'!$M:$M,Brokerage!J$4)+SUMIFS('YTD Purchases'!$H:$H,'YTD Purchases'!$C:$C,Brokerage!$B256,'YTD Purchases'!$G:$G,Brokerage!J$4)</f>
        <v>0</v>
      </c>
      <c r="K256" s="857">
        <f>SUMIFS('YTD Sales'!$N:$N,'YTD Sales'!$B:$B,Brokerage!$B256,'YTD Sales'!$M:$M,Brokerage!K$4)+SUMIFS('YTD Purchases'!$H:$H,'YTD Purchases'!$C:$C,Brokerage!$B256,'YTD Purchases'!$G:$G,Brokerage!K$4)</f>
        <v>0</v>
      </c>
      <c r="L256" s="857">
        <f>SUMIFS('YTD Sales'!$N:$N,'YTD Sales'!$B:$B,Brokerage!$B256,'YTD Sales'!$M:$M,Brokerage!L$4)+SUMIFS('YTD Purchases'!$H:$H,'YTD Purchases'!$C:$C,Brokerage!$B256,'YTD Purchases'!$G:$G,Brokerage!L$4)</f>
        <v>0</v>
      </c>
      <c r="M256" s="857">
        <f>SUMIFS('YTD Sales'!$N:$N,'YTD Sales'!$B:$B,Brokerage!$B256,'YTD Sales'!$M:$M,Brokerage!M$4)+SUMIFS('YTD Purchases'!$H:$H,'YTD Purchases'!$C:$C,Brokerage!$B256,'YTD Purchases'!$G:$G,Brokerage!M$4)</f>
        <v>0</v>
      </c>
      <c r="N256" s="857">
        <f>SUMIFS('YTD Sales'!$N:$N,'YTD Sales'!$B:$B,Brokerage!$B256,'YTD Sales'!$M:$M,Brokerage!N$4)+SUMIFS('YTD Purchases'!$H:$H,'YTD Purchases'!$C:$C,Brokerage!$B256,'YTD Purchases'!$G:$G,Brokerage!N$4)</f>
        <v>0</v>
      </c>
      <c r="O256" s="857">
        <f>SUMIFS('YTD Sales'!$N:$N,'YTD Sales'!$B:$B,Brokerage!$B256,'YTD Sales'!$M:$M,Brokerage!O$4)+SUMIFS('YTD Purchases'!$H:$H,'YTD Purchases'!$C:$C,Brokerage!$B256,'YTD Purchases'!$G:$G,Brokerage!O$4)</f>
        <v>0</v>
      </c>
      <c r="P256" s="857">
        <f>SUMIFS('YTD Sales'!$N:$N,'YTD Sales'!$B:$B,Brokerage!$B256,'YTD Sales'!$M:$M,Brokerage!P$4)+SUMIFS('YTD Purchases'!$H:$H,'YTD Purchases'!$C:$C,Brokerage!$B256,'YTD Purchases'!$G:$G,Brokerage!P$4)</f>
        <v>0</v>
      </c>
      <c r="Q256" s="857">
        <f>SUMIFS('YTD Sales'!$N:$N,'YTD Sales'!$B:$B,Brokerage!$B256,'YTD Sales'!$M:$M,Brokerage!Q$4)+SUMIFS('YTD Purchases'!$H:$H,'YTD Purchases'!$C:$C,Brokerage!$B256,'YTD Purchases'!$G:$G,Brokerage!Q$4)</f>
        <v>0</v>
      </c>
      <c r="R256" s="857">
        <f>SUMIFS('YTD Sales'!$N:$N,'YTD Sales'!$B:$B,Brokerage!$B256,'YTD Sales'!$M:$M,Brokerage!R$4)+SUMIFS('YTD Purchases'!$H:$H,'YTD Purchases'!$C:$C,Brokerage!$B256,'YTD Purchases'!$G:$G,Brokerage!R$4)</f>
        <v>0</v>
      </c>
      <c r="S256" s="857">
        <f>SUMIFS('YTD Sales'!$N:$N,'YTD Sales'!$B:$B,Brokerage!$B256,'YTD Sales'!$M:$M,Brokerage!S$4)+SUMIFS('YTD Purchases'!$H:$H,'YTD Purchases'!$C:$C,Brokerage!$B256,'YTD Purchases'!$G:$G,Brokerage!S$4)</f>
        <v>0</v>
      </c>
      <c r="T256" s="857">
        <f>SUMIFS('YTD Sales'!$N:$N,'YTD Sales'!$B:$B,Brokerage!$B256,'YTD Sales'!$M:$M,Brokerage!T$4)+SUMIFS('YTD Purchases'!$H:$H,'YTD Purchases'!$C:$C,Brokerage!$B256,'YTD Purchases'!$G:$G,Brokerage!T$4)</f>
        <v>0</v>
      </c>
      <c r="U256" s="857">
        <f>SUMIFS('YTD Sales'!$N:$N,'YTD Sales'!$B:$B,Brokerage!$B256,'YTD Sales'!$M:$M,Brokerage!U$4)+SUMIFS('YTD Purchases'!$H:$H,'YTD Purchases'!$C:$C,Brokerage!$B256,'YTD Purchases'!$G:$G,Brokerage!U$4)</f>
        <v>0</v>
      </c>
      <c r="V256" s="857">
        <f>SUMIFS('YTD Sales'!$N:$N,'YTD Sales'!$B:$B,Brokerage!$B256,'YTD Sales'!$M:$M,Brokerage!V$4)+SUMIFS('YTD Purchases'!$H:$H,'YTD Purchases'!$C:$C,Brokerage!$B256,'YTD Purchases'!$G:$G,Brokerage!V$4)</f>
        <v>0</v>
      </c>
      <c r="W256" s="857">
        <f>SUMIFS('YTD Sales'!$N:$N,'YTD Sales'!$B:$B,Brokerage!$B256,'YTD Sales'!$M:$M,Brokerage!W$4)+SUMIFS('YTD Purchases'!$H:$H,'YTD Purchases'!$C:$C,Brokerage!$B256,'YTD Purchases'!$G:$G,Brokerage!W$4)</f>
        <v>0</v>
      </c>
      <c r="X256" s="857">
        <f>SUMIFS('YTD Sales'!$N:$N,'YTD Sales'!$B:$B,Brokerage!$B256,'YTD Sales'!$M:$M,Brokerage!X$4)+SUMIFS('YTD Purchases'!$H:$H,'YTD Purchases'!$C:$C,Brokerage!$B256,'YTD Purchases'!$G:$G,Brokerage!X$4)</f>
        <v>0</v>
      </c>
      <c r="Y256" s="857">
        <f>SUMIFS('YTD Sales'!$N:$N,'YTD Sales'!$B:$B,Brokerage!$B256,'YTD Sales'!$M:$M,Brokerage!Y$4)+SUMIFS('YTD Purchases'!$H:$H,'YTD Purchases'!$C:$C,Brokerage!$B256,'YTD Purchases'!$G:$G,Brokerage!Y$4)</f>
        <v>0</v>
      </c>
      <c r="Z256" s="857">
        <f>SUMIFS('YTD Sales'!$N:$N,'YTD Sales'!$B:$B,Brokerage!$B256,'YTD Sales'!$M:$M,Brokerage!Z$4)+SUMIFS('YTD Purchases'!$H:$H,'YTD Purchases'!$C:$C,Brokerage!$B256,'YTD Purchases'!$G:$G,Brokerage!Z$4)</f>
        <v>0</v>
      </c>
      <c r="AA256" s="857">
        <f>SUMIFS('YTD Sales'!$N:$N,'YTD Sales'!$B:$B,Brokerage!$B256,'YTD Sales'!$M:$M,Brokerage!AA$4)+SUMIFS('YTD Purchases'!$H:$H,'YTD Purchases'!$C:$C,Brokerage!$B256,'YTD Purchases'!$G:$G,Brokerage!AA$4)</f>
        <v>0</v>
      </c>
      <c r="AB256" s="857">
        <f>SUMIFS('YTD Sales'!$N:$N,'YTD Sales'!$B:$B,Brokerage!$B256,'YTD Sales'!$M:$M,Brokerage!AB$4)+SUMIFS('YTD Purchases'!$H:$H,'YTD Purchases'!$C:$C,Brokerage!$B256,'YTD Purchases'!$G:$G,Brokerage!AB$4)</f>
        <v>0</v>
      </c>
      <c r="AC256" s="857">
        <f>SUMIFS('YTD Sales'!$N:$N,'YTD Sales'!$B:$B,Brokerage!$B256,'YTD Sales'!$M:$M,Brokerage!AC$4)+SUMIFS('YTD Purchases'!$H:$H,'YTD Purchases'!$C:$C,Brokerage!$B256,'YTD Purchases'!$G:$G,Brokerage!AC$4)</f>
        <v>0</v>
      </c>
      <c r="AD256" s="857">
        <f>+SUMIFS(PIB!AG:AG,PIB!AF:AF,Brokerage!AD$4,PIB!AA:AA,Brokerage!$B256)+SUMIFS('T-Bills'!AB:AB,'T-Bills'!AA:AA,Brokerage!AD$4,'T-Bills'!V:V,Brokerage!$B256)</f>
        <v>0</v>
      </c>
      <c r="AE256" s="857">
        <f>+SUMIFS(PIB!AH:AH,PIB!AG:AG,Brokerage!AE$4,PIB!AB:AB,Brokerage!$B256)+SUMIFS('T-Bills'!AC:AC,'T-Bills'!AB:AB,Brokerage!AE$4,'T-Bills'!W:W,Brokerage!$B256)</f>
        <v>0</v>
      </c>
      <c r="AF256" s="857">
        <f>+SUMIFS(PIB!AI:AI,PIB!AH:AH,Brokerage!AF$4,PIB!AC:AC,Brokerage!$B256)+SUMIFS('T-Bills'!AD:AD,'T-Bills'!AC:AC,Brokerage!AF$4,'T-Bills'!X:X,Brokerage!$B256)</f>
        <v>0</v>
      </c>
      <c r="AG256" s="857">
        <f t="shared" si="23"/>
        <v>0</v>
      </c>
      <c r="AH256" s="858">
        <f t="shared" si="24"/>
        <v>0</v>
      </c>
    </row>
    <row r="257" spans="2:34" x14ac:dyDescent="0.15">
      <c r="B257" s="661">
        <f t="shared" si="22"/>
        <v>44813</v>
      </c>
      <c r="C257" s="857">
        <f>SUMIFS('YTD Sales'!$N:$N,'YTD Sales'!$B:$B,Brokerage!$B257,'YTD Sales'!$M:$M,Brokerage!C$4)+SUMIFS('YTD Purchases'!$H:$H,'YTD Purchases'!$C:$C,Brokerage!$B257,'YTD Purchases'!$G:$G,Brokerage!C$4)</f>
        <v>0</v>
      </c>
      <c r="D257" s="857">
        <f>SUMIFS('YTD Sales'!$N:$N,'YTD Sales'!$B:$B,Brokerage!$B257,'YTD Sales'!$M:$M,Brokerage!D$4)+SUMIFS('YTD Purchases'!$H:$H,'YTD Purchases'!$C:$C,Brokerage!$B257,'YTD Purchases'!$G:$G,Brokerage!D$4)</f>
        <v>0</v>
      </c>
      <c r="E257" s="857">
        <f>SUMIFS('YTD Sales'!$N:$N,'YTD Sales'!$B:$B,Brokerage!$B257,'YTD Sales'!$M:$M,Brokerage!E$4)+SUMIFS('YTD Purchases'!$H:$H,'YTD Purchases'!$C:$C,Brokerage!$B257,'YTD Purchases'!$G:$G,Brokerage!E$4)</f>
        <v>0</v>
      </c>
      <c r="F257" s="857">
        <f>SUMIFS('YTD Sales'!$N:$N,'YTD Sales'!$B:$B,Brokerage!$B257,'YTD Sales'!$M:$M,Brokerage!F$4)+SUMIFS('YTD Purchases'!$H:$H,'YTD Purchases'!$C:$C,Brokerage!$B257,'YTD Purchases'!$G:$G,Brokerage!F$4)</f>
        <v>0</v>
      </c>
      <c r="G257" s="857">
        <f>SUMIFS('YTD Sales'!$N:$N,'YTD Sales'!$B:$B,Brokerage!$B257,'YTD Sales'!$M:$M,Brokerage!G$4)+SUMIFS('YTD Purchases'!$H:$H,'YTD Purchases'!$C:$C,Brokerage!$B257,'YTD Purchases'!$G:$G,Brokerage!G$4)</f>
        <v>0</v>
      </c>
      <c r="H257" s="857">
        <f>SUMIFS('YTD Sales'!$N:$N,'YTD Sales'!$B:$B,Brokerage!$B257,'YTD Sales'!$M:$M,Brokerage!H$4)+SUMIFS('YTD Purchases'!$H:$H,'YTD Purchases'!$C:$C,Brokerage!$B257,'YTD Purchases'!$G:$G,Brokerage!H$4)</f>
        <v>0</v>
      </c>
      <c r="I257" s="857">
        <f>SUMIFS('YTD Sales'!$N:$N,'YTD Sales'!$B:$B,Brokerage!$B257,'YTD Sales'!$M:$M,Brokerage!I$4)+SUMIFS('YTD Purchases'!$H:$H,'YTD Purchases'!$C:$C,Brokerage!$B257,'YTD Purchases'!$G:$G,Brokerage!I$4)</f>
        <v>0</v>
      </c>
      <c r="J257" s="857">
        <f>SUMIFS('YTD Sales'!$N:$N,'YTD Sales'!$B:$B,Brokerage!$B257,'YTD Sales'!$M:$M,Brokerage!J$4)+SUMIFS('YTD Purchases'!$H:$H,'YTD Purchases'!$C:$C,Brokerage!$B257,'YTD Purchases'!$G:$G,Brokerage!J$4)</f>
        <v>0</v>
      </c>
      <c r="K257" s="857">
        <f>SUMIFS('YTD Sales'!$N:$N,'YTD Sales'!$B:$B,Brokerage!$B257,'YTD Sales'!$M:$M,Brokerage!K$4)+SUMIFS('YTD Purchases'!$H:$H,'YTD Purchases'!$C:$C,Brokerage!$B257,'YTD Purchases'!$G:$G,Brokerage!K$4)</f>
        <v>0</v>
      </c>
      <c r="L257" s="857">
        <f>SUMIFS('YTD Sales'!$N:$N,'YTD Sales'!$B:$B,Brokerage!$B257,'YTD Sales'!$M:$M,Brokerage!L$4)+SUMIFS('YTD Purchases'!$H:$H,'YTD Purchases'!$C:$C,Brokerage!$B257,'YTD Purchases'!$G:$G,Brokerage!L$4)</f>
        <v>0</v>
      </c>
      <c r="M257" s="857">
        <f>SUMIFS('YTD Sales'!$N:$N,'YTD Sales'!$B:$B,Brokerage!$B257,'YTD Sales'!$M:$M,Brokerage!M$4)+SUMIFS('YTD Purchases'!$H:$H,'YTD Purchases'!$C:$C,Brokerage!$B257,'YTD Purchases'!$G:$G,Brokerage!M$4)</f>
        <v>0</v>
      </c>
      <c r="N257" s="857">
        <f>SUMIFS('YTD Sales'!$N:$N,'YTD Sales'!$B:$B,Brokerage!$B257,'YTD Sales'!$M:$M,Brokerage!N$4)+SUMIFS('YTD Purchases'!$H:$H,'YTD Purchases'!$C:$C,Brokerage!$B257,'YTD Purchases'!$G:$G,Brokerage!N$4)</f>
        <v>0</v>
      </c>
      <c r="O257" s="857">
        <f>SUMIFS('YTD Sales'!$N:$N,'YTD Sales'!$B:$B,Brokerage!$B257,'YTD Sales'!$M:$M,Brokerage!O$4)+SUMIFS('YTD Purchases'!$H:$H,'YTD Purchases'!$C:$C,Brokerage!$B257,'YTD Purchases'!$G:$G,Brokerage!O$4)</f>
        <v>0</v>
      </c>
      <c r="P257" s="857">
        <f>SUMIFS('YTD Sales'!$N:$N,'YTD Sales'!$B:$B,Brokerage!$B257,'YTD Sales'!$M:$M,Brokerage!P$4)+SUMIFS('YTD Purchases'!$H:$H,'YTD Purchases'!$C:$C,Brokerage!$B257,'YTD Purchases'!$G:$G,Brokerage!P$4)</f>
        <v>0</v>
      </c>
      <c r="Q257" s="857">
        <f>SUMIFS('YTD Sales'!$N:$N,'YTD Sales'!$B:$B,Brokerage!$B257,'YTD Sales'!$M:$M,Brokerage!Q$4)+SUMIFS('YTD Purchases'!$H:$H,'YTD Purchases'!$C:$C,Brokerage!$B257,'YTD Purchases'!$G:$G,Brokerage!Q$4)</f>
        <v>0</v>
      </c>
      <c r="R257" s="857">
        <f>SUMIFS('YTD Sales'!$N:$N,'YTD Sales'!$B:$B,Brokerage!$B257,'YTD Sales'!$M:$M,Brokerage!R$4)+SUMIFS('YTD Purchases'!$H:$H,'YTD Purchases'!$C:$C,Brokerage!$B257,'YTD Purchases'!$G:$G,Brokerage!R$4)</f>
        <v>0</v>
      </c>
      <c r="S257" s="857">
        <f>SUMIFS('YTD Sales'!$N:$N,'YTD Sales'!$B:$B,Brokerage!$B257,'YTD Sales'!$M:$M,Brokerage!S$4)+SUMIFS('YTD Purchases'!$H:$H,'YTD Purchases'!$C:$C,Brokerage!$B257,'YTD Purchases'!$G:$G,Brokerage!S$4)</f>
        <v>0</v>
      </c>
      <c r="T257" s="857">
        <f>SUMIFS('YTD Sales'!$N:$N,'YTD Sales'!$B:$B,Brokerage!$B257,'YTD Sales'!$M:$M,Brokerage!T$4)+SUMIFS('YTD Purchases'!$H:$H,'YTD Purchases'!$C:$C,Brokerage!$B257,'YTD Purchases'!$G:$G,Brokerage!T$4)</f>
        <v>0</v>
      </c>
      <c r="U257" s="857">
        <f>SUMIFS('YTD Sales'!$N:$N,'YTD Sales'!$B:$B,Brokerage!$B257,'YTD Sales'!$M:$M,Brokerage!U$4)+SUMIFS('YTD Purchases'!$H:$H,'YTD Purchases'!$C:$C,Brokerage!$B257,'YTD Purchases'!$G:$G,Brokerage!U$4)</f>
        <v>0</v>
      </c>
      <c r="V257" s="857">
        <f>SUMIFS('YTD Sales'!$N:$N,'YTD Sales'!$B:$B,Brokerage!$B257,'YTD Sales'!$M:$M,Brokerage!V$4)+SUMIFS('YTD Purchases'!$H:$H,'YTD Purchases'!$C:$C,Brokerage!$B257,'YTD Purchases'!$G:$G,Brokerage!V$4)</f>
        <v>0</v>
      </c>
      <c r="W257" s="857">
        <f>SUMIFS('YTD Sales'!$N:$N,'YTD Sales'!$B:$B,Brokerage!$B257,'YTD Sales'!$M:$M,Brokerage!W$4)+SUMIFS('YTD Purchases'!$H:$H,'YTD Purchases'!$C:$C,Brokerage!$B257,'YTD Purchases'!$G:$G,Brokerage!W$4)</f>
        <v>0</v>
      </c>
      <c r="X257" s="857">
        <f>SUMIFS('YTD Sales'!$N:$N,'YTD Sales'!$B:$B,Brokerage!$B257,'YTD Sales'!$M:$M,Brokerage!X$4)+SUMIFS('YTD Purchases'!$H:$H,'YTD Purchases'!$C:$C,Brokerage!$B257,'YTD Purchases'!$G:$G,Brokerage!X$4)</f>
        <v>0</v>
      </c>
      <c r="Y257" s="857">
        <f>SUMIFS('YTD Sales'!$N:$N,'YTD Sales'!$B:$B,Brokerage!$B257,'YTD Sales'!$M:$M,Brokerage!Y$4)+SUMIFS('YTD Purchases'!$H:$H,'YTD Purchases'!$C:$C,Brokerage!$B257,'YTD Purchases'!$G:$G,Brokerage!Y$4)</f>
        <v>0</v>
      </c>
      <c r="Z257" s="857">
        <f>SUMIFS('YTD Sales'!$N:$N,'YTD Sales'!$B:$B,Brokerage!$B257,'YTD Sales'!$M:$M,Brokerage!Z$4)+SUMIFS('YTD Purchases'!$H:$H,'YTD Purchases'!$C:$C,Brokerage!$B257,'YTD Purchases'!$G:$G,Brokerage!Z$4)</f>
        <v>0</v>
      </c>
      <c r="AA257" s="857">
        <f>SUMIFS('YTD Sales'!$N:$N,'YTD Sales'!$B:$B,Brokerage!$B257,'YTD Sales'!$M:$M,Brokerage!AA$4)+SUMIFS('YTD Purchases'!$H:$H,'YTD Purchases'!$C:$C,Brokerage!$B257,'YTD Purchases'!$G:$G,Brokerage!AA$4)</f>
        <v>0</v>
      </c>
      <c r="AB257" s="857">
        <f>SUMIFS('YTD Sales'!$N:$N,'YTD Sales'!$B:$B,Brokerage!$B257,'YTD Sales'!$M:$M,Brokerage!AB$4)+SUMIFS('YTD Purchases'!$H:$H,'YTD Purchases'!$C:$C,Brokerage!$B257,'YTD Purchases'!$G:$G,Brokerage!AB$4)</f>
        <v>0</v>
      </c>
      <c r="AC257" s="857">
        <f>SUMIFS('YTD Sales'!$N:$N,'YTD Sales'!$B:$B,Brokerage!$B257,'YTD Sales'!$M:$M,Brokerage!AC$4)+SUMIFS('YTD Purchases'!$H:$H,'YTD Purchases'!$C:$C,Brokerage!$B257,'YTD Purchases'!$G:$G,Brokerage!AC$4)</f>
        <v>0</v>
      </c>
      <c r="AD257" s="857">
        <f>+SUMIFS(PIB!AG:AG,PIB!AF:AF,Brokerage!AD$4,PIB!AA:AA,Brokerage!$B257)+SUMIFS('T-Bills'!AB:AB,'T-Bills'!AA:AA,Brokerage!AD$4,'T-Bills'!V:V,Brokerage!$B257)</f>
        <v>0</v>
      </c>
      <c r="AE257" s="857">
        <f>+SUMIFS(PIB!AH:AH,PIB!AG:AG,Brokerage!AE$4,PIB!AB:AB,Brokerage!$B257)+SUMIFS('T-Bills'!AC:AC,'T-Bills'!AB:AB,Brokerage!AE$4,'T-Bills'!W:W,Brokerage!$B257)</f>
        <v>0</v>
      </c>
      <c r="AF257" s="857">
        <f>+SUMIFS(PIB!AI:AI,PIB!AH:AH,Brokerage!AF$4,PIB!AC:AC,Brokerage!$B257)+SUMIFS('T-Bills'!AD:AD,'T-Bills'!AC:AC,Brokerage!AF$4,'T-Bills'!X:X,Brokerage!$B257)</f>
        <v>0</v>
      </c>
      <c r="AG257" s="857">
        <f t="shared" si="23"/>
        <v>0</v>
      </c>
      <c r="AH257" s="858">
        <f t="shared" si="24"/>
        <v>0</v>
      </c>
    </row>
    <row r="258" spans="2:34" x14ac:dyDescent="0.15">
      <c r="B258" s="661">
        <f t="shared" si="22"/>
        <v>44814</v>
      </c>
      <c r="C258" s="857">
        <f>SUMIFS('YTD Sales'!$N:$N,'YTD Sales'!$B:$B,Brokerage!$B258,'YTD Sales'!$M:$M,Brokerage!C$4)+SUMIFS('YTD Purchases'!$H:$H,'YTD Purchases'!$C:$C,Brokerage!$B258,'YTD Purchases'!$G:$G,Brokerage!C$4)</f>
        <v>0</v>
      </c>
      <c r="D258" s="857">
        <f>SUMIFS('YTD Sales'!$N:$N,'YTD Sales'!$B:$B,Brokerage!$B258,'YTD Sales'!$M:$M,Brokerage!D$4)+SUMIFS('YTD Purchases'!$H:$H,'YTD Purchases'!$C:$C,Brokerage!$B258,'YTD Purchases'!$G:$G,Brokerage!D$4)</f>
        <v>0</v>
      </c>
      <c r="E258" s="857">
        <f>SUMIFS('YTD Sales'!$N:$N,'YTD Sales'!$B:$B,Brokerage!$B258,'YTD Sales'!$M:$M,Brokerage!E$4)+SUMIFS('YTD Purchases'!$H:$H,'YTD Purchases'!$C:$C,Brokerage!$B258,'YTD Purchases'!$G:$G,Brokerage!E$4)</f>
        <v>0</v>
      </c>
      <c r="F258" s="857">
        <f>SUMIFS('YTD Sales'!$N:$N,'YTD Sales'!$B:$B,Brokerage!$B258,'YTD Sales'!$M:$M,Brokerage!F$4)+SUMIFS('YTD Purchases'!$H:$H,'YTD Purchases'!$C:$C,Brokerage!$B258,'YTD Purchases'!$G:$G,Brokerage!F$4)</f>
        <v>0</v>
      </c>
      <c r="G258" s="857">
        <f>SUMIFS('YTD Sales'!$N:$N,'YTD Sales'!$B:$B,Brokerage!$B258,'YTD Sales'!$M:$M,Brokerage!G$4)+SUMIFS('YTD Purchases'!$H:$H,'YTD Purchases'!$C:$C,Brokerage!$B258,'YTD Purchases'!$G:$G,Brokerage!G$4)</f>
        <v>0</v>
      </c>
      <c r="H258" s="857">
        <f>SUMIFS('YTD Sales'!$N:$N,'YTD Sales'!$B:$B,Brokerage!$B258,'YTD Sales'!$M:$M,Brokerage!H$4)+SUMIFS('YTD Purchases'!$H:$H,'YTD Purchases'!$C:$C,Brokerage!$B258,'YTD Purchases'!$G:$G,Brokerage!H$4)</f>
        <v>0</v>
      </c>
      <c r="I258" s="857">
        <f>SUMIFS('YTD Sales'!$N:$N,'YTD Sales'!$B:$B,Brokerage!$B258,'YTD Sales'!$M:$M,Brokerage!I$4)+SUMIFS('YTD Purchases'!$H:$H,'YTD Purchases'!$C:$C,Brokerage!$B258,'YTD Purchases'!$G:$G,Brokerage!I$4)</f>
        <v>0</v>
      </c>
      <c r="J258" s="857">
        <f>SUMIFS('YTD Sales'!$N:$N,'YTD Sales'!$B:$B,Brokerage!$B258,'YTD Sales'!$M:$M,Brokerage!J$4)+SUMIFS('YTD Purchases'!$H:$H,'YTD Purchases'!$C:$C,Brokerage!$B258,'YTD Purchases'!$G:$G,Brokerage!J$4)</f>
        <v>0</v>
      </c>
      <c r="K258" s="857">
        <f>SUMIFS('YTD Sales'!$N:$N,'YTD Sales'!$B:$B,Brokerage!$B258,'YTD Sales'!$M:$M,Brokerage!K$4)+SUMIFS('YTD Purchases'!$H:$H,'YTD Purchases'!$C:$C,Brokerage!$B258,'YTD Purchases'!$G:$G,Brokerage!K$4)</f>
        <v>0</v>
      </c>
      <c r="L258" s="857">
        <f>SUMIFS('YTD Sales'!$N:$N,'YTD Sales'!$B:$B,Brokerage!$B258,'YTD Sales'!$M:$M,Brokerage!L$4)+SUMIFS('YTD Purchases'!$H:$H,'YTD Purchases'!$C:$C,Brokerage!$B258,'YTD Purchases'!$G:$G,Brokerage!L$4)</f>
        <v>0</v>
      </c>
      <c r="M258" s="857">
        <f>SUMIFS('YTD Sales'!$N:$N,'YTD Sales'!$B:$B,Brokerage!$B258,'YTD Sales'!$M:$M,Brokerage!M$4)+SUMIFS('YTD Purchases'!$H:$H,'YTD Purchases'!$C:$C,Brokerage!$B258,'YTD Purchases'!$G:$G,Brokerage!M$4)</f>
        <v>0</v>
      </c>
      <c r="N258" s="857">
        <f>SUMIFS('YTD Sales'!$N:$N,'YTD Sales'!$B:$B,Brokerage!$B258,'YTD Sales'!$M:$M,Brokerage!N$4)+SUMIFS('YTD Purchases'!$H:$H,'YTD Purchases'!$C:$C,Brokerage!$B258,'YTD Purchases'!$G:$G,Brokerage!N$4)</f>
        <v>0</v>
      </c>
      <c r="O258" s="857">
        <f>SUMIFS('YTD Sales'!$N:$N,'YTD Sales'!$B:$B,Brokerage!$B258,'YTD Sales'!$M:$M,Brokerage!O$4)+SUMIFS('YTD Purchases'!$H:$H,'YTD Purchases'!$C:$C,Brokerage!$B258,'YTD Purchases'!$G:$G,Brokerage!O$4)</f>
        <v>0</v>
      </c>
      <c r="P258" s="857">
        <f>SUMIFS('YTD Sales'!$N:$N,'YTD Sales'!$B:$B,Brokerage!$B258,'YTD Sales'!$M:$M,Brokerage!P$4)+SUMIFS('YTD Purchases'!$H:$H,'YTD Purchases'!$C:$C,Brokerage!$B258,'YTD Purchases'!$G:$G,Brokerage!P$4)</f>
        <v>0</v>
      </c>
      <c r="Q258" s="857">
        <f>SUMIFS('YTD Sales'!$N:$N,'YTD Sales'!$B:$B,Brokerage!$B258,'YTD Sales'!$M:$M,Brokerage!Q$4)+SUMIFS('YTD Purchases'!$H:$H,'YTD Purchases'!$C:$C,Brokerage!$B258,'YTD Purchases'!$G:$G,Brokerage!Q$4)</f>
        <v>0</v>
      </c>
      <c r="R258" s="857">
        <f>SUMIFS('YTD Sales'!$N:$N,'YTD Sales'!$B:$B,Brokerage!$B258,'YTD Sales'!$M:$M,Brokerage!R$4)+SUMIFS('YTD Purchases'!$H:$H,'YTD Purchases'!$C:$C,Brokerage!$B258,'YTD Purchases'!$G:$G,Brokerage!R$4)</f>
        <v>0</v>
      </c>
      <c r="S258" s="857">
        <f>SUMIFS('YTD Sales'!$N:$N,'YTD Sales'!$B:$B,Brokerage!$B258,'YTD Sales'!$M:$M,Brokerage!S$4)+SUMIFS('YTD Purchases'!$H:$H,'YTD Purchases'!$C:$C,Brokerage!$B258,'YTD Purchases'!$G:$G,Brokerage!S$4)</f>
        <v>0</v>
      </c>
      <c r="T258" s="857">
        <f>SUMIFS('YTD Sales'!$N:$N,'YTD Sales'!$B:$B,Brokerage!$B258,'YTD Sales'!$M:$M,Brokerage!T$4)+SUMIFS('YTD Purchases'!$H:$H,'YTD Purchases'!$C:$C,Brokerage!$B258,'YTD Purchases'!$G:$G,Brokerage!T$4)</f>
        <v>0</v>
      </c>
      <c r="U258" s="857">
        <f>SUMIFS('YTD Sales'!$N:$N,'YTD Sales'!$B:$B,Brokerage!$B258,'YTD Sales'!$M:$M,Brokerage!U$4)+SUMIFS('YTD Purchases'!$H:$H,'YTD Purchases'!$C:$C,Brokerage!$B258,'YTD Purchases'!$G:$G,Brokerage!U$4)</f>
        <v>0</v>
      </c>
      <c r="V258" s="857">
        <f>SUMIFS('YTD Sales'!$N:$N,'YTD Sales'!$B:$B,Brokerage!$B258,'YTD Sales'!$M:$M,Brokerage!V$4)+SUMIFS('YTD Purchases'!$H:$H,'YTD Purchases'!$C:$C,Brokerage!$B258,'YTD Purchases'!$G:$G,Brokerage!V$4)</f>
        <v>0</v>
      </c>
      <c r="W258" s="857">
        <f>SUMIFS('YTD Sales'!$N:$N,'YTD Sales'!$B:$B,Brokerage!$B258,'YTD Sales'!$M:$M,Brokerage!W$4)+SUMIFS('YTD Purchases'!$H:$H,'YTD Purchases'!$C:$C,Brokerage!$B258,'YTD Purchases'!$G:$G,Brokerage!W$4)</f>
        <v>0</v>
      </c>
      <c r="X258" s="857">
        <f>SUMIFS('YTD Sales'!$N:$N,'YTD Sales'!$B:$B,Brokerage!$B258,'YTD Sales'!$M:$M,Brokerage!X$4)+SUMIFS('YTD Purchases'!$H:$H,'YTD Purchases'!$C:$C,Brokerage!$B258,'YTD Purchases'!$G:$G,Brokerage!X$4)</f>
        <v>0</v>
      </c>
      <c r="Y258" s="857">
        <f>SUMIFS('YTD Sales'!$N:$N,'YTD Sales'!$B:$B,Brokerage!$B258,'YTD Sales'!$M:$M,Brokerage!Y$4)+SUMIFS('YTD Purchases'!$H:$H,'YTD Purchases'!$C:$C,Brokerage!$B258,'YTD Purchases'!$G:$G,Brokerage!Y$4)</f>
        <v>0</v>
      </c>
      <c r="Z258" s="857">
        <f>SUMIFS('YTD Sales'!$N:$N,'YTD Sales'!$B:$B,Brokerage!$B258,'YTD Sales'!$M:$M,Brokerage!Z$4)+SUMIFS('YTD Purchases'!$H:$H,'YTD Purchases'!$C:$C,Brokerage!$B258,'YTD Purchases'!$G:$G,Brokerage!Z$4)</f>
        <v>0</v>
      </c>
      <c r="AA258" s="857">
        <f>SUMIFS('YTD Sales'!$N:$N,'YTD Sales'!$B:$B,Brokerage!$B258,'YTD Sales'!$M:$M,Brokerage!AA$4)+SUMIFS('YTD Purchases'!$H:$H,'YTD Purchases'!$C:$C,Brokerage!$B258,'YTD Purchases'!$G:$G,Brokerage!AA$4)</f>
        <v>0</v>
      </c>
      <c r="AB258" s="857">
        <f>SUMIFS('YTD Sales'!$N:$N,'YTD Sales'!$B:$B,Brokerage!$B258,'YTD Sales'!$M:$M,Brokerage!AB$4)+SUMIFS('YTD Purchases'!$H:$H,'YTD Purchases'!$C:$C,Brokerage!$B258,'YTD Purchases'!$G:$G,Brokerage!AB$4)</f>
        <v>0</v>
      </c>
      <c r="AC258" s="857">
        <f>SUMIFS('YTD Sales'!$N:$N,'YTD Sales'!$B:$B,Brokerage!$B258,'YTD Sales'!$M:$M,Brokerage!AC$4)+SUMIFS('YTD Purchases'!$H:$H,'YTD Purchases'!$C:$C,Brokerage!$B258,'YTD Purchases'!$G:$G,Brokerage!AC$4)</f>
        <v>0</v>
      </c>
      <c r="AD258" s="857">
        <f>+SUMIFS(PIB!AG:AG,PIB!AF:AF,Brokerage!AD$4,PIB!AA:AA,Brokerage!$B258)+SUMIFS('T-Bills'!AB:AB,'T-Bills'!AA:AA,Brokerage!AD$4,'T-Bills'!V:V,Brokerage!$B258)</f>
        <v>0</v>
      </c>
      <c r="AE258" s="857">
        <f>+SUMIFS(PIB!AH:AH,PIB!AG:AG,Brokerage!AE$4,PIB!AB:AB,Brokerage!$B258)+SUMIFS('T-Bills'!AC:AC,'T-Bills'!AB:AB,Brokerage!AE$4,'T-Bills'!W:W,Brokerage!$B258)</f>
        <v>0</v>
      </c>
      <c r="AF258" s="857">
        <f>+SUMIFS(PIB!AI:AI,PIB!AH:AH,Brokerage!AF$4,PIB!AC:AC,Brokerage!$B258)+SUMIFS('T-Bills'!AD:AD,'T-Bills'!AC:AC,Brokerage!AF$4,'T-Bills'!X:X,Brokerage!$B258)</f>
        <v>0</v>
      </c>
      <c r="AG258" s="857">
        <f t="shared" si="23"/>
        <v>0</v>
      </c>
      <c r="AH258" s="858">
        <f t="shared" si="24"/>
        <v>0</v>
      </c>
    </row>
    <row r="259" spans="2:34" x14ac:dyDescent="0.15">
      <c r="B259" s="661">
        <f t="shared" si="22"/>
        <v>44815</v>
      </c>
      <c r="C259" s="857">
        <f>SUMIFS('YTD Sales'!$N:$N,'YTD Sales'!$B:$B,Brokerage!$B259,'YTD Sales'!$M:$M,Brokerage!C$4)+SUMIFS('YTD Purchases'!$H:$H,'YTD Purchases'!$C:$C,Brokerage!$B259,'YTD Purchases'!$G:$G,Brokerage!C$4)</f>
        <v>0</v>
      </c>
      <c r="D259" s="857">
        <f>SUMIFS('YTD Sales'!$N:$N,'YTD Sales'!$B:$B,Brokerage!$B259,'YTD Sales'!$M:$M,Brokerage!D$4)+SUMIFS('YTD Purchases'!$H:$H,'YTD Purchases'!$C:$C,Brokerage!$B259,'YTD Purchases'!$G:$G,Brokerage!D$4)</f>
        <v>0</v>
      </c>
      <c r="E259" s="857">
        <f>SUMIFS('YTD Sales'!$N:$N,'YTD Sales'!$B:$B,Brokerage!$B259,'YTD Sales'!$M:$M,Brokerage!E$4)+SUMIFS('YTD Purchases'!$H:$H,'YTD Purchases'!$C:$C,Brokerage!$B259,'YTD Purchases'!$G:$G,Brokerage!E$4)</f>
        <v>0</v>
      </c>
      <c r="F259" s="857">
        <f>SUMIFS('YTD Sales'!$N:$N,'YTD Sales'!$B:$B,Brokerage!$B259,'YTD Sales'!$M:$M,Brokerage!F$4)+SUMIFS('YTD Purchases'!$H:$H,'YTD Purchases'!$C:$C,Brokerage!$B259,'YTD Purchases'!$G:$G,Brokerage!F$4)</f>
        <v>0</v>
      </c>
      <c r="G259" s="857">
        <f>SUMIFS('YTD Sales'!$N:$N,'YTD Sales'!$B:$B,Brokerage!$B259,'YTD Sales'!$M:$M,Brokerage!G$4)+SUMIFS('YTD Purchases'!$H:$H,'YTD Purchases'!$C:$C,Brokerage!$B259,'YTD Purchases'!$G:$G,Brokerage!G$4)</f>
        <v>0</v>
      </c>
      <c r="H259" s="857">
        <f>SUMIFS('YTD Sales'!$N:$N,'YTD Sales'!$B:$B,Brokerage!$B259,'YTD Sales'!$M:$M,Brokerage!H$4)+SUMIFS('YTD Purchases'!$H:$H,'YTD Purchases'!$C:$C,Brokerage!$B259,'YTD Purchases'!$G:$G,Brokerage!H$4)</f>
        <v>0</v>
      </c>
      <c r="I259" s="857">
        <f>SUMIFS('YTD Sales'!$N:$N,'YTD Sales'!$B:$B,Brokerage!$B259,'YTD Sales'!$M:$M,Brokerage!I$4)+SUMIFS('YTD Purchases'!$H:$H,'YTD Purchases'!$C:$C,Brokerage!$B259,'YTD Purchases'!$G:$G,Brokerage!I$4)</f>
        <v>0</v>
      </c>
      <c r="J259" s="857">
        <f>SUMIFS('YTD Sales'!$N:$N,'YTD Sales'!$B:$B,Brokerage!$B259,'YTD Sales'!$M:$M,Brokerage!J$4)+SUMIFS('YTD Purchases'!$H:$H,'YTD Purchases'!$C:$C,Brokerage!$B259,'YTD Purchases'!$G:$G,Brokerage!J$4)</f>
        <v>0</v>
      </c>
      <c r="K259" s="857">
        <f>SUMIFS('YTD Sales'!$N:$N,'YTD Sales'!$B:$B,Brokerage!$B259,'YTD Sales'!$M:$M,Brokerage!K$4)+SUMIFS('YTD Purchases'!$H:$H,'YTD Purchases'!$C:$C,Brokerage!$B259,'YTD Purchases'!$G:$G,Brokerage!K$4)</f>
        <v>0</v>
      </c>
      <c r="L259" s="857">
        <f>SUMIFS('YTD Sales'!$N:$N,'YTD Sales'!$B:$B,Brokerage!$B259,'YTD Sales'!$M:$M,Brokerage!L$4)+SUMIFS('YTD Purchases'!$H:$H,'YTD Purchases'!$C:$C,Brokerage!$B259,'YTD Purchases'!$G:$G,Brokerage!L$4)</f>
        <v>0</v>
      </c>
      <c r="M259" s="857">
        <f>SUMIFS('YTD Sales'!$N:$N,'YTD Sales'!$B:$B,Brokerage!$B259,'YTD Sales'!$M:$M,Brokerage!M$4)+SUMIFS('YTD Purchases'!$H:$H,'YTD Purchases'!$C:$C,Brokerage!$B259,'YTD Purchases'!$G:$G,Brokerage!M$4)</f>
        <v>0</v>
      </c>
      <c r="N259" s="857">
        <f>SUMIFS('YTD Sales'!$N:$N,'YTD Sales'!$B:$B,Brokerage!$B259,'YTD Sales'!$M:$M,Brokerage!N$4)+SUMIFS('YTD Purchases'!$H:$H,'YTD Purchases'!$C:$C,Brokerage!$B259,'YTD Purchases'!$G:$G,Brokerage!N$4)</f>
        <v>0</v>
      </c>
      <c r="O259" s="857">
        <f>SUMIFS('YTD Sales'!$N:$N,'YTD Sales'!$B:$B,Brokerage!$B259,'YTD Sales'!$M:$M,Brokerage!O$4)+SUMIFS('YTD Purchases'!$H:$H,'YTD Purchases'!$C:$C,Brokerage!$B259,'YTD Purchases'!$G:$G,Brokerage!O$4)</f>
        <v>0</v>
      </c>
      <c r="P259" s="857">
        <f>SUMIFS('YTD Sales'!$N:$N,'YTD Sales'!$B:$B,Brokerage!$B259,'YTD Sales'!$M:$M,Brokerage!P$4)+SUMIFS('YTD Purchases'!$H:$H,'YTD Purchases'!$C:$C,Brokerage!$B259,'YTD Purchases'!$G:$G,Brokerage!P$4)</f>
        <v>0</v>
      </c>
      <c r="Q259" s="857">
        <f>SUMIFS('YTD Sales'!$N:$N,'YTD Sales'!$B:$B,Brokerage!$B259,'YTD Sales'!$M:$M,Brokerage!Q$4)+SUMIFS('YTD Purchases'!$H:$H,'YTD Purchases'!$C:$C,Brokerage!$B259,'YTD Purchases'!$G:$G,Brokerage!Q$4)</f>
        <v>0</v>
      </c>
      <c r="R259" s="857">
        <f>SUMIFS('YTD Sales'!$N:$N,'YTD Sales'!$B:$B,Brokerage!$B259,'YTD Sales'!$M:$M,Brokerage!R$4)+SUMIFS('YTD Purchases'!$H:$H,'YTD Purchases'!$C:$C,Brokerage!$B259,'YTD Purchases'!$G:$G,Brokerage!R$4)</f>
        <v>0</v>
      </c>
      <c r="S259" s="857">
        <f>SUMIFS('YTD Sales'!$N:$N,'YTD Sales'!$B:$B,Brokerage!$B259,'YTD Sales'!$M:$M,Brokerage!S$4)+SUMIFS('YTD Purchases'!$H:$H,'YTD Purchases'!$C:$C,Brokerage!$B259,'YTD Purchases'!$G:$G,Brokerage!S$4)</f>
        <v>0</v>
      </c>
      <c r="T259" s="857">
        <f>SUMIFS('YTD Sales'!$N:$N,'YTD Sales'!$B:$B,Brokerage!$B259,'YTD Sales'!$M:$M,Brokerage!T$4)+SUMIFS('YTD Purchases'!$H:$H,'YTD Purchases'!$C:$C,Brokerage!$B259,'YTD Purchases'!$G:$G,Brokerage!T$4)</f>
        <v>0</v>
      </c>
      <c r="U259" s="857">
        <f>SUMIFS('YTD Sales'!$N:$N,'YTD Sales'!$B:$B,Brokerage!$B259,'YTD Sales'!$M:$M,Brokerage!U$4)+SUMIFS('YTD Purchases'!$H:$H,'YTD Purchases'!$C:$C,Brokerage!$B259,'YTD Purchases'!$G:$G,Brokerage!U$4)</f>
        <v>0</v>
      </c>
      <c r="V259" s="857">
        <f>SUMIFS('YTD Sales'!$N:$N,'YTD Sales'!$B:$B,Brokerage!$B259,'YTD Sales'!$M:$M,Brokerage!V$4)+SUMIFS('YTD Purchases'!$H:$H,'YTD Purchases'!$C:$C,Brokerage!$B259,'YTD Purchases'!$G:$G,Brokerage!V$4)</f>
        <v>0</v>
      </c>
      <c r="W259" s="857">
        <f>SUMIFS('YTD Sales'!$N:$N,'YTD Sales'!$B:$B,Brokerage!$B259,'YTD Sales'!$M:$M,Brokerage!W$4)+SUMIFS('YTD Purchases'!$H:$H,'YTD Purchases'!$C:$C,Brokerage!$B259,'YTD Purchases'!$G:$G,Brokerage!W$4)</f>
        <v>0</v>
      </c>
      <c r="X259" s="857">
        <f>SUMIFS('YTD Sales'!$N:$N,'YTD Sales'!$B:$B,Brokerage!$B259,'YTD Sales'!$M:$M,Brokerage!X$4)+SUMIFS('YTD Purchases'!$H:$H,'YTD Purchases'!$C:$C,Brokerage!$B259,'YTD Purchases'!$G:$G,Brokerage!X$4)</f>
        <v>0</v>
      </c>
      <c r="Y259" s="857">
        <f>SUMIFS('YTD Sales'!$N:$N,'YTD Sales'!$B:$B,Brokerage!$B259,'YTD Sales'!$M:$M,Brokerage!Y$4)+SUMIFS('YTD Purchases'!$H:$H,'YTD Purchases'!$C:$C,Brokerage!$B259,'YTD Purchases'!$G:$G,Brokerage!Y$4)</f>
        <v>0</v>
      </c>
      <c r="Z259" s="857">
        <f>SUMIFS('YTD Sales'!$N:$N,'YTD Sales'!$B:$B,Brokerage!$B259,'YTD Sales'!$M:$M,Brokerage!Z$4)+SUMIFS('YTD Purchases'!$H:$H,'YTD Purchases'!$C:$C,Brokerage!$B259,'YTD Purchases'!$G:$G,Brokerage!Z$4)</f>
        <v>0</v>
      </c>
      <c r="AA259" s="857">
        <f>SUMIFS('YTD Sales'!$N:$N,'YTD Sales'!$B:$B,Brokerage!$B259,'YTD Sales'!$M:$M,Brokerage!AA$4)+SUMIFS('YTD Purchases'!$H:$H,'YTD Purchases'!$C:$C,Brokerage!$B259,'YTD Purchases'!$G:$G,Brokerage!AA$4)</f>
        <v>0</v>
      </c>
      <c r="AB259" s="857">
        <f>SUMIFS('YTD Sales'!$N:$N,'YTD Sales'!$B:$B,Brokerage!$B259,'YTD Sales'!$M:$M,Brokerage!AB$4)+SUMIFS('YTD Purchases'!$H:$H,'YTD Purchases'!$C:$C,Brokerage!$B259,'YTD Purchases'!$G:$G,Brokerage!AB$4)</f>
        <v>0</v>
      </c>
      <c r="AC259" s="857">
        <f>SUMIFS('YTD Sales'!$N:$N,'YTD Sales'!$B:$B,Brokerage!$B259,'YTD Sales'!$M:$M,Brokerage!AC$4)+SUMIFS('YTD Purchases'!$H:$H,'YTD Purchases'!$C:$C,Brokerage!$B259,'YTD Purchases'!$G:$G,Brokerage!AC$4)</f>
        <v>0</v>
      </c>
      <c r="AD259" s="857">
        <f>+SUMIFS(PIB!AG:AG,PIB!AF:AF,Brokerage!AD$4,PIB!AA:AA,Brokerage!$B259)+SUMIFS('T-Bills'!AB:AB,'T-Bills'!AA:AA,Brokerage!AD$4,'T-Bills'!V:V,Brokerage!$B259)</f>
        <v>0</v>
      </c>
      <c r="AE259" s="857">
        <f>+SUMIFS(PIB!AH:AH,PIB!AG:AG,Brokerage!AE$4,PIB!AB:AB,Brokerage!$B259)+SUMIFS('T-Bills'!AC:AC,'T-Bills'!AB:AB,Brokerage!AE$4,'T-Bills'!W:W,Brokerage!$B259)</f>
        <v>0</v>
      </c>
      <c r="AF259" s="857">
        <f>+SUMIFS(PIB!AI:AI,PIB!AH:AH,Brokerage!AF$4,PIB!AC:AC,Brokerage!$B259)+SUMIFS('T-Bills'!AD:AD,'T-Bills'!AC:AC,Brokerage!AF$4,'T-Bills'!X:X,Brokerage!$B259)</f>
        <v>0</v>
      </c>
      <c r="AG259" s="857">
        <f t="shared" si="23"/>
        <v>0</v>
      </c>
      <c r="AH259" s="858">
        <f t="shared" si="24"/>
        <v>0</v>
      </c>
    </row>
    <row r="260" spans="2:34" x14ac:dyDescent="0.15">
      <c r="B260" s="661">
        <f t="shared" si="22"/>
        <v>44816</v>
      </c>
      <c r="C260" s="857">
        <f>SUMIFS('YTD Sales'!$N:$N,'YTD Sales'!$B:$B,Brokerage!$B260,'YTD Sales'!$M:$M,Brokerage!C$4)+SUMIFS('YTD Purchases'!$H:$H,'YTD Purchases'!$C:$C,Brokerage!$B260,'YTD Purchases'!$G:$G,Brokerage!C$4)</f>
        <v>0</v>
      </c>
      <c r="D260" s="857">
        <f>SUMIFS('YTD Sales'!$N:$N,'YTD Sales'!$B:$B,Brokerage!$B260,'YTD Sales'!$M:$M,Brokerage!D$4)+SUMIFS('YTD Purchases'!$H:$H,'YTD Purchases'!$C:$C,Brokerage!$B260,'YTD Purchases'!$G:$G,Brokerage!D$4)</f>
        <v>0</v>
      </c>
      <c r="E260" s="857">
        <f>SUMIFS('YTD Sales'!$N:$N,'YTD Sales'!$B:$B,Brokerage!$B260,'YTD Sales'!$M:$M,Brokerage!E$4)+SUMIFS('YTD Purchases'!$H:$H,'YTD Purchases'!$C:$C,Brokerage!$B260,'YTD Purchases'!$G:$G,Brokerage!E$4)</f>
        <v>0</v>
      </c>
      <c r="F260" s="857">
        <f>SUMIFS('YTD Sales'!$N:$N,'YTD Sales'!$B:$B,Brokerage!$B260,'YTD Sales'!$M:$M,Brokerage!F$4)+SUMIFS('YTD Purchases'!$H:$H,'YTD Purchases'!$C:$C,Brokerage!$B260,'YTD Purchases'!$G:$G,Brokerage!F$4)</f>
        <v>0</v>
      </c>
      <c r="G260" s="857">
        <f>SUMIFS('YTD Sales'!$N:$N,'YTD Sales'!$B:$B,Brokerage!$B260,'YTD Sales'!$M:$M,Brokerage!G$4)+SUMIFS('YTD Purchases'!$H:$H,'YTD Purchases'!$C:$C,Brokerage!$B260,'YTD Purchases'!$G:$G,Brokerage!G$4)</f>
        <v>0</v>
      </c>
      <c r="H260" s="857">
        <f>SUMIFS('YTD Sales'!$N:$N,'YTD Sales'!$B:$B,Brokerage!$B260,'YTD Sales'!$M:$M,Brokerage!H$4)+SUMIFS('YTD Purchases'!$H:$H,'YTD Purchases'!$C:$C,Brokerage!$B260,'YTD Purchases'!$G:$G,Brokerage!H$4)</f>
        <v>0</v>
      </c>
      <c r="I260" s="857">
        <f>SUMIFS('YTD Sales'!$N:$N,'YTD Sales'!$B:$B,Brokerage!$B260,'YTD Sales'!$M:$M,Brokerage!I$4)+SUMIFS('YTD Purchases'!$H:$H,'YTD Purchases'!$C:$C,Brokerage!$B260,'YTD Purchases'!$G:$G,Brokerage!I$4)</f>
        <v>0</v>
      </c>
      <c r="J260" s="857">
        <f>SUMIFS('YTD Sales'!$N:$N,'YTD Sales'!$B:$B,Brokerage!$B260,'YTD Sales'!$M:$M,Brokerage!J$4)+SUMIFS('YTD Purchases'!$H:$H,'YTD Purchases'!$C:$C,Brokerage!$B260,'YTD Purchases'!$G:$G,Brokerage!J$4)</f>
        <v>0</v>
      </c>
      <c r="K260" s="857">
        <f>SUMIFS('YTD Sales'!$N:$N,'YTD Sales'!$B:$B,Brokerage!$B260,'YTD Sales'!$M:$M,Brokerage!K$4)+SUMIFS('YTD Purchases'!$H:$H,'YTD Purchases'!$C:$C,Brokerage!$B260,'YTD Purchases'!$G:$G,Brokerage!K$4)</f>
        <v>0</v>
      </c>
      <c r="L260" s="857">
        <f>SUMIFS('YTD Sales'!$N:$N,'YTD Sales'!$B:$B,Brokerage!$B260,'YTD Sales'!$M:$M,Brokerage!L$4)+SUMIFS('YTD Purchases'!$H:$H,'YTD Purchases'!$C:$C,Brokerage!$B260,'YTD Purchases'!$G:$G,Brokerage!L$4)</f>
        <v>0</v>
      </c>
      <c r="M260" s="857">
        <f>SUMIFS('YTD Sales'!$N:$N,'YTD Sales'!$B:$B,Brokerage!$B260,'YTD Sales'!$M:$M,Brokerage!M$4)+SUMIFS('YTD Purchases'!$H:$H,'YTD Purchases'!$C:$C,Brokerage!$B260,'YTD Purchases'!$G:$G,Brokerage!M$4)</f>
        <v>0</v>
      </c>
      <c r="N260" s="857">
        <f>SUMIFS('YTD Sales'!$N:$N,'YTD Sales'!$B:$B,Brokerage!$B260,'YTD Sales'!$M:$M,Brokerage!N$4)+SUMIFS('YTD Purchases'!$H:$H,'YTD Purchases'!$C:$C,Brokerage!$B260,'YTD Purchases'!$G:$G,Brokerage!N$4)</f>
        <v>0</v>
      </c>
      <c r="O260" s="857">
        <f>SUMIFS('YTD Sales'!$N:$N,'YTD Sales'!$B:$B,Brokerage!$B260,'YTD Sales'!$M:$M,Brokerage!O$4)+SUMIFS('YTD Purchases'!$H:$H,'YTD Purchases'!$C:$C,Brokerage!$B260,'YTD Purchases'!$G:$G,Brokerage!O$4)</f>
        <v>0</v>
      </c>
      <c r="P260" s="857">
        <f>SUMIFS('YTD Sales'!$N:$N,'YTD Sales'!$B:$B,Brokerage!$B260,'YTD Sales'!$M:$M,Brokerage!P$4)+SUMIFS('YTD Purchases'!$H:$H,'YTD Purchases'!$C:$C,Brokerage!$B260,'YTD Purchases'!$G:$G,Brokerage!P$4)</f>
        <v>0</v>
      </c>
      <c r="Q260" s="857">
        <f>SUMIFS('YTD Sales'!$N:$N,'YTD Sales'!$B:$B,Brokerage!$B260,'YTD Sales'!$M:$M,Brokerage!Q$4)+SUMIFS('YTD Purchases'!$H:$H,'YTD Purchases'!$C:$C,Brokerage!$B260,'YTD Purchases'!$G:$G,Brokerage!Q$4)</f>
        <v>0</v>
      </c>
      <c r="R260" s="857">
        <f>SUMIFS('YTD Sales'!$N:$N,'YTD Sales'!$B:$B,Brokerage!$B260,'YTD Sales'!$M:$M,Brokerage!R$4)+SUMIFS('YTD Purchases'!$H:$H,'YTD Purchases'!$C:$C,Brokerage!$B260,'YTD Purchases'!$G:$G,Brokerage!R$4)</f>
        <v>0</v>
      </c>
      <c r="S260" s="857">
        <f>SUMIFS('YTD Sales'!$N:$N,'YTD Sales'!$B:$B,Brokerage!$B260,'YTD Sales'!$M:$M,Brokerage!S$4)+SUMIFS('YTD Purchases'!$H:$H,'YTD Purchases'!$C:$C,Brokerage!$B260,'YTD Purchases'!$G:$G,Brokerage!S$4)</f>
        <v>0</v>
      </c>
      <c r="T260" s="857">
        <f>SUMIFS('YTD Sales'!$N:$N,'YTD Sales'!$B:$B,Brokerage!$B260,'YTD Sales'!$M:$M,Brokerage!T$4)+SUMIFS('YTD Purchases'!$H:$H,'YTD Purchases'!$C:$C,Brokerage!$B260,'YTD Purchases'!$G:$G,Brokerage!T$4)</f>
        <v>0</v>
      </c>
      <c r="U260" s="857">
        <f>SUMIFS('YTD Sales'!$N:$N,'YTD Sales'!$B:$B,Brokerage!$B260,'YTD Sales'!$M:$M,Brokerage!U$4)+SUMIFS('YTD Purchases'!$H:$H,'YTD Purchases'!$C:$C,Brokerage!$B260,'YTD Purchases'!$G:$G,Brokerage!U$4)</f>
        <v>0</v>
      </c>
      <c r="V260" s="857">
        <f>SUMIFS('YTD Sales'!$N:$N,'YTD Sales'!$B:$B,Brokerage!$B260,'YTD Sales'!$M:$M,Brokerage!V$4)+SUMIFS('YTD Purchases'!$H:$H,'YTD Purchases'!$C:$C,Brokerage!$B260,'YTD Purchases'!$G:$G,Brokerage!V$4)</f>
        <v>0</v>
      </c>
      <c r="W260" s="857">
        <f>SUMIFS('YTD Sales'!$N:$N,'YTD Sales'!$B:$B,Brokerage!$B260,'YTD Sales'!$M:$M,Brokerage!W$4)+SUMIFS('YTD Purchases'!$H:$H,'YTD Purchases'!$C:$C,Brokerage!$B260,'YTD Purchases'!$G:$G,Brokerage!W$4)</f>
        <v>0</v>
      </c>
      <c r="X260" s="857">
        <f>SUMIFS('YTD Sales'!$N:$N,'YTD Sales'!$B:$B,Brokerage!$B260,'YTD Sales'!$M:$M,Brokerage!X$4)+SUMIFS('YTD Purchases'!$H:$H,'YTD Purchases'!$C:$C,Brokerage!$B260,'YTD Purchases'!$G:$G,Brokerage!X$4)</f>
        <v>0</v>
      </c>
      <c r="Y260" s="857">
        <f>SUMIFS('YTD Sales'!$N:$N,'YTD Sales'!$B:$B,Brokerage!$B260,'YTD Sales'!$M:$M,Brokerage!Y$4)+SUMIFS('YTD Purchases'!$H:$H,'YTD Purchases'!$C:$C,Brokerage!$B260,'YTD Purchases'!$G:$G,Brokerage!Y$4)</f>
        <v>0</v>
      </c>
      <c r="Z260" s="857">
        <f>SUMIFS('YTD Sales'!$N:$N,'YTD Sales'!$B:$B,Brokerage!$B260,'YTD Sales'!$M:$M,Brokerage!Z$4)+SUMIFS('YTD Purchases'!$H:$H,'YTD Purchases'!$C:$C,Brokerage!$B260,'YTD Purchases'!$G:$G,Brokerage!Z$4)</f>
        <v>0</v>
      </c>
      <c r="AA260" s="857">
        <f>SUMIFS('YTD Sales'!$N:$N,'YTD Sales'!$B:$B,Brokerage!$B260,'YTD Sales'!$M:$M,Brokerage!AA$4)+SUMIFS('YTD Purchases'!$H:$H,'YTD Purchases'!$C:$C,Brokerage!$B260,'YTD Purchases'!$G:$G,Brokerage!AA$4)</f>
        <v>0</v>
      </c>
      <c r="AB260" s="857">
        <f>SUMIFS('YTD Sales'!$N:$N,'YTD Sales'!$B:$B,Brokerage!$B260,'YTD Sales'!$M:$M,Brokerage!AB$4)+SUMIFS('YTD Purchases'!$H:$H,'YTD Purchases'!$C:$C,Brokerage!$B260,'YTD Purchases'!$G:$G,Brokerage!AB$4)</f>
        <v>0</v>
      </c>
      <c r="AC260" s="857">
        <f>SUMIFS('YTD Sales'!$N:$N,'YTD Sales'!$B:$B,Brokerage!$B260,'YTD Sales'!$M:$M,Brokerage!AC$4)+SUMIFS('YTD Purchases'!$H:$H,'YTD Purchases'!$C:$C,Brokerage!$B260,'YTD Purchases'!$G:$G,Brokerage!AC$4)</f>
        <v>0</v>
      </c>
      <c r="AD260" s="857">
        <f>+SUMIFS(PIB!AG:AG,PIB!AF:AF,Brokerage!AD$4,PIB!AA:AA,Brokerage!$B260)+SUMIFS('T-Bills'!AB:AB,'T-Bills'!AA:AA,Brokerage!AD$4,'T-Bills'!V:V,Brokerage!$B260)</f>
        <v>0</v>
      </c>
      <c r="AE260" s="857">
        <f>+SUMIFS(PIB!AH:AH,PIB!AG:AG,Brokerage!AE$4,PIB!AB:AB,Brokerage!$B260)+SUMIFS('T-Bills'!AC:AC,'T-Bills'!AB:AB,Brokerage!AE$4,'T-Bills'!W:W,Brokerage!$B260)</f>
        <v>0</v>
      </c>
      <c r="AF260" s="857">
        <f>+SUMIFS(PIB!AI:AI,PIB!AH:AH,Brokerage!AF$4,PIB!AC:AC,Brokerage!$B260)+SUMIFS('T-Bills'!AD:AD,'T-Bills'!AC:AC,Brokerage!AF$4,'T-Bills'!X:X,Brokerage!$B260)</f>
        <v>0</v>
      </c>
      <c r="AG260" s="857">
        <f t="shared" si="23"/>
        <v>0</v>
      </c>
      <c r="AH260" s="858">
        <f t="shared" si="24"/>
        <v>0</v>
      </c>
    </row>
    <row r="261" spans="2:34" x14ac:dyDescent="0.15">
      <c r="B261" s="661">
        <f t="shared" si="22"/>
        <v>44817</v>
      </c>
      <c r="C261" s="857">
        <f>SUMIFS('YTD Sales'!$N:$N,'YTD Sales'!$B:$B,Brokerage!$B261,'YTD Sales'!$M:$M,Brokerage!C$4)+SUMIFS('YTD Purchases'!$H:$H,'YTD Purchases'!$C:$C,Brokerage!$B261,'YTD Purchases'!$G:$G,Brokerage!C$4)</f>
        <v>0</v>
      </c>
      <c r="D261" s="857">
        <f>SUMIFS('YTD Sales'!$N:$N,'YTD Sales'!$B:$B,Brokerage!$B261,'YTD Sales'!$M:$M,Brokerage!D$4)+SUMIFS('YTD Purchases'!$H:$H,'YTD Purchases'!$C:$C,Brokerage!$B261,'YTD Purchases'!$G:$G,Brokerage!D$4)</f>
        <v>0</v>
      </c>
      <c r="E261" s="857">
        <f>SUMIFS('YTD Sales'!$N:$N,'YTD Sales'!$B:$B,Brokerage!$B261,'YTD Sales'!$M:$M,Brokerage!E$4)+SUMIFS('YTD Purchases'!$H:$H,'YTD Purchases'!$C:$C,Brokerage!$B261,'YTD Purchases'!$G:$G,Brokerage!E$4)</f>
        <v>0</v>
      </c>
      <c r="F261" s="857">
        <f>SUMIFS('YTD Sales'!$N:$N,'YTD Sales'!$B:$B,Brokerage!$B261,'YTD Sales'!$M:$M,Brokerage!F$4)+SUMIFS('YTD Purchases'!$H:$H,'YTD Purchases'!$C:$C,Brokerage!$B261,'YTD Purchases'!$G:$G,Brokerage!F$4)</f>
        <v>0</v>
      </c>
      <c r="G261" s="857">
        <f>SUMIFS('YTD Sales'!$N:$N,'YTD Sales'!$B:$B,Brokerage!$B261,'YTD Sales'!$M:$M,Brokerage!G$4)+SUMIFS('YTD Purchases'!$H:$H,'YTD Purchases'!$C:$C,Brokerage!$B261,'YTD Purchases'!$G:$G,Brokerage!G$4)</f>
        <v>0</v>
      </c>
      <c r="H261" s="857">
        <f>SUMIFS('YTD Sales'!$N:$N,'YTD Sales'!$B:$B,Brokerage!$B261,'YTD Sales'!$M:$M,Brokerage!H$4)+SUMIFS('YTD Purchases'!$H:$H,'YTD Purchases'!$C:$C,Brokerage!$B261,'YTD Purchases'!$G:$G,Brokerage!H$4)</f>
        <v>0</v>
      </c>
      <c r="I261" s="857">
        <f>SUMIFS('YTD Sales'!$N:$N,'YTD Sales'!$B:$B,Brokerage!$B261,'YTD Sales'!$M:$M,Brokerage!I$4)+SUMIFS('YTD Purchases'!$H:$H,'YTD Purchases'!$C:$C,Brokerage!$B261,'YTD Purchases'!$G:$G,Brokerage!I$4)</f>
        <v>0</v>
      </c>
      <c r="J261" s="857">
        <f>SUMIFS('YTD Sales'!$N:$N,'YTD Sales'!$B:$B,Brokerage!$B261,'YTD Sales'!$M:$M,Brokerage!J$4)+SUMIFS('YTD Purchases'!$H:$H,'YTD Purchases'!$C:$C,Brokerage!$B261,'YTD Purchases'!$G:$G,Brokerage!J$4)</f>
        <v>0</v>
      </c>
      <c r="K261" s="857">
        <f>SUMIFS('YTD Sales'!$N:$N,'YTD Sales'!$B:$B,Brokerage!$B261,'YTD Sales'!$M:$M,Brokerage!K$4)+SUMIFS('YTD Purchases'!$H:$H,'YTD Purchases'!$C:$C,Brokerage!$B261,'YTD Purchases'!$G:$G,Brokerage!K$4)</f>
        <v>0</v>
      </c>
      <c r="L261" s="857">
        <f>SUMIFS('YTD Sales'!$N:$N,'YTD Sales'!$B:$B,Brokerage!$B261,'YTD Sales'!$M:$M,Brokerage!L$4)+SUMIFS('YTD Purchases'!$H:$H,'YTD Purchases'!$C:$C,Brokerage!$B261,'YTD Purchases'!$G:$G,Brokerage!L$4)</f>
        <v>0</v>
      </c>
      <c r="M261" s="857">
        <f>SUMIFS('YTD Sales'!$N:$N,'YTD Sales'!$B:$B,Brokerage!$B261,'YTD Sales'!$M:$M,Brokerage!M$4)+SUMIFS('YTD Purchases'!$H:$H,'YTD Purchases'!$C:$C,Brokerage!$B261,'YTD Purchases'!$G:$G,Brokerage!M$4)</f>
        <v>0</v>
      </c>
      <c r="N261" s="857">
        <f>SUMIFS('YTD Sales'!$N:$N,'YTD Sales'!$B:$B,Brokerage!$B261,'YTD Sales'!$M:$M,Brokerage!N$4)+SUMIFS('YTD Purchases'!$H:$H,'YTD Purchases'!$C:$C,Brokerage!$B261,'YTD Purchases'!$G:$G,Brokerage!N$4)</f>
        <v>0</v>
      </c>
      <c r="O261" s="857">
        <f>SUMIFS('YTD Sales'!$N:$N,'YTD Sales'!$B:$B,Brokerage!$B261,'YTD Sales'!$M:$M,Brokerage!O$4)+SUMIFS('YTD Purchases'!$H:$H,'YTD Purchases'!$C:$C,Brokerage!$B261,'YTD Purchases'!$G:$G,Brokerage!O$4)</f>
        <v>0</v>
      </c>
      <c r="P261" s="857">
        <f>SUMIFS('YTD Sales'!$N:$N,'YTD Sales'!$B:$B,Brokerage!$B261,'YTD Sales'!$M:$M,Brokerage!P$4)+SUMIFS('YTD Purchases'!$H:$H,'YTD Purchases'!$C:$C,Brokerage!$B261,'YTD Purchases'!$G:$G,Brokerage!P$4)</f>
        <v>0</v>
      </c>
      <c r="Q261" s="857">
        <f>SUMIFS('YTD Sales'!$N:$N,'YTD Sales'!$B:$B,Brokerage!$B261,'YTD Sales'!$M:$M,Brokerage!Q$4)+SUMIFS('YTD Purchases'!$H:$H,'YTD Purchases'!$C:$C,Brokerage!$B261,'YTD Purchases'!$G:$G,Brokerage!Q$4)</f>
        <v>0</v>
      </c>
      <c r="R261" s="857">
        <f>SUMIFS('YTD Sales'!$N:$N,'YTD Sales'!$B:$B,Brokerage!$B261,'YTD Sales'!$M:$M,Brokerage!R$4)+SUMIFS('YTD Purchases'!$H:$H,'YTD Purchases'!$C:$C,Brokerage!$B261,'YTD Purchases'!$G:$G,Brokerage!R$4)</f>
        <v>0</v>
      </c>
      <c r="S261" s="857">
        <f>SUMIFS('YTD Sales'!$N:$N,'YTD Sales'!$B:$B,Brokerage!$B261,'YTD Sales'!$M:$M,Brokerage!S$4)+SUMIFS('YTD Purchases'!$H:$H,'YTD Purchases'!$C:$C,Brokerage!$B261,'YTD Purchases'!$G:$G,Brokerage!S$4)</f>
        <v>0</v>
      </c>
      <c r="T261" s="857">
        <f>SUMIFS('YTD Sales'!$N:$N,'YTD Sales'!$B:$B,Brokerage!$B261,'YTD Sales'!$M:$M,Brokerage!T$4)+SUMIFS('YTD Purchases'!$H:$H,'YTD Purchases'!$C:$C,Brokerage!$B261,'YTD Purchases'!$G:$G,Brokerage!T$4)</f>
        <v>0</v>
      </c>
      <c r="U261" s="857">
        <f>SUMIFS('YTD Sales'!$N:$N,'YTD Sales'!$B:$B,Brokerage!$B261,'YTD Sales'!$M:$M,Brokerage!U$4)+SUMIFS('YTD Purchases'!$H:$H,'YTD Purchases'!$C:$C,Brokerage!$B261,'YTD Purchases'!$G:$G,Brokerage!U$4)</f>
        <v>0</v>
      </c>
      <c r="V261" s="857">
        <f>SUMIFS('YTD Sales'!$N:$N,'YTD Sales'!$B:$B,Brokerage!$B261,'YTD Sales'!$M:$M,Brokerage!V$4)+SUMIFS('YTD Purchases'!$H:$H,'YTD Purchases'!$C:$C,Brokerage!$B261,'YTD Purchases'!$G:$G,Brokerage!V$4)</f>
        <v>0</v>
      </c>
      <c r="W261" s="857">
        <f>SUMIFS('YTD Sales'!$N:$N,'YTD Sales'!$B:$B,Brokerage!$B261,'YTD Sales'!$M:$M,Brokerage!W$4)+SUMIFS('YTD Purchases'!$H:$H,'YTD Purchases'!$C:$C,Brokerage!$B261,'YTD Purchases'!$G:$G,Brokerage!W$4)</f>
        <v>0</v>
      </c>
      <c r="X261" s="857">
        <f>SUMIFS('YTD Sales'!$N:$N,'YTD Sales'!$B:$B,Brokerage!$B261,'YTD Sales'!$M:$M,Brokerage!X$4)+SUMIFS('YTD Purchases'!$H:$H,'YTD Purchases'!$C:$C,Brokerage!$B261,'YTD Purchases'!$G:$G,Brokerage!X$4)</f>
        <v>0</v>
      </c>
      <c r="Y261" s="857">
        <f>SUMIFS('YTD Sales'!$N:$N,'YTD Sales'!$B:$B,Brokerage!$B261,'YTD Sales'!$M:$M,Brokerage!Y$4)+SUMIFS('YTD Purchases'!$H:$H,'YTD Purchases'!$C:$C,Brokerage!$B261,'YTD Purchases'!$G:$G,Brokerage!Y$4)</f>
        <v>0</v>
      </c>
      <c r="Z261" s="857">
        <f>SUMIFS('YTD Sales'!$N:$N,'YTD Sales'!$B:$B,Brokerage!$B261,'YTD Sales'!$M:$M,Brokerage!Z$4)+SUMIFS('YTD Purchases'!$H:$H,'YTD Purchases'!$C:$C,Brokerage!$B261,'YTD Purchases'!$G:$G,Brokerage!Z$4)</f>
        <v>0</v>
      </c>
      <c r="AA261" s="857">
        <f>SUMIFS('YTD Sales'!$N:$N,'YTD Sales'!$B:$B,Brokerage!$B261,'YTD Sales'!$M:$M,Brokerage!AA$4)+SUMIFS('YTD Purchases'!$H:$H,'YTD Purchases'!$C:$C,Brokerage!$B261,'YTD Purchases'!$G:$G,Brokerage!AA$4)</f>
        <v>0</v>
      </c>
      <c r="AB261" s="857">
        <f>SUMIFS('YTD Sales'!$N:$N,'YTD Sales'!$B:$B,Brokerage!$B261,'YTD Sales'!$M:$M,Brokerage!AB$4)+SUMIFS('YTD Purchases'!$H:$H,'YTD Purchases'!$C:$C,Brokerage!$B261,'YTD Purchases'!$G:$G,Brokerage!AB$4)</f>
        <v>0</v>
      </c>
      <c r="AC261" s="857">
        <f>SUMIFS('YTD Sales'!$N:$N,'YTD Sales'!$B:$B,Brokerage!$B261,'YTD Sales'!$M:$M,Brokerage!AC$4)+SUMIFS('YTD Purchases'!$H:$H,'YTD Purchases'!$C:$C,Brokerage!$B261,'YTD Purchases'!$G:$G,Brokerage!AC$4)</f>
        <v>0</v>
      </c>
      <c r="AD261" s="857">
        <f>+SUMIFS(PIB!AG:AG,PIB!AF:AF,Brokerage!AD$4,PIB!AA:AA,Brokerage!$B261)+SUMIFS('T-Bills'!AB:AB,'T-Bills'!AA:AA,Brokerage!AD$4,'T-Bills'!V:V,Brokerage!$B261)</f>
        <v>0</v>
      </c>
      <c r="AE261" s="857">
        <f>+SUMIFS(PIB!AH:AH,PIB!AG:AG,Brokerage!AE$4,PIB!AB:AB,Brokerage!$B261)+SUMIFS('T-Bills'!AC:AC,'T-Bills'!AB:AB,Brokerage!AE$4,'T-Bills'!W:W,Brokerage!$B261)</f>
        <v>0</v>
      </c>
      <c r="AF261" s="857">
        <f>+SUMIFS(PIB!AI:AI,PIB!AH:AH,Brokerage!AF$4,PIB!AC:AC,Brokerage!$B261)+SUMIFS('T-Bills'!AD:AD,'T-Bills'!AC:AC,Brokerage!AF$4,'T-Bills'!X:X,Brokerage!$B261)</f>
        <v>0</v>
      </c>
      <c r="AG261" s="857">
        <f t="shared" si="23"/>
        <v>0</v>
      </c>
      <c r="AH261" s="858">
        <f t="shared" si="24"/>
        <v>0</v>
      </c>
    </row>
    <row r="262" spans="2:34" x14ac:dyDescent="0.15">
      <c r="B262" s="661">
        <f t="shared" si="22"/>
        <v>44818</v>
      </c>
      <c r="C262" s="857">
        <f>SUMIFS('YTD Sales'!$N:$N,'YTD Sales'!$B:$B,Brokerage!$B262,'YTD Sales'!$M:$M,Brokerage!C$4)+SUMIFS('YTD Purchases'!$H:$H,'YTD Purchases'!$C:$C,Brokerage!$B262,'YTD Purchases'!$G:$G,Brokerage!C$4)</f>
        <v>0</v>
      </c>
      <c r="D262" s="857">
        <f>SUMIFS('YTD Sales'!$N:$N,'YTD Sales'!$B:$B,Brokerage!$B262,'YTD Sales'!$M:$M,Brokerage!D$4)+SUMIFS('YTD Purchases'!$H:$H,'YTD Purchases'!$C:$C,Brokerage!$B262,'YTD Purchases'!$G:$G,Brokerage!D$4)</f>
        <v>0</v>
      </c>
      <c r="E262" s="857">
        <f>SUMIFS('YTD Sales'!$N:$N,'YTD Sales'!$B:$B,Brokerage!$B262,'YTD Sales'!$M:$M,Brokerage!E$4)+SUMIFS('YTD Purchases'!$H:$H,'YTD Purchases'!$C:$C,Brokerage!$B262,'YTD Purchases'!$G:$G,Brokerage!E$4)</f>
        <v>0</v>
      </c>
      <c r="F262" s="857">
        <f>SUMIFS('YTD Sales'!$N:$N,'YTD Sales'!$B:$B,Brokerage!$B262,'YTD Sales'!$M:$M,Brokerage!F$4)+SUMIFS('YTD Purchases'!$H:$H,'YTD Purchases'!$C:$C,Brokerage!$B262,'YTD Purchases'!$G:$G,Brokerage!F$4)</f>
        <v>0</v>
      </c>
      <c r="G262" s="857">
        <f>SUMIFS('YTD Sales'!$N:$N,'YTD Sales'!$B:$B,Brokerage!$B262,'YTD Sales'!$M:$M,Brokerage!G$4)+SUMIFS('YTD Purchases'!$H:$H,'YTD Purchases'!$C:$C,Brokerage!$B262,'YTD Purchases'!$G:$G,Brokerage!G$4)</f>
        <v>0</v>
      </c>
      <c r="H262" s="857">
        <f>SUMIFS('YTD Sales'!$N:$N,'YTD Sales'!$B:$B,Brokerage!$B262,'YTD Sales'!$M:$M,Brokerage!H$4)+SUMIFS('YTD Purchases'!$H:$H,'YTD Purchases'!$C:$C,Brokerage!$B262,'YTD Purchases'!$G:$G,Brokerage!H$4)</f>
        <v>0</v>
      </c>
      <c r="I262" s="857">
        <f>SUMIFS('YTD Sales'!$N:$N,'YTD Sales'!$B:$B,Brokerage!$B262,'YTD Sales'!$M:$M,Brokerage!I$4)+SUMIFS('YTD Purchases'!$H:$H,'YTD Purchases'!$C:$C,Brokerage!$B262,'YTD Purchases'!$G:$G,Brokerage!I$4)</f>
        <v>0</v>
      </c>
      <c r="J262" s="857">
        <f>SUMIFS('YTD Sales'!$N:$N,'YTD Sales'!$B:$B,Brokerage!$B262,'YTD Sales'!$M:$M,Brokerage!J$4)+SUMIFS('YTD Purchases'!$H:$H,'YTD Purchases'!$C:$C,Brokerage!$B262,'YTD Purchases'!$G:$G,Brokerage!J$4)</f>
        <v>0</v>
      </c>
      <c r="K262" s="857">
        <f>SUMIFS('YTD Sales'!$N:$N,'YTD Sales'!$B:$B,Brokerage!$B262,'YTD Sales'!$M:$M,Brokerage!K$4)+SUMIFS('YTD Purchases'!$H:$H,'YTD Purchases'!$C:$C,Brokerage!$B262,'YTD Purchases'!$G:$G,Brokerage!K$4)</f>
        <v>0</v>
      </c>
      <c r="L262" s="857">
        <f>SUMIFS('YTD Sales'!$N:$N,'YTD Sales'!$B:$B,Brokerage!$B262,'YTD Sales'!$M:$M,Brokerage!L$4)+SUMIFS('YTD Purchases'!$H:$H,'YTD Purchases'!$C:$C,Brokerage!$B262,'YTD Purchases'!$G:$G,Brokerage!L$4)</f>
        <v>0</v>
      </c>
      <c r="M262" s="857">
        <f>SUMIFS('YTD Sales'!$N:$N,'YTD Sales'!$B:$B,Brokerage!$B262,'YTD Sales'!$M:$M,Brokerage!M$4)+SUMIFS('YTD Purchases'!$H:$H,'YTD Purchases'!$C:$C,Brokerage!$B262,'YTD Purchases'!$G:$G,Brokerage!M$4)</f>
        <v>0</v>
      </c>
      <c r="N262" s="857">
        <f>SUMIFS('YTD Sales'!$N:$N,'YTD Sales'!$B:$B,Brokerage!$B262,'YTD Sales'!$M:$M,Brokerage!N$4)+SUMIFS('YTD Purchases'!$H:$H,'YTD Purchases'!$C:$C,Brokerage!$B262,'YTD Purchases'!$G:$G,Brokerage!N$4)</f>
        <v>0</v>
      </c>
      <c r="O262" s="857">
        <f>SUMIFS('YTD Sales'!$N:$N,'YTD Sales'!$B:$B,Brokerage!$B262,'YTD Sales'!$M:$M,Brokerage!O$4)+SUMIFS('YTD Purchases'!$H:$H,'YTD Purchases'!$C:$C,Brokerage!$B262,'YTD Purchases'!$G:$G,Brokerage!O$4)</f>
        <v>0</v>
      </c>
      <c r="P262" s="857">
        <f>SUMIFS('YTD Sales'!$N:$N,'YTD Sales'!$B:$B,Brokerage!$B262,'YTD Sales'!$M:$M,Brokerage!P$4)+SUMIFS('YTD Purchases'!$H:$H,'YTD Purchases'!$C:$C,Brokerage!$B262,'YTD Purchases'!$G:$G,Brokerage!P$4)</f>
        <v>0</v>
      </c>
      <c r="Q262" s="857">
        <f>SUMIFS('YTD Sales'!$N:$N,'YTD Sales'!$B:$B,Brokerage!$B262,'YTD Sales'!$M:$M,Brokerage!Q$4)+SUMIFS('YTD Purchases'!$H:$H,'YTD Purchases'!$C:$C,Brokerage!$B262,'YTD Purchases'!$G:$G,Brokerage!Q$4)</f>
        <v>0</v>
      </c>
      <c r="R262" s="857">
        <f>SUMIFS('YTD Sales'!$N:$N,'YTD Sales'!$B:$B,Brokerage!$B262,'YTD Sales'!$M:$M,Brokerage!R$4)+SUMIFS('YTD Purchases'!$H:$H,'YTD Purchases'!$C:$C,Brokerage!$B262,'YTD Purchases'!$G:$G,Brokerage!R$4)</f>
        <v>0</v>
      </c>
      <c r="S262" s="857">
        <f>SUMIFS('YTD Sales'!$N:$N,'YTD Sales'!$B:$B,Brokerage!$B262,'YTD Sales'!$M:$M,Brokerage!S$4)+SUMIFS('YTD Purchases'!$H:$H,'YTD Purchases'!$C:$C,Brokerage!$B262,'YTD Purchases'!$G:$G,Brokerage!S$4)</f>
        <v>0</v>
      </c>
      <c r="T262" s="857">
        <f>SUMIFS('YTD Sales'!$N:$N,'YTD Sales'!$B:$B,Brokerage!$B262,'YTD Sales'!$M:$M,Brokerage!T$4)+SUMIFS('YTD Purchases'!$H:$H,'YTD Purchases'!$C:$C,Brokerage!$B262,'YTD Purchases'!$G:$G,Brokerage!T$4)</f>
        <v>0</v>
      </c>
      <c r="U262" s="857">
        <f>SUMIFS('YTD Sales'!$N:$N,'YTD Sales'!$B:$B,Brokerage!$B262,'YTD Sales'!$M:$M,Brokerage!U$4)+SUMIFS('YTD Purchases'!$H:$H,'YTD Purchases'!$C:$C,Brokerage!$B262,'YTD Purchases'!$G:$G,Brokerage!U$4)</f>
        <v>0</v>
      </c>
      <c r="V262" s="857">
        <f>SUMIFS('YTD Sales'!$N:$N,'YTD Sales'!$B:$B,Brokerage!$B262,'YTD Sales'!$M:$M,Brokerage!V$4)+SUMIFS('YTD Purchases'!$H:$H,'YTD Purchases'!$C:$C,Brokerage!$B262,'YTD Purchases'!$G:$G,Brokerage!V$4)</f>
        <v>0</v>
      </c>
      <c r="W262" s="857">
        <f>SUMIFS('YTD Sales'!$N:$N,'YTD Sales'!$B:$B,Brokerage!$B262,'YTD Sales'!$M:$M,Brokerage!W$4)+SUMIFS('YTD Purchases'!$H:$H,'YTD Purchases'!$C:$C,Brokerage!$B262,'YTD Purchases'!$G:$G,Brokerage!W$4)</f>
        <v>0</v>
      </c>
      <c r="X262" s="857">
        <f>SUMIFS('YTD Sales'!$N:$N,'YTD Sales'!$B:$B,Brokerage!$B262,'YTD Sales'!$M:$M,Brokerage!X$4)+SUMIFS('YTD Purchases'!$H:$H,'YTD Purchases'!$C:$C,Brokerage!$B262,'YTD Purchases'!$G:$G,Brokerage!X$4)</f>
        <v>0</v>
      </c>
      <c r="Y262" s="857">
        <f>SUMIFS('YTD Sales'!$N:$N,'YTD Sales'!$B:$B,Brokerage!$B262,'YTD Sales'!$M:$M,Brokerage!Y$4)+SUMIFS('YTD Purchases'!$H:$H,'YTD Purchases'!$C:$C,Brokerage!$B262,'YTD Purchases'!$G:$G,Brokerage!Y$4)</f>
        <v>0</v>
      </c>
      <c r="Z262" s="857">
        <f>SUMIFS('YTD Sales'!$N:$N,'YTD Sales'!$B:$B,Brokerage!$B262,'YTD Sales'!$M:$M,Brokerage!Z$4)+SUMIFS('YTD Purchases'!$H:$H,'YTD Purchases'!$C:$C,Brokerage!$B262,'YTD Purchases'!$G:$G,Brokerage!Z$4)</f>
        <v>0</v>
      </c>
      <c r="AA262" s="857">
        <f>SUMIFS('YTD Sales'!$N:$N,'YTD Sales'!$B:$B,Brokerage!$B262,'YTD Sales'!$M:$M,Brokerage!AA$4)+SUMIFS('YTD Purchases'!$H:$H,'YTD Purchases'!$C:$C,Brokerage!$B262,'YTD Purchases'!$G:$G,Brokerage!AA$4)</f>
        <v>0</v>
      </c>
      <c r="AB262" s="857">
        <f>SUMIFS('YTD Sales'!$N:$N,'YTD Sales'!$B:$B,Brokerage!$B262,'YTD Sales'!$M:$M,Brokerage!AB$4)+SUMIFS('YTD Purchases'!$H:$H,'YTD Purchases'!$C:$C,Brokerage!$B262,'YTD Purchases'!$G:$G,Brokerage!AB$4)</f>
        <v>0</v>
      </c>
      <c r="AC262" s="857">
        <f>SUMIFS('YTD Sales'!$N:$N,'YTD Sales'!$B:$B,Brokerage!$B262,'YTD Sales'!$M:$M,Brokerage!AC$4)+SUMIFS('YTD Purchases'!$H:$H,'YTD Purchases'!$C:$C,Brokerage!$B262,'YTD Purchases'!$G:$G,Brokerage!AC$4)</f>
        <v>0</v>
      </c>
      <c r="AD262" s="857">
        <f>+SUMIFS(PIB!AG:AG,PIB!AF:AF,Brokerage!AD$4,PIB!AA:AA,Brokerage!$B262)+SUMIFS('T-Bills'!AB:AB,'T-Bills'!AA:AA,Brokerage!AD$4,'T-Bills'!V:V,Brokerage!$B262)</f>
        <v>0</v>
      </c>
      <c r="AE262" s="857">
        <f>+SUMIFS(PIB!AH:AH,PIB!AG:AG,Brokerage!AE$4,PIB!AB:AB,Brokerage!$B262)+SUMIFS('T-Bills'!AC:AC,'T-Bills'!AB:AB,Brokerage!AE$4,'T-Bills'!W:W,Brokerage!$B262)</f>
        <v>0</v>
      </c>
      <c r="AF262" s="857">
        <f>+SUMIFS(PIB!AI:AI,PIB!AH:AH,Brokerage!AF$4,PIB!AC:AC,Brokerage!$B262)+SUMIFS('T-Bills'!AD:AD,'T-Bills'!AC:AC,Brokerage!AF$4,'T-Bills'!X:X,Brokerage!$B262)</f>
        <v>0</v>
      </c>
      <c r="AG262" s="857">
        <f t="shared" si="23"/>
        <v>0</v>
      </c>
      <c r="AH262" s="858">
        <f t="shared" si="24"/>
        <v>0</v>
      </c>
    </row>
    <row r="263" spans="2:34" x14ac:dyDescent="0.15">
      <c r="B263" s="661">
        <f t="shared" si="22"/>
        <v>44819</v>
      </c>
      <c r="C263" s="857">
        <f>SUMIFS('YTD Sales'!$N:$N,'YTD Sales'!$B:$B,Brokerage!$B263,'YTD Sales'!$M:$M,Brokerage!C$4)+SUMIFS('YTD Purchases'!$H:$H,'YTD Purchases'!$C:$C,Brokerage!$B263,'YTD Purchases'!$G:$G,Brokerage!C$4)</f>
        <v>0</v>
      </c>
      <c r="D263" s="857">
        <f>SUMIFS('YTD Sales'!$N:$N,'YTD Sales'!$B:$B,Brokerage!$B263,'YTD Sales'!$M:$M,Brokerage!D$4)+SUMIFS('YTD Purchases'!$H:$H,'YTD Purchases'!$C:$C,Brokerage!$B263,'YTD Purchases'!$G:$G,Brokerage!D$4)</f>
        <v>0</v>
      </c>
      <c r="E263" s="857">
        <f>SUMIFS('YTD Sales'!$N:$N,'YTD Sales'!$B:$B,Brokerage!$B263,'YTD Sales'!$M:$M,Brokerage!E$4)+SUMIFS('YTD Purchases'!$H:$H,'YTD Purchases'!$C:$C,Brokerage!$B263,'YTD Purchases'!$G:$G,Brokerage!E$4)</f>
        <v>0</v>
      </c>
      <c r="F263" s="857">
        <f>SUMIFS('YTD Sales'!$N:$N,'YTD Sales'!$B:$B,Brokerage!$B263,'YTD Sales'!$M:$M,Brokerage!F$4)+SUMIFS('YTD Purchases'!$H:$H,'YTD Purchases'!$C:$C,Brokerage!$B263,'YTD Purchases'!$G:$G,Brokerage!F$4)</f>
        <v>0</v>
      </c>
      <c r="G263" s="857">
        <f>SUMIFS('YTD Sales'!$N:$N,'YTD Sales'!$B:$B,Brokerage!$B263,'YTD Sales'!$M:$M,Brokerage!G$4)+SUMIFS('YTD Purchases'!$H:$H,'YTD Purchases'!$C:$C,Brokerage!$B263,'YTD Purchases'!$G:$G,Brokerage!G$4)</f>
        <v>0</v>
      </c>
      <c r="H263" s="857">
        <f>SUMIFS('YTD Sales'!$N:$N,'YTD Sales'!$B:$B,Brokerage!$B263,'YTD Sales'!$M:$M,Brokerage!H$4)+SUMIFS('YTD Purchases'!$H:$H,'YTD Purchases'!$C:$C,Brokerage!$B263,'YTD Purchases'!$G:$G,Brokerage!H$4)</f>
        <v>0</v>
      </c>
      <c r="I263" s="857">
        <f>SUMIFS('YTD Sales'!$N:$N,'YTD Sales'!$B:$B,Brokerage!$B263,'YTD Sales'!$M:$M,Brokerage!I$4)+SUMIFS('YTD Purchases'!$H:$H,'YTD Purchases'!$C:$C,Brokerage!$B263,'YTD Purchases'!$G:$G,Brokerage!I$4)</f>
        <v>0</v>
      </c>
      <c r="J263" s="857">
        <f>SUMIFS('YTD Sales'!$N:$N,'YTD Sales'!$B:$B,Brokerage!$B263,'YTD Sales'!$M:$M,Brokerage!J$4)+SUMIFS('YTD Purchases'!$H:$H,'YTD Purchases'!$C:$C,Brokerage!$B263,'YTD Purchases'!$G:$G,Brokerage!J$4)</f>
        <v>0</v>
      </c>
      <c r="K263" s="857">
        <f>SUMIFS('YTD Sales'!$N:$N,'YTD Sales'!$B:$B,Brokerage!$B263,'YTD Sales'!$M:$M,Brokerage!K$4)+SUMIFS('YTD Purchases'!$H:$H,'YTD Purchases'!$C:$C,Brokerage!$B263,'YTD Purchases'!$G:$G,Brokerage!K$4)</f>
        <v>0</v>
      </c>
      <c r="L263" s="857">
        <f>SUMIFS('YTD Sales'!$N:$N,'YTD Sales'!$B:$B,Brokerage!$B263,'YTD Sales'!$M:$M,Brokerage!L$4)+SUMIFS('YTD Purchases'!$H:$H,'YTD Purchases'!$C:$C,Brokerage!$B263,'YTD Purchases'!$G:$G,Brokerage!L$4)</f>
        <v>0</v>
      </c>
      <c r="M263" s="857">
        <f>SUMIFS('YTD Sales'!$N:$N,'YTD Sales'!$B:$B,Brokerage!$B263,'YTD Sales'!$M:$M,Brokerage!M$4)+SUMIFS('YTD Purchases'!$H:$H,'YTD Purchases'!$C:$C,Brokerage!$B263,'YTD Purchases'!$G:$G,Brokerage!M$4)</f>
        <v>0</v>
      </c>
      <c r="N263" s="857">
        <f>SUMIFS('YTD Sales'!$N:$N,'YTD Sales'!$B:$B,Brokerage!$B263,'YTD Sales'!$M:$M,Brokerage!N$4)+SUMIFS('YTD Purchases'!$H:$H,'YTD Purchases'!$C:$C,Brokerage!$B263,'YTD Purchases'!$G:$G,Brokerage!N$4)</f>
        <v>0</v>
      </c>
      <c r="O263" s="857">
        <f>SUMIFS('YTD Sales'!$N:$N,'YTD Sales'!$B:$B,Brokerage!$B263,'YTD Sales'!$M:$M,Brokerage!O$4)+SUMIFS('YTD Purchases'!$H:$H,'YTD Purchases'!$C:$C,Brokerage!$B263,'YTD Purchases'!$G:$G,Brokerage!O$4)</f>
        <v>0</v>
      </c>
      <c r="P263" s="857">
        <f>SUMIFS('YTD Sales'!$N:$N,'YTD Sales'!$B:$B,Brokerage!$B263,'YTD Sales'!$M:$M,Brokerage!P$4)+SUMIFS('YTD Purchases'!$H:$H,'YTD Purchases'!$C:$C,Brokerage!$B263,'YTD Purchases'!$G:$G,Brokerage!P$4)</f>
        <v>0</v>
      </c>
      <c r="Q263" s="857">
        <f>SUMIFS('YTD Sales'!$N:$N,'YTD Sales'!$B:$B,Brokerage!$B263,'YTD Sales'!$M:$M,Brokerage!Q$4)+SUMIFS('YTD Purchases'!$H:$H,'YTD Purchases'!$C:$C,Brokerage!$B263,'YTD Purchases'!$G:$G,Brokerage!Q$4)</f>
        <v>0</v>
      </c>
      <c r="R263" s="857">
        <f>SUMIFS('YTD Sales'!$N:$N,'YTD Sales'!$B:$B,Brokerage!$B263,'YTD Sales'!$M:$M,Brokerage!R$4)+SUMIFS('YTD Purchases'!$H:$H,'YTD Purchases'!$C:$C,Brokerage!$B263,'YTD Purchases'!$G:$G,Brokerage!R$4)</f>
        <v>0</v>
      </c>
      <c r="S263" s="857">
        <f>SUMIFS('YTD Sales'!$N:$N,'YTD Sales'!$B:$B,Brokerage!$B263,'YTD Sales'!$M:$M,Brokerage!S$4)+SUMIFS('YTD Purchases'!$H:$H,'YTD Purchases'!$C:$C,Brokerage!$B263,'YTD Purchases'!$G:$G,Brokerage!S$4)</f>
        <v>0</v>
      </c>
      <c r="T263" s="857">
        <f>SUMIFS('YTD Sales'!$N:$N,'YTD Sales'!$B:$B,Brokerage!$B263,'YTD Sales'!$M:$M,Brokerage!T$4)+SUMIFS('YTD Purchases'!$H:$H,'YTD Purchases'!$C:$C,Brokerage!$B263,'YTD Purchases'!$G:$G,Brokerage!T$4)</f>
        <v>0</v>
      </c>
      <c r="U263" s="857">
        <f>SUMIFS('YTD Sales'!$N:$N,'YTD Sales'!$B:$B,Brokerage!$B263,'YTD Sales'!$M:$M,Brokerage!U$4)+SUMIFS('YTD Purchases'!$H:$H,'YTD Purchases'!$C:$C,Brokerage!$B263,'YTD Purchases'!$G:$G,Brokerage!U$4)</f>
        <v>0</v>
      </c>
      <c r="V263" s="857">
        <f>SUMIFS('YTD Sales'!$N:$N,'YTD Sales'!$B:$B,Brokerage!$B263,'YTD Sales'!$M:$M,Brokerage!V$4)+SUMIFS('YTD Purchases'!$H:$H,'YTD Purchases'!$C:$C,Brokerage!$B263,'YTD Purchases'!$G:$G,Brokerage!V$4)</f>
        <v>0</v>
      </c>
      <c r="W263" s="857">
        <f>SUMIFS('YTD Sales'!$N:$N,'YTD Sales'!$B:$B,Brokerage!$B263,'YTD Sales'!$M:$M,Brokerage!W$4)+SUMIFS('YTD Purchases'!$H:$H,'YTD Purchases'!$C:$C,Brokerage!$B263,'YTD Purchases'!$G:$G,Brokerage!W$4)</f>
        <v>0</v>
      </c>
      <c r="X263" s="857">
        <f>SUMIFS('YTD Sales'!$N:$N,'YTD Sales'!$B:$B,Brokerage!$B263,'YTD Sales'!$M:$M,Brokerage!X$4)+SUMIFS('YTD Purchases'!$H:$H,'YTD Purchases'!$C:$C,Brokerage!$B263,'YTD Purchases'!$G:$G,Brokerage!X$4)</f>
        <v>0</v>
      </c>
      <c r="Y263" s="857">
        <f>SUMIFS('YTD Sales'!$N:$N,'YTD Sales'!$B:$B,Brokerage!$B263,'YTD Sales'!$M:$M,Brokerage!Y$4)+SUMIFS('YTD Purchases'!$H:$H,'YTD Purchases'!$C:$C,Brokerage!$B263,'YTD Purchases'!$G:$G,Brokerage!Y$4)</f>
        <v>0</v>
      </c>
      <c r="Z263" s="857">
        <f>SUMIFS('YTD Sales'!$N:$N,'YTD Sales'!$B:$B,Brokerage!$B263,'YTD Sales'!$M:$M,Brokerage!Z$4)+SUMIFS('YTD Purchases'!$H:$H,'YTD Purchases'!$C:$C,Brokerage!$B263,'YTD Purchases'!$G:$G,Brokerage!Z$4)</f>
        <v>0</v>
      </c>
      <c r="AA263" s="857">
        <f>SUMIFS('YTD Sales'!$N:$N,'YTD Sales'!$B:$B,Brokerage!$B263,'YTD Sales'!$M:$M,Brokerage!AA$4)+SUMIFS('YTD Purchases'!$H:$H,'YTD Purchases'!$C:$C,Brokerage!$B263,'YTD Purchases'!$G:$G,Brokerage!AA$4)</f>
        <v>0</v>
      </c>
      <c r="AB263" s="857">
        <f>SUMIFS('YTD Sales'!$N:$N,'YTD Sales'!$B:$B,Brokerage!$B263,'YTD Sales'!$M:$M,Brokerage!AB$4)+SUMIFS('YTD Purchases'!$H:$H,'YTD Purchases'!$C:$C,Brokerage!$B263,'YTD Purchases'!$G:$G,Brokerage!AB$4)</f>
        <v>0</v>
      </c>
      <c r="AC263" s="857">
        <f>SUMIFS('YTD Sales'!$N:$N,'YTD Sales'!$B:$B,Brokerage!$B263,'YTD Sales'!$M:$M,Brokerage!AC$4)+SUMIFS('YTD Purchases'!$H:$H,'YTD Purchases'!$C:$C,Brokerage!$B263,'YTD Purchases'!$G:$G,Brokerage!AC$4)</f>
        <v>0</v>
      </c>
      <c r="AD263" s="857">
        <f>+SUMIFS(PIB!AG:AG,PIB!AF:AF,Brokerage!AD$4,PIB!AA:AA,Brokerage!$B263)+SUMIFS('T-Bills'!AB:AB,'T-Bills'!AA:AA,Brokerage!AD$4,'T-Bills'!V:V,Brokerage!$B263)</f>
        <v>0</v>
      </c>
      <c r="AE263" s="857">
        <f>+SUMIFS(PIB!AH:AH,PIB!AG:AG,Brokerage!AE$4,PIB!AB:AB,Brokerage!$B263)+SUMIFS('T-Bills'!AC:AC,'T-Bills'!AB:AB,Brokerage!AE$4,'T-Bills'!W:W,Brokerage!$B263)</f>
        <v>0</v>
      </c>
      <c r="AF263" s="857">
        <f>+SUMIFS(PIB!AI:AI,PIB!AH:AH,Brokerage!AF$4,PIB!AC:AC,Brokerage!$B263)+SUMIFS('T-Bills'!AD:AD,'T-Bills'!AC:AC,Brokerage!AF$4,'T-Bills'!X:X,Brokerage!$B263)</f>
        <v>0</v>
      </c>
      <c r="AG263" s="857">
        <f t="shared" si="23"/>
        <v>0</v>
      </c>
      <c r="AH263" s="858">
        <f t="shared" si="24"/>
        <v>0</v>
      </c>
    </row>
    <row r="264" spans="2:34" x14ac:dyDescent="0.15">
      <c r="B264" s="661">
        <f t="shared" si="22"/>
        <v>44820</v>
      </c>
      <c r="C264" s="857">
        <f>SUMIFS('YTD Sales'!$N:$N,'YTD Sales'!$B:$B,Brokerage!$B264,'YTD Sales'!$M:$M,Brokerage!C$4)+SUMIFS('YTD Purchases'!$H:$H,'YTD Purchases'!$C:$C,Brokerage!$B264,'YTD Purchases'!$G:$G,Brokerage!C$4)</f>
        <v>0</v>
      </c>
      <c r="D264" s="857">
        <f>SUMIFS('YTD Sales'!$N:$N,'YTD Sales'!$B:$B,Brokerage!$B264,'YTD Sales'!$M:$M,Brokerage!D$4)+SUMIFS('YTD Purchases'!$H:$H,'YTD Purchases'!$C:$C,Brokerage!$B264,'YTD Purchases'!$G:$G,Brokerage!D$4)</f>
        <v>0</v>
      </c>
      <c r="E264" s="857">
        <f>SUMIFS('YTD Sales'!$N:$N,'YTD Sales'!$B:$B,Brokerage!$B264,'YTD Sales'!$M:$M,Brokerage!E$4)+SUMIFS('YTD Purchases'!$H:$H,'YTD Purchases'!$C:$C,Brokerage!$B264,'YTD Purchases'!$G:$G,Brokerage!E$4)</f>
        <v>0</v>
      </c>
      <c r="F264" s="857">
        <f>SUMIFS('YTD Sales'!$N:$N,'YTD Sales'!$B:$B,Brokerage!$B264,'YTD Sales'!$M:$M,Brokerage!F$4)+SUMIFS('YTD Purchases'!$H:$H,'YTD Purchases'!$C:$C,Brokerage!$B264,'YTD Purchases'!$G:$G,Brokerage!F$4)</f>
        <v>0</v>
      </c>
      <c r="G264" s="857">
        <f>SUMIFS('YTD Sales'!$N:$N,'YTD Sales'!$B:$B,Brokerage!$B264,'YTD Sales'!$M:$M,Brokerage!G$4)+SUMIFS('YTD Purchases'!$H:$H,'YTD Purchases'!$C:$C,Brokerage!$B264,'YTD Purchases'!$G:$G,Brokerage!G$4)</f>
        <v>0</v>
      </c>
      <c r="H264" s="857">
        <f>SUMIFS('YTD Sales'!$N:$N,'YTD Sales'!$B:$B,Brokerage!$B264,'YTD Sales'!$M:$M,Brokerage!H$4)+SUMIFS('YTD Purchases'!$H:$H,'YTD Purchases'!$C:$C,Brokerage!$B264,'YTD Purchases'!$G:$G,Brokerage!H$4)</f>
        <v>0</v>
      </c>
      <c r="I264" s="857">
        <f>SUMIFS('YTD Sales'!$N:$N,'YTD Sales'!$B:$B,Brokerage!$B264,'YTD Sales'!$M:$M,Brokerage!I$4)+SUMIFS('YTD Purchases'!$H:$H,'YTD Purchases'!$C:$C,Brokerage!$B264,'YTD Purchases'!$G:$G,Brokerage!I$4)</f>
        <v>0</v>
      </c>
      <c r="J264" s="857">
        <f>SUMIFS('YTD Sales'!$N:$N,'YTD Sales'!$B:$B,Brokerage!$B264,'YTD Sales'!$M:$M,Brokerage!J$4)+SUMIFS('YTD Purchases'!$H:$H,'YTD Purchases'!$C:$C,Brokerage!$B264,'YTD Purchases'!$G:$G,Brokerage!J$4)</f>
        <v>0</v>
      </c>
      <c r="K264" s="857">
        <f>SUMIFS('YTD Sales'!$N:$N,'YTD Sales'!$B:$B,Brokerage!$B264,'YTD Sales'!$M:$M,Brokerage!K$4)+SUMIFS('YTD Purchases'!$H:$H,'YTD Purchases'!$C:$C,Brokerage!$B264,'YTD Purchases'!$G:$G,Brokerage!K$4)</f>
        <v>0</v>
      </c>
      <c r="L264" s="857">
        <f>SUMIFS('YTD Sales'!$N:$N,'YTD Sales'!$B:$B,Brokerage!$B264,'YTD Sales'!$M:$M,Brokerage!L$4)+SUMIFS('YTD Purchases'!$H:$H,'YTD Purchases'!$C:$C,Brokerage!$B264,'YTD Purchases'!$G:$G,Brokerage!L$4)</f>
        <v>0</v>
      </c>
      <c r="M264" s="857">
        <f>SUMIFS('YTD Sales'!$N:$N,'YTD Sales'!$B:$B,Brokerage!$B264,'YTD Sales'!$M:$M,Brokerage!M$4)+SUMIFS('YTD Purchases'!$H:$H,'YTD Purchases'!$C:$C,Brokerage!$B264,'YTD Purchases'!$G:$G,Brokerage!M$4)</f>
        <v>0</v>
      </c>
      <c r="N264" s="857">
        <f>SUMIFS('YTD Sales'!$N:$N,'YTD Sales'!$B:$B,Brokerage!$B264,'YTD Sales'!$M:$M,Brokerage!N$4)+SUMIFS('YTD Purchases'!$H:$H,'YTD Purchases'!$C:$C,Brokerage!$B264,'YTD Purchases'!$G:$G,Brokerage!N$4)</f>
        <v>0</v>
      </c>
      <c r="O264" s="857">
        <f>SUMIFS('YTD Sales'!$N:$N,'YTD Sales'!$B:$B,Brokerage!$B264,'YTD Sales'!$M:$M,Brokerage!O$4)+SUMIFS('YTD Purchases'!$H:$H,'YTD Purchases'!$C:$C,Brokerage!$B264,'YTD Purchases'!$G:$G,Brokerage!O$4)</f>
        <v>0</v>
      </c>
      <c r="P264" s="857">
        <f>SUMIFS('YTD Sales'!$N:$N,'YTD Sales'!$B:$B,Brokerage!$B264,'YTD Sales'!$M:$M,Brokerage!P$4)+SUMIFS('YTD Purchases'!$H:$H,'YTD Purchases'!$C:$C,Brokerage!$B264,'YTD Purchases'!$G:$G,Brokerage!P$4)</f>
        <v>0</v>
      </c>
      <c r="Q264" s="857">
        <f>SUMIFS('YTD Sales'!$N:$N,'YTD Sales'!$B:$B,Brokerage!$B264,'YTD Sales'!$M:$M,Brokerage!Q$4)+SUMIFS('YTD Purchases'!$H:$H,'YTD Purchases'!$C:$C,Brokerage!$B264,'YTD Purchases'!$G:$G,Brokerage!Q$4)</f>
        <v>0</v>
      </c>
      <c r="R264" s="857">
        <f>SUMIFS('YTD Sales'!$N:$N,'YTD Sales'!$B:$B,Brokerage!$B264,'YTD Sales'!$M:$M,Brokerage!R$4)+SUMIFS('YTD Purchases'!$H:$H,'YTD Purchases'!$C:$C,Brokerage!$B264,'YTD Purchases'!$G:$G,Brokerage!R$4)</f>
        <v>0</v>
      </c>
      <c r="S264" s="857">
        <f>SUMIFS('YTD Sales'!$N:$N,'YTD Sales'!$B:$B,Brokerage!$B264,'YTD Sales'!$M:$M,Brokerage!S$4)+SUMIFS('YTD Purchases'!$H:$H,'YTD Purchases'!$C:$C,Brokerage!$B264,'YTD Purchases'!$G:$G,Brokerage!S$4)</f>
        <v>0</v>
      </c>
      <c r="T264" s="857">
        <f>SUMIFS('YTD Sales'!$N:$N,'YTD Sales'!$B:$B,Brokerage!$B264,'YTD Sales'!$M:$M,Brokerage!T$4)+SUMIFS('YTD Purchases'!$H:$H,'YTD Purchases'!$C:$C,Brokerage!$B264,'YTD Purchases'!$G:$G,Brokerage!T$4)</f>
        <v>0</v>
      </c>
      <c r="U264" s="857">
        <f>SUMIFS('YTD Sales'!$N:$N,'YTD Sales'!$B:$B,Brokerage!$B264,'YTD Sales'!$M:$M,Brokerage!U$4)+SUMIFS('YTD Purchases'!$H:$H,'YTD Purchases'!$C:$C,Brokerage!$B264,'YTD Purchases'!$G:$G,Brokerage!U$4)</f>
        <v>0</v>
      </c>
      <c r="V264" s="857">
        <f>SUMIFS('YTD Sales'!$N:$N,'YTD Sales'!$B:$B,Brokerage!$B264,'YTD Sales'!$M:$M,Brokerage!V$4)+SUMIFS('YTD Purchases'!$H:$H,'YTD Purchases'!$C:$C,Brokerage!$B264,'YTD Purchases'!$G:$G,Brokerage!V$4)</f>
        <v>0</v>
      </c>
      <c r="W264" s="857">
        <f>SUMIFS('YTD Sales'!$N:$N,'YTD Sales'!$B:$B,Brokerage!$B264,'YTD Sales'!$M:$M,Brokerage!W$4)+SUMIFS('YTD Purchases'!$H:$H,'YTD Purchases'!$C:$C,Brokerage!$B264,'YTD Purchases'!$G:$G,Brokerage!W$4)</f>
        <v>0</v>
      </c>
      <c r="X264" s="857">
        <f>SUMIFS('YTD Sales'!$N:$N,'YTD Sales'!$B:$B,Brokerage!$B264,'YTD Sales'!$M:$M,Brokerage!X$4)+SUMIFS('YTD Purchases'!$H:$H,'YTD Purchases'!$C:$C,Brokerage!$B264,'YTD Purchases'!$G:$G,Brokerage!X$4)</f>
        <v>0</v>
      </c>
      <c r="Y264" s="857">
        <f>SUMIFS('YTD Sales'!$N:$N,'YTD Sales'!$B:$B,Brokerage!$B264,'YTD Sales'!$M:$M,Brokerage!Y$4)+SUMIFS('YTD Purchases'!$H:$H,'YTD Purchases'!$C:$C,Brokerage!$B264,'YTD Purchases'!$G:$G,Brokerage!Y$4)</f>
        <v>0</v>
      </c>
      <c r="Z264" s="857">
        <f>SUMIFS('YTD Sales'!$N:$N,'YTD Sales'!$B:$B,Brokerage!$B264,'YTD Sales'!$M:$M,Brokerage!Z$4)+SUMIFS('YTD Purchases'!$H:$H,'YTD Purchases'!$C:$C,Brokerage!$B264,'YTD Purchases'!$G:$G,Brokerage!Z$4)</f>
        <v>0</v>
      </c>
      <c r="AA264" s="857">
        <f>SUMIFS('YTD Sales'!$N:$N,'YTD Sales'!$B:$B,Brokerage!$B264,'YTD Sales'!$M:$M,Brokerage!AA$4)+SUMIFS('YTD Purchases'!$H:$H,'YTD Purchases'!$C:$C,Brokerage!$B264,'YTD Purchases'!$G:$G,Brokerage!AA$4)</f>
        <v>0</v>
      </c>
      <c r="AB264" s="857">
        <f>SUMIFS('YTD Sales'!$N:$N,'YTD Sales'!$B:$B,Brokerage!$B264,'YTD Sales'!$M:$M,Brokerage!AB$4)+SUMIFS('YTD Purchases'!$H:$H,'YTD Purchases'!$C:$C,Brokerage!$B264,'YTD Purchases'!$G:$G,Brokerage!AB$4)</f>
        <v>0</v>
      </c>
      <c r="AC264" s="857">
        <f>SUMIFS('YTD Sales'!$N:$N,'YTD Sales'!$B:$B,Brokerage!$B264,'YTD Sales'!$M:$M,Brokerage!AC$4)+SUMIFS('YTD Purchases'!$H:$H,'YTD Purchases'!$C:$C,Brokerage!$B264,'YTD Purchases'!$G:$G,Brokerage!AC$4)</f>
        <v>0</v>
      </c>
      <c r="AD264" s="857">
        <f>+SUMIFS(PIB!AG:AG,PIB!AF:AF,Brokerage!AD$4,PIB!AA:AA,Brokerage!$B264)+SUMIFS('T-Bills'!AB:AB,'T-Bills'!AA:AA,Brokerage!AD$4,'T-Bills'!V:V,Brokerage!$B264)</f>
        <v>0</v>
      </c>
      <c r="AE264" s="857">
        <f>+SUMIFS(PIB!AH:AH,PIB!AG:AG,Brokerage!AE$4,PIB!AB:AB,Brokerage!$B264)+SUMIFS('T-Bills'!AC:AC,'T-Bills'!AB:AB,Brokerage!AE$4,'T-Bills'!W:W,Brokerage!$B264)</f>
        <v>0</v>
      </c>
      <c r="AF264" s="857">
        <f>+SUMIFS(PIB!AI:AI,PIB!AH:AH,Brokerage!AF$4,PIB!AC:AC,Brokerage!$B264)+SUMIFS('T-Bills'!AD:AD,'T-Bills'!AC:AC,Brokerage!AF$4,'T-Bills'!X:X,Brokerage!$B264)</f>
        <v>0</v>
      </c>
      <c r="AG264" s="857">
        <f t="shared" si="23"/>
        <v>0</v>
      </c>
      <c r="AH264" s="858">
        <f t="shared" si="24"/>
        <v>0</v>
      </c>
    </row>
    <row r="265" spans="2:34" x14ac:dyDescent="0.15">
      <c r="B265" s="661">
        <f t="shared" ref="B265:B328" si="25">+B264+1</f>
        <v>44821</v>
      </c>
      <c r="C265" s="857">
        <f>SUMIFS('YTD Sales'!$N:$N,'YTD Sales'!$B:$B,Brokerage!$B265,'YTD Sales'!$M:$M,Brokerage!C$4)+SUMIFS('YTD Purchases'!$H:$H,'YTD Purchases'!$C:$C,Brokerage!$B265,'YTD Purchases'!$G:$G,Brokerage!C$4)</f>
        <v>0</v>
      </c>
      <c r="D265" s="857">
        <f>SUMIFS('YTD Sales'!$N:$N,'YTD Sales'!$B:$B,Brokerage!$B265,'YTD Sales'!$M:$M,Brokerage!D$4)+SUMIFS('YTD Purchases'!$H:$H,'YTD Purchases'!$C:$C,Brokerage!$B265,'YTD Purchases'!$G:$G,Brokerage!D$4)</f>
        <v>0</v>
      </c>
      <c r="E265" s="857">
        <f>SUMIFS('YTD Sales'!$N:$N,'YTD Sales'!$B:$B,Brokerage!$B265,'YTD Sales'!$M:$M,Brokerage!E$4)+SUMIFS('YTD Purchases'!$H:$H,'YTD Purchases'!$C:$C,Brokerage!$B265,'YTD Purchases'!$G:$G,Brokerage!E$4)</f>
        <v>0</v>
      </c>
      <c r="F265" s="857">
        <f>SUMIFS('YTD Sales'!$N:$N,'YTD Sales'!$B:$B,Brokerage!$B265,'YTD Sales'!$M:$M,Brokerage!F$4)+SUMIFS('YTD Purchases'!$H:$H,'YTD Purchases'!$C:$C,Brokerage!$B265,'YTD Purchases'!$G:$G,Brokerage!F$4)</f>
        <v>0</v>
      </c>
      <c r="G265" s="857">
        <f>SUMIFS('YTD Sales'!$N:$N,'YTD Sales'!$B:$B,Brokerage!$B265,'YTD Sales'!$M:$M,Brokerage!G$4)+SUMIFS('YTD Purchases'!$H:$H,'YTD Purchases'!$C:$C,Brokerage!$B265,'YTD Purchases'!$G:$G,Brokerage!G$4)</f>
        <v>0</v>
      </c>
      <c r="H265" s="857">
        <f>SUMIFS('YTD Sales'!$N:$N,'YTD Sales'!$B:$B,Brokerage!$B265,'YTD Sales'!$M:$M,Brokerage!H$4)+SUMIFS('YTD Purchases'!$H:$H,'YTD Purchases'!$C:$C,Brokerage!$B265,'YTD Purchases'!$G:$G,Brokerage!H$4)</f>
        <v>0</v>
      </c>
      <c r="I265" s="857">
        <f>SUMIFS('YTD Sales'!$N:$N,'YTD Sales'!$B:$B,Brokerage!$B265,'YTD Sales'!$M:$M,Brokerage!I$4)+SUMIFS('YTD Purchases'!$H:$H,'YTD Purchases'!$C:$C,Brokerage!$B265,'YTD Purchases'!$G:$G,Brokerage!I$4)</f>
        <v>0</v>
      </c>
      <c r="J265" s="857">
        <f>SUMIFS('YTD Sales'!$N:$N,'YTD Sales'!$B:$B,Brokerage!$B265,'YTD Sales'!$M:$M,Brokerage!J$4)+SUMIFS('YTD Purchases'!$H:$H,'YTD Purchases'!$C:$C,Brokerage!$B265,'YTD Purchases'!$G:$G,Brokerage!J$4)</f>
        <v>0</v>
      </c>
      <c r="K265" s="857">
        <f>SUMIFS('YTD Sales'!$N:$N,'YTD Sales'!$B:$B,Brokerage!$B265,'YTD Sales'!$M:$M,Brokerage!K$4)+SUMIFS('YTD Purchases'!$H:$H,'YTD Purchases'!$C:$C,Brokerage!$B265,'YTD Purchases'!$G:$G,Brokerage!K$4)</f>
        <v>0</v>
      </c>
      <c r="L265" s="857">
        <f>SUMIFS('YTD Sales'!$N:$N,'YTD Sales'!$B:$B,Brokerage!$B265,'YTD Sales'!$M:$M,Brokerage!L$4)+SUMIFS('YTD Purchases'!$H:$H,'YTD Purchases'!$C:$C,Brokerage!$B265,'YTD Purchases'!$G:$G,Brokerage!L$4)</f>
        <v>0</v>
      </c>
      <c r="M265" s="857">
        <f>SUMIFS('YTD Sales'!$N:$N,'YTD Sales'!$B:$B,Brokerage!$B265,'YTD Sales'!$M:$M,Brokerage!M$4)+SUMIFS('YTD Purchases'!$H:$H,'YTD Purchases'!$C:$C,Brokerage!$B265,'YTD Purchases'!$G:$G,Brokerage!M$4)</f>
        <v>0</v>
      </c>
      <c r="N265" s="857">
        <f>SUMIFS('YTD Sales'!$N:$N,'YTD Sales'!$B:$B,Brokerage!$B265,'YTD Sales'!$M:$M,Brokerage!N$4)+SUMIFS('YTD Purchases'!$H:$H,'YTD Purchases'!$C:$C,Brokerage!$B265,'YTD Purchases'!$G:$G,Brokerage!N$4)</f>
        <v>0</v>
      </c>
      <c r="O265" s="857">
        <f>SUMIFS('YTD Sales'!$N:$N,'YTD Sales'!$B:$B,Brokerage!$B265,'YTD Sales'!$M:$M,Brokerage!O$4)+SUMIFS('YTD Purchases'!$H:$H,'YTD Purchases'!$C:$C,Brokerage!$B265,'YTD Purchases'!$G:$G,Brokerage!O$4)</f>
        <v>0</v>
      </c>
      <c r="P265" s="857">
        <f>SUMIFS('YTD Sales'!$N:$N,'YTD Sales'!$B:$B,Brokerage!$B265,'YTD Sales'!$M:$M,Brokerage!P$4)+SUMIFS('YTD Purchases'!$H:$H,'YTD Purchases'!$C:$C,Brokerage!$B265,'YTD Purchases'!$G:$G,Brokerage!P$4)</f>
        <v>0</v>
      </c>
      <c r="Q265" s="857">
        <f>SUMIFS('YTD Sales'!$N:$N,'YTD Sales'!$B:$B,Brokerage!$B265,'YTD Sales'!$M:$M,Brokerage!Q$4)+SUMIFS('YTD Purchases'!$H:$H,'YTD Purchases'!$C:$C,Brokerage!$B265,'YTD Purchases'!$G:$G,Brokerage!Q$4)</f>
        <v>0</v>
      </c>
      <c r="R265" s="857">
        <f>SUMIFS('YTD Sales'!$N:$N,'YTD Sales'!$B:$B,Brokerage!$B265,'YTD Sales'!$M:$M,Brokerage!R$4)+SUMIFS('YTD Purchases'!$H:$H,'YTD Purchases'!$C:$C,Brokerage!$B265,'YTD Purchases'!$G:$G,Brokerage!R$4)</f>
        <v>0</v>
      </c>
      <c r="S265" s="857">
        <f>SUMIFS('YTD Sales'!$N:$N,'YTD Sales'!$B:$B,Brokerage!$B265,'YTD Sales'!$M:$M,Brokerage!S$4)+SUMIFS('YTD Purchases'!$H:$H,'YTD Purchases'!$C:$C,Brokerage!$B265,'YTD Purchases'!$G:$G,Brokerage!S$4)</f>
        <v>0</v>
      </c>
      <c r="T265" s="857">
        <f>SUMIFS('YTD Sales'!$N:$N,'YTD Sales'!$B:$B,Brokerage!$B265,'YTD Sales'!$M:$M,Brokerage!T$4)+SUMIFS('YTD Purchases'!$H:$H,'YTD Purchases'!$C:$C,Brokerage!$B265,'YTD Purchases'!$G:$G,Brokerage!T$4)</f>
        <v>0</v>
      </c>
      <c r="U265" s="857">
        <f>SUMIFS('YTD Sales'!$N:$N,'YTD Sales'!$B:$B,Brokerage!$B265,'YTD Sales'!$M:$M,Brokerage!U$4)+SUMIFS('YTD Purchases'!$H:$H,'YTD Purchases'!$C:$C,Brokerage!$B265,'YTD Purchases'!$G:$G,Brokerage!U$4)</f>
        <v>0</v>
      </c>
      <c r="V265" s="857">
        <f>SUMIFS('YTD Sales'!$N:$N,'YTD Sales'!$B:$B,Brokerage!$B265,'YTD Sales'!$M:$M,Brokerage!V$4)+SUMIFS('YTD Purchases'!$H:$H,'YTD Purchases'!$C:$C,Brokerage!$B265,'YTD Purchases'!$G:$G,Brokerage!V$4)</f>
        <v>0</v>
      </c>
      <c r="W265" s="857">
        <f>SUMIFS('YTD Sales'!$N:$N,'YTD Sales'!$B:$B,Brokerage!$B265,'YTD Sales'!$M:$M,Brokerage!W$4)+SUMIFS('YTD Purchases'!$H:$H,'YTD Purchases'!$C:$C,Brokerage!$B265,'YTD Purchases'!$G:$G,Brokerage!W$4)</f>
        <v>0</v>
      </c>
      <c r="X265" s="857">
        <f>SUMIFS('YTD Sales'!$N:$N,'YTD Sales'!$B:$B,Brokerage!$B265,'YTD Sales'!$M:$M,Brokerage!X$4)+SUMIFS('YTD Purchases'!$H:$H,'YTD Purchases'!$C:$C,Brokerage!$B265,'YTD Purchases'!$G:$G,Brokerage!X$4)</f>
        <v>0</v>
      </c>
      <c r="Y265" s="857">
        <f>SUMIFS('YTD Sales'!$N:$N,'YTD Sales'!$B:$B,Brokerage!$B265,'YTD Sales'!$M:$M,Brokerage!Y$4)+SUMIFS('YTD Purchases'!$H:$H,'YTD Purchases'!$C:$C,Brokerage!$B265,'YTD Purchases'!$G:$G,Brokerage!Y$4)</f>
        <v>0</v>
      </c>
      <c r="Z265" s="857">
        <f>SUMIFS('YTD Sales'!$N:$N,'YTD Sales'!$B:$B,Brokerage!$B265,'YTD Sales'!$M:$M,Brokerage!Z$4)+SUMIFS('YTD Purchases'!$H:$H,'YTD Purchases'!$C:$C,Brokerage!$B265,'YTD Purchases'!$G:$G,Brokerage!Z$4)</f>
        <v>0</v>
      </c>
      <c r="AA265" s="857">
        <f>SUMIFS('YTD Sales'!$N:$N,'YTD Sales'!$B:$B,Brokerage!$B265,'YTD Sales'!$M:$M,Brokerage!AA$4)+SUMIFS('YTD Purchases'!$H:$H,'YTD Purchases'!$C:$C,Brokerage!$B265,'YTD Purchases'!$G:$G,Brokerage!AA$4)</f>
        <v>0</v>
      </c>
      <c r="AB265" s="857">
        <f>SUMIFS('YTD Sales'!$N:$N,'YTD Sales'!$B:$B,Brokerage!$B265,'YTD Sales'!$M:$M,Brokerage!AB$4)+SUMIFS('YTD Purchases'!$H:$H,'YTD Purchases'!$C:$C,Brokerage!$B265,'YTD Purchases'!$G:$G,Brokerage!AB$4)</f>
        <v>0</v>
      </c>
      <c r="AC265" s="857">
        <f>SUMIFS('YTD Sales'!$N:$N,'YTD Sales'!$B:$B,Brokerage!$B265,'YTD Sales'!$M:$M,Brokerage!AC$4)+SUMIFS('YTD Purchases'!$H:$H,'YTD Purchases'!$C:$C,Brokerage!$B265,'YTD Purchases'!$G:$G,Brokerage!AC$4)</f>
        <v>0</v>
      </c>
      <c r="AD265" s="857">
        <f>+SUMIFS(PIB!AG:AG,PIB!AF:AF,Brokerage!AD$4,PIB!AA:AA,Brokerage!$B265)+SUMIFS('T-Bills'!AB:AB,'T-Bills'!AA:AA,Brokerage!AD$4,'T-Bills'!V:V,Brokerage!$B265)</f>
        <v>0</v>
      </c>
      <c r="AE265" s="857">
        <f>+SUMIFS(PIB!AH:AH,PIB!AG:AG,Brokerage!AE$4,PIB!AB:AB,Brokerage!$B265)+SUMIFS('T-Bills'!AC:AC,'T-Bills'!AB:AB,Brokerage!AE$4,'T-Bills'!W:W,Brokerage!$B265)</f>
        <v>0</v>
      </c>
      <c r="AF265" s="857">
        <f>+SUMIFS(PIB!AI:AI,PIB!AH:AH,Brokerage!AF$4,PIB!AC:AC,Brokerage!$B265)+SUMIFS('T-Bills'!AD:AD,'T-Bills'!AC:AC,Brokerage!AF$4,'T-Bills'!X:X,Brokerage!$B265)</f>
        <v>0</v>
      </c>
      <c r="AG265" s="857">
        <f t="shared" ref="AG265:AG328" si="26">SUM(C265:AF265)</f>
        <v>0</v>
      </c>
      <c r="AH265" s="858">
        <f t="shared" si="24"/>
        <v>0</v>
      </c>
    </row>
    <row r="266" spans="2:34" x14ac:dyDescent="0.15">
      <c r="B266" s="661">
        <f t="shared" si="25"/>
        <v>44822</v>
      </c>
      <c r="C266" s="857">
        <f>SUMIFS('YTD Sales'!$N:$N,'YTD Sales'!$B:$B,Brokerage!$B266,'YTD Sales'!$M:$M,Brokerage!C$4)+SUMIFS('YTD Purchases'!$H:$H,'YTD Purchases'!$C:$C,Brokerage!$B266,'YTD Purchases'!$G:$G,Brokerage!C$4)</f>
        <v>0</v>
      </c>
      <c r="D266" s="857">
        <f>SUMIFS('YTD Sales'!$N:$N,'YTD Sales'!$B:$B,Brokerage!$B266,'YTD Sales'!$M:$M,Brokerage!D$4)+SUMIFS('YTD Purchases'!$H:$H,'YTD Purchases'!$C:$C,Brokerage!$B266,'YTD Purchases'!$G:$G,Brokerage!D$4)</f>
        <v>0</v>
      </c>
      <c r="E266" s="857">
        <f>SUMIFS('YTD Sales'!$N:$N,'YTD Sales'!$B:$B,Brokerage!$B266,'YTD Sales'!$M:$M,Brokerage!E$4)+SUMIFS('YTD Purchases'!$H:$H,'YTD Purchases'!$C:$C,Brokerage!$B266,'YTD Purchases'!$G:$G,Brokerage!E$4)</f>
        <v>0</v>
      </c>
      <c r="F266" s="857">
        <f>SUMIFS('YTD Sales'!$N:$N,'YTD Sales'!$B:$B,Brokerage!$B266,'YTD Sales'!$M:$M,Brokerage!F$4)+SUMIFS('YTD Purchases'!$H:$H,'YTD Purchases'!$C:$C,Brokerage!$B266,'YTD Purchases'!$G:$G,Brokerage!F$4)</f>
        <v>0</v>
      </c>
      <c r="G266" s="857">
        <f>SUMIFS('YTD Sales'!$N:$N,'YTD Sales'!$B:$B,Brokerage!$B266,'YTD Sales'!$M:$M,Brokerage!G$4)+SUMIFS('YTD Purchases'!$H:$H,'YTD Purchases'!$C:$C,Brokerage!$B266,'YTD Purchases'!$G:$G,Brokerage!G$4)</f>
        <v>0</v>
      </c>
      <c r="H266" s="857">
        <f>SUMIFS('YTD Sales'!$N:$N,'YTD Sales'!$B:$B,Brokerage!$B266,'YTD Sales'!$M:$M,Brokerage!H$4)+SUMIFS('YTD Purchases'!$H:$H,'YTD Purchases'!$C:$C,Brokerage!$B266,'YTD Purchases'!$G:$G,Brokerage!H$4)</f>
        <v>0</v>
      </c>
      <c r="I266" s="857">
        <f>SUMIFS('YTD Sales'!$N:$N,'YTD Sales'!$B:$B,Brokerage!$B266,'YTD Sales'!$M:$M,Brokerage!I$4)+SUMIFS('YTD Purchases'!$H:$H,'YTD Purchases'!$C:$C,Brokerage!$B266,'YTD Purchases'!$G:$G,Brokerage!I$4)</f>
        <v>0</v>
      </c>
      <c r="J266" s="857">
        <f>SUMIFS('YTD Sales'!$N:$N,'YTD Sales'!$B:$B,Brokerage!$B266,'YTD Sales'!$M:$M,Brokerage!J$4)+SUMIFS('YTD Purchases'!$H:$H,'YTD Purchases'!$C:$C,Brokerage!$B266,'YTD Purchases'!$G:$G,Brokerage!J$4)</f>
        <v>0</v>
      </c>
      <c r="K266" s="857">
        <f>SUMIFS('YTD Sales'!$N:$N,'YTD Sales'!$B:$B,Brokerage!$B266,'YTD Sales'!$M:$M,Brokerage!K$4)+SUMIFS('YTD Purchases'!$H:$H,'YTD Purchases'!$C:$C,Brokerage!$B266,'YTD Purchases'!$G:$G,Brokerage!K$4)</f>
        <v>0</v>
      </c>
      <c r="L266" s="857">
        <f>SUMIFS('YTD Sales'!$N:$N,'YTD Sales'!$B:$B,Brokerage!$B266,'YTD Sales'!$M:$M,Brokerage!L$4)+SUMIFS('YTD Purchases'!$H:$H,'YTD Purchases'!$C:$C,Brokerage!$B266,'YTD Purchases'!$G:$G,Brokerage!L$4)</f>
        <v>0</v>
      </c>
      <c r="M266" s="857">
        <f>SUMIFS('YTD Sales'!$N:$N,'YTD Sales'!$B:$B,Brokerage!$B266,'YTD Sales'!$M:$M,Brokerage!M$4)+SUMIFS('YTD Purchases'!$H:$H,'YTD Purchases'!$C:$C,Brokerage!$B266,'YTD Purchases'!$G:$G,Brokerage!M$4)</f>
        <v>0</v>
      </c>
      <c r="N266" s="857">
        <f>SUMIFS('YTD Sales'!$N:$N,'YTD Sales'!$B:$B,Brokerage!$B266,'YTD Sales'!$M:$M,Brokerage!N$4)+SUMIFS('YTD Purchases'!$H:$H,'YTD Purchases'!$C:$C,Brokerage!$B266,'YTD Purchases'!$G:$G,Brokerage!N$4)</f>
        <v>0</v>
      </c>
      <c r="O266" s="857">
        <f>SUMIFS('YTD Sales'!$N:$N,'YTD Sales'!$B:$B,Brokerage!$B266,'YTD Sales'!$M:$M,Brokerage!O$4)+SUMIFS('YTD Purchases'!$H:$H,'YTD Purchases'!$C:$C,Brokerage!$B266,'YTD Purchases'!$G:$G,Brokerage!O$4)</f>
        <v>0</v>
      </c>
      <c r="P266" s="857">
        <f>SUMIFS('YTD Sales'!$N:$N,'YTD Sales'!$B:$B,Brokerage!$B266,'YTD Sales'!$M:$M,Brokerage!P$4)+SUMIFS('YTD Purchases'!$H:$H,'YTD Purchases'!$C:$C,Brokerage!$B266,'YTD Purchases'!$G:$G,Brokerage!P$4)</f>
        <v>0</v>
      </c>
      <c r="Q266" s="857">
        <f>SUMIFS('YTD Sales'!$N:$N,'YTD Sales'!$B:$B,Brokerage!$B266,'YTD Sales'!$M:$M,Brokerage!Q$4)+SUMIFS('YTD Purchases'!$H:$H,'YTD Purchases'!$C:$C,Brokerage!$B266,'YTD Purchases'!$G:$G,Brokerage!Q$4)</f>
        <v>0</v>
      </c>
      <c r="R266" s="857">
        <f>SUMIFS('YTD Sales'!$N:$N,'YTD Sales'!$B:$B,Brokerage!$B266,'YTD Sales'!$M:$M,Brokerage!R$4)+SUMIFS('YTD Purchases'!$H:$H,'YTD Purchases'!$C:$C,Brokerage!$B266,'YTD Purchases'!$G:$G,Brokerage!R$4)</f>
        <v>0</v>
      </c>
      <c r="S266" s="857">
        <f>SUMIFS('YTD Sales'!$N:$N,'YTD Sales'!$B:$B,Brokerage!$B266,'YTD Sales'!$M:$M,Brokerage!S$4)+SUMIFS('YTD Purchases'!$H:$H,'YTD Purchases'!$C:$C,Brokerage!$B266,'YTD Purchases'!$G:$G,Brokerage!S$4)</f>
        <v>0</v>
      </c>
      <c r="T266" s="857">
        <f>SUMIFS('YTD Sales'!$N:$N,'YTD Sales'!$B:$B,Brokerage!$B266,'YTD Sales'!$M:$M,Brokerage!T$4)+SUMIFS('YTD Purchases'!$H:$H,'YTD Purchases'!$C:$C,Brokerage!$B266,'YTD Purchases'!$G:$G,Brokerage!T$4)</f>
        <v>0</v>
      </c>
      <c r="U266" s="857">
        <f>SUMIFS('YTD Sales'!$N:$N,'YTD Sales'!$B:$B,Brokerage!$B266,'YTD Sales'!$M:$M,Brokerage!U$4)+SUMIFS('YTD Purchases'!$H:$H,'YTD Purchases'!$C:$C,Brokerage!$B266,'YTD Purchases'!$G:$G,Brokerage!U$4)</f>
        <v>0</v>
      </c>
      <c r="V266" s="857">
        <f>SUMIFS('YTD Sales'!$N:$N,'YTD Sales'!$B:$B,Brokerage!$B266,'YTD Sales'!$M:$M,Brokerage!V$4)+SUMIFS('YTD Purchases'!$H:$H,'YTD Purchases'!$C:$C,Brokerage!$B266,'YTD Purchases'!$G:$G,Brokerage!V$4)</f>
        <v>0</v>
      </c>
      <c r="W266" s="857">
        <f>SUMIFS('YTD Sales'!$N:$N,'YTD Sales'!$B:$B,Brokerage!$B266,'YTD Sales'!$M:$M,Brokerage!W$4)+SUMIFS('YTD Purchases'!$H:$H,'YTD Purchases'!$C:$C,Brokerage!$B266,'YTD Purchases'!$G:$G,Brokerage!W$4)</f>
        <v>0</v>
      </c>
      <c r="X266" s="857">
        <f>SUMIFS('YTD Sales'!$N:$N,'YTD Sales'!$B:$B,Brokerage!$B266,'YTD Sales'!$M:$M,Brokerage!X$4)+SUMIFS('YTD Purchases'!$H:$H,'YTD Purchases'!$C:$C,Brokerage!$B266,'YTD Purchases'!$G:$G,Brokerage!X$4)</f>
        <v>0</v>
      </c>
      <c r="Y266" s="857">
        <f>SUMIFS('YTD Sales'!$N:$N,'YTD Sales'!$B:$B,Brokerage!$B266,'YTD Sales'!$M:$M,Brokerage!Y$4)+SUMIFS('YTD Purchases'!$H:$H,'YTD Purchases'!$C:$C,Brokerage!$B266,'YTD Purchases'!$G:$G,Brokerage!Y$4)</f>
        <v>0</v>
      </c>
      <c r="Z266" s="857">
        <f>SUMIFS('YTD Sales'!$N:$N,'YTD Sales'!$B:$B,Brokerage!$B266,'YTD Sales'!$M:$M,Brokerage!Z$4)+SUMIFS('YTD Purchases'!$H:$H,'YTD Purchases'!$C:$C,Brokerage!$B266,'YTD Purchases'!$G:$G,Brokerage!Z$4)</f>
        <v>0</v>
      </c>
      <c r="AA266" s="857">
        <f>SUMIFS('YTD Sales'!$N:$N,'YTD Sales'!$B:$B,Brokerage!$B266,'YTD Sales'!$M:$M,Brokerage!AA$4)+SUMIFS('YTD Purchases'!$H:$H,'YTD Purchases'!$C:$C,Brokerage!$B266,'YTD Purchases'!$G:$G,Brokerage!AA$4)</f>
        <v>0</v>
      </c>
      <c r="AB266" s="857">
        <f>SUMIFS('YTD Sales'!$N:$N,'YTD Sales'!$B:$B,Brokerage!$B266,'YTD Sales'!$M:$M,Brokerage!AB$4)+SUMIFS('YTD Purchases'!$H:$H,'YTD Purchases'!$C:$C,Brokerage!$B266,'YTD Purchases'!$G:$G,Brokerage!AB$4)</f>
        <v>0</v>
      </c>
      <c r="AC266" s="857">
        <f>SUMIFS('YTD Sales'!$N:$N,'YTD Sales'!$B:$B,Brokerage!$B266,'YTD Sales'!$M:$M,Brokerage!AC$4)+SUMIFS('YTD Purchases'!$H:$H,'YTD Purchases'!$C:$C,Brokerage!$B266,'YTD Purchases'!$G:$G,Brokerage!AC$4)</f>
        <v>0</v>
      </c>
      <c r="AD266" s="857">
        <f>+SUMIFS(PIB!AG:AG,PIB!AF:AF,Brokerage!AD$4,PIB!AA:AA,Brokerage!$B266)+SUMIFS('T-Bills'!AB:AB,'T-Bills'!AA:AA,Brokerage!AD$4,'T-Bills'!V:V,Brokerage!$B266)</f>
        <v>0</v>
      </c>
      <c r="AE266" s="857">
        <f>+SUMIFS(PIB!AH:AH,PIB!AG:AG,Brokerage!AE$4,PIB!AB:AB,Brokerage!$B266)+SUMIFS('T-Bills'!AC:AC,'T-Bills'!AB:AB,Brokerage!AE$4,'T-Bills'!W:W,Brokerage!$B266)</f>
        <v>0</v>
      </c>
      <c r="AF266" s="857">
        <f>+SUMIFS(PIB!AI:AI,PIB!AH:AH,Brokerage!AF$4,PIB!AC:AC,Brokerage!$B266)+SUMIFS('T-Bills'!AD:AD,'T-Bills'!AC:AC,Brokerage!AF$4,'T-Bills'!X:X,Brokerage!$B266)</f>
        <v>0</v>
      </c>
      <c r="AG266" s="857">
        <f t="shared" si="26"/>
        <v>0</v>
      </c>
      <c r="AH266" s="858">
        <f t="shared" si="24"/>
        <v>0</v>
      </c>
    </row>
    <row r="267" spans="2:34" x14ac:dyDescent="0.15">
      <c r="B267" s="661">
        <f t="shared" si="25"/>
        <v>44823</v>
      </c>
      <c r="C267" s="857">
        <f>SUMIFS('YTD Sales'!$N:$N,'YTD Sales'!$B:$B,Brokerage!$B267,'YTD Sales'!$M:$M,Brokerage!C$4)+SUMIFS('YTD Purchases'!$H:$H,'YTD Purchases'!$C:$C,Brokerage!$B267,'YTD Purchases'!$G:$G,Brokerage!C$4)</f>
        <v>0</v>
      </c>
      <c r="D267" s="857">
        <f>SUMIFS('YTD Sales'!$N:$N,'YTD Sales'!$B:$B,Brokerage!$B267,'YTD Sales'!$M:$M,Brokerage!D$4)+SUMIFS('YTD Purchases'!$H:$H,'YTD Purchases'!$C:$C,Brokerage!$B267,'YTD Purchases'!$G:$G,Brokerage!D$4)</f>
        <v>0</v>
      </c>
      <c r="E267" s="857">
        <f>SUMIFS('YTD Sales'!$N:$N,'YTD Sales'!$B:$B,Brokerage!$B267,'YTD Sales'!$M:$M,Brokerage!E$4)+SUMIFS('YTD Purchases'!$H:$H,'YTD Purchases'!$C:$C,Brokerage!$B267,'YTD Purchases'!$G:$G,Brokerage!E$4)</f>
        <v>0</v>
      </c>
      <c r="F267" s="857">
        <f>SUMIFS('YTD Sales'!$N:$N,'YTD Sales'!$B:$B,Brokerage!$B267,'YTD Sales'!$M:$M,Brokerage!F$4)+SUMIFS('YTD Purchases'!$H:$H,'YTD Purchases'!$C:$C,Brokerage!$B267,'YTD Purchases'!$G:$G,Brokerage!F$4)</f>
        <v>0</v>
      </c>
      <c r="G267" s="857">
        <f>SUMIFS('YTD Sales'!$N:$N,'YTD Sales'!$B:$B,Brokerage!$B267,'YTD Sales'!$M:$M,Brokerage!G$4)+SUMIFS('YTD Purchases'!$H:$H,'YTD Purchases'!$C:$C,Brokerage!$B267,'YTD Purchases'!$G:$G,Brokerage!G$4)</f>
        <v>0</v>
      </c>
      <c r="H267" s="857">
        <f>SUMIFS('YTD Sales'!$N:$N,'YTD Sales'!$B:$B,Brokerage!$B267,'YTD Sales'!$M:$M,Brokerage!H$4)+SUMIFS('YTD Purchases'!$H:$H,'YTD Purchases'!$C:$C,Brokerage!$B267,'YTD Purchases'!$G:$G,Brokerage!H$4)</f>
        <v>0</v>
      </c>
      <c r="I267" s="857">
        <f>SUMIFS('YTD Sales'!$N:$N,'YTD Sales'!$B:$B,Brokerage!$B267,'YTD Sales'!$M:$M,Brokerage!I$4)+SUMIFS('YTD Purchases'!$H:$H,'YTD Purchases'!$C:$C,Brokerage!$B267,'YTD Purchases'!$G:$G,Brokerage!I$4)</f>
        <v>0</v>
      </c>
      <c r="J267" s="857">
        <f>SUMIFS('YTD Sales'!$N:$N,'YTD Sales'!$B:$B,Brokerage!$B267,'YTD Sales'!$M:$M,Brokerage!J$4)+SUMIFS('YTD Purchases'!$H:$H,'YTD Purchases'!$C:$C,Brokerage!$B267,'YTD Purchases'!$G:$G,Brokerage!J$4)</f>
        <v>0</v>
      </c>
      <c r="K267" s="857">
        <f>SUMIFS('YTD Sales'!$N:$N,'YTD Sales'!$B:$B,Brokerage!$B267,'YTD Sales'!$M:$M,Brokerage!K$4)+SUMIFS('YTD Purchases'!$H:$H,'YTD Purchases'!$C:$C,Brokerage!$B267,'YTD Purchases'!$G:$G,Brokerage!K$4)</f>
        <v>0</v>
      </c>
      <c r="L267" s="857">
        <f>SUMIFS('YTD Sales'!$N:$N,'YTD Sales'!$B:$B,Brokerage!$B267,'YTD Sales'!$M:$M,Brokerage!L$4)+SUMIFS('YTD Purchases'!$H:$H,'YTD Purchases'!$C:$C,Brokerage!$B267,'YTD Purchases'!$G:$G,Brokerage!L$4)</f>
        <v>0</v>
      </c>
      <c r="M267" s="857">
        <f>SUMIFS('YTD Sales'!$N:$N,'YTD Sales'!$B:$B,Brokerage!$B267,'YTD Sales'!$M:$M,Brokerage!M$4)+SUMIFS('YTD Purchases'!$H:$H,'YTD Purchases'!$C:$C,Brokerage!$B267,'YTD Purchases'!$G:$G,Brokerage!M$4)</f>
        <v>0</v>
      </c>
      <c r="N267" s="857">
        <f>SUMIFS('YTD Sales'!$N:$N,'YTD Sales'!$B:$B,Brokerage!$B267,'YTD Sales'!$M:$M,Brokerage!N$4)+SUMIFS('YTD Purchases'!$H:$H,'YTD Purchases'!$C:$C,Brokerage!$B267,'YTD Purchases'!$G:$G,Brokerage!N$4)</f>
        <v>0</v>
      </c>
      <c r="O267" s="857">
        <f>SUMIFS('YTD Sales'!$N:$N,'YTD Sales'!$B:$B,Brokerage!$B267,'YTD Sales'!$M:$M,Brokerage!O$4)+SUMIFS('YTD Purchases'!$H:$H,'YTD Purchases'!$C:$C,Brokerage!$B267,'YTD Purchases'!$G:$G,Brokerage!O$4)</f>
        <v>0</v>
      </c>
      <c r="P267" s="857">
        <f>SUMIFS('YTD Sales'!$N:$N,'YTD Sales'!$B:$B,Brokerage!$B267,'YTD Sales'!$M:$M,Brokerage!P$4)+SUMIFS('YTD Purchases'!$H:$H,'YTD Purchases'!$C:$C,Brokerage!$B267,'YTD Purchases'!$G:$G,Brokerage!P$4)</f>
        <v>0</v>
      </c>
      <c r="Q267" s="857">
        <f>SUMIFS('YTD Sales'!$N:$N,'YTD Sales'!$B:$B,Brokerage!$B267,'YTD Sales'!$M:$M,Brokerage!Q$4)+SUMIFS('YTD Purchases'!$H:$H,'YTD Purchases'!$C:$C,Brokerage!$B267,'YTD Purchases'!$G:$G,Brokerage!Q$4)</f>
        <v>0</v>
      </c>
      <c r="R267" s="857">
        <f>SUMIFS('YTD Sales'!$N:$N,'YTD Sales'!$B:$B,Brokerage!$B267,'YTD Sales'!$M:$M,Brokerage!R$4)+SUMIFS('YTD Purchases'!$H:$H,'YTD Purchases'!$C:$C,Brokerage!$B267,'YTD Purchases'!$G:$G,Brokerage!R$4)</f>
        <v>0</v>
      </c>
      <c r="S267" s="857">
        <f>SUMIFS('YTD Sales'!$N:$N,'YTD Sales'!$B:$B,Brokerage!$B267,'YTD Sales'!$M:$M,Brokerage!S$4)+SUMIFS('YTD Purchases'!$H:$H,'YTD Purchases'!$C:$C,Brokerage!$B267,'YTD Purchases'!$G:$G,Brokerage!S$4)</f>
        <v>0</v>
      </c>
      <c r="T267" s="857">
        <f>SUMIFS('YTD Sales'!$N:$N,'YTD Sales'!$B:$B,Brokerage!$B267,'YTD Sales'!$M:$M,Brokerage!T$4)+SUMIFS('YTD Purchases'!$H:$H,'YTD Purchases'!$C:$C,Brokerage!$B267,'YTD Purchases'!$G:$G,Brokerage!T$4)</f>
        <v>0</v>
      </c>
      <c r="U267" s="857">
        <f>SUMIFS('YTD Sales'!$N:$N,'YTD Sales'!$B:$B,Brokerage!$B267,'YTD Sales'!$M:$M,Brokerage!U$4)+SUMIFS('YTD Purchases'!$H:$H,'YTD Purchases'!$C:$C,Brokerage!$B267,'YTD Purchases'!$G:$G,Brokerage!U$4)</f>
        <v>0</v>
      </c>
      <c r="V267" s="857">
        <f>SUMIFS('YTD Sales'!$N:$N,'YTD Sales'!$B:$B,Brokerage!$B267,'YTD Sales'!$M:$M,Brokerage!V$4)+SUMIFS('YTD Purchases'!$H:$H,'YTD Purchases'!$C:$C,Brokerage!$B267,'YTD Purchases'!$G:$G,Brokerage!V$4)</f>
        <v>0</v>
      </c>
      <c r="W267" s="857">
        <f>SUMIFS('YTD Sales'!$N:$N,'YTD Sales'!$B:$B,Brokerage!$B267,'YTD Sales'!$M:$M,Brokerage!W$4)+SUMIFS('YTD Purchases'!$H:$H,'YTD Purchases'!$C:$C,Brokerage!$B267,'YTD Purchases'!$G:$G,Brokerage!W$4)</f>
        <v>0</v>
      </c>
      <c r="X267" s="857">
        <f>SUMIFS('YTD Sales'!$N:$N,'YTD Sales'!$B:$B,Brokerage!$B267,'YTD Sales'!$M:$M,Brokerage!X$4)+SUMIFS('YTD Purchases'!$H:$H,'YTD Purchases'!$C:$C,Brokerage!$B267,'YTD Purchases'!$G:$G,Brokerage!X$4)</f>
        <v>0</v>
      </c>
      <c r="Y267" s="857">
        <f>SUMIFS('YTD Sales'!$N:$N,'YTD Sales'!$B:$B,Brokerage!$B267,'YTD Sales'!$M:$M,Brokerage!Y$4)+SUMIFS('YTD Purchases'!$H:$H,'YTD Purchases'!$C:$C,Brokerage!$B267,'YTD Purchases'!$G:$G,Brokerage!Y$4)</f>
        <v>0</v>
      </c>
      <c r="Z267" s="857">
        <f>SUMIFS('YTD Sales'!$N:$N,'YTD Sales'!$B:$B,Brokerage!$B267,'YTD Sales'!$M:$M,Brokerage!Z$4)+SUMIFS('YTD Purchases'!$H:$H,'YTD Purchases'!$C:$C,Brokerage!$B267,'YTD Purchases'!$G:$G,Brokerage!Z$4)</f>
        <v>0</v>
      </c>
      <c r="AA267" s="857">
        <f>SUMIFS('YTD Sales'!$N:$N,'YTD Sales'!$B:$B,Brokerage!$B267,'YTD Sales'!$M:$M,Brokerage!AA$4)+SUMIFS('YTD Purchases'!$H:$H,'YTD Purchases'!$C:$C,Brokerage!$B267,'YTD Purchases'!$G:$G,Brokerage!AA$4)</f>
        <v>0</v>
      </c>
      <c r="AB267" s="857">
        <f>SUMIFS('YTD Sales'!$N:$N,'YTD Sales'!$B:$B,Brokerage!$B267,'YTD Sales'!$M:$M,Brokerage!AB$4)+SUMIFS('YTD Purchases'!$H:$H,'YTD Purchases'!$C:$C,Brokerage!$B267,'YTD Purchases'!$G:$G,Brokerage!AB$4)</f>
        <v>0</v>
      </c>
      <c r="AC267" s="857">
        <f>SUMIFS('YTD Sales'!$N:$N,'YTD Sales'!$B:$B,Brokerage!$B267,'YTD Sales'!$M:$M,Brokerage!AC$4)+SUMIFS('YTD Purchases'!$H:$H,'YTD Purchases'!$C:$C,Brokerage!$B267,'YTD Purchases'!$G:$G,Brokerage!AC$4)</f>
        <v>0</v>
      </c>
      <c r="AD267" s="857">
        <f>+SUMIFS(PIB!AG:AG,PIB!AF:AF,Brokerage!AD$4,PIB!AA:AA,Brokerage!$B267)+SUMIFS('T-Bills'!AB:AB,'T-Bills'!AA:AA,Brokerage!AD$4,'T-Bills'!V:V,Brokerage!$B267)</f>
        <v>0</v>
      </c>
      <c r="AE267" s="857">
        <f>+SUMIFS(PIB!AH:AH,PIB!AG:AG,Brokerage!AE$4,PIB!AB:AB,Brokerage!$B267)+SUMIFS('T-Bills'!AC:AC,'T-Bills'!AB:AB,Brokerage!AE$4,'T-Bills'!W:W,Brokerage!$B267)</f>
        <v>0</v>
      </c>
      <c r="AF267" s="857">
        <f>+SUMIFS(PIB!AI:AI,PIB!AH:AH,Brokerage!AF$4,PIB!AC:AC,Brokerage!$B267)+SUMIFS('T-Bills'!AD:AD,'T-Bills'!AC:AC,Brokerage!AF$4,'T-Bills'!X:X,Brokerage!$B267)</f>
        <v>0</v>
      </c>
      <c r="AG267" s="857">
        <f t="shared" si="26"/>
        <v>0</v>
      </c>
      <c r="AH267" s="858">
        <f t="shared" ref="AH267:AH292" si="27">ROUND((AG267*1.5%)/365,0)</f>
        <v>0</v>
      </c>
    </row>
    <row r="268" spans="2:34" x14ac:dyDescent="0.15">
      <c r="B268" s="661">
        <f t="shared" si="25"/>
        <v>44824</v>
      </c>
      <c r="C268" s="857">
        <f>SUMIFS('YTD Sales'!$N:$N,'YTD Sales'!$B:$B,Brokerage!$B268,'YTD Sales'!$M:$M,Brokerage!C$4)+SUMIFS('YTD Purchases'!$H:$H,'YTD Purchases'!$C:$C,Brokerage!$B268,'YTD Purchases'!$G:$G,Brokerage!C$4)</f>
        <v>0</v>
      </c>
      <c r="D268" s="857">
        <f>SUMIFS('YTD Sales'!$N:$N,'YTD Sales'!$B:$B,Brokerage!$B268,'YTD Sales'!$M:$M,Brokerage!D$4)+SUMIFS('YTD Purchases'!$H:$H,'YTD Purchases'!$C:$C,Brokerage!$B268,'YTD Purchases'!$G:$G,Brokerage!D$4)</f>
        <v>0</v>
      </c>
      <c r="E268" s="857">
        <f>SUMIFS('YTD Sales'!$N:$N,'YTD Sales'!$B:$B,Brokerage!$B268,'YTD Sales'!$M:$M,Brokerage!E$4)+SUMIFS('YTD Purchases'!$H:$H,'YTD Purchases'!$C:$C,Brokerage!$B268,'YTD Purchases'!$G:$G,Brokerage!E$4)</f>
        <v>0</v>
      </c>
      <c r="F268" s="857">
        <f>SUMIFS('YTD Sales'!$N:$N,'YTD Sales'!$B:$B,Brokerage!$B268,'YTD Sales'!$M:$M,Brokerage!F$4)+SUMIFS('YTD Purchases'!$H:$H,'YTD Purchases'!$C:$C,Brokerage!$B268,'YTD Purchases'!$G:$G,Brokerage!F$4)</f>
        <v>0</v>
      </c>
      <c r="G268" s="857">
        <f>SUMIFS('YTD Sales'!$N:$N,'YTD Sales'!$B:$B,Brokerage!$B268,'YTD Sales'!$M:$M,Brokerage!G$4)+SUMIFS('YTD Purchases'!$H:$H,'YTD Purchases'!$C:$C,Brokerage!$B268,'YTD Purchases'!$G:$G,Brokerage!G$4)</f>
        <v>0</v>
      </c>
      <c r="H268" s="857">
        <f>SUMIFS('YTD Sales'!$N:$N,'YTD Sales'!$B:$B,Brokerage!$B268,'YTD Sales'!$M:$M,Brokerage!H$4)+SUMIFS('YTD Purchases'!$H:$H,'YTD Purchases'!$C:$C,Brokerage!$B268,'YTD Purchases'!$G:$G,Brokerage!H$4)</f>
        <v>0</v>
      </c>
      <c r="I268" s="857">
        <f>SUMIFS('YTD Sales'!$N:$N,'YTD Sales'!$B:$B,Brokerage!$B268,'YTD Sales'!$M:$M,Brokerage!I$4)+SUMIFS('YTD Purchases'!$H:$H,'YTD Purchases'!$C:$C,Brokerage!$B268,'YTD Purchases'!$G:$G,Brokerage!I$4)</f>
        <v>0</v>
      </c>
      <c r="J268" s="857">
        <f>SUMIFS('YTD Sales'!$N:$N,'YTD Sales'!$B:$B,Brokerage!$B268,'YTD Sales'!$M:$M,Brokerage!J$4)+SUMIFS('YTD Purchases'!$H:$H,'YTD Purchases'!$C:$C,Brokerage!$B268,'YTD Purchases'!$G:$G,Brokerage!J$4)</f>
        <v>0</v>
      </c>
      <c r="K268" s="857">
        <f>SUMIFS('YTD Sales'!$N:$N,'YTD Sales'!$B:$B,Brokerage!$B268,'YTD Sales'!$M:$M,Brokerage!K$4)+SUMIFS('YTD Purchases'!$H:$H,'YTD Purchases'!$C:$C,Brokerage!$B268,'YTD Purchases'!$G:$G,Brokerage!K$4)</f>
        <v>0</v>
      </c>
      <c r="L268" s="857">
        <f>SUMIFS('YTD Sales'!$N:$N,'YTD Sales'!$B:$B,Brokerage!$B268,'YTD Sales'!$M:$M,Brokerage!L$4)+SUMIFS('YTD Purchases'!$H:$H,'YTD Purchases'!$C:$C,Brokerage!$B268,'YTD Purchases'!$G:$G,Brokerage!L$4)</f>
        <v>0</v>
      </c>
      <c r="M268" s="857">
        <f>SUMIFS('YTD Sales'!$N:$N,'YTD Sales'!$B:$B,Brokerage!$B268,'YTD Sales'!$M:$M,Brokerage!M$4)+SUMIFS('YTD Purchases'!$H:$H,'YTD Purchases'!$C:$C,Brokerage!$B268,'YTD Purchases'!$G:$G,Brokerage!M$4)</f>
        <v>0</v>
      </c>
      <c r="N268" s="857">
        <f>SUMIFS('YTD Sales'!$N:$N,'YTD Sales'!$B:$B,Brokerage!$B268,'YTD Sales'!$M:$M,Brokerage!N$4)+SUMIFS('YTD Purchases'!$H:$H,'YTD Purchases'!$C:$C,Brokerage!$B268,'YTD Purchases'!$G:$G,Brokerage!N$4)</f>
        <v>0</v>
      </c>
      <c r="O268" s="857">
        <f>SUMIFS('YTD Sales'!$N:$N,'YTD Sales'!$B:$B,Brokerage!$B268,'YTD Sales'!$M:$M,Brokerage!O$4)+SUMIFS('YTD Purchases'!$H:$H,'YTD Purchases'!$C:$C,Brokerage!$B268,'YTD Purchases'!$G:$G,Brokerage!O$4)</f>
        <v>0</v>
      </c>
      <c r="P268" s="857">
        <f>SUMIFS('YTD Sales'!$N:$N,'YTD Sales'!$B:$B,Brokerage!$B268,'YTD Sales'!$M:$M,Brokerage!P$4)+SUMIFS('YTD Purchases'!$H:$H,'YTD Purchases'!$C:$C,Brokerage!$B268,'YTD Purchases'!$G:$G,Brokerage!P$4)</f>
        <v>0</v>
      </c>
      <c r="Q268" s="857">
        <f>SUMIFS('YTD Sales'!$N:$N,'YTD Sales'!$B:$B,Brokerage!$B268,'YTD Sales'!$M:$M,Brokerage!Q$4)+SUMIFS('YTD Purchases'!$H:$H,'YTD Purchases'!$C:$C,Brokerage!$B268,'YTD Purchases'!$G:$G,Brokerage!Q$4)</f>
        <v>0</v>
      </c>
      <c r="R268" s="857">
        <f>SUMIFS('YTD Sales'!$N:$N,'YTD Sales'!$B:$B,Brokerage!$B268,'YTD Sales'!$M:$M,Brokerage!R$4)+SUMIFS('YTD Purchases'!$H:$H,'YTD Purchases'!$C:$C,Brokerage!$B268,'YTD Purchases'!$G:$G,Brokerage!R$4)</f>
        <v>0</v>
      </c>
      <c r="S268" s="857">
        <f>SUMIFS('YTD Sales'!$N:$N,'YTD Sales'!$B:$B,Brokerage!$B268,'YTD Sales'!$M:$M,Brokerage!S$4)+SUMIFS('YTD Purchases'!$H:$H,'YTD Purchases'!$C:$C,Brokerage!$B268,'YTD Purchases'!$G:$G,Brokerage!S$4)</f>
        <v>0</v>
      </c>
      <c r="T268" s="857">
        <f>SUMIFS('YTD Sales'!$N:$N,'YTD Sales'!$B:$B,Brokerage!$B268,'YTD Sales'!$M:$M,Brokerage!T$4)+SUMIFS('YTD Purchases'!$H:$H,'YTD Purchases'!$C:$C,Brokerage!$B268,'YTD Purchases'!$G:$G,Brokerage!T$4)</f>
        <v>0</v>
      </c>
      <c r="U268" s="857">
        <f>SUMIFS('YTD Sales'!$N:$N,'YTD Sales'!$B:$B,Brokerage!$B268,'YTD Sales'!$M:$M,Brokerage!U$4)+SUMIFS('YTD Purchases'!$H:$H,'YTD Purchases'!$C:$C,Brokerage!$B268,'YTD Purchases'!$G:$G,Brokerage!U$4)</f>
        <v>0</v>
      </c>
      <c r="V268" s="857">
        <f>SUMIFS('YTD Sales'!$N:$N,'YTD Sales'!$B:$B,Brokerage!$B268,'YTD Sales'!$M:$M,Brokerage!V$4)+SUMIFS('YTD Purchases'!$H:$H,'YTD Purchases'!$C:$C,Brokerage!$B268,'YTD Purchases'!$G:$G,Brokerage!V$4)</f>
        <v>0</v>
      </c>
      <c r="W268" s="857">
        <f>SUMIFS('YTD Sales'!$N:$N,'YTD Sales'!$B:$B,Brokerage!$B268,'YTD Sales'!$M:$M,Brokerage!W$4)+SUMIFS('YTD Purchases'!$H:$H,'YTD Purchases'!$C:$C,Brokerage!$B268,'YTD Purchases'!$G:$G,Brokerage!W$4)</f>
        <v>0</v>
      </c>
      <c r="X268" s="857">
        <f>SUMIFS('YTD Sales'!$N:$N,'YTD Sales'!$B:$B,Brokerage!$B268,'YTD Sales'!$M:$M,Brokerage!X$4)+SUMIFS('YTD Purchases'!$H:$H,'YTD Purchases'!$C:$C,Brokerage!$B268,'YTD Purchases'!$G:$G,Brokerage!X$4)</f>
        <v>0</v>
      </c>
      <c r="Y268" s="857">
        <f>SUMIFS('YTD Sales'!$N:$N,'YTD Sales'!$B:$B,Brokerage!$B268,'YTD Sales'!$M:$M,Brokerage!Y$4)+SUMIFS('YTD Purchases'!$H:$H,'YTD Purchases'!$C:$C,Brokerage!$B268,'YTD Purchases'!$G:$G,Brokerage!Y$4)</f>
        <v>0</v>
      </c>
      <c r="Z268" s="857">
        <f>SUMIFS('YTD Sales'!$N:$N,'YTD Sales'!$B:$B,Brokerage!$B268,'YTD Sales'!$M:$M,Brokerage!Z$4)+SUMIFS('YTD Purchases'!$H:$H,'YTD Purchases'!$C:$C,Brokerage!$B268,'YTD Purchases'!$G:$G,Brokerage!Z$4)</f>
        <v>0</v>
      </c>
      <c r="AA268" s="857">
        <f>SUMIFS('YTD Sales'!$N:$N,'YTD Sales'!$B:$B,Brokerage!$B268,'YTD Sales'!$M:$M,Brokerage!AA$4)+SUMIFS('YTD Purchases'!$H:$H,'YTD Purchases'!$C:$C,Brokerage!$B268,'YTD Purchases'!$G:$G,Brokerage!AA$4)</f>
        <v>0</v>
      </c>
      <c r="AB268" s="857">
        <f>SUMIFS('YTD Sales'!$N:$N,'YTD Sales'!$B:$B,Brokerage!$B268,'YTD Sales'!$M:$M,Brokerage!AB$4)+SUMIFS('YTD Purchases'!$H:$H,'YTD Purchases'!$C:$C,Brokerage!$B268,'YTD Purchases'!$G:$G,Brokerage!AB$4)</f>
        <v>0</v>
      </c>
      <c r="AC268" s="857">
        <f>SUMIFS('YTD Sales'!$N:$N,'YTD Sales'!$B:$B,Brokerage!$B268,'YTD Sales'!$M:$M,Brokerage!AC$4)+SUMIFS('YTD Purchases'!$H:$H,'YTD Purchases'!$C:$C,Brokerage!$B268,'YTD Purchases'!$G:$G,Brokerage!AC$4)</f>
        <v>0</v>
      </c>
      <c r="AD268" s="857">
        <f>+SUMIFS(PIB!AG:AG,PIB!AF:AF,Brokerage!AD$4,PIB!AA:AA,Brokerage!$B268)+SUMIFS('T-Bills'!AB:AB,'T-Bills'!AA:AA,Brokerage!AD$4,'T-Bills'!V:V,Brokerage!$B268)</f>
        <v>0</v>
      </c>
      <c r="AE268" s="857">
        <f>+SUMIFS(PIB!AH:AH,PIB!AG:AG,Brokerage!AE$4,PIB!AB:AB,Brokerage!$B268)+SUMIFS('T-Bills'!AC:AC,'T-Bills'!AB:AB,Brokerage!AE$4,'T-Bills'!W:W,Brokerage!$B268)</f>
        <v>0</v>
      </c>
      <c r="AF268" s="857">
        <f>+SUMIFS(PIB!AI:AI,PIB!AH:AH,Brokerage!AF$4,PIB!AC:AC,Brokerage!$B268)+SUMIFS('T-Bills'!AD:AD,'T-Bills'!AC:AC,Brokerage!AF$4,'T-Bills'!X:X,Brokerage!$B268)</f>
        <v>0</v>
      </c>
      <c r="AG268" s="857">
        <f t="shared" si="26"/>
        <v>0</v>
      </c>
      <c r="AH268" s="858">
        <f t="shared" si="27"/>
        <v>0</v>
      </c>
    </row>
    <row r="269" spans="2:34" x14ac:dyDescent="0.15">
      <c r="B269" s="661">
        <f t="shared" si="25"/>
        <v>44825</v>
      </c>
      <c r="C269" s="857">
        <f>SUMIFS('YTD Sales'!$N:$N,'YTD Sales'!$B:$B,Brokerage!$B269,'YTD Sales'!$M:$M,Brokerage!C$4)+SUMIFS('YTD Purchases'!$H:$H,'YTD Purchases'!$C:$C,Brokerage!$B269,'YTD Purchases'!$G:$G,Brokerage!C$4)</f>
        <v>0</v>
      </c>
      <c r="D269" s="857">
        <f>SUMIFS('YTD Sales'!$N:$N,'YTD Sales'!$B:$B,Brokerage!$B269,'YTD Sales'!$M:$M,Brokerage!D$4)+SUMIFS('YTD Purchases'!$H:$H,'YTD Purchases'!$C:$C,Brokerage!$B269,'YTD Purchases'!$G:$G,Brokerage!D$4)</f>
        <v>0</v>
      </c>
      <c r="E269" s="857">
        <f>SUMIFS('YTD Sales'!$N:$N,'YTD Sales'!$B:$B,Brokerage!$B269,'YTD Sales'!$M:$M,Brokerage!E$4)+SUMIFS('YTD Purchases'!$H:$H,'YTD Purchases'!$C:$C,Brokerage!$B269,'YTD Purchases'!$G:$G,Brokerage!E$4)</f>
        <v>0</v>
      </c>
      <c r="F269" s="857">
        <f>SUMIFS('YTD Sales'!$N:$N,'YTD Sales'!$B:$B,Brokerage!$B269,'YTD Sales'!$M:$M,Brokerage!F$4)+SUMIFS('YTD Purchases'!$H:$H,'YTD Purchases'!$C:$C,Brokerage!$B269,'YTD Purchases'!$G:$G,Brokerage!F$4)</f>
        <v>0</v>
      </c>
      <c r="G269" s="857">
        <f>SUMIFS('YTD Sales'!$N:$N,'YTD Sales'!$B:$B,Brokerage!$B269,'YTD Sales'!$M:$M,Brokerage!G$4)+SUMIFS('YTD Purchases'!$H:$H,'YTD Purchases'!$C:$C,Brokerage!$B269,'YTD Purchases'!$G:$G,Brokerage!G$4)</f>
        <v>0</v>
      </c>
      <c r="H269" s="857">
        <f>SUMIFS('YTD Sales'!$N:$N,'YTD Sales'!$B:$B,Brokerage!$B269,'YTD Sales'!$M:$M,Brokerage!H$4)+SUMIFS('YTD Purchases'!$H:$H,'YTD Purchases'!$C:$C,Brokerage!$B269,'YTD Purchases'!$G:$G,Brokerage!H$4)</f>
        <v>0</v>
      </c>
      <c r="I269" s="857">
        <f>SUMIFS('YTD Sales'!$N:$N,'YTD Sales'!$B:$B,Brokerage!$B269,'YTD Sales'!$M:$M,Brokerage!I$4)+SUMIFS('YTD Purchases'!$H:$H,'YTD Purchases'!$C:$C,Brokerage!$B269,'YTD Purchases'!$G:$G,Brokerage!I$4)</f>
        <v>0</v>
      </c>
      <c r="J269" s="857">
        <f>SUMIFS('YTD Sales'!$N:$N,'YTD Sales'!$B:$B,Brokerage!$B269,'YTD Sales'!$M:$M,Brokerage!J$4)+SUMIFS('YTD Purchases'!$H:$H,'YTD Purchases'!$C:$C,Brokerage!$B269,'YTD Purchases'!$G:$G,Brokerage!J$4)</f>
        <v>0</v>
      </c>
      <c r="K269" s="857">
        <f>SUMIFS('YTD Sales'!$N:$N,'YTD Sales'!$B:$B,Brokerage!$B269,'YTD Sales'!$M:$M,Brokerage!K$4)+SUMIFS('YTD Purchases'!$H:$H,'YTD Purchases'!$C:$C,Brokerage!$B269,'YTD Purchases'!$G:$G,Brokerage!K$4)</f>
        <v>0</v>
      </c>
      <c r="L269" s="857">
        <f>SUMIFS('YTD Sales'!$N:$N,'YTD Sales'!$B:$B,Brokerage!$B269,'YTD Sales'!$M:$M,Brokerage!L$4)+SUMIFS('YTD Purchases'!$H:$H,'YTD Purchases'!$C:$C,Brokerage!$B269,'YTD Purchases'!$G:$G,Brokerage!L$4)</f>
        <v>0</v>
      </c>
      <c r="M269" s="857">
        <f>SUMIFS('YTD Sales'!$N:$N,'YTD Sales'!$B:$B,Brokerage!$B269,'YTD Sales'!$M:$M,Brokerage!M$4)+SUMIFS('YTD Purchases'!$H:$H,'YTD Purchases'!$C:$C,Brokerage!$B269,'YTD Purchases'!$G:$G,Brokerage!M$4)</f>
        <v>0</v>
      </c>
      <c r="N269" s="857">
        <f>SUMIFS('YTD Sales'!$N:$N,'YTD Sales'!$B:$B,Brokerage!$B269,'YTD Sales'!$M:$M,Brokerage!N$4)+SUMIFS('YTD Purchases'!$H:$H,'YTD Purchases'!$C:$C,Brokerage!$B269,'YTD Purchases'!$G:$G,Brokerage!N$4)</f>
        <v>0</v>
      </c>
      <c r="O269" s="857">
        <f>SUMIFS('YTD Sales'!$N:$N,'YTD Sales'!$B:$B,Brokerage!$B269,'YTD Sales'!$M:$M,Brokerage!O$4)+SUMIFS('YTD Purchases'!$H:$H,'YTD Purchases'!$C:$C,Brokerage!$B269,'YTD Purchases'!$G:$G,Brokerage!O$4)</f>
        <v>0</v>
      </c>
      <c r="P269" s="857">
        <f>SUMIFS('YTD Sales'!$N:$N,'YTD Sales'!$B:$B,Brokerage!$B269,'YTD Sales'!$M:$M,Brokerage!P$4)+SUMIFS('YTD Purchases'!$H:$H,'YTD Purchases'!$C:$C,Brokerage!$B269,'YTD Purchases'!$G:$G,Brokerage!P$4)</f>
        <v>0</v>
      </c>
      <c r="Q269" s="857">
        <f>SUMIFS('YTD Sales'!$N:$N,'YTD Sales'!$B:$B,Brokerage!$B269,'YTD Sales'!$M:$M,Brokerage!Q$4)+SUMIFS('YTD Purchases'!$H:$H,'YTD Purchases'!$C:$C,Brokerage!$B269,'YTD Purchases'!$G:$G,Brokerage!Q$4)</f>
        <v>0</v>
      </c>
      <c r="R269" s="857">
        <f>SUMIFS('YTD Sales'!$N:$N,'YTD Sales'!$B:$B,Brokerage!$B269,'YTD Sales'!$M:$M,Brokerage!R$4)+SUMIFS('YTD Purchases'!$H:$H,'YTD Purchases'!$C:$C,Brokerage!$B269,'YTD Purchases'!$G:$G,Brokerage!R$4)</f>
        <v>0</v>
      </c>
      <c r="S269" s="857">
        <f>SUMIFS('YTD Sales'!$N:$N,'YTD Sales'!$B:$B,Brokerage!$B269,'YTD Sales'!$M:$M,Brokerage!S$4)+SUMIFS('YTD Purchases'!$H:$H,'YTD Purchases'!$C:$C,Brokerage!$B269,'YTD Purchases'!$G:$G,Brokerage!S$4)</f>
        <v>0</v>
      </c>
      <c r="T269" s="857">
        <f>SUMIFS('YTD Sales'!$N:$N,'YTD Sales'!$B:$B,Brokerage!$B269,'YTD Sales'!$M:$M,Brokerage!T$4)+SUMIFS('YTD Purchases'!$H:$H,'YTD Purchases'!$C:$C,Brokerage!$B269,'YTD Purchases'!$G:$G,Brokerage!T$4)</f>
        <v>0</v>
      </c>
      <c r="U269" s="857">
        <f>SUMIFS('YTD Sales'!$N:$N,'YTD Sales'!$B:$B,Brokerage!$B269,'YTD Sales'!$M:$M,Brokerage!U$4)+SUMIFS('YTD Purchases'!$H:$H,'YTD Purchases'!$C:$C,Brokerage!$B269,'YTD Purchases'!$G:$G,Brokerage!U$4)</f>
        <v>0</v>
      </c>
      <c r="V269" s="857">
        <f>SUMIFS('YTD Sales'!$N:$N,'YTD Sales'!$B:$B,Brokerage!$B269,'YTD Sales'!$M:$M,Brokerage!V$4)+SUMIFS('YTD Purchases'!$H:$H,'YTD Purchases'!$C:$C,Brokerage!$B269,'YTD Purchases'!$G:$G,Brokerage!V$4)</f>
        <v>0</v>
      </c>
      <c r="W269" s="857">
        <f>SUMIFS('YTD Sales'!$N:$N,'YTD Sales'!$B:$B,Brokerage!$B269,'YTD Sales'!$M:$M,Brokerage!W$4)+SUMIFS('YTD Purchases'!$H:$H,'YTD Purchases'!$C:$C,Brokerage!$B269,'YTD Purchases'!$G:$G,Brokerage!W$4)</f>
        <v>0</v>
      </c>
      <c r="X269" s="857">
        <f>SUMIFS('YTD Sales'!$N:$N,'YTD Sales'!$B:$B,Brokerage!$B269,'YTD Sales'!$M:$M,Brokerage!X$4)+SUMIFS('YTD Purchases'!$H:$H,'YTD Purchases'!$C:$C,Brokerage!$B269,'YTD Purchases'!$G:$G,Brokerage!X$4)</f>
        <v>0</v>
      </c>
      <c r="Y269" s="857">
        <f>SUMIFS('YTD Sales'!$N:$N,'YTD Sales'!$B:$B,Brokerage!$B269,'YTD Sales'!$M:$M,Brokerage!Y$4)+SUMIFS('YTD Purchases'!$H:$H,'YTD Purchases'!$C:$C,Brokerage!$B269,'YTD Purchases'!$G:$G,Brokerage!Y$4)</f>
        <v>0</v>
      </c>
      <c r="Z269" s="857">
        <f>SUMIFS('YTD Sales'!$N:$N,'YTD Sales'!$B:$B,Brokerage!$B269,'YTD Sales'!$M:$M,Brokerage!Z$4)+SUMIFS('YTD Purchases'!$H:$H,'YTD Purchases'!$C:$C,Brokerage!$B269,'YTD Purchases'!$G:$G,Brokerage!Z$4)</f>
        <v>0</v>
      </c>
      <c r="AA269" s="857">
        <f>SUMIFS('YTD Sales'!$N:$N,'YTD Sales'!$B:$B,Brokerage!$B269,'YTD Sales'!$M:$M,Brokerage!AA$4)+SUMIFS('YTD Purchases'!$H:$H,'YTD Purchases'!$C:$C,Brokerage!$B269,'YTD Purchases'!$G:$G,Brokerage!AA$4)</f>
        <v>0</v>
      </c>
      <c r="AB269" s="857">
        <f>SUMIFS('YTD Sales'!$N:$N,'YTD Sales'!$B:$B,Brokerage!$B269,'YTD Sales'!$M:$M,Brokerage!AB$4)+SUMIFS('YTD Purchases'!$H:$H,'YTD Purchases'!$C:$C,Brokerage!$B269,'YTD Purchases'!$G:$G,Brokerage!AB$4)</f>
        <v>0</v>
      </c>
      <c r="AC269" s="857">
        <f>SUMIFS('YTD Sales'!$N:$N,'YTD Sales'!$B:$B,Brokerage!$B269,'YTD Sales'!$M:$M,Brokerage!AC$4)+SUMIFS('YTD Purchases'!$H:$H,'YTD Purchases'!$C:$C,Brokerage!$B269,'YTD Purchases'!$G:$G,Brokerage!AC$4)</f>
        <v>0</v>
      </c>
      <c r="AD269" s="857">
        <f>+SUMIFS(PIB!AG:AG,PIB!AF:AF,Brokerage!AD$4,PIB!AA:AA,Brokerage!$B269)+SUMIFS('T-Bills'!AB:AB,'T-Bills'!AA:AA,Brokerage!AD$4,'T-Bills'!V:V,Brokerage!$B269)</f>
        <v>0</v>
      </c>
      <c r="AE269" s="857">
        <f>+SUMIFS(PIB!AH:AH,PIB!AG:AG,Brokerage!AE$4,PIB!AB:AB,Brokerage!$B269)+SUMIFS('T-Bills'!AC:AC,'T-Bills'!AB:AB,Brokerage!AE$4,'T-Bills'!W:W,Brokerage!$B269)</f>
        <v>0</v>
      </c>
      <c r="AF269" s="857">
        <f>+SUMIFS(PIB!AI:AI,PIB!AH:AH,Brokerage!AF$4,PIB!AC:AC,Brokerage!$B269)+SUMIFS('T-Bills'!AD:AD,'T-Bills'!AC:AC,Brokerage!AF$4,'T-Bills'!X:X,Brokerage!$B269)</f>
        <v>0</v>
      </c>
      <c r="AG269" s="857">
        <f t="shared" si="26"/>
        <v>0</v>
      </c>
      <c r="AH269" s="858">
        <f t="shared" si="27"/>
        <v>0</v>
      </c>
    </row>
    <row r="270" spans="2:34" x14ac:dyDescent="0.15">
      <c r="B270" s="661">
        <f t="shared" si="25"/>
        <v>44826</v>
      </c>
      <c r="C270" s="857">
        <f>SUMIFS('YTD Sales'!$N:$N,'YTD Sales'!$B:$B,Brokerage!$B270,'YTD Sales'!$M:$M,Brokerage!C$4)+SUMIFS('YTD Purchases'!$H:$H,'YTD Purchases'!$C:$C,Brokerage!$B270,'YTD Purchases'!$G:$G,Brokerage!C$4)</f>
        <v>0</v>
      </c>
      <c r="D270" s="857">
        <f>SUMIFS('YTD Sales'!$N:$N,'YTD Sales'!$B:$B,Brokerage!$B270,'YTD Sales'!$M:$M,Brokerage!D$4)+SUMIFS('YTD Purchases'!$H:$H,'YTD Purchases'!$C:$C,Brokerage!$B270,'YTD Purchases'!$G:$G,Brokerage!D$4)</f>
        <v>0</v>
      </c>
      <c r="E270" s="857">
        <f>SUMIFS('YTD Sales'!$N:$N,'YTD Sales'!$B:$B,Brokerage!$B270,'YTD Sales'!$M:$M,Brokerage!E$4)+SUMIFS('YTD Purchases'!$H:$H,'YTD Purchases'!$C:$C,Brokerage!$B270,'YTD Purchases'!$G:$G,Brokerage!E$4)</f>
        <v>0</v>
      </c>
      <c r="F270" s="857">
        <f>SUMIFS('YTD Sales'!$N:$N,'YTD Sales'!$B:$B,Brokerage!$B270,'YTD Sales'!$M:$M,Brokerage!F$4)+SUMIFS('YTD Purchases'!$H:$H,'YTD Purchases'!$C:$C,Brokerage!$B270,'YTD Purchases'!$G:$G,Brokerage!F$4)</f>
        <v>0</v>
      </c>
      <c r="G270" s="857">
        <f>SUMIFS('YTD Sales'!$N:$N,'YTD Sales'!$B:$B,Brokerage!$B270,'YTD Sales'!$M:$M,Brokerage!G$4)+SUMIFS('YTD Purchases'!$H:$H,'YTD Purchases'!$C:$C,Brokerage!$B270,'YTD Purchases'!$G:$G,Brokerage!G$4)</f>
        <v>0</v>
      </c>
      <c r="H270" s="857">
        <f>SUMIFS('YTD Sales'!$N:$N,'YTD Sales'!$B:$B,Brokerage!$B270,'YTD Sales'!$M:$M,Brokerage!H$4)+SUMIFS('YTD Purchases'!$H:$H,'YTD Purchases'!$C:$C,Brokerage!$B270,'YTD Purchases'!$G:$G,Brokerage!H$4)</f>
        <v>0</v>
      </c>
      <c r="I270" s="857">
        <f>SUMIFS('YTD Sales'!$N:$N,'YTD Sales'!$B:$B,Brokerage!$B270,'YTD Sales'!$M:$M,Brokerage!I$4)+SUMIFS('YTD Purchases'!$H:$H,'YTD Purchases'!$C:$C,Brokerage!$B270,'YTD Purchases'!$G:$G,Brokerage!I$4)</f>
        <v>0</v>
      </c>
      <c r="J270" s="857">
        <f>SUMIFS('YTD Sales'!$N:$N,'YTD Sales'!$B:$B,Brokerage!$B270,'YTD Sales'!$M:$M,Brokerage!J$4)+SUMIFS('YTD Purchases'!$H:$H,'YTD Purchases'!$C:$C,Brokerage!$B270,'YTD Purchases'!$G:$G,Brokerage!J$4)</f>
        <v>0</v>
      </c>
      <c r="K270" s="857">
        <f>SUMIFS('YTD Sales'!$N:$N,'YTD Sales'!$B:$B,Brokerage!$B270,'YTD Sales'!$M:$M,Brokerage!K$4)+SUMIFS('YTD Purchases'!$H:$H,'YTD Purchases'!$C:$C,Brokerage!$B270,'YTD Purchases'!$G:$G,Brokerage!K$4)</f>
        <v>0</v>
      </c>
      <c r="L270" s="857">
        <f>SUMIFS('YTD Sales'!$N:$N,'YTD Sales'!$B:$B,Brokerage!$B270,'YTD Sales'!$M:$M,Brokerage!L$4)+SUMIFS('YTD Purchases'!$H:$H,'YTD Purchases'!$C:$C,Brokerage!$B270,'YTD Purchases'!$G:$G,Brokerage!L$4)</f>
        <v>0</v>
      </c>
      <c r="M270" s="857">
        <f>SUMIFS('YTD Sales'!$N:$N,'YTD Sales'!$B:$B,Brokerage!$B270,'YTD Sales'!$M:$M,Brokerage!M$4)+SUMIFS('YTD Purchases'!$H:$H,'YTD Purchases'!$C:$C,Brokerage!$B270,'YTD Purchases'!$G:$G,Brokerage!M$4)</f>
        <v>0</v>
      </c>
      <c r="N270" s="857">
        <f>SUMIFS('YTD Sales'!$N:$N,'YTD Sales'!$B:$B,Brokerage!$B270,'YTD Sales'!$M:$M,Brokerage!N$4)+SUMIFS('YTD Purchases'!$H:$H,'YTD Purchases'!$C:$C,Brokerage!$B270,'YTD Purchases'!$G:$G,Brokerage!N$4)</f>
        <v>0</v>
      </c>
      <c r="O270" s="857">
        <f>SUMIFS('YTD Sales'!$N:$N,'YTD Sales'!$B:$B,Brokerage!$B270,'YTD Sales'!$M:$M,Brokerage!O$4)+SUMIFS('YTD Purchases'!$H:$H,'YTD Purchases'!$C:$C,Brokerage!$B270,'YTD Purchases'!$G:$G,Brokerage!O$4)</f>
        <v>0</v>
      </c>
      <c r="P270" s="857">
        <f>SUMIFS('YTD Sales'!$N:$N,'YTD Sales'!$B:$B,Brokerage!$B270,'YTD Sales'!$M:$M,Brokerage!P$4)+SUMIFS('YTD Purchases'!$H:$H,'YTD Purchases'!$C:$C,Brokerage!$B270,'YTD Purchases'!$G:$G,Brokerage!P$4)</f>
        <v>0</v>
      </c>
      <c r="Q270" s="857">
        <f>SUMIFS('YTD Sales'!$N:$N,'YTD Sales'!$B:$B,Brokerage!$B270,'YTD Sales'!$M:$M,Brokerage!Q$4)+SUMIFS('YTD Purchases'!$H:$H,'YTD Purchases'!$C:$C,Brokerage!$B270,'YTD Purchases'!$G:$G,Brokerage!Q$4)</f>
        <v>0</v>
      </c>
      <c r="R270" s="857">
        <f>SUMIFS('YTD Sales'!$N:$N,'YTD Sales'!$B:$B,Brokerage!$B270,'YTD Sales'!$M:$M,Brokerage!R$4)+SUMIFS('YTD Purchases'!$H:$H,'YTD Purchases'!$C:$C,Brokerage!$B270,'YTD Purchases'!$G:$G,Brokerage!R$4)</f>
        <v>0</v>
      </c>
      <c r="S270" s="857">
        <f>SUMIFS('YTD Sales'!$N:$N,'YTD Sales'!$B:$B,Brokerage!$B270,'YTD Sales'!$M:$M,Brokerage!S$4)+SUMIFS('YTD Purchases'!$H:$H,'YTD Purchases'!$C:$C,Brokerage!$B270,'YTD Purchases'!$G:$G,Brokerage!S$4)</f>
        <v>0</v>
      </c>
      <c r="T270" s="857">
        <f>SUMIFS('YTD Sales'!$N:$N,'YTD Sales'!$B:$B,Brokerage!$B270,'YTD Sales'!$M:$M,Brokerage!T$4)+SUMIFS('YTD Purchases'!$H:$H,'YTD Purchases'!$C:$C,Brokerage!$B270,'YTD Purchases'!$G:$G,Brokerage!T$4)</f>
        <v>0</v>
      </c>
      <c r="U270" s="857">
        <f>SUMIFS('YTD Sales'!$N:$N,'YTD Sales'!$B:$B,Brokerage!$B270,'YTD Sales'!$M:$M,Brokerage!U$4)+SUMIFS('YTD Purchases'!$H:$H,'YTD Purchases'!$C:$C,Brokerage!$B270,'YTD Purchases'!$G:$G,Brokerage!U$4)</f>
        <v>0</v>
      </c>
      <c r="V270" s="857">
        <f>SUMIFS('YTD Sales'!$N:$N,'YTD Sales'!$B:$B,Brokerage!$B270,'YTD Sales'!$M:$M,Brokerage!V$4)+SUMIFS('YTD Purchases'!$H:$H,'YTD Purchases'!$C:$C,Brokerage!$B270,'YTD Purchases'!$G:$G,Brokerage!V$4)</f>
        <v>0</v>
      </c>
      <c r="W270" s="857">
        <f>SUMIFS('YTD Sales'!$N:$N,'YTD Sales'!$B:$B,Brokerage!$B270,'YTD Sales'!$M:$M,Brokerage!W$4)+SUMIFS('YTD Purchases'!$H:$H,'YTD Purchases'!$C:$C,Brokerage!$B270,'YTD Purchases'!$G:$G,Brokerage!W$4)</f>
        <v>0</v>
      </c>
      <c r="X270" s="857">
        <f>SUMIFS('YTD Sales'!$N:$N,'YTD Sales'!$B:$B,Brokerage!$B270,'YTD Sales'!$M:$M,Brokerage!X$4)+SUMIFS('YTD Purchases'!$H:$H,'YTD Purchases'!$C:$C,Brokerage!$B270,'YTD Purchases'!$G:$G,Brokerage!X$4)</f>
        <v>0</v>
      </c>
      <c r="Y270" s="857">
        <f>SUMIFS('YTD Sales'!$N:$N,'YTD Sales'!$B:$B,Brokerage!$B270,'YTD Sales'!$M:$M,Brokerage!Y$4)+SUMIFS('YTD Purchases'!$H:$H,'YTD Purchases'!$C:$C,Brokerage!$B270,'YTD Purchases'!$G:$G,Brokerage!Y$4)</f>
        <v>0</v>
      </c>
      <c r="Z270" s="857">
        <f>SUMIFS('YTD Sales'!$N:$N,'YTD Sales'!$B:$B,Brokerage!$B270,'YTD Sales'!$M:$M,Brokerage!Z$4)+SUMIFS('YTD Purchases'!$H:$H,'YTD Purchases'!$C:$C,Brokerage!$B270,'YTD Purchases'!$G:$G,Brokerage!Z$4)</f>
        <v>0</v>
      </c>
      <c r="AA270" s="857">
        <f>SUMIFS('YTD Sales'!$N:$N,'YTD Sales'!$B:$B,Brokerage!$B270,'YTD Sales'!$M:$M,Brokerage!AA$4)+SUMIFS('YTD Purchases'!$H:$H,'YTD Purchases'!$C:$C,Brokerage!$B270,'YTD Purchases'!$G:$G,Brokerage!AA$4)</f>
        <v>0</v>
      </c>
      <c r="AB270" s="857">
        <f>SUMIFS('YTD Sales'!$N:$N,'YTD Sales'!$B:$B,Brokerage!$B270,'YTD Sales'!$M:$M,Brokerage!AB$4)+SUMIFS('YTD Purchases'!$H:$H,'YTD Purchases'!$C:$C,Brokerage!$B270,'YTD Purchases'!$G:$G,Brokerage!AB$4)</f>
        <v>0</v>
      </c>
      <c r="AC270" s="857">
        <f>SUMIFS('YTD Sales'!$N:$N,'YTD Sales'!$B:$B,Brokerage!$B270,'YTD Sales'!$M:$M,Brokerage!AC$4)+SUMIFS('YTD Purchases'!$H:$H,'YTD Purchases'!$C:$C,Brokerage!$B270,'YTD Purchases'!$G:$G,Brokerage!AC$4)</f>
        <v>0</v>
      </c>
      <c r="AD270" s="857">
        <f>+SUMIFS(PIB!AG:AG,PIB!AF:AF,Brokerage!AD$4,PIB!AA:AA,Brokerage!$B270)+SUMIFS('T-Bills'!AB:AB,'T-Bills'!AA:AA,Brokerage!AD$4,'T-Bills'!V:V,Brokerage!$B270)</f>
        <v>0</v>
      </c>
      <c r="AE270" s="857">
        <f>+SUMIFS(PIB!AH:AH,PIB!AG:AG,Brokerage!AE$4,PIB!AB:AB,Brokerage!$B270)+SUMIFS('T-Bills'!AC:AC,'T-Bills'!AB:AB,Brokerage!AE$4,'T-Bills'!W:W,Brokerage!$B270)</f>
        <v>0</v>
      </c>
      <c r="AF270" s="857">
        <f>+SUMIFS(PIB!AI:AI,PIB!AH:AH,Brokerage!AF$4,PIB!AC:AC,Brokerage!$B270)+SUMIFS('T-Bills'!AD:AD,'T-Bills'!AC:AC,Brokerage!AF$4,'T-Bills'!X:X,Brokerage!$B270)</f>
        <v>0</v>
      </c>
      <c r="AG270" s="857">
        <f t="shared" si="26"/>
        <v>0</v>
      </c>
      <c r="AH270" s="858">
        <f t="shared" si="27"/>
        <v>0</v>
      </c>
    </row>
    <row r="271" spans="2:34" x14ac:dyDescent="0.15">
      <c r="B271" s="661">
        <f t="shared" si="25"/>
        <v>44827</v>
      </c>
      <c r="C271" s="857">
        <f>SUMIFS('YTD Sales'!$N:$N,'YTD Sales'!$B:$B,Brokerage!$B271,'YTD Sales'!$M:$M,Brokerage!C$4)+SUMIFS('YTD Purchases'!$H:$H,'YTD Purchases'!$C:$C,Brokerage!$B271,'YTD Purchases'!$G:$G,Brokerage!C$4)</f>
        <v>0</v>
      </c>
      <c r="D271" s="857">
        <f>SUMIFS('YTD Sales'!$N:$N,'YTD Sales'!$B:$B,Brokerage!$B271,'YTD Sales'!$M:$M,Brokerage!D$4)+SUMIFS('YTD Purchases'!$H:$H,'YTD Purchases'!$C:$C,Brokerage!$B271,'YTD Purchases'!$G:$G,Brokerage!D$4)</f>
        <v>0</v>
      </c>
      <c r="E271" s="857">
        <f>SUMIFS('YTD Sales'!$N:$N,'YTD Sales'!$B:$B,Brokerage!$B271,'YTD Sales'!$M:$M,Brokerage!E$4)+SUMIFS('YTD Purchases'!$H:$H,'YTD Purchases'!$C:$C,Brokerage!$B271,'YTD Purchases'!$G:$G,Brokerage!E$4)</f>
        <v>0</v>
      </c>
      <c r="F271" s="857">
        <f>SUMIFS('YTD Sales'!$N:$N,'YTD Sales'!$B:$B,Brokerage!$B271,'YTD Sales'!$M:$M,Brokerage!F$4)+SUMIFS('YTD Purchases'!$H:$H,'YTD Purchases'!$C:$C,Brokerage!$B271,'YTD Purchases'!$G:$G,Brokerage!F$4)</f>
        <v>0</v>
      </c>
      <c r="G271" s="857">
        <f>SUMIFS('YTD Sales'!$N:$N,'YTD Sales'!$B:$B,Brokerage!$B271,'YTD Sales'!$M:$M,Brokerage!G$4)+SUMIFS('YTD Purchases'!$H:$H,'YTD Purchases'!$C:$C,Brokerage!$B271,'YTD Purchases'!$G:$G,Brokerage!G$4)</f>
        <v>0</v>
      </c>
      <c r="H271" s="857">
        <f>SUMIFS('YTD Sales'!$N:$N,'YTD Sales'!$B:$B,Brokerage!$B271,'YTD Sales'!$M:$M,Brokerage!H$4)+SUMIFS('YTD Purchases'!$H:$H,'YTD Purchases'!$C:$C,Brokerage!$B271,'YTD Purchases'!$G:$G,Brokerage!H$4)</f>
        <v>0</v>
      </c>
      <c r="I271" s="857">
        <f>SUMIFS('YTD Sales'!$N:$N,'YTD Sales'!$B:$B,Brokerage!$B271,'YTD Sales'!$M:$M,Brokerage!I$4)+SUMIFS('YTD Purchases'!$H:$H,'YTD Purchases'!$C:$C,Brokerage!$B271,'YTD Purchases'!$G:$G,Brokerage!I$4)</f>
        <v>0</v>
      </c>
      <c r="J271" s="857">
        <f>SUMIFS('YTD Sales'!$N:$N,'YTD Sales'!$B:$B,Brokerage!$B271,'YTD Sales'!$M:$M,Brokerage!J$4)+SUMIFS('YTD Purchases'!$H:$H,'YTD Purchases'!$C:$C,Brokerage!$B271,'YTD Purchases'!$G:$G,Brokerage!J$4)</f>
        <v>0</v>
      </c>
      <c r="K271" s="857">
        <f>SUMIFS('YTD Sales'!$N:$N,'YTD Sales'!$B:$B,Brokerage!$B271,'YTD Sales'!$M:$M,Brokerage!K$4)+SUMIFS('YTD Purchases'!$H:$H,'YTD Purchases'!$C:$C,Brokerage!$B271,'YTD Purchases'!$G:$G,Brokerage!K$4)</f>
        <v>0</v>
      </c>
      <c r="L271" s="857">
        <f>SUMIFS('YTD Sales'!$N:$N,'YTD Sales'!$B:$B,Brokerage!$B271,'YTD Sales'!$M:$M,Brokerage!L$4)+SUMIFS('YTD Purchases'!$H:$H,'YTD Purchases'!$C:$C,Brokerage!$B271,'YTD Purchases'!$G:$G,Brokerage!L$4)</f>
        <v>0</v>
      </c>
      <c r="M271" s="857">
        <f>SUMIFS('YTD Sales'!$N:$N,'YTD Sales'!$B:$B,Brokerage!$B271,'YTD Sales'!$M:$M,Brokerage!M$4)+SUMIFS('YTD Purchases'!$H:$H,'YTD Purchases'!$C:$C,Brokerage!$B271,'YTD Purchases'!$G:$G,Brokerage!M$4)</f>
        <v>0</v>
      </c>
      <c r="N271" s="857">
        <f>SUMIFS('YTD Sales'!$N:$N,'YTD Sales'!$B:$B,Brokerage!$B271,'YTD Sales'!$M:$M,Brokerage!N$4)+SUMIFS('YTD Purchases'!$H:$H,'YTD Purchases'!$C:$C,Brokerage!$B271,'YTD Purchases'!$G:$G,Brokerage!N$4)</f>
        <v>0</v>
      </c>
      <c r="O271" s="857">
        <f>SUMIFS('YTD Sales'!$N:$N,'YTD Sales'!$B:$B,Brokerage!$B271,'YTD Sales'!$M:$M,Brokerage!O$4)+SUMIFS('YTD Purchases'!$H:$H,'YTD Purchases'!$C:$C,Brokerage!$B271,'YTD Purchases'!$G:$G,Brokerage!O$4)</f>
        <v>0</v>
      </c>
      <c r="P271" s="857">
        <f>SUMIFS('YTD Sales'!$N:$N,'YTD Sales'!$B:$B,Brokerage!$B271,'YTD Sales'!$M:$M,Brokerage!P$4)+SUMIFS('YTD Purchases'!$H:$H,'YTD Purchases'!$C:$C,Brokerage!$B271,'YTD Purchases'!$G:$G,Brokerage!P$4)</f>
        <v>0</v>
      </c>
      <c r="Q271" s="857">
        <f>SUMIFS('YTD Sales'!$N:$N,'YTD Sales'!$B:$B,Brokerage!$B271,'YTD Sales'!$M:$M,Brokerage!Q$4)+SUMIFS('YTD Purchases'!$H:$H,'YTD Purchases'!$C:$C,Brokerage!$B271,'YTD Purchases'!$G:$G,Brokerage!Q$4)</f>
        <v>0</v>
      </c>
      <c r="R271" s="857">
        <f>SUMIFS('YTD Sales'!$N:$N,'YTD Sales'!$B:$B,Brokerage!$B271,'YTD Sales'!$M:$M,Brokerage!R$4)+SUMIFS('YTD Purchases'!$H:$H,'YTD Purchases'!$C:$C,Brokerage!$B271,'YTD Purchases'!$G:$G,Brokerage!R$4)</f>
        <v>0</v>
      </c>
      <c r="S271" s="857">
        <f>SUMIFS('YTD Sales'!$N:$N,'YTD Sales'!$B:$B,Brokerage!$B271,'YTD Sales'!$M:$M,Brokerage!S$4)+SUMIFS('YTD Purchases'!$H:$H,'YTD Purchases'!$C:$C,Brokerage!$B271,'YTD Purchases'!$G:$G,Brokerage!S$4)</f>
        <v>0</v>
      </c>
      <c r="T271" s="857">
        <f>SUMIFS('YTD Sales'!$N:$N,'YTD Sales'!$B:$B,Brokerage!$B271,'YTD Sales'!$M:$M,Brokerage!T$4)+SUMIFS('YTD Purchases'!$H:$H,'YTD Purchases'!$C:$C,Brokerage!$B271,'YTD Purchases'!$G:$G,Brokerage!T$4)</f>
        <v>0</v>
      </c>
      <c r="U271" s="857">
        <f>SUMIFS('YTD Sales'!$N:$N,'YTD Sales'!$B:$B,Brokerage!$B271,'YTD Sales'!$M:$M,Brokerage!U$4)+SUMIFS('YTD Purchases'!$H:$H,'YTD Purchases'!$C:$C,Brokerage!$B271,'YTD Purchases'!$G:$G,Brokerage!U$4)</f>
        <v>0</v>
      </c>
      <c r="V271" s="857">
        <f>SUMIFS('YTD Sales'!$N:$N,'YTD Sales'!$B:$B,Brokerage!$B271,'YTD Sales'!$M:$M,Brokerage!V$4)+SUMIFS('YTD Purchases'!$H:$H,'YTD Purchases'!$C:$C,Brokerage!$B271,'YTD Purchases'!$G:$G,Brokerage!V$4)</f>
        <v>0</v>
      </c>
      <c r="W271" s="857">
        <f>SUMIFS('YTD Sales'!$N:$N,'YTD Sales'!$B:$B,Brokerage!$B271,'YTD Sales'!$M:$M,Brokerage!W$4)+SUMIFS('YTD Purchases'!$H:$H,'YTD Purchases'!$C:$C,Brokerage!$B271,'YTD Purchases'!$G:$G,Brokerage!W$4)</f>
        <v>0</v>
      </c>
      <c r="X271" s="857">
        <f>SUMIFS('YTD Sales'!$N:$N,'YTD Sales'!$B:$B,Brokerage!$B271,'YTD Sales'!$M:$M,Brokerage!X$4)+SUMIFS('YTD Purchases'!$H:$H,'YTD Purchases'!$C:$C,Brokerage!$B271,'YTD Purchases'!$G:$G,Brokerage!X$4)</f>
        <v>0</v>
      </c>
      <c r="Y271" s="857">
        <f>SUMIFS('YTD Sales'!$N:$N,'YTD Sales'!$B:$B,Brokerage!$B271,'YTD Sales'!$M:$M,Brokerage!Y$4)+SUMIFS('YTD Purchases'!$H:$H,'YTD Purchases'!$C:$C,Brokerage!$B271,'YTD Purchases'!$G:$G,Brokerage!Y$4)</f>
        <v>0</v>
      </c>
      <c r="Z271" s="857">
        <f>SUMIFS('YTD Sales'!$N:$N,'YTD Sales'!$B:$B,Brokerage!$B271,'YTD Sales'!$M:$M,Brokerage!Z$4)+SUMIFS('YTD Purchases'!$H:$H,'YTD Purchases'!$C:$C,Brokerage!$B271,'YTD Purchases'!$G:$G,Brokerage!Z$4)</f>
        <v>0</v>
      </c>
      <c r="AA271" s="857">
        <f>SUMIFS('YTD Sales'!$N:$N,'YTD Sales'!$B:$B,Brokerage!$B271,'YTD Sales'!$M:$M,Brokerage!AA$4)+SUMIFS('YTD Purchases'!$H:$H,'YTD Purchases'!$C:$C,Brokerage!$B271,'YTD Purchases'!$G:$G,Brokerage!AA$4)</f>
        <v>0</v>
      </c>
      <c r="AB271" s="857">
        <f>SUMIFS('YTD Sales'!$N:$N,'YTD Sales'!$B:$B,Brokerage!$B271,'YTD Sales'!$M:$M,Brokerage!AB$4)+SUMIFS('YTD Purchases'!$H:$H,'YTD Purchases'!$C:$C,Brokerage!$B271,'YTD Purchases'!$G:$G,Brokerage!AB$4)</f>
        <v>0</v>
      </c>
      <c r="AC271" s="857">
        <f>SUMIFS('YTD Sales'!$N:$N,'YTD Sales'!$B:$B,Brokerage!$B271,'YTD Sales'!$M:$M,Brokerage!AC$4)+SUMIFS('YTD Purchases'!$H:$H,'YTD Purchases'!$C:$C,Brokerage!$B271,'YTD Purchases'!$G:$G,Brokerage!AC$4)</f>
        <v>0</v>
      </c>
      <c r="AD271" s="857">
        <f>+SUMIFS(PIB!AG:AG,PIB!AF:AF,Brokerage!AD$4,PIB!AA:AA,Brokerage!$B271)+SUMIFS('T-Bills'!AB:AB,'T-Bills'!AA:AA,Brokerage!AD$4,'T-Bills'!V:V,Brokerage!$B271)</f>
        <v>0</v>
      </c>
      <c r="AE271" s="857">
        <f>+SUMIFS(PIB!AH:AH,PIB!AG:AG,Brokerage!AE$4,PIB!AB:AB,Brokerage!$B271)+SUMIFS('T-Bills'!AC:AC,'T-Bills'!AB:AB,Brokerage!AE$4,'T-Bills'!W:W,Brokerage!$B271)</f>
        <v>0</v>
      </c>
      <c r="AF271" s="857">
        <f>+SUMIFS(PIB!AI:AI,PIB!AH:AH,Brokerage!AF$4,PIB!AC:AC,Brokerage!$B271)+SUMIFS('T-Bills'!AD:AD,'T-Bills'!AC:AC,Brokerage!AF$4,'T-Bills'!X:X,Brokerage!$B271)</f>
        <v>0</v>
      </c>
      <c r="AG271" s="857">
        <f t="shared" si="26"/>
        <v>0</v>
      </c>
      <c r="AH271" s="858">
        <f t="shared" si="27"/>
        <v>0</v>
      </c>
    </row>
    <row r="272" spans="2:34" x14ac:dyDescent="0.15">
      <c r="B272" s="661">
        <f t="shared" si="25"/>
        <v>44828</v>
      </c>
      <c r="C272" s="857">
        <f>SUMIFS('YTD Sales'!$N:$N,'YTD Sales'!$B:$B,Brokerage!$B272,'YTD Sales'!$M:$M,Brokerage!C$4)+SUMIFS('YTD Purchases'!$H:$H,'YTD Purchases'!$C:$C,Brokerage!$B272,'YTD Purchases'!$G:$G,Brokerage!C$4)</f>
        <v>0</v>
      </c>
      <c r="D272" s="857">
        <f>SUMIFS('YTD Sales'!$N:$N,'YTD Sales'!$B:$B,Brokerage!$B272,'YTD Sales'!$M:$M,Brokerage!D$4)+SUMIFS('YTD Purchases'!$H:$H,'YTD Purchases'!$C:$C,Brokerage!$B272,'YTD Purchases'!$G:$G,Brokerage!D$4)</f>
        <v>0</v>
      </c>
      <c r="E272" s="857">
        <f>SUMIFS('YTD Sales'!$N:$N,'YTD Sales'!$B:$B,Brokerage!$B272,'YTD Sales'!$M:$M,Brokerage!E$4)+SUMIFS('YTD Purchases'!$H:$H,'YTD Purchases'!$C:$C,Brokerage!$B272,'YTD Purchases'!$G:$G,Brokerage!E$4)</f>
        <v>0</v>
      </c>
      <c r="F272" s="857">
        <f>SUMIFS('YTD Sales'!$N:$N,'YTD Sales'!$B:$B,Brokerage!$B272,'YTD Sales'!$M:$M,Brokerage!F$4)+SUMIFS('YTD Purchases'!$H:$H,'YTD Purchases'!$C:$C,Brokerage!$B272,'YTD Purchases'!$G:$G,Brokerage!F$4)</f>
        <v>0</v>
      </c>
      <c r="G272" s="857">
        <f>SUMIFS('YTD Sales'!$N:$N,'YTD Sales'!$B:$B,Brokerage!$B272,'YTD Sales'!$M:$M,Brokerage!G$4)+SUMIFS('YTD Purchases'!$H:$H,'YTD Purchases'!$C:$C,Brokerage!$B272,'YTD Purchases'!$G:$G,Brokerage!G$4)</f>
        <v>0</v>
      </c>
      <c r="H272" s="857">
        <f>SUMIFS('YTD Sales'!$N:$N,'YTD Sales'!$B:$B,Brokerage!$B272,'YTD Sales'!$M:$M,Brokerage!H$4)+SUMIFS('YTD Purchases'!$H:$H,'YTD Purchases'!$C:$C,Brokerage!$B272,'YTD Purchases'!$G:$G,Brokerage!H$4)</f>
        <v>0</v>
      </c>
      <c r="I272" s="857">
        <f>SUMIFS('YTD Sales'!$N:$N,'YTD Sales'!$B:$B,Brokerage!$B272,'YTD Sales'!$M:$M,Brokerage!I$4)+SUMIFS('YTD Purchases'!$H:$H,'YTD Purchases'!$C:$C,Brokerage!$B272,'YTD Purchases'!$G:$G,Brokerage!I$4)</f>
        <v>0</v>
      </c>
      <c r="J272" s="857">
        <f>SUMIFS('YTD Sales'!$N:$N,'YTD Sales'!$B:$B,Brokerage!$B272,'YTD Sales'!$M:$M,Brokerage!J$4)+SUMIFS('YTD Purchases'!$H:$H,'YTD Purchases'!$C:$C,Brokerage!$B272,'YTD Purchases'!$G:$G,Brokerage!J$4)</f>
        <v>0</v>
      </c>
      <c r="K272" s="857">
        <f>SUMIFS('YTD Sales'!$N:$N,'YTD Sales'!$B:$B,Brokerage!$B272,'YTD Sales'!$M:$M,Brokerage!K$4)+SUMIFS('YTD Purchases'!$H:$H,'YTD Purchases'!$C:$C,Brokerage!$B272,'YTD Purchases'!$G:$G,Brokerage!K$4)</f>
        <v>0</v>
      </c>
      <c r="L272" s="857">
        <f>SUMIFS('YTD Sales'!$N:$N,'YTD Sales'!$B:$B,Brokerage!$B272,'YTD Sales'!$M:$M,Brokerage!L$4)+SUMIFS('YTD Purchases'!$H:$H,'YTD Purchases'!$C:$C,Brokerage!$B272,'YTD Purchases'!$G:$G,Brokerage!L$4)</f>
        <v>0</v>
      </c>
      <c r="M272" s="857">
        <f>SUMIFS('YTD Sales'!$N:$N,'YTD Sales'!$B:$B,Brokerage!$B272,'YTD Sales'!$M:$M,Brokerage!M$4)+SUMIFS('YTD Purchases'!$H:$H,'YTD Purchases'!$C:$C,Brokerage!$B272,'YTD Purchases'!$G:$G,Brokerage!M$4)</f>
        <v>0</v>
      </c>
      <c r="N272" s="857">
        <f>SUMIFS('YTD Sales'!$N:$N,'YTD Sales'!$B:$B,Brokerage!$B272,'YTD Sales'!$M:$M,Brokerage!N$4)+SUMIFS('YTD Purchases'!$H:$H,'YTD Purchases'!$C:$C,Brokerage!$B272,'YTD Purchases'!$G:$G,Brokerage!N$4)</f>
        <v>0</v>
      </c>
      <c r="O272" s="857">
        <f>SUMIFS('YTD Sales'!$N:$N,'YTD Sales'!$B:$B,Brokerage!$B272,'YTD Sales'!$M:$M,Brokerage!O$4)+SUMIFS('YTD Purchases'!$H:$H,'YTD Purchases'!$C:$C,Brokerage!$B272,'YTD Purchases'!$G:$G,Brokerage!O$4)</f>
        <v>0</v>
      </c>
      <c r="P272" s="857">
        <f>SUMIFS('YTD Sales'!$N:$N,'YTD Sales'!$B:$B,Brokerage!$B272,'YTD Sales'!$M:$M,Brokerage!P$4)+SUMIFS('YTD Purchases'!$H:$H,'YTD Purchases'!$C:$C,Brokerage!$B272,'YTD Purchases'!$G:$G,Brokerage!P$4)</f>
        <v>0</v>
      </c>
      <c r="Q272" s="857">
        <f>SUMIFS('YTD Sales'!$N:$N,'YTD Sales'!$B:$B,Brokerage!$B272,'YTD Sales'!$M:$M,Brokerage!Q$4)+SUMIFS('YTD Purchases'!$H:$H,'YTD Purchases'!$C:$C,Brokerage!$B272,'YTD Purchases'!$G:$G,Brokerage!Q$4)</f>
        <v>0</v>
      </c>
      <c r="R272" s="857">
        <f>SUMIFS('YTD Sales'!$N:$N,'YTD Sales'!$B:$B,Brokerage!$B272,'YTD Sales'!$M:$M,Brokerage!R$4)+SUMIFS('YTD Purchases'!$H:$H,'YTD Purchases'!$C:$C,Brokerage!$B272,'YTD Purchases'!$G:$G,Brokerage!R$4)</f>
        <v>0</v>
      </c>
      <c r="S272" s="857">
        <f>SUMIFS('YTD Sales'!$N:$N,'YTD Sales'!$B:$B,Brokerage!$B272,'YTD Sales'!$M:$M,Brokerage!S$4)+SUMIFS('YTD Purchases'!$H:$H,'YTD Purchases'!$C:$C,Brokerage!$B272,'YTD Purchases'!$G:$G,Brokerage!S$4)</f>
        <v>0</v>
      </c>
      <c r="T272" s="857">
        <f>SUMIFS('YTD Sales'!$N:$N,'YTD Sales'!$B:$B,Brokerage!$B272,'YTD Sales'!$M:$M,Brokerage!T$4)+SUMIFS('YTD Purchases'!$H:$H,'YTD Purchases'!$C:$C,Brokerage!$B272,'YTD Purchases'!$G:$G,Brokerage!T$4)</f>
        <v>0</v>
      </c>
      <c r="U272" s="857">
        <f>SUMIFS('YTD Sales'!$N:$N,'YTD Sales'!$B:$B,Brokerage!$B272,'YTD Sales'!$M:$M,Brokerage!U$4)+SUMIFS('YTD Purchases'!$H:$H,'YTD Purchases'!$C:$C,Brokerage!$B272,'YTD Purchases'!$G:$G,Brokerage!U$4)</f>
        <v>0</v>
      </c>
      <c r="V272" s="857">
        <f>SUMIFS('YTD Sales'!$N:$N,'YTD Sales'!$B:$B,Brokerage!$B272,'YTD Sales'!$M:$M,Brokerage!V$4)+SUMIFS('YTD Purchases'!$H:$H,'YTD Purchases'!$C:$C,Brokerage!$B272,'YTD Purchases'!$G:$G,Brokerage!V$4)</f>
        <v>0</v>
      </c>
      <c r="W272" s="857">
        <f>SUMIFS('YTD Sales'!$N:$N,'YTD Sales'!$B:$B,Brokerage!$B272,'YTD Sales'!$M:$M,Brokerage!W$4)+SUMIFS('YTD Purchases'!$H:$H,'YTD Purchases'!$C:$C,Brokerage!$B272,'YTD Purchases'!$G:$G,Brokerage!W$4)</f>
        <v>0</v>
      </c>
      <c r="X272" s="857">
        <f>SUMIFS('YTD Sales'!$N:$N,'YTD Sales'!$B:$B,Brokerage!$B272,'YTD Sales'!$M:$M,Brokerage!X$4)+SUMIFS('YTD Purchases'!$H:$H,'YTD Purchases'!$C:$C,Brokerage!$B272,'YTD Purchases'!$G:$G,Brokerage!X$4)</f>
        <v>0</v>
      </c>
      <c r="Y272" s="857">
        <f>SUMIFS('YTD Sales'!$N:$N,'YTD Sales'!$B:$B,Brokerage!$B272,'YTD Sales'!$M:$M,Brokerage!Y$4)+SUMIFS('YTD Purchases'!$H:$H,'YTD Purchases'!$C:$C,Brokerage!$B272,'YTD Purchases'!$G:$G,Brokerage!Y$4)</f>
        <v>0</v>
      </c>
      <c r="Z272" s="857">
        <f>SUMIFS('YTD Sales'!$N:$N,'YTD Sales'!$B:$B,Brokerage!$B272,'YTD Sales'!$M:$M,Brokerage!Z$4)+SUMIFS('YTD Purchases'!$H:$H,'YTD Purchases'!$C:$C,Brokerage!$B272,'YTD Purchases'!$G:$G,Brokerage!Z$4)</f>
        <v>0</v>
      </c>
      <c r="AA272" s="857">
        <f>SUMIFS('YTD Sales'!$N:$N,'YTD Sales'!$B:$B,Brokerage!$B272,'YTD Sales'!$M:$M,Brokerage!AA$4)+SUMIFS('YTD Purchases'!$H:$H,'YTD Purchases'!$C:$C,Brokerage!$B272,'YTD Purchases'!$G:$G,Brokerage!AA$4)</f>
        <v>0</v>
      </c>
      <c r="AB272" s="857">
        <f>SUMIFS('YTD Sales'!$N:$N,'YTD Sales'!$B:$B,Brokerage!$B272,'YTD Sales'!$M:$M,Brokerage!AB$4)+SUMIFS('YTD Purchases'!$H:$H,'YTD Purchases'!$C:$C,Brokerage!$B272,'YTD Purchases'!$G:$G,Brokerage!AB$4)</f>
        <v>0</v>
      </c>
      <c r="AC272" s="857">
        <f>SUMIFS('YTD Sales'!$N:$N,'YTD Sales'!$B:$B,Brokerage!$B272,'YTD Sales'!$M:$M,Brokerage!AC$4)+SUMIFS('YTD Purchases'!$H:$H,'YTD Purchases'!$C:$C,Brokerage!$B272,'YTD Purchases'!$G:$G,Brokerage!AC$4)</f>
        <v>0</v>
      </c>
      <c r="AD272" s="857">
        <f>+SUMIFS(PIB!AG:AG,PIB!AF:AF,Brokerage!AD$4,PIB!AA:AA,Brokerage!$B272)+SUMIFS('T-Bills'!AB:AB,'T-Bills'!AA:AA,Brokerage!AD$4,'T-Bills'!V:V,Brokerage!$B272)</f>
        <v>0</v>
      </c>
      <c r="AE272" s="857">
        <f>+SUMIFS(PIB!AH:AH,PIB!AG:AG,Brokerage!AE$4,PIB!AB:AB,Brokerage!$B272)+SUMIFS('T-Bills'!AC:AC,'T-Bills'!AB:AB,Brokerage!AE$4,'T-Bills'!W:W,Brokerage!$B272)</f>
        <v>0</v>
      </c>
      <c r="AF272" s="857">
        <f>+SUMIFS(PIB!AI:AI,PIB!AH:AH,Brokerage!AF$4,PIB!AC:AC,Brokerage!$B272)+SUMIFS('T-Bills'!AD:AD,'T-Bills'!AC:AC,Brokerage!AF$4,'T-Bills'!X:X,Brokerage!$B272)</f>
        <v>0</v>
      </c>
      <c r="AG272" s="857">
        <f t="shared" si="26"/>
        <v>0</v>
      </c>
      <c r="AH272" s="858">
        <f t="shared" si="27"/>
        <v>0</v>
      </c>
    </row>
    <row r="273" spans="2:34" x14ac:dyDescent="0.15">
      <c r="B273" s="661">
        <f t="shared" si="25"/>
        <v>44829</v>
      </c>
      <c r="C273" s="857">
        <f>SUMIFS('YTD Sales'!$N:$N,'YTD Sales'!$B:$B,Brokerage!$B273,'YTD Sales'!$M:$M,Brokerage!C$4)+SUMIFS('YTD Purchases'!$H:$H,'YTD Purchases'!$C:$C,Brokerage!$B273,'YTD Purchases'!$G:$G,Brokerage!C$4)</f>
        <v>0</v>
      </c>
      <c r="D273" s="857">
        <f>SUMIFS('YTD Sales'!$N:$N,'YTD Sales'!$B:$B,Brokerage!$B273,'YTD Sales'!$M:$M,Brokerage!D$4)+SUMIFS('YTD Purchases'!$H:$H,'YTD Purchases'!$C:$C,Brokerage!$B273,'YTD Purchases'!$G:$G,Brokerage!D$4)</f>
        <v>0</v>
      </c>
      <c r="E273" s="857">
        <f>SUMIFS('YTD Sales'!$N:$N,'YTD Sales'!$B:$B,Brokerage!$B273,'YTD Sales'!$M:$M,Brokerage!E$4)+SUMIFS('YTD Purchases'!$H:$H,'YTD Purchases'!$C:$C,Brokerage!$B273,'YTD Purchases'!$G:$G,Brokerage!E$4)</f>
        <v>0</v>
      </c>
      <c r="F273" s="857">
        <f>SUMIFS('YTD Sales'!$N:$N,'YTD Sales'!$B:$B,Brokerage!$B273,'YTD Sales'!$M:$M,Brokerage!F$4)+SUMIFS('YTD Purchases'!$H:$H,'YTD Purchases'!$C:$C,Brokerage!$B273,'YTD Purchases'!$G:$G,Brokerage!F$4)</f>
        <v>0</v>
      </c>
      <c r="G273" s="857">
        <f>SUMIFS('YTD Sales'!$N:$N,'YTD Sales'!$B:$B,Brokerage!$B273,'YTD Sales'!$M:$M,Brokerage!G$4)+SUMIFS('YTD Purchases'!$H:$H,'YTD Purchases'!$C:$C,Brokerage!$B273,'YTD Purchases'!$G:$G,Brokerage!G$4)</f>
        <v>0</v>
      </c>
      <c r="H273" s="857">
        <f>SUMIFS('YTD Sales'!$N:$N,'YTD Sales'!$B:$B,Brokerage!$B273,'YTD Sales'!$M:$M,Brokerage!H$4)+SUMIFS('YTD Purchases'!$H:$H,'YTD Purchases'!$C:$C,Brokerage!$B273,'YTD Purchases'!$G:$G,Brokerage!H$4)</f>
        <v>0</v>
      </c>
      <c r="I273" s="857">
        <f>SUMIFS('YTD Sales'!$N:$N,'YTD Sales'!$B:$B,Brokerage!$B273,'YTD Sales'!$M:$M,Brokerage!I$4)+SUMIFS('YTD Purchases'!$H:$H,'YTD Purchases'!$C:$C,Brokerage!$B273,'YTD Purchases'!$G:$G,Brokerage!I$4)</f>
        <v>0</v>
      </c>
      <c r="J273" s="857">
        <f>SUMIFS('YTD Sales'!$N:$N,'YTD Sales'!$B:$B,Brokerage!$B273,'YTD Sales'!$M:$M,Brokerage!J$4)+SUMIFS('YTD Purchases'!$H:$H,'YTD Purchases'!$C:$C,Brokerage!$B273,'YTD Purchases'!$G:$G,Brokerage!J$4)</f>
        <v>0</v>
      </c>
      <c r="K273" s="857">
        <f>SUMIFS('YTD Sales'!$N:$N,'YTD Sales'!$B:$B,Brokerage!$B273,'YTD Sales'!$M:$M,Brokerage!K$4)+SUMIFS('YTD Purchases'!$H:$H,'YTD Purchases'!$C:$C,Brokerage!$B273,'YTD Purchases'!$G:$G,Brokerage!K$4)</f>
        <v>0</v>
      </c>
      <c r="L273" s="857">
        <f>SUMIFS('YTD Sales'!$N:$N,'YTD Sales'!$B:$B,Brokerage!$B273,'YTD Sales'!$M:$M,Brokerage!L$4)+SUMIFS('YTD Purchases'!$H:$H,'YTD Purchases'!$C:$C,Brokerage!$B273,'YTD Purchases'!$G:$G,Brokerage!L$4)</f>
        <v>0</v>
      </c>
      <c r="M273" s="857">
        <f>SUMIFS('YTD Sales'!$N:$N,'YTD Sales'!$B:$B,Brokerage!$B273,'YTD Sales'!$M:$M,Brokerage!M$4)+SUMIFS('YTD Purchases'!$H:$H,'YTD Purchases'!$C:$C,Brokerage!$B273,'YTD Purchases'!$G:$G,Brokerage!M$4)</f>
        <v>0</v>
      </c>
      <c r="N273" s="857">
        <f>SUMIFS('YTD Sales'!$N:$N,'YTD Sales'!$B:$B,Brokerage!$B273,'YTD Sales'!$M:$M,Brokerage!N$4)+SUMIFS('YTD Purchases'!$H:$H,'YTD Purchases'!$C:$C,Brokerage!$B273,'YTD Purchases'!$G:$G,Brokerage!N$4)</f>
        <v>0</v>
      </c>
      <c r="O273" s="857">
        <f>SUMIFS('YTD Sales'!$N:$N,'YTD Sales'!$B:$B,Brokerage!$B273,'YTD Sales'!$M:$M,Brokerage!O$4)+SUMIFS('YTD Purchases'!$H:$H,'YTD Purchases'!$C:$C,Brokerage!$B273,'YTD Purchases'!$G:$G,Brokerage!O$4)</f>
        <v>0</v>
      </c>
      <c r="P273" s="857">
        <f>SUMIFS('YTD Sales'!$N:$N,'YTD Sales'!$B:$B,Brokerage!$B273,'YTD Sales'!$M:$M,Brokerage!P$4)+SUMIFS('YTD Purchases'!$H:$H,'YTD Purchases'!$C:$C,Brokerage!$B273,'YTD Purchases'!$G:$G,Brokerage!P$4)</f>
        <v>0</v>
      </c>
      <c r="Q273" s="857">
        <f>SUMIFS('YTD Sales'!$N:$N,'YTD Sales'!$B:$B,Brokerage!$B273,'YTD Sales'!$M:$M,Brokerage!Q$4)+SUMIFS('YTD Purchases'!$H:$H,'YTD Purchases'!$C:$C,Brokerage!$B273,'YTD Purchases'!$G:$G,Brokerage!Q$4)</f>
        <v>0</v>
      </c>
      <c r="R273" s="857">
        <f>SUMIFS('YTD Sales'!$N:$N,'YTD Sales'!$B:$B,Brokerage!$B273,'YTD Sales'!$M:$M,Brokerage!R$4)+SUMIFS('YTD Purchases'!$H:$H,'YTD Purchases'!$C:$C,Brokerage!$B273,'YTD Purchases'!$G:$G,Brokerage!R$4)</f>
        <v>0</v>
      </c>
      <c r="S273" s="857">
        <f>SUMIFS('YTD Sales'!$N:$N,'YTD Sales'!$B:$B,Brokerage!$B273,'YTD Sales'!$M:$M,Brokerage!S$4)+SUMIFS('YTD Purchases'!$H:$H,'YTD Purchases'!$C:$C,Brokerage!$B273,'YTD Purchases'!$G:$G,Brokerage!S$4)</f>
        <v>0</v>
      </c>
      <c r="T273" s="857">
        <f>SUMIFS('YTD Sales'!$N:$N,'YTD Sales'!$B:$B,Brokerage!$B273,'YTD Sales'!$M:$M,Brokerage!T$4)+SUMIFS('YTD Purchases'!$H:$H,'YTD Purchases'!$C:$C,Brokerage!$B273,'YTD Purchases'!$G:$G,Brokerage!T$4)</f>
        <v>0</v>
      </c>
      <c r="U273" s="857">
        <f>SUMIFS('YTD Sales'!$N:$N,'YTD Sales'!$B:$B,Brokerage!$B273,'YTD Sales'!$M:$M,Brokerage!U$4)+SUMIFS('YTD Purchases'!$H:$H,'YTD Purchases'!$C:$C,Brokerage!$B273,'YTD Purchases'!$G:$G,Brokerage!U$4)</f>
        <v>0</v>
      </c>
      <c r="V273" s="857">
        <f>SUMIFS('YTD Sales'!$N:$N,'YTD Sales'!$B:$B,Brokerage!$B273,'YTD Sales'!$M:$M,Brokerage!V$4)+SUMIFS('YTD Purchases'!$H:$H,'YTD Purchases'!$C:$C,Brokerage!$B273,'YTD Purchases'!$G:$G,Brokerage!V$4)</f>
        <v>0</v>
      </c>
      <c r="W273" s="857">
        <f>SUMIFS('YTD Sales'!$N:$N,'YTD Sales'!$B:$B,Brokerage!$B273,'YTD Sales'!$M:$M,Brokerage!W$4)+SUMIFS('YTD Purchases'!$H:$H,'YTD Purchases'!$C:$C,Brokerage!$B273,'YTD Purchases'!$G:$G,Brokerage!W$4)</f>
        <v>0</v>
      </c>
      <c r="X273" s="857">
        <f>SUMIFS('YTD Sales'!$N:$N,'YTD Sales'!$B:$B,Brokerage!$B273,'YTD Sales'!$M:$M,Brokerage!X$4)+SUMIFS('YTD Purchases'!$H:$H,'YTD Purchases'!$C:$C,Brokerage!$B273,'YTD Purchases'!$G:$G,Brokerage!X$4)</f>
        <v>0</v>
      </c>
      <c r="Y273" s="857">
        <f>SUMIFS('YTD Sales'!$N:$N,'YTD Sales'!$B:$B,Brokerage!$B273,'YTD Sales'!$M:$M,Brokerage!Y$4)+SUMIFS('YTD Purchases'!$H:$H,'YTD Purchases'!$C:$C,Brokerage!$B273,'YTD Purchases'!$G:$G,Brokerage!Y$4)</f>
        <v>0</v>
      </c>
      <c r="Z273" s="857">
        <f>SUMIFS('YTD Sales'!$N:$N,'YTD Sales'!$B:$B,Brokerage!$B273,'YTD Sales'!$M:$M,Brokerage!Z$4)+SUMIFS('YTD Purchases'!$H:$H,'YTD Purchases'!$C:$C,Brokerage!$B273,'YTD Purchases'!$G:$G,Brokerage!Z$4)</f>
        <v>0</v>
      </c>
      <c r="AA273" s="857">
        <f>SUMIFS('YTD Sales'!$N:$N,'YTD Sales'!$B:$B,Brokerage!$B273,'YTD Sales'!$M:$M,Brokerage!AA$4)+SUMIFS('YTD Purchases'!$H:$H,'YTD Purchases'!$C:$C,Brokerage!$B273,'YTD Purchases'!$G:$G,Brokerage!AA$4)</f>
        <v>0</v>
      </c>
      <c r="AB273" s="857">
        <f>SUMIFS('YTD Sales'!$N:$N,'YTD Sales'!$B:$B,Brokerage!$B273,'YTD Sales'!$M:$M,Brokerage!AB$4)+SUMIFS('YTD Purchases'!$H:$H,'YTD Purchases'!$C:$C,Brokerage!$B273,'YTD Purchases'!$G:$G,Brokerage!AB$4)</f>
        <v>0</v>
      </c>
      <c r="AC273" s="857">
        <f>SUMIFS('YTD Sales'!$N:$N,'YTD Sales'!$B:$B,Brokerage!$B273,'YTD Sales'!$M:$M,Brokerage!AC$4)+SUMIFS('YTD Purchases'!$H:$H,'YTD Purchases'!$C:$C,Brokerage!$B273,'YTD Purchases'!$G:$G,Brokerage!AC$4)</f>
        <v>0</v>
      </c>
      <c r="AD273" s="857">
        <f>+SUMIFS(PIB!AG:AG,PIB!AF:AF,Brokerage!AD$4,PIB!AA:AA,Brokerage!$B273)+SUMIFS('T-Bills'!AB:AB,'T-Bills'!AA:AA,Brokerage!AD$4,'T-Bills'!V:V,Brokerage!$B273)</f>
        <v>0</v>
      </c>
      <c r="AE273" s="857">
        <f>+SUMIFS(PIB!AH:AH,PIB!AG:AG,Brokerage!AE$4,PIB!AB:AB,Brokerage!$B273)+SUMIFS('T-Bills'!AC:AC,'T-Bills'!AB:AB,Brokerage!AE$4,'T-Bills'!W:W,Brokerage!$B273)</f>
        <v>0</v>
      </c>
      <c r="AF273" s="857">
        <f>+SUMIFS(PIB!AI:AI,PIB!AH:AH,Brokerage!AF$4,PIB!AC:AC,Brokerage!$B273)+SUMIFS('T-Bills'!AD:AD,'T-Bills'!AC:AC,Brokerage!AF$4,'T-Bills'!X:X,Brokerage!$B273)</f>
        <v>0</v>
      </c>
      <c r="AG273" s="857">
        <f t="shared" si="26"/>
        <v>0</v>
      </c>
      <c r="AH273" s="858">
        <f t="shared" si="27"/>
        <v>0</v>
      </c>
    </row>
    <row r="274" spans="2:34" x14ac:dyDescent="0.15">
      <c r="B274" s="661">
        <f t="shared" si="25"/>
        <v>44830</v>
      </c>
      <c r="C274" s="857">
        <f>SUMIFS('YTD Sales'!$N:$N,'YTD Sales'!$B:$B,Brokerage!$B274,'YTD Sales'!$M:$M,Brokerage!C$4)+SUMIFS('YTD Purchases'!$H:$H,'YTD Purchases'!$C:$C,Brokerage!$B274,'YTD Purchases'!$G:$G,Brokerage!C$4)</f>
        <v>0</v>
      </c>
      <c r="D274" s="857">
        <f>SUMIFS('YTD Sales'!$N:$N,'YTD Sales'!$B:$B,Brokerage!$B274,'YTD Sales'!$M:$M,Brokerage!D$4)+SUMIFS('YTD Purchases'!$H:$H,'YTD Purchases'!$C:$C,Brokerage!$B274,'YTD Purchases'!$G:$G,Brokerage!D$4)</f>
        <v>0</v>
      </c>
      <c r="E274" s="857">
        <f>SUMIFS('YTD Sales'!$N:$N,'YTD Sales'!$B:$B,Brokerage!$B274,'YTD Sales'!$M:$M,Brokerage!E$4)+SUMIFS('YTD Purchases'!$H:$H,'YTD Purchases'!$C:$C,Brokerage!$B274,'YTD Purchases'!$G:$G,Brokerage!E$4)</f>
        <v>0</v>
      </c>
      <c r="F274" s="857">
        <f>SUMIFS('YTD Sales'!$N:$N,'YTD Sales'!$B:$B,Brokerage!$B274,'YTD Sales'!$M:$M,Brokerage!F$4)+SUMIFS('YTD Purchases'!$H:$H,'YTD Purchases'!$C:$C,Brokerage!$B274,'YTD Purchases'!$G:$G,Brokerage!F$4)</f>
        <v>0</v>
      </c>
      <c r="G274" s="857">
        <f>SUMIFS('YTD Sales'!$N:$N,'YTD Sales'!$B:$B,Brokerage!$B274,'YTD Sales'!$M:$M,Brokerage!G$4)+SUMIFS('YTD Purchases'!$H:$H,'YTD Purchases'!$C:$C,Brokerage!$B274,'YTD Purchases'!$G:$G,Brokerage!G$4)</f>
        <v>0</v>
      </c>
      <c r="H274" s="857">
        <f>SUMIFS('YTD Sales'!$N:$N,'YTD Sales'!$B:$B,Brokerage!$B274,'YTD Sales'!$M:$M,Brokerage!H$4)+SUMIFS('YTD Purchases'!$H:$H,'YTD Purchases'!$C:$C,Brokerage!$B274,'YTD Purchases'!$G:$G,Brokerage!H$4)</f>
        <v>0</v>
      </c>
      <c r="I274" s="857">
        <f>SUMIFS('YTD Sales'!$N:$N,'YTD Sales'!$B:$B,Brokerage!$B274,'YTD Sales'!$M:$M,Brokerage!I$4)+SUMIFS('YTD Purchases'!$H:$H,'YTD Purchases'!$C:$C,Brokerage!$B274,'YTD Purchases'!$G:$G,Brokerage!I$4)</f>
        <v>0</v>
      </c>
      <c r="J274" s="857">
        <f>SUMIFS('YTD Sales'!$N:$N,'YTD Sales'!$B:$B,Brokerage!$B274,'YTD Sales'!$M:$M,Brokerage!J$4)+SUMIFS('YTD Purchases'!$H:$H,'YTD Purchases'!$C:$C,Brokerage!$B274,'YTD Purchases'!$G:$G,Brokerage!J$4)</f>
        <v>0</v>
      </c>
      <c r="K274" s="857">
        <f>SUMIFS('YTD Sales'!$N:$N,'YTD Sales'!$B:$B,Brokerage!$B274,'YTD Sales'!$M:$M,Brokerage!K$4)+SUMIFS('YTD Purchases'!$H:$H,'YTD Purchases'!$C:$C,Brokerage!$B274,'YTD Purchases'!$G:$G,Brokerage!K$4)</f>
        <v>0</v>
      </c>
      <c r="L274" s="857">
        <f>SUMIFS('YTD Sales'!$N:$N,'YTD Sales'!$B:$B,Brokerage!$B274,'YTD Sales'!$M:$M,Brokerage!L$4)+SUMIFS('YTD Purchases'!$H:$H,'YTD Purchases'!$C:$C,Brokerage!$B274,'YTD Purchases'!$G:$G,Brokerage!L$4)</f>
        <v>0</v>
      </c>
      <c r="M274" s="857">
        <f>SUMIFS('YTD Sales'!$N:$N,'YTD Sales'!$B:$B,Brokerage!$B274,'YTD Sales'!$M:$M,Brokerage!M$4)+SUMIFS('YTD Purchases'!$H:$H,'YTD Purchases'!$C:$C,Brokerage!$B274,'YTD Purchases'!$G:$G,Brokerage!M$4)</f>
        <v>0</v>
      </c>
      <c r="N274" s="857">
        <f>SUMIFS('YTD Sales'!$N:$N,'YTD Sales'!$B:$B,Brokerage!$B274,'YTD Sales'!$M:$M,Brokerage!N$4)+SUMIFS('YTD Purchases'!$H:$H,'YTD Purchases'!$C:$C,Brokerage!$B274,'YTD Purchases'!$G:$G,Brokerage!N$4)</f>
        <v>0</v>
      </c>
      <c r="O274" s="857">
        <f>SUMIFS('YTD Sales'!$N:$N,'YTD Sales'!$B:$B,Brokerage!$B274,'YTD Sales'!$M:$M,Brokerage!O$4)+SUMIFS('YTD Purchases'!$H:$H,'YTD Purchases'!$C:$C,Brokerage!$B274,'YTD Purchases'!$G:$G,Brokerage!O$4)</f>
        <v>0</v>
      </c>
      <c r="P274" s="857">
        <f>SUMIFS('YTD Sales'!$N:$N,'YTD Sales'!$B:$B,Brokerage!$B274,'YTD Sales'!$M:$M,Brokerage!P$4)+SUMIFS('YTD Purchases'!$H:$H,'YTD Purchases'!$C:$C,Brokerage!$B274,'YTD Purchases'!$G:$G,Brokerage!P$4)</f>
        <v>0</v>
      </c>
      <c r="Q274" s="857">
        <f>SUMIFS('YTD Sales'!$N:$N,'YTD Sales'!$B:$B,Brokerage!$B274,'YTD Sales'!$M:$M,Brokerage!Q$4)+SUMIFS('YTD Purchases'!$H:$H,'YTD Purchases'!$C:$C,Brokerage!$B274,'YTD Purchases'!$G:$G,Brokerage!Q$4)</f>
        <v>0</v>
      </c>
      <c r="R274" s="857">
        <f>SUMIFS('YTD Sales'!$N:$N,'YTD Sales'!$B:$B,Brokerage!$B274,'YTD Sales'!$M:$M,Brokerage!R$4)+SUMIFS('YTD Purchases'!$H:$H,'YTD Purchases'!$C:$C,Brokerage!$B274,'YTD Purchases'!$G:$G,Brokerage!R$4)</f>
        <v>0</v>
      </c>
      <c r="S274" s="857">
        <f>SUMIFS('YTD Sales'!$N:$N,'YTD Sales'!$B:$B,Brokerage!$B274,'YTD Sales'!$M:$M,Brokerage!S$4)+SUMIFS('YTD Purchases'!$H:$H,'YTD Purchases'!$C:$C,Brokerage!$B274,'YTD Purchases'!$G:$G,Brokerage!S$4)</f>
        <v>0</v>
      </c>
      <c r="T274" s="857">
        <f>SUMIFS('YTD Sales'!$N:$N,'YTD Sales'!$B:$B,Brokerage!$B274,'YTD Sales'!$M:$M,Brokerage!T$4)+SUMIFS('YTD Purchases'!$H:$H,'YTD Purchases'!$C:$C,Brokerage!$B274,'YTD Purchases'!$G:$G,Brokerage!T$4)</f>
        <v>0</v>
      </c>
      <c r="U274" s="857">
        <f>SUMIFS('YTD Sales'!$N:$N,'YTD Sales'!$B:$B,Brokerage!$B274,'YTD Sales'!$M:$M,Brokerage!U$4)+SUMIFS('YTD Purchases'!$H:$H,'YTD Purchases'!$C:$C,Brokerage!$B274,'YTD Purchases'!$G:$G,Brokerage!U$4)</f>
        <v>0</v>
      </c>
      <c r="V274" s="857">
        <f>SUMIFS('YTD Sales'!$N:$N,'YTD Sales'!$B:$B,Brokerage!$B274,'YTD Sales'!$M:$M,Brokerage!V$4)+SUMIFS('YTD Purchases'!$H:$H,'YTD Purchases'!$C:$C,Brokerage!$B274,'YTD Purchases'!$G:$G,Brokerage!V$4)</f>
        <v>0</v>
      </c>
      <c r="W274" s="857">
        <f>SUMIFS('YTD Sales'!$N:$N,'YTD Sales'!$B:$B,Brokerage!$B274,'YTD Sales'!$M:$M,Brokerage!W$4)+SUMIFS('YTD Purchases'!$H:$H,'YTD Purchases'!$C:$C,Brokerage!$B274,'YTD Purchases'!$G:$G,Brokerage!W$4)</f>
        <v>0</v>
      </c>
      <c r="X274" s="857">
        <f>SUMIFS('YTD Sales'!$N:$N,'YTD Sales'!$B:$B,Brokerage!$B274,'YTD Sales'!$M:$M,Brokerage!X$4)+SUMIFS('YTD Purchases'!$H:$H,'YTD Purchases'!$C:$C,Brokerage!$B274,'YTD Purchases'!$G:$G,Brokerage!X$4)</f>
        <v>0</v>
      </c>
      <c r="Y274" s="857">
        <f>SUMIFS('YTD Sales'!$N:$N,'YTD Sales'!$B:$B,Brokerage!$B274,'YTD Sales'!$M:$M,Brokerage!Y$4)+SUMIFS('YTD Purchases'!$H:$H,'YTD Purchases'!$C:$C,Brokerage!$B274,'YTD Purchases'!$G:$G,Brokerage!Y$4)</f>
        <v>0</v>
      </c>
      <c r="Z274" s="857">
        <f>SUMIFS('YTD Sales'!$N:$N,'YTD Sales'!$B:$B,Brokerage!$B274,'YTD Sales'!$M:$M,Brokerage!Z$4)+SUMIFS('YTD Purchases'!$H:$H,'YTD Purchases'!$C:$C,Brokerage!$B274,'YTD Purchases'!$G:$G,Brokerage!Z$4)</f>
        <v>0</v>
      </c>
      <c r="AA274" s="857">
        <f>SUMIFS('YTD Sales'!$N:$N,'YTD Sales'!$B:$B,Brokerage!$B274,'YTD Sales'!$M:$M,Brokerage!AA$4)+SUMIFS('YTD Purchases'!$H:$H,'YTD Purchases'!$C:$C,Brokerage!$B274,'YTD Purchases'!$G:$G,Brokerage!AA$4)</f>
        <v>0</v>
      </c>
      <c r="AB274" s="857">
        <f>SUMIFS('YTD Sales'!$N:$N,'YTD Sales'!$B:$B,Brokerage!$B274,'YTD Sales'!$M:$M,Brokerage!AB$4)+SUMIFS('YTD Purchases'!$H:$H,'YTD Purchases'!$C:$C,Brokerage!$B274,'YTD Purchases'!$G:$G,Brokerage!AB$4)</f>
        <v>0</v>
      </c>
      <c r="AC274" s="857">
        <f>SUMIFS('YTD Sales'!$N:$N,'YTD Sales'!$B:$B,Brokerage!$B274,'YTD Sales'!$M:$M,Brokerage!AC$4)+SUMIFS('YTD Purchases'!$H:$H,'YTD Purchases'!$C:$C,Brokerage!$B274,'YTD Purchases'!$G:$G,Brokerage!AC$4)</f>
        <v>0</v>
      </c>
      <c r="AD274" s="857">
        <f>+SUMIFS(PIB!AG:AG,PIB!AF:AF,Brokerage!AD$4,PIB!AA:AA,Brokerage!$B274)+SUMIFS('T-Bills'!AB:AB,'T-Bills'!AA:AA,Brokerage!AD$4,'T-Bills'!V:V,Brokerage!$B274)</f>
        <v>0</v>
      </c>
      <c r="AE274" s="857">
        <f>+SUMIFS(PIB!AH:AH,PIB!AG:AG,Brokerage!AE$4,PIB!AB:AB,Brokerage!$B274)+SUMIFS('T-Bills'!AC:AC,'T-Bills'!AB:AB,Brokerage!AE$4,'T-Bills'!W:W,Brokerage!$B274)</f>
        <v>0</v>
      </c>
      <c r="AF274" s="857">
        <f>+SUMIFS(PIB!AI:AI,PIB!AH:AH,Brokerage!AF$4,PIB!AC:AC,Brokerage!$B274)+SUMIFS('T-Bills'!AD:AD,'T-Bills'!AC:AC,Brokerage!AF$4,'T-Bills'!X:X,Brokerage!$B274)</f>
        <v>0</v>
      </c>
      <c r="AG274" s="857">
        <f t="shared" si="26"/>
        <v>0</v>
      </c>
      <c r="AH274" s="858">
        <f t="shared" si="27"/>
        <v>0</v>
      </c>
    </row>
    <row r="275" spans="2:34" x14ac:dyDescent="0.15">
      <c r="B275" s="661">
        <f t="shared" si="25"/>
        <v>44831</v>
      </c>
      <c r="C275" s="857">
        <f>SUMIFS('YTD Sales'!$N:$N,'YTD Sales'!$B:$B,Brokerage!$B275,'YTD Sales'!$M:$M,Brokerage!C$4)+SUMIFS('YTD Purchases'!$H:$H,'YTD Purchases'!$C:$C,Brokerage!$B275,'YTD Purchases'!$G:$G,Brokerage!C$4)</f>
        <v>0</v>
      </c>
      <c r="D275" s="857">
        <f>SUMIFS('YTD Sales'!$N:$N,'YTD Sales'!$B:$B,Brokerage!$B275,'YTD Sales'!$M:$M,Brokerage!D$4)+SUMIFS('YTD Purchases'!$H:$H,'YTD Purchases'!$C:$C,Brokerage!$B275,'YTD Purchases'!$G:$G,Brokerage!D$4)</f>
        <v>0</v>
      </c>
      <c r="E275" s="857">
        <f>SUMIFS('YTD Sales'!$N:$N,'YTD Sales'!$B:$B,Brokerage!$B275,'YTD Sales'!$M:$M,Brokerage!E$4)+SUMIFS('YTD Purchases'!$H:$H,'YTD Purchases'!$C:$C,Brokerage!$B275,'YTD Purchases'!$G:$G,Brokerage!E$4)</f>
        <v>0</v>
      </c>
      <c r="F275" s="857">
        <f>SUMIFS('YTD Sales'!$N:$N,'YTD Sales'!$B:$B,Brokerage!$B275,'YTD Sales'!$M:$M,Brokerage!F$4)+SUMIFS('YTD Purchases'!$H:$H,'YTD Purchases'!$C:$C,Brokerage!$B275,'YTD Purchases'!$G:$G,Brokerage!F$4)</f>
        <v>0</v>
      </c>
      <c r="G275" s="857">
        <f>SUMIFS('YTD Sales'!$N:$N,'YTD Sales'!$B:$B,Brokerage!$B275,'YTD Sales'!$M:$M,Brokerage!G$4)+SUMIFS('YTD Purchases'!$H:$H,'YTD Purchases'!$C:$C,Brokerage!$B275,'YTD Purchases'!$G:$G,Brokerage!G$4)</f>
        <v>0</v>
      </c>
      <c r="H275" s="857">
        <f>SUMIFS('YTD Sales'!$N:$N,'YTD Sales'!$B:$B,Brokerage!$B275,'YTD Sales'!$M:$M,Brokerage!H$4)+SUMIFS('YTD Purchases'!$H:$H,'YTD Purchases'!$C:$C,Brokerage!$B275,'YTD Purchases'!$G:$G,Brokerage!H$4)</f>
        <v>0</v>
      </c>
      <c r="I275" s="857">
        <f>SUMIFS('YTD Sales'!$N:$N,'YTD Sales'!$B:$B,Brokerage!$B275,'YTD Sales'!$M:$M,Brokerage!I$4)+SUMIFS('YTD Purchases'!$H:$H,'YTD Purchases'!$C:$C,Brokerage!$B275,'YTD Purchases'!$G:$G,Brokerage!I$4)</f>
        <v>0</v>
      </c>
      <c r="J275" s="857">
        <f>SUMIFS('YTD Sales'!$N:$N,'YTD Sales'!$B:$B,Brokerage!$B275,'YTD Sales'!$M:$M,Brokerage!J$4)+SUMIFS('YTD Purchases'!$H:$H,'YTD Purchases'!$C:$C,Brokerage!$B275,'YTD Purchases'!$G:$G,Brokerage!J$4)</f>
        <v>0</v>
      </c>
      <c r="K275" s="857">
        <f>SUMIFS('YTD Sales'!$N:$N,'YTD Sales'!$B:$B,Brokerage!$B275,'YTD Sales'!$M:$M,Brokerage!K$4)+SUMIFS('YTD Purchases'!$H:$H,'YTD Purchases'!$C:$C,Brokerage!$B275,'YTD Purchases'!$G:$G,Brokerage!K$4)</f>
        <v>0</v>
      </c>
      <c r="L275" s="857">
        <f>SUMIFS('YTD Sales'!$N:$N,'YTD Sales'!$B:$B,Brokerage!$B275,'YTD Sales'!$M:$M,Brokerage!L$4)+SUMIFS('YTD Purchases'!$H:$H,'YTD Purchases'!$C:$C,Brokerage!$B275,'YTD Purchases'!$G:$G,Brokerage!L$4)</f>
        <v>0</v>
      </c>
      <c r="M275" s="857">
        <f>SUMIFS('YTD Sales'!$N:$N,'YTD Sales'!$B:$B,Brokerage!$B275,'YTD Sales'!$M:$M,Brokerage!M$4)+SUMIFS('YTD Purchases'!$H:$H,'YTD Purchases'!$C:$C,Brokerage!$B275,'YTD Purchases'!$G:$G,Brokerage!M$4)</f>
        <v>0</v>
      </c>
      <c r="N275" s="857">
        <f>SUMIFS('YTD Sales'!$N:$N,'YTD Sales'!$B:$B,Brokerage!$B275,'YTD Sales'!$M:$M,Brokerage!N$4)+SUMIFS('YTD Purchases'!$H:$H,'YTD Purchases'!$C:$C,Brokerage!$B275,'YTD Purchases'!$G:$G,Brokerage!N$4)</f>
        <v>0</v>
      </c>
      <c r="O275" s="857">
        <f>SUMIFS('YTD Sales'!$N:$N,'YTD Sales'!$B:$B,Brokerage!$B275,'YTD Sales'!$M:$M,Brokerage!O$4)+SUMIFS('YTD Purchases'!$H:$H,'YTD Purchases'!$C:$C,Brokerage!$B275,'YTD Purchases'!$G:$G,Brokerage!O$4)</f>
        <v>0</v>
      </c>
      <c r="P275" s="857">
        <f>SUMIFS('YTD Sales'!$N:$N,'YTD Sales'!$B:$B,Brokerage!$B275,'YTD Sales'!$M:$M,Brokerage!P$4)+SUMIFS('YTD Purchases'!$H:$H,'YTD Purchases'!$C:$C,Brokerage!$B275,'YTD Purchases'!$G:$G,Brokerage!P$4)</f>
        <v>0</v>
      </c>
      <c r="Q275" s="857">
        <f>SUMIFS('YTD Sales'!$N:$N,'YTD Sales'!$B:$B,Brokerage!$B275,'YTD Sales'!$M:$M,Brokerage!Q$4)+SUMIFS('YTD Purchases'!$H:$H,'YTD Purchases'!$C:$C,Brokerage!$B275,'YTD Purchases'!$G:$G,Brokerage!Q$4)</f>
        <v>0</v>
      </c>
      <c r="R275" s="857">
        <f>SUMIFS('YTD Sales'!$N:$N,'YTD Sales'!$B:$B,Brokerage!$B275,'YTD Sales'!$M:$M,Brokerage!R$4)+SUMIFS('YTD Purchases'!$H:$H,'YTD Purchases'!$C:$C,Brokerage!$B275,'YTD Purchases'!$G:$G,Brokerage!R$4)</f>
        <v>0</v>
      </c>
      <c r="S275" s="857">
        <f>SUMIFS('YTD Sales'!$N:$N,'YTD Sales'!$B:$B,Brokerage!$B275,'YTD Sales'!$M:$M,Brokerage!S$4)+SUMIFS('YTD Purchases'!$H:$H,'YTD Purchases'!$C:$C,Brokerage!$B275,'YTD Purchases'!$G:$G,Brokerage!S$4)</f>
        <v>0</v>
      </c>
      <c r="T275" s="857">
        <f>SUMIFS('YTD Sales'!$N:$N,'YTD Sales'!$B:$B,Brokerage!$B275,'YTD Sales'!$M:$M,Brokerage!T$4)+SUMIFS('YTD Purchases'!$H:$H,'YTD Purchases'!$C:$C,Brokerage!$B275,'YTD Purchases'!$G:$G,Brokerage!T$4)</f>
        <v>0</v>
      </c>
      <c r="U275" s="857">
        <f>SUMIFS('YTD Sales'!$N:$N,'YTD Sales'!$B:$B,Brokerage!$B275,'YTD Sales'!$M:$M,Brokerage!U$4)+SUMIFS('YTD Purchases'!$H:$H,'YTD Purchases'!$C:$C,Brokerage!$B275,'YTD Purchases'!$G:$G,Brokerage!U$4)</f>
        <v>0</v>
      </c>
      <c r="V275" s="857">
        <f>SUMIFS('YTD Sales'!$N:$N,'YTD Sales'!$B:$B,Brokerage!$B275,'YTD Sales'!$M:$M,Brokerage!V$4)+SUMIFS('YTD Purchases'!$H:$H,'YTD Purchases'!$C:$C,Brokerage!$B275,'YTD Purchases'!$G:$G,Brokerage!V$4)</f>
        <v>0</v>
      </c>
      <c r="W275" s="857">
        <f>SUMIFS('YTD Sales'!$N:$N,'YTD Sales'!$B:$B,Brokerage!$B275,'YTD Sales'!$M:$M,Brokerage!W$4)+SUMIFS('YTD Purchases'!$H:$H,'YTD Purchases'!$C:$C,Brokerage!$B275,'YTD Purchases'!$G:$G,Brokerage!W$4)</f>
        <v>0</v>
      </c>
      <c r="X275" s="857">
        <f>SUMIFS('YTD Sales'!$N:$N,'YTD Sales'!$B:$B,Brokerage!$B275,'YTD Sales'!$M:$M,Brokerage!X$4)+SUMIFS('YTD Purchases'!$H:$H,'YTD Purchases'!$C:$C,Brokerage!$B275,'YTD Purchases'!$G:$G,Brokerage!X$4)</f>
        <v>0</v>
      </c>
      <c r="Y275" s="857">
        <f>SUMIFS('YTD Sales'!$N:$N,'YTD Sales'!$B:$B,Brokerage!$B275,'YTD Sales'!$M:$M,Brokerage!Y$4)+SUMIFS('YTD Purchases'!$H:$H,'YTD Purchases'!$C:$C,Brokerage!$B275,'YTD Purchases'!$G:$G,Brokerage!Y$4)</f>
        <v>0</v>
      </c>
      <c r="Z275" s="857">
        <f>SUMIFS('YTD Sales'!$N:$N,'YTD Sales'!$B:$B,Brokerage!$B275,'YTD Sales'!$M:$M,Brokerage!Z$4)+SUMIFS('YTD Purchases'!$H:$H,'YTD Purchases'!$C:$C,Brokerage!$B275,'YTD Purchases'!$G:$G,Brokerage!Z$4)</f>
        <v>0</v>
      </c>
      <c r="AA275" s="857">
        <f>SUMIFS('YTD Sales'!$N:$N,'YTD Sales'!$B:$B,Brokerage!$B275,'YTD Sales'!$M:$M,Brokerage!AA$4)+SUMIFS('YTD Purchases'!$H:$H,'YTD Purchases'!$C:$C,Brokerage!$B275,'YTD Purchases'!$G:$G,Brokerage!AA$4)</f>
        <v>0</v>
      </c>
      <c r="AB275" s="857">
        <f>SUMIFS('YTD Sales'!$N:$N,'YTD Sales'!$B:$B,Brokerage!$B275,'YTD Sales'!$M:$M,Brokerage!AB$4)+SUMIFS('YTD Purchases'!$H:$H,'YTD Purchases'!$C:$C,Brokerage!$B275,'YTD Purchases'!$G:$G,Brokerage!AB$4)</f>
        <v>0</v>
      </c>
      <c r="AC275" s="857">
        <f>SUMIFS('YTD Sales'!$N:$N,'YTD Sales'!$B:$B,Brokerage!$B275,'YTD Sales'!$M:$M,Brokerage!AC$4)+SUMIFS('YTD Purchases'!$H:$H,'YTD Purchases'!$C:$C,Brokerage!$B275,'YTD Purchases'!$G:$G,Brokerage!AC$4)</f>
        <v>0</v>
      </c>
      <c r="AD275" s="857">
        <f>+SUMIFS(PIB!AG:AG,PIB!AF:AF,Brokerage!AD$4,PIB!AA:AA,Brokerage!$B275)+SUMIFS('T-Bills'!AB:AB,'T-Bills'!AA:AA,Brokerage!AD$4,'T-Bills'!V:V,Brokerage!$B275)</f>
        <v>0</v>
      </c>
      <c r="AE275" s="857">
        <f>+SUMIFS(PIB!AH:AH,PIB!AG:AG,Brokerage!AE$4,PIB!AB:AB,Brokerage!$B275)+SUMIFS('T-Bills'!AC:AC,'T-Bills'!AB:AB,Brokerage!AE$4,'T-Bills'!W:W,Brokerage!$B275)</f>
        <v>0</v>
      </c>
      <c r="AF275" s="857">
        <f>+SUMIFS(PIB!AI:AI,PIB!AH:AH,Brokerage!AF$4,PIB!AC:AC,Brokerage!$B275)+SUMIFS('T-Bills'!AD:AD,'T-Bills'!AC:AC,Brokerage!AF$4,'T-Bills'!X:X,Brokerage!$B275)</f>
        <v>0</v>
      </c>
      <c r="AG275" s="857">
        <f t="shared" si="26"/>
        <v>0</v>
      </c>
      <c r="AH275" s="858">
        <f t="shared" si="27"/>
        <v>0</v>
      </c>
    </row>
    <row r="276" spans="2:34" x14ac:dyDescent="0.15">
      <c r="B276" s="661">
        <f t="shared" si="25"/>
        <v>44832</v>
      </c>
      <c r="C276" s="857">
        <f>SUMIFS('YTD Sales'!$N:$N,'YTD Sales'!$B:$B,Brokerage!$B276,'YTD Sales'!$M:$M,Brokerage!C$4)+SUMIFS('YTD Purchases'!$H:$H,'YTD Purchases'!$C:$C,Brokerage!$B276,'YTD Purchases'!$G:$G,Brokerage!C$4)</f>
        <v>0</v>
      </c>
      <c r="D276" s="857">
        <f>SUMIFS('YTD Sales'!$N:$N,'YTD Sales'!$B:$B,Brokerage!$B276,'YTD Sales'!$M:$M,Brokerage!D$4)+SUMIFS('YTD Purchases'!$H:$H,'YTD Purchases'!$C:$C,Brokerage!$B276,'YTD Purchases'!$G:$G,Brokerage!D$4)</f>
        <v>0</v>
      </c>
      <c r="E276" s="857">
        <f>SUMIFS('YTD Sales'!$N:$N,'YTD Sales'!$B:$B,Brokerage!$B276,'YTD Sales'!$M:$M,Brokerage!E$4)+SUMIFS('YTD Purchases'!$H:$H,'YTD Purchases'!$C:$C,Brokerage!$B276,'YTD Purchases'!$G:$G,Brokerage!E$4)</f>
        <v>0</v>
      </c>
      <c r="F276" s="857">
        <f>SUMIFS('YTD Sales'!$N:$N,'YTD Sales'!$B:$B,Brokerage!$B276,'YTD Sales'!$M:$M,Brokerage!F$4)+SUMIFS('YTD Purchases'!$H:$H,'YTD Purchases'!$C:$C,Brokerage!$B276,'YTD Purchases'!$G:$G,Brokerage!F$4)</f>
        <v>0</v>
      </c>
      <c r="G276" s="857">
        <f>SUMIFS('YTD Sales'!$N:$N,'YTD Sales'!$B:$B,Brokerage!$B276,'YTD Sales'!$M:$M,Brokerage!G$4)+SUMIFS('YTD Purchases'!$H:$H,'YTD Purchases'!$C:$C,Brokerage!$B276,'YTD Purchases'!$G:$G,Brokerage!G$4)</f>
        <v>0</v>
      </c>
      <c r="H276" s="857">
        <f>SUMIFS('YTD Sales'!$N:$N,'YTD Sales'!$B:$B,Brokerage!$B276,'YTD Sales'!$M:$M,Brokerage!H$4)+SUMIFS('YTD Purchases'!$H:$H,'YTD Purchases'!$C:$C,Brokerage!$B276,'YTD Purchases'!$G:$G,Brokerage!H$4)</f>
        <v>0</v>
      </c>
      <c r="I276" s="857">
        <f>SUMIFS('YTD Sales'!$N:$N,'YTD Sales'!$B:$B,Brokerage!$B276,'YTD Sales'!$M:$M,Brokerage!I$4)+SUMIFS('YTD Purchases'!$H:$H,'YTD Purchases'!$C:$C,Brokerage!$B276,'YTD Purchases'!$G:$G,Brokerage!I$4)</f>
        <v>0</v>
      </c>
      <c r="J276" s="857">
        <f>SUMIFS('YTD Sales'!$N:$N,'YTD Sales'!$B:$B,Brokerage!$B276,'YTD Sales'!$M:$M,Brokerage!J$4)+SUMIFS('YTD Purchases'!$H:$H,'YTD Purchases'!$C:$C,Brokerage!$B276,'YTD Purchases'!$G:$G,Brokerage!J$4)</f>
        <v>0</v>
      </c>
      <c r="K276" s="857">
        <f>SUMIFS('YTD Sales'!$N:$N,'YTD Sales'!$B:$B,Brokerage!$B276,'YTD Sales'!$M:$M,Brokerage!K$4)+SUMIFS('YTD Purchases'!$H:$H,'YTD Purchases'!$C:$C,Brokerage!$B276,'YTD Purchases'!$G:$G,Brokerage!K$4)</f>
        <v>0</v>
      </c>
      <c r="L276" s="857">
        <f>SUMIFS('YTD Sales'!$N:$N,'YTD Sales'!$B:$B,Brokerage!$B276,'YTD Sales'!$M:$M,Brokerage!L$4)+SUMIFS('YTD Purchases'!$H:$H,'YTD Purchases'!$C:$C,Brokerage!$B276,'YTD Purchases'!$G:$G,Brokerage!L$4)</f>
        <v>0</v>
      </c>
      <c r="M276" s="857">
        <f>SUMIFS('YTD Sales'!$N:$N,'YTD Sales'!$B:$B,Brokerage!$B276,'YTD Sales'!$M:$M,Brokerage!M$4)+SUMIFS('YTD Purchases'!$H:$H,'YTD Purchases'!$C:$C,Brokerage!$B276,'YTD Purchases'!$G:$G,Brokerage!M$4)</f>
        <v>0</v>
      </c>
      <c r="N276" s="857">
        <f>SUMIFS('YTD Sales'!$N:$N,'YTD Sales'!$B:$B,Brokerage!$B276,'YTD Sales'!$M:$M,Brokerage!N$4)+SUMIFS('YTD Purchases'!$H:$H,'YTD Purchases'!$C:$C,Brokerage!$B276,'YTD Purchases'!$G:$G,Brokerage!N$4)</f>
        <v>0</v>
      </c>
      <c r="O276" s="857">
        <f>SUMIFS('YTD Sales'!$N:$N,'YTD Sales'!$B:$B,Brokerage!$B276,'YTD Sales'!$M:$M,Brokerage!O$4)+SUMIFS('YTD Purchases'!$H:$H,'YTD Purchases'!$C:$C,Brokerage!$B276,'YTD Purchases'!$G:$G,Brokerage!O$4)</f>
        <v>0</v>
      </c>
      <c r="P276" s="857">
        <f>SUMIFS('YTD Sales'!$N:$N,'YTD Sales'!$B:$B,Brokerage!$B276,'YTD Sales'!$M:$M,Brokerage!P$4)+SUMIFS('YTD Purchases'!$H:$H,'YTD Purchases'!$C:$C,Brokerage!$B276,'YTD Purchases'!$G:$G,Brokerage!P$4)</f>
        <v>0</v>
      </c>
      <c r="Q276" s="857">
        <f>SUMIFS('YTD Sales'!$N:$N,'YTD Sales'!$B:$B,Brokerage!$B276,'YTD Sales'!$M:$M,Brokerage!Q$4)+SUMIFS('YTD Purchases'!$H:$H,'YTD Purchases'!$C:$C,Brokerage!$B276,'YTD Purchases'!$G:$G,Brokerage!Q$4)</f>
        <v>0</v>
      </c>
      <c r="R276" s="857">
        <f>SUMIFS('YTD Sales'!$N:$N,'YTD Sales'!$B:$B,Brokerage!$B276,'YTD Sales'!$M:$M,Brokerage!R$4)+SUMIFS('YTD Purchases'!$H:$H,'YTD Purchases'!$C:$C,Brokerage!$B276,'YTD Purchases'!$G:$G,Brokerage!R$4)</f>
        <v>0</v>
      </c>
      <c r="S276" s="857">
        <f>SUMIFS('YTD Sales'!$N:$N,'YTD Sales'!$B:$B,Brokerage!$B276,'YTD Sales'!$M:$M,Brokerage!S$4)+SUMIFS('YTD Purchases'!$H:$H,'YTD Purchases'!$C:$C,Brokerage!$B276,'YTD Purchases'!$G:$G,Brokerage!S$4)</f>
        <v>0</v>
      </c>
      <c r="T276" s="857">
        <f>SUMIFS('YTD Sales'!$N:$N,'YTD Sales'!$B:$B,Brokerage!$B276,'YTD Sales'!$M:$M,Brokerage!T$4)+SUMIFS('YTD Purchases'!$H:$H,'YTD Purchases'!$C:$C,Brokerage!$B276,'YTD Purchases'!$G:$G,Brokerage!T$4)</f>
        <v>0</v>
      </c>
      <c r="U276" s="857">
        <f>SUMIFS('YTD Sales'!$N:$N,'YTD Sales'!$B:$B,Brokerage!$B276,'YTD Sales'!$M:$M,Brokerage!U$4)+SUMIFS('YTD Purchases'!$H:$H,'YTD Purchases'!$C:$C,Brokerage!$B276,'YTD Purchases'!$G:$G,Brokerage!U$4)</f>
        <v>0</v>
      </c>
      <c r="V276" s="857">
        <f>SUMIFS('YTD Sales'!$N:$N,'YTD Sales'!$B:$B,Brokerage!$B276,'YTD Sales'!$M:$M,Brokerage!V$4)+SUMIFS('YTD Purchases'!$H:$H,'YTD Purchases'!$C:$C,Brokerage!$B276,'YTD Purchases'!$G:$G,Brokerage!V$4)</f>
        <v>0</v>
      </c>
      <c r="W276" s="857">
        <f>SUMIFS('YTD Sales'!$N:$N,'YTD Sales'!$B:$B,Brokerage!$B276,'YTD Sales'!$M:$M,Brokerage!W$4)+SUMIFS('YTD Purchases'!$H:$H,'YTD Purchases'!$C:$C,Brokerage!$B276,'YTD Purchases'!$G:$G,Brokerage!W$4)</f>
        <v>0</v>
      </c>
      <c r="X276" s="857">
        <f>SUMIFS('YTD Sales'!$N:$N,'YTD Sales'!$B:$B,Brokerage!$B276,'YTD Sales'!$M:$M,Brokerage!X$4)+SUMIFS('YTD Purchases'!$H:$H,'YTD Purchases'!$C:$C,Brokerage!$B276,'YTD Purchases'!$G:$G,Brokerage!X$4)</f>
        <v>0</v>
      </c>
      <c r="Y276" s="857">
        <f>SUMIFS('YTD Sales'!$N:$N,'YTD Sales'!$B:$B,Brokerage!$B276,'YTD Sales'!$M:$M,Brokerage!Y$4)+SUMIFS('YTD Purchases'!$H:$H,'YTD Purchases'!$C:$C,Brokerage!$B276,'YTD Purchases'!$G:$G,Brokerage!Y$4)</f>
        <v>0</v>
      </c>
      <c r="Z276" s="857">
        <f>SUMIFS('YTD Sales'!$N:$N,'YTD Sales'!$B:$B,Brokerage!$B276,'YTD Sales'!$M:$M,Brokerage!Z$4)+SUMIFS('YTD Purchases'!$H:$H,'YTD Purchases'!$C:$C,Brokerage!$B276,'YTD Purchases'!$G:$G,Brokerage!Z$4)</f>
        <v>0</v>
      </c>
      <c r="AA276" s="857">
        <f>SUMIFS('YTD Sales'!$N:$N,'YTD Sales'!$B:$B,Brokerage!$B276,'YTD Sales'!$M:$M,Brokerage!AA$4)+SUMIFS('YTD Purchases'!$H:$H,'YTD Purchases'!$C:$C,Brokerage!$B276,'YTD Purchases'!$G:$G,Brokerage!AA$4)</f>
        <v>0</v>
      </c>
      <c r="AB276" s="857">
        <f>SUMIFS('YTD Sales'!$N:$N,'YTD Sales'!$B:$B,Brokerage!$B276,'YTD Sales'!$M:$M,Brokerage!AB$4)+SUMIFS('YTD Purchases'!$H:$H,'YTD Purchases'!$C:$C,Brokerage!$B276,'YTD Purchases'!$G:$G,Brokerage!AB$4)</f>
        <v>0</v>
      </c>
      <c r="AC276" s="857">
        <f>SUMIFS('YTD Sales'!$N:$N,'YTD Sales'!$B:$B,Brokerage!$B276,'YTD Sales'!$M:$M,Brokerage!AC$4)+SUMIFS('YTD Purchases'!$H:$H,'YTD Purchases'!$C:$C,Brokerage!$B276,'YTD Purchases'!$G:$G,Brokerage!AC$4)</f>
        <v>0</v>
      </c>
      <c r="AD276" s="857">
        <f>+SUMIFS(PIB!AG:AG,PIB!AF:AF,Brokerage!AD$4,PIB!AA:AA,Brokerage!$B276)+SUMIFS('T-Bills'!AB:AB,'T-Bills'!AA:AA,Brokerage!AD$4,'T-Bills'!V:V,Brokerage!$B276)</f>
        <v>0</v>
      </c>
      <c r="AE276" s="857">
        <f>+SUMIFS(PIB!AH:AH,PIB!AG:AG,Brokerage!AE$4,PIB!AB:AB,Brokerage!$B276)+SUMIFS('T-Bills'!AC:AC,'T-Bills'!AB:AB,Brokerage!AE$4,'T-Bills'!W:W,Brokerage!$B276)</f>
        <v>0</v>
      </c>
      <c r="AF276" s="857">
        <f>+SUMIFS(PIB!AI:AI,PIB!AH:AH,Brokerage!AF$4,PIB!AC:AC,Brokerage!$B276)+SUMIFS('T-Bills'!AD:AD,'T-Bills'!AC:AC,Brokerage!AF$4,'T-Bills'!X:X,Brokerage!$B276)</f>
        <v>0</v>
      </c>
      <c r="AG276" s="857">
        <f t="shared" si="26"/>
        <v>0</v>
      </c>
      <c r="AH276" s="858">
        <f t="shared" si="27"/>
        <v>0</v>
      </c>
    </row>
    <row r="277" spans="2:34" x14ac:dyDescent="0.15">
      <c r="B277" s="661">
        <f t="shared" si="25"/>
        <v>44833</v>
      </c>
      <c r="C277" s="857">
        <f>SUMIFS('YTD Sales'!$N:$N,'YTD Sales'!$B:$B,Brokerage!$B277,'YTD Sales'!$M:$M,Brokerage!C$4)+SUMIFS('YTD Purchases'!$H:$H,'YTD Purchases'!$C:$C,Brokerage!$B277,'YTD Purchases'!$G:$G,Brokerage!C$4)</f>
        <v>0</v>
      </c>
      <c r="D277" s="857">
        <f>SUMIFS('YTD Sales'!$N:$N,'YTD Sales'!$B:$B,Brokerage!$B277,'YTD Sales'!$M:$M,Brokerage!D$4)+SUMIFS('YTD Purchases'!$H:$H,'YTD Purchases'!$C:$C,Brokerage!$B277,'YTD Purchases'!$G:$G,Brokerage!D$4)</f>
        <v>0</v>
      </c>
      <c r="E277" s="857">
        <f>SUMIFS('YTD Sales'!$N:$N,'YTD Sales'!$B:$B,Brokerage!$B277,'YTD Sales'!$M:$M,Brokerage!E$4)+SUMIFS('YTD Purchases'!$H:$H,'YTD Purchases'!$C:$C,Brokerage!$B277,'YTD Purchases'!$G:$G,Brokerage!E$4)</f>
        <v>0</v>
      </c>
      <c r="F277" s="857">
        <f>SUMIFS('YTD Sales'!$N:$N,'YTD Sales'!$B:$B,Brokerage!$B277,'YTD Sales'!$M:$M,Brokerage!F$4)+SUMIFS('YTD Purchases'!$H:$H,'YTD Purchases'!$C:$C,Brokerage!$B277,'YTD Purchases'!$G:$G,Brokerage!F$4)</f>
        <v>0</v>
      </c>
      <c r="G277" s="857">
        <f>SUMIFS('YTD Sales'!$N:$N,'YTD Sales'!$B:$B,Brokerage!$B277,'YTD Sales'!$M:$M,Brokerage!G$4)+SUMIFS('YTD Purchases'!$H:$H,'YTD Purchases'!$C:$C,Brokerage!$B277,'YTD Purchases'!$G:$G,Brokerage!G$4)</f>
        <v>0</v>
      </c>
      <c r="H277" s="857">
        <f>SUMIFS('YTD Sales'!$N:$N,'YTD Sales'!$B:$B,Brokerage!$B277,'YTD Sales'!$M:$M,Brokerage!H$4)+SUMIFS('YTD Purchases'!$H:$H,'YTD Purchases'!$C:$C,Brokerage!$B277,'YTD Purchases'!$G:$G,Brokerage!H$4)</f>
        <v>0</v>
      </c>
      <c r="I277" s="857">
        <f>SUMIFS('YTD Sales'!$N:$N,'YTD Sales'!$B:$B,Brokerage!$B277,'YTD Sales'!$M:$M,Brokerage!I$4)+SUMIFS('YTD Purchases'!$H:$H,'YTD Purchases'!$C:$C,Brokerage!$B277,'YTD Purchases'!$G:$G,Brokerage!I$4)</f>
        <v>0</v>
      </c>
      <c r="J277" s="857">
        <f>SUMIFS('YTD Sales'!$N:$N,'YTD Sales'!$B:$B,Brokerage!$B277,'YTD Sales'!$M:$M,Brokerage!J$4)+SUMIFS('YTD Purchases'!$H:$H,'YTD Purchases'!$C:$C,Brokerage!$B277,'YTD Purchases'!$G:$G,Brokerage!J$4)</f>
        <v>0</v>
      </c>
      <c r="K277" s="857">
        <f>SUMIFS('YTD Sales'!$N:$N,'YTD Sales'!$B:$B,Brokerage!$B277,'YTD Sales'!$M:$M,Brokerage!K$4)+SUMIFS('YTD Purchases'!$H:$H,'YTD Purchases'!$C:$C,Brokerage!$B277,'YTD Purchases'!$G:$G,Brokerage!K$4)</f>
        <v>0</v>
      </c>
      <c r="L277" s="857">
        <f>SUMIFS('YTD Sales'!$N:$N,'YTD Sales'!$B:$B,Brokerage!$B277,'YTD Sales'!$M:$M,Brokerage!L$4)+SUMIFS('YTD Purchases'!$H:$H,'YTD Purchases'!$C:$C,Brokerage!$B277,'YTD Purchases'!$G:$G,Brokerage!L$4)</f>
        <v>0</v>
      </c>
      <c r="M277" s="857">
        <f>SUMIFS('YTD Sales'!$N:$N,'YTD Sales'!$B:$B,Brokerage!$B277,'YTD Sales'!$M:$M,Brokerage!M$4)+SUMIFS('YTD Purchases'!$H:$H,'YTD Purchases'!$C:$C,Brokerage!$B277,'YTD Purchases'!$G:$G,Brokerage!M$4)</f>
        <v>0</v>
      </c>
      <c r="N277" s="857">
        <f>SUMIFS('YTD Sales'!$N:$N,'YTD Sales'!$B:$B,Brokerage!$B277,'YTD Sales'!$M:$M,Brokerage!N$4)+SUMIFS('YTD Purchases'!$H:$H,'YTD Purchases'!$C:$C,Brokerage!$B277,'YTD Purchases'!$G:$G,Brokerage!N$4)</f>
        <v>0</v>
      </c>
      <c r="O277" s="857">
        <f>SUMIFS('YTD Sales'!$N:$N,'YTD Sales'!$B:$B,Brokerage!$B277,'YTD Sales'!$M:$M,Brokerage!O$4)+SUMIFS('YTD Purchases'!$H:$H,'YTD Purchases'!$C:$C,Brokerage!$B277,'YTD Purchases'!$G:$G,Brokerage!O$4)</f>
        <v>0</v>
      </c>
      <c r="P277" s="857">
        <f>SUMIFS('YTD Sales'!$N:$N,'YTD Sales'!$B:$B,Brokerage!$B277,'YTD Sales'!$M:$M,Brokerage!P$4)+SUMIFS('YTD Purchases'!$H:$H,'YTD Purchases'!$C:$C,Brokerage!$B277,'YTD Purchases'!$G:$G,Brokerage!P$4)</f>
        <v>0</v>
      </c>
      <c r="Q277" s="857">
        <f>SUMIFS('YTD Sales'!$N:$N,'YTD Sales'!$B:$B,Brokerage!$B277,'YTD Sales'!$M:$M,Brokerage!Q$4)+SUMIFS('YTD Purchases'!$H:$H,'YTD Purchases'!$C:$C,Brokerage!$B277,'YTD Purchases'!$G:$G,Brokerage!Q$4)</f>
        <v>0</v>
      </c>
      <c r="R277" s="857">
        <f>SUMIFS('YTD Sales'!$N:$N,'YTD Sales'!$B:$B,Brokerage!$B277,'YTD Sales'!$M:$M,Brokerage!R$4)+SUMIFS('YTD Purchases'!$H:$H,'YTD Purchases'!$C:$C,Brokerage!$B277,'YTD Purchases'!$G:$G,Brokerage!R$4)</f>
        <v>0</v>
      </c>
      <c r="S277" s="857">
        <f>SUMIFS('YTD Sales'!$N:$N,'YTD Sales'!$B:$B,Brokerage!$B277,'YTD Sales'!$M:$M,Brokerage!S$4)+SUMIFS('YTD Purchases'!$H:$H,'YTD Purchases'!$C:$C,Brokerage!$B277,'YTD Purchases'!$G:$G,Brokerage!S$4)</f>
        <v>0</v>
      </c>
      <c r="T277" s="857">
        <f>SUMIFS('YTD Sales'!$N:$N,'YTD Sales'!$B:$B,Brokerage!$B277,'YTD Sales'!$M:$M,Brokerage!T$4)+SUMIFS('YTD Purchases'!$H:$H,'YTD Purchases'!$C:$C,Brokerage!$B277,'YTD Purchases'!$G:$G,Brokerage!T$4)</f>
        <v>0</v>
      </c>
      <c r="U277" s="857">
        <f>SUMIFS('YTD Sales'!$N:$N,'YTD Sales'!$B:$B,Brokerage!$B277,'YTD Sales'!$M:$M,Brokerage!U$4)+SUMIFS('YTD Purchases'!$H:$H,'YTD Purchases'!$C:$C,Brokerage!$B277,'YTD Purchases'!$G:$G,Brokerage!U$4)</f>
        <v>0</v>
      </c>
      <c r="V277" s="857">
        <f>SUMIFS('YTD Sales'!$N:$N,'YTD Sales'!$B:$B,Brokerage!$B277,'YTD Sales'!$M:$M,Brokerage!V$4)+SUMIFS('YTD Purchases'!$H:$H,'YTD Purchases'!$C:$C,Brokerage!$B277,'YTD Purchases'!$G:$G,Brokerage!V$4)</f>
        <v>0</v>
      </c>
      <c r="W277" s="857">
        <f>SUMIFS('YTD Sales'!$N:$N,'YTD Sales'!$B:$B,Brokerage!$B277,'YTD Sales'!$M:$M,Brokerage!W$4)+SUMIFS('YTD Purchases'!$H:$H,'YTD Purchases'!$C:$C,Brokerage!$B277,'YTD Purchases'!$G:$G,Brokerage!W$4)</f>
        <v>0</v>
      </c>
      <c r="X277" s="857">
        <f>SUMIFS('YTD Sales'!$N:$N,'YTD Sales'!$B:$B,Brokerage!$B277,'YTD Sales'!$M:$M,Brokerage!X$4)+SUMIFS('YTD Purchases'!$H:$H,'YTD Purchases'!$C:$C,Brokerage!$B277,'YTD Purchases'!$G:$G,Brokerage!X$4)</f>
        <v>0</v>
      </c>
      <c r="Y277" s="857">
        <f>SUMIFS('YTD Sales'!$N:$N,'YTD Sales'!$B:$B,Brokerage!$B277,'YTD Sales'!$M:$M,Brokerage!Y$4)+SUMIFS('YTD Purchases'!$H:$H,'YTD Purchases'!$C:$C,Brokerage!$B277,'YTD Purchases'!$G:$G,Brokerage!Y$4)</f>
        <v>0</v>
      </c>
      <c r="Z277" s="857">
        <f>SUMIFS('YTD Sales'!$N:$N,'YTD Sales'!$B:$B,Brokerage!$B277,'YTD Sales'!$M:$M,Brokerage!Z$4)+SUMIFS('YTD Purchases'!$H:$H,'YTD Purchases'!$C:$C,Brokerage!$B277,'YTD Purchases'!$G:$G,Brokerage!Z$4)</f>
        <v>0</v>
      </c>
      <c r="AA277" s="857">
        <f>SUMIFS('YTD Sales'!$N:$N,'YTD Sales'!$B:$B,Brokerage!$B277,'YTD Sales'!$M:$M,Brokerage!AA$4)+SUMIFS('YTD Purchases'!$H:$H,'YTD Purchases'!$C:$C,Brokerage!$B277,'YTD Purchases'!$G:$G,Brokerage!AA$4)</f>
        <v>0</v>
      </c>
      <c r="AB277" s="857">
        <f>SUMIFS('YTD Sales'!$N:$N,'YTD Sales'!$B:$B,Brokerage!$B277,'YTD Sales'!$M:$M,Brokerage!AB$4)+SUMIFS('YTD Purchases'!$H:$H,'YTD Purchases'!$C:$C,Brokerage!$B277,'YTD Purchases'!$G:$G,Brokerage!AB$4)</f>
        <v>0</v>
      </c>
      <c r="AC277" s="857">
        <f>SUMIFS('YTD Sales'!$N:$N,'YTD Sales'!$B:$B,Brokerage!$B277,'YTD Sales'!$M:$M,Brokerage!AC$4)+SUMIFS('YTD Purchases'!$H:$H,'YTD Purchases'!$C:$C,Brokerage!$B277,'YTD Purchases'!$G:$G,Brokerage!AC$4)</f>
        <v>0</v>
      </c>
      <c r="AD277" s="857">
        <f>+SUMIFS(PIB!AG:AG,PIB!AF:AF,Brokerage!AD$4,PIB!AA:AA,Brokerage!$B277)+SUMIFS('T-Bills'!AB:AB,'T-Bills'!AA:AA,Brokerage!AD$4,'T-Bills'!V:V,Brokerage!$B277)</f>
        <v>0</v>
      </c>
      <c r="AE277" s="857">
        <f>+SUMIFS(PIB!AH:AH,PIB!AG:AG,Brokerage!AE$4,PIB!AB:AB,Brokerage!$B277)+SUMIFS('T-Bills'!AC:AC,'T-Bills'!AB:AB,Brokerage!AE$4,'T-Bills'!W:W,Brokerage!$B277)</f>
        <v>0</v>
      </c>
      <c r="AF277" s="857">
        <f>+SUMIFS(PIB!AI:AI,PIB!AH:AH,Brokerage!AF$4,PIB!AC:AC,Brokerage!$B277)+SUMIFS('T-Bills'!AD:AD,'T-Bills'!AC:AC,Brokerage!AF$4,'T-Bills'!X:X,Brokerage!$B277)</f>
        <v>0</v>
      </c>
      <c r="AG277" s="857">
        <f t="shared" si="26"/>
        <v>0</v>
      </c>
      <c r="AH277" s="858">
        <f t="shared" si="27"/>
        <v>0</v>
      </c>
    </row>
    <row r="278" spans="2:34" x14ac:dyDescent="0.15">
      <c r="B278" s="661">
        <f t="shared" si="25"/>
        <v>44834</v>
      </c>
      <c r="C278" s="857">
        <f>SUMIFS('YTD Sales'!$N:$N,'YTD Sales'!$B:$B,Brokerage!$B278,'YTD Sales'!$M:$M,Brokerage!C$4)+SUMIFS('YTD Purchases'!$H:$H,'YTD Purchases'!$C:$C,Brokerage!$B278,'YTD Purchases'!$G:$G,Brokerage!C$4)</f>
        <v>0</v>
      </c>
      <c r="D278" s="857">
        <f>SUMIFS('YTD Sales'!$N:$N,'YTD Sales'!$B:$B,Brokerage!$B278,'YTD Sales'!$M:$M,Brokerage!D$4)+SUMIFS('YTD Purchases'!$H:$H,'YTD Purchases'!$C:$C,Brokerage!$B278,'YTD Purchases'!$G:$G,Brokerage!D$4)</f>
        <v>0</v>
      </c>
      <c r="E278" s="857">
        <f>SUMIFS('YTD Sales'!$N:$N,'YTD Sales'!$B:$B,Brokerage!$B278,'YTD Sales'!$M:$M,Brokerage!E$4)+SUMIFS('YTD Purchases'!$H:$H,'YTD Purchases'!$C:$C,Brokerage!$B278,'YTD Purchases'!$G:$G,Brokerage!E$4)</f>
        <v>0</v>
      </c>
      <c r="F278" s="857">
        <f>SUMIFS('YTD Sales'!$N:$N,'YTD Sales'!$B:$B,Brokerage!$B278,'YTD Sales'!$M:$M,Brokerage!F$4)+SUMIFS('YTD Purchases'!$H:$H,'YTD Purchases'!$C:$C,Brokerage!$B278,'YTD Purchases'!$G:$G,Brokerage!F$4)</f>
        <v>0</v>
      </c>
      <c r="G278" s="857">
        <f>SUMIFS('YTD Sales'!$N:$N,'YTD Sales'!$B:$B,Brokerage!$B278,'YTD Sales'!$M:$M,Brokerage!G$4)+SUMIFS('YTD Purchases'!$H:$H,'YTD Purchases'!$C:$C,Brokerage!$B278,'YTD Purchases'!$G:$G,Brokerage!G$4)</f>
        <v>0</v>
      </c>
      <c r="H278" s="857">
        <f>SUMIFS('YTD Sales'!$N:$N,'YTD Sales'!$B:$B,Brokerage!$B278,'YTD Sales'!$M:$M,Brokerage!H$4)+SUMIFS('YTD Purchases'!$H:$H,'YTD Purchases'!$C:$C,Brokerage!$B278,'YTD Purchases'!$G:$G,Brokerage!H$4)</f>
        <v>0</v>
      </c>
      <c r="I278" s="857">
        <f>SUMIFS('YTD Sales'!$N:$N,'YTD Sales'!$B:$B,Brokerage!$B278,'YTD Sales'!$M:$M,Brokerage!I$4)+SUMIFS('YTD Purchases'!$H:$H,'YTD Purchases'!$C:$C,Brokerage!$B278,'YTD Purchases'!$G:$G,Brokerage!I$4)</f>
        <v>0</v>
      </c>
      <c r="J278" s="857">
        <f>SUMIFS('YTD Sales'!$N:$N,'YTD Sales'!$B:$B,Brokerage!$B278,'YTD Sales'!$M:$M,Brokerage!J$4)+SUMIFS('YTD Purchases'!$H:$H,'YTD Purchases'!$C:$C,Brokerage!$B278,'YTD Purchases'!$G:$G,Brokerage!J$4)</f>
        <v>0</v>
      </c>
      <c r="K278" s="857">
        <f>SUMIFS('YTD Sales'!$N:$N,'YTD Sales'!$B:$B,Brokerage!$B278,'YTD Sales'!$M:$M,Brokerage!K$4)+SUMIFS('YTD Purchases'!$H:$H,'YTD Purchases'!$C:$C,Brokerage!$B278,'YTD Purchases'!$G:$G,Brokerage!K$4)</f>
        <v>0</v>
      </c>
      <c r="L278" s="857">
        <f>SUMIFS('YTD Sales'!$N:$N,'YTD Sales'!$B:$B,Brokerage!$B278,'YTD Sales'!$M:$M,Brokerage!L$4)+SUMIFS('YTD Purchases'!$H:$H,'YTD Purchases'!$C:$C,Brokerage!$B278,'YTD Purchases'!$G:$G,Brokerage!L$4)</f>
        <v>0</v>
      </c>
      <c r="M278" s="857">
        <f>SUMIFS('YTD Sales'!$N:$N,'YTD Sales'!$B:$B,Brokerage!$B278,'YTD Sales'!$M:$M,Brokerage!M$4)+SUMIFS('YTD Purchases'!$H:$H,'YTD Purchases'!$C:$C,Brokerage!$B278,'YTD Purchases'!$G:$G,Brokerage!M$4)</f>
        <v>0</v>
      </c>
      <c r="N278" s="857">
        <f>SUMIFS('YTD Sales'!$N:$N,'YTD Sales'!$B:$B,Brokerage!$B278,'YTD Sales'!$M:$M,Brokerage!N$4)+SUMIFS('YTD Purchases'!$H:$H,'YTD Purchases'!$C:$C,Brokerage!$B278,'YTD Purchases'!$G:$G,Brokerage!N$4)</f>
        <v>0</v>
      </c>
      <c r="O278" s="857">
        <f>SUMIFS('YTD Sales'!$N:$N,'YTD Sales'!$B:$B,Brokerage!$B278,'YTD Sales'!$M:$M,Brokerage!O$4)+SUMIFS('YTD Purchases'!$H:$H,'YTD Purchases'!$C:$C,Brokerage!$B278,'YTD Purchases'!$G:$G,Brokerage!O$4)</f>
        <v>0</v>
      </c>
      <c r="P278" s="857">
        <f>SUMIFS('YTD Sales'!$N:$N,'YTD Sales'!$B:$B,Brokerage!$B278,'YTD Sales'!$M:$M,Brokerage!P$4)+SUMIFS('YTD Purchases'!$H:$H,'YTD Purchases'!$C:$C,Brokerage!$B278,'YTD Purchases'!$G:$G,Brokerage!P$4)</f>
        <v>0</v>
      </c>
      <c r="Q278" s="857">
        <f>SUMIFS('YTD Sales'!$N:$N,'YTD Sales'!$B:$B,Brokerage!$B278,'YTD Sales'!$M:$M,Brokerage!Q$4)+SUMIFS('YTD Purchases'!$H:$H,'YTD Purchases'!$C:$C,Brokerage!$B278,'YTD Purchases'!$G:$G,Brokerage!Q$4)</f>
        <v>0</v>
      </c>
      <c r="R278" s="857">
        <f>SUMIFS('YTD Sales'!$N:$N,'YTD Sales'!$B:$B,Brokerage!$B278,'YTD Sales'!$M:$M,Brokerage!R$4)+SUMIFS('YTD Purchases'!$H:$H,'YTD Purchases'!$C:$C,Brokerage!$B278,'YTD Purchases'!$G:$G,Brokerage!R$4)</f>
        <v>0</v>
      </c>
      <c r="S278" s="857">
        <f>SUMIFS('YTD Sales'!$N:$N,'YTD Sales'!$B:$B,Brokerage!$B278,'YTD Sales'!$M:$M,Brokerage!S$4)+SUMIFS('YTD Purchases'!$H:$H,'YTD Purchases'!$C:$C,Brokerage!$B278,'YTD Purchases'!$G:$G,Brokerage!S$4)</f>
        <v>0</v>
      </c>
      <c r="T278" s="857">
        <f>SUMIFS('YTD Sales'!$N:$N,'YTD Sales'!$B:$B,Brokerage!$B278,'YTD Sales'!$M:$M,Brokerage!T$4)+SUMIFS('YTD Purchases'!$H:$H,'YTD Purchases'!$C:$C,Brokerage!$B278,'YTD Purchases'!$G:$G,Brokerage!T$4)</f>
        <v>0</v>
      </c>
      <c r="U278" s="857">
        <f>SUMIFS('YTD Sales'!$N:$N,'YTD Sales'!$B:$B,Brokerage!$B278,'YTD Sales'!$M:$M,Brokerage!U$4)+SUMIFS('YTD Purchases'!$H:$H,'YTD Purchases'!$C:$C,Brokerage!$B278,'YTD Purchases'!$G:$G,Brokerage!U$4)</f>
        <v>0</v>
      </c>
      <c r="V278" s="857">
        <f>SUMIFS('YTD Sales'!$N:$N,'YTD Sales'!$B:$B,Brokerage!$B278,'YTD Sales'!$M:$M,Brokerage!V$4)+SUMIFS('YTD Purchases'!$H:$H,'YTD Purchases'!$C:$C,Brokerage!$B278,'YTD Purchases'!$G:$G,Brokerage!V$4)</f>
        <v>0</v>
      </c>
      <c r="W278" s="857">
        <f>SUMIFS('YTD Sales'!$N:$N,'YTD Sales'!$B:$B,Brokerage!$B278,'YTD Sales'!$M:$M,Brokerage!W$4)+SUMIFS('YTD Purchases'!$H:$H,'YTD Purchases'!$C:$C,Brokerage!$B278,'YTD Purchases'!$G:$G,Brokerage!W$4)</f>
        <v>0</v>
      </c>
      <c r="X278" s="857">
        <f>SUMIFS('YTD Sales'!$N:$N,'YTD Sales'!$B:$B,Brokerage!$B278,'YTD Sales'!$M:$M,Brokerage!X$4)+SUMIFS('YTD Purchases'!$H:$H,'YTD Purchases'!$C:$C,Brokerage!$B278,'YTD Purchases'!$G:$G,Brokerage!X$4)</f>
        <v>0</v>
      </c>
      <c r="Y278" s="857">
        <f>SUMIFS('YTD Sales'!$N:$N,'YTD Sales'!$B:$B,Brokerage!$B278,'YTD Sales'!$M:$M,Brokerage!Y$4)+SUMIFS('YTD Purchases'!$H:$H,'YTD Purchases'!$C:$C,Brokerage!$B278,'YTD Purchases'!$G:$G,Brokerage!Y$4)</f>
        <v>0</v>
      </c>
      <c r="Z278" s="857">
        <f>SUMIFS('YTD Sales'!$N:$N,'YTD Sales'!$B:$B,Brokerage!$B278,'YTD Sales'!$M:$M,Brokerage!Z$4)+SUMIFS('YTD Purchases'!$H:$H,'YTD Purchases'!$C:$C,Brokerage!$B278,'YTD Purchases'!$G:$G,Brokerage!Z$4)</f>
        <v>0</v>
      </c>
      <c r="AA278" s="857">
        <f>SUMIFS('YTD Sales'!$N:$N,'YTD Sales'!$B:$B,Brokerage!$B278,'YTD Sales'!$M:$M,Brokerage!AA$4)+SUMIFS('YTD Purchases'!$H:$H,'YTD Purchases'!$C:$C,Brokerage!$B278,'YTD Purchases'!$G:$G,Brokerage!AA$4)</f>
        <v>0</v>
      </c>
      <c r="AB278" s="857">
        <f>SUMIFS('YTD Sales'!$N:$N,'YTD Sales'!$B:$B,Brokerage!$B278,'YTD Sales'!$M:$M,Brokerage!AB$4)+SUMIFS('YTD Purchases'!$H:$H,'YTD Purchases'!$C:$C,Brokerage!$B278,'YTD Purchases'!$G:$G,Brokerage!AB$4)</f>
        <v>0</v>
      </c>
      <c r="AC278" s="857">
        <f>SUMIFS('YTD Sales'!$N:$N,'YTD Sales'!$B:$B,Brokerage!$B278,'YTD Sales'!$M:$M,Brokerage!AC$4)+SUMIFS('YTD Purchases'!$H:$H,'YTD Purchases'!$C:$C,Brokerage!$B278,'YTD Purchases'!$G:$G,Brokerage!AC$4)</f>
        <v>0</v>
      </c>
      <c r="AD278" s="857">
        <f>+SUMIFS(PIB!AG:AG,PIB!AF:AF,Brokerage!AD$4,PIB!AA:AA,Brokerage!$B278)+SUMIFS('T-Bills'!AB:AB,'T-Bills'!AA:AA,Brokerage!AD$4,'T-Bills'!V:V,Brokerage!$B278)</f>
        <v>0</v>
      </c>
      <c r="AE278" s="857">
        <f>+SUMIFS(PIB!AH:AH,PIB!AG:AG,Brokerage!AE$4,PIB!AB:AB,Brokerage!$B278)+SUMIFS('T-Bills'!AC:AC,'T-Bills'!AB:AB,Brokerage!AE$4,'T-Bills'!W:W,Brokerage!$B278)</f>
        <v>0</v>
      </c>
      <c r="AF278" s="857">
        <f>+SUMIFS(PIB!AI:AI,PIB!AH:AH,Brokerage!AF$4,PIB!AC:AC,Brokerage!$B278)+SUMIFS('T-Bills'!AD:AD,'T-Bills'!AC:AC,Brokerage!AF$4,'T-Bills'!X:X,Brokerage!$B278)</f>
        <v>0</v>
      </c>
      <c r="AG278" s="857">
        <f t="shared" si="26"/>
        <v>0</v>
      </c>
      <c r="AH278" s="858">
        <f t="shared" si="27"/>
        <v>0</v>
      </c>
    </row>
    <row r="279" spans="2:34" x14ac:dyDescent="0.15">
      <c r="B279" s="661">
        <f t="shared" si="25"/>
        <v>44835</v>
      </c>
      <c r="C279" s="857">
        <f>SUMIFS('YTD Sales'!$N:$N,'YTD Sales'!$B:$B,Brokerage!$B279,'YTD Sales'!$M:$M,Brokerage!C$4)+SUMIFS('YTD Purchases'!$H:$H,'YTD Purchases'!$C:$C,Brokerage!$B279,'YTD Purchases'!$G:$G,Brokerage!C$4)</f>
        <v>0</v>
      </c>
      <c r="D279" s="857">
        <f>SUMIFS('YTD Sales'!$N:$N,'YTD Sales'!$B:$B,Brokerage!$B279,'YTD Sales'!$M:$M,Brokerage!D$4)+SUMIFS('YTD Purchases'!$H:$H,'YTD Purchases'!$C:$C,Brokerage!$B279,'YTD Purchases'!$G:$G,Brokerage!D$4)</f>
        <v>0</v>
      </c>
      <c r="E279" s="857">
        <f>SUMIFS('YTD Sales'!$N:$N,'YTD Sales'!$B:$B,Brokerage!$B279,'YTD Sales'!$M:$M,Brokerage!E$4)+SUMIFS('YTD Purchases'!$H:$H,'YTD Purchases'!$C:$C,Brokerage!$B279,'YTD Purchases'!$G:$G,Brokerage!E$4)</f>
        <v>0</v>
      </c>
      <c r="F279" s="857">
        <f>SUMIFS('YTD Sales'!$N:$N,'YTD Sales'!$B:$B,Brokerage!$B279,'YTD Sales'!$M:$M,Brokerage!F$4)+SUMIFS('YTD Purchases'!$H:$H,'YTD Purchases'!$C:$C,Brokerage!$B279,'YTD Purchases'!$G:$G,Brokerage!F$4)</f>
        <v>0</v>
      </c>
      <c r="G279" s="857">
        <f>SUMIFS('YTD Sales'!$N:$N,'YTD Sales'!$B:$B,Brokerage!$B279,'YTD Sales'!$M:$M,Brokerage!G$4)+SUMIFS('YTD Purchases'!$H:$H,'YTD Purchases'!$C:$C,Brokerage!$B279,'YTD Purchases'!$G:$G,Brokerage!G$4)</f>
        <v>0</v>
      </c>
      <c r="H279" s="857">
        <f>SUMIFS('YTD Sales'!$N:$N,'YTD Sales'!$B:$B,Brokerage!$B279,'YTD Sales'!$M:$M,Brokerage!H$4)+SUMIFS('YTD Purchases'!$H:$H,'YTD Purchases'!$C:$C,Brokerage!$B279,'YTD Purchases'!$G:$G,Brokerage!H$4)</f>
        <v>0</v>
      </c>
      <c r="I279" s="857">
        <f>SUMIFS('YTD Sales'!$N:$N,'YTD Sales'!$B:$B,Brokerage!$B279,'YTD Sales'!$M:$M,Brokerage!I$4)+SUMIFS('YTD Purchases'!$H:$H,'YTD Purchases'!$C:$C,Brokerage!$B279,'YTD Purchases'!$G:$G,Brokerage!I$4)</f>
        <v>0</v>
      </c>
      <c r="J279" s="857">
        <f>SUMIFS('YTD Sales'!$N:$N,'YTD Sales'!$B:$B,Brokerage!$B279,'YTD Sales'!$M:$M,Brokerage!J$4)+SUMIFS('YTD Purchases'!$H:$H,'YTD Purchases'!$C:$C,Brokerage!$B279,'YTD Purchases'!$G:$G,Brokerage!J$4)</f>
        <v>0</v>
      </c>
      <c r="K279" s="857">
        <f>SUMIFS('YTD Sales'!$N:$N,'YTD Sales'!$B:$B,Brokerage!$B279,'YTD Sales'!$M:$M,Brokerage!K$4)+SUMIFS('YTD Purchases'!$H:$H,'YTD Purchases'!$C:$C,Brokerage!$B279,'YTD Purchases'!$G:$G,Brokerage!K$4)</f>
        <v>0</v>
      </c>
      <c r="L279" s="857">
        <f>SUMIFS('YTD Sales'!$N:$N,'YTD Sales'!$B:$B,Brokerage!$B279,'YTD Sales'!$M:$M,Brokerage!L$4)+SUMIFS('YTD Purchases'!$H:$H,'YTD Purchases'!$C:$C,Brokerage!$B279,'YTD Purchases'!$G:$G,Brokerage!L$4)</f>
        <v>0</v>
      </c>
      <c r="M279" s="857">
        <f>SUMIFS('YTD Sales'!$N:$N,'YTD Sales'!$B:$B,Brokerage!$B279,'YTD Sales'!$M:$M,Brokerage!M$4)+SUMIFS('YTD Purchases'!$H:$H,'YTD Purchases'!$C:$C,Brokerage!$B279,'YTD Purchases'!$G:$G,Brokerage!M$4)</f>
        <v>0</v>
      </c>
      <c r="N279" s="857">
        <f>SUMIFS('YTD Sales'!$N:$N,'YTD Sales'!$B:$B,Brokerage!$B279,'YTD Sales'!$M:$M,Brokerage!N$4)+SUMIFS('YTD Purchases'!$H:$H,'YTD Purchases'!$C:$C,Brokerage!$B279,'YTD Purchases'!$G:$G,Brokerage!N$4)</f>
        <v>0</v>
      </c>
      <c r="O279" s="857">
        <f>SUMIFS('YTD Sales'!$N:$N,'YTD Sales'!$B:$B,Brokerage!$B279,'YTD Sales'!$M:$M,Brokerage!O$4)+SUMIFS('YTD Purchases'!$H:$H,'YTD Purchases'!$C:$C,Brokerage!$B279,'YTD Purchases'!$G:$G,Brokerage!O$4)</f>
        <v>0</v>
      </c>
      <c r="P279" s="857">
        <f>SUMIFS('YTD Sales'!$N:$N,'YTD Sales'!$B:$B,Brokerage!$B279,'YTD Sales'!$M:$M,Brokerage!P$4)+SUMIFS('YTD Purchases'!$H:$H,'YTD Purchases'!$C:$C,Brokerage!$B279,'YTD Purchases'!$G:$G,Brokerage!P$4)</f>
        <v>0</v>
      </c>
      <c r="Q279" s="857">
        <f>SUMIFS('YTD Sales'!$N:$N,'YTD Sales'!$B:$B,Brokerage!$B279,'YTD Sales'!$M:$M,Brokerage!Q$4)+SUMIFS('YTD Purchases'!$H:$H,'YTD Purchases'!$C:$C,Brokerage!$B279,'YTD Purchases'!$G:$G,Brokerage!Q$4)</f>
        <v>0</v>
      </c>
      <c r="R279" s="857">
        <f>SUMIFS('YTD Sales'!$N:$N,'YTD Sales'!$B:$B,Brokerage!$B279,'YTD Sales'!$M:$M,Brokerage!R$4)+SUMIFS('YTD Purchases'!$H:$H,'YTD Purchases'!$C:$C,Brokerage!$B279,'YTD Purchases'!$G:$G,Brokerage!R$4)</f>
        <v>0</v>
      </c>
      <c r="S279" s="857">
        <f>SUMIFS('YTD Sales'!$N:$N,'YTD Sales'!$B:$B,Brokerage!$B279,'YTD Sales'!$M:$M,Brokerage!S$4)+SUMIFS('YTD Purchases'!$H:$H,'YTD Purchases'!$C:$C,Brokerage!$B279,'YTD Purchases'!$G:$G,Brokerage!S$4)</f>
        <v>0</v>
      </c>
      <c r="T279" s="857">
        <f>SUMIFS('YTD Sales'!$N:$N,'YTD Sales'!$B:$B,Brokerage!$B279,'YTD Sales'!$M:$M,Brokerage!T$4)+SUMIFS('YTD Purchases'!$H:$H,'YTD Purchases'!$C:$C,Brokerage!$B279,'YTD Purchases'!$G:$G,Brokerage!T$4)</f>
        <v>0</v>
      </c>
      <c r="U279" s="857">
        <f>SUMIFS('YTD Sales'!$N:$N,'YTD Sales'!$B:$B,Brokerage!$B279,'YTD Sales'!$M:$M,Brokerage!U$4)+SUMIFS('YTD Purchases'!$H:$H,'YTD Purchases'!$C:$C,Brokerage!$B279,'YTD Purchases'!$G:$G,Brokerage!U$4)</f>
        <v>0</v>
      </c>
      <c r="V279" s="857">
        <f>SUMIFS('YTD Sales'!$N:$N,'YTD Sales'!$B:$B,Brokerage!$B279,'YTD Sales'!$M:$M,Brokerage!V$4)+SUMIFS('YTD Purchases'!$H:$H,'YTD Purchases'!$C:$C,Brokerage!$B279,'YTD Purchases'!$G:$G,Brokerage!V$4)</f>
        <v>0</v>
      </c>
      <c r="W279" s="857">
        <f>SUMIFS('YTD Sales'!$N:$N,'YTD Sales'!$B:$B,Brokerage!$B279,'YTD Sales'!$M:$M,Brokerage!W$4)+SUMIFS('YTD Purchases'!$H:$H,'YTD Purchases'!$C:$C,Brokerage!$B279,'YTD Purchases'!$G:$G,Brokerage!W$4)</f>
        <v>0</v>
      </c>
      <c r="X279" s="857">
        <f>SUMIFS('YTD Sales'!$N:$N,'YTD Sales'!$B:$B,Brokerage!$B279,'YTD Sales'!$M:$M,Brokerage!X$4)+SUMIFS('YTD Purchases'!$H:$H,'YTD Purchases'!$C:$C,Brokerage!$B279,'YTD Purchases'!$G:$G,Brokerage!X$4)</f>
        <v>0</v>
      </c>
      <c r="Y279" s="857">
        <f>SUMIFS('YTD Sales'!$N:$N,'YTD Sales'!$B:$B,Brokerage!$B279,'YTD Sales'!$M:$M,Brokerage!Y$4)+SUMIFS('YTD Purchases'!$H:$H,'YTD Purchases'!$C:$C,Brokerage!$B279,'YTD Purchases'!$G:$G,Brokerage!Y$4)</f>
        <v>0</v>
      </c>
      <c r="Z279" s="857">
        <f>SUMIFS('YTD Sales'!$N:$N,'YTD Sales'!$B:$B,Brokerage!$B279,'YTD Sales'!$M:$M,Brokerage!Z$4)+SUMIFS('YTD Purchases'!$H:$H,'YTD Purchases'!$C:$C,Brokerage!$B279,'YTD Purchases'!$G:$G,Brokerage!Z$4)</f>
        <v>0</v>
      </c>
      <c r="AA279" s="857">
        <f>SUMIFS('YTD Sales'!$N:$N,'YTD Sales'!$B:$B,Brokerage!$B279,'YTD Sales'!$M:$M,Brokerage!AA$4)+SUMIFS('YTD Purchases'!$H:$H,'YTD Purchases'!$C:$C,Brokerage!$B279,'YTD Purchases'!$G:$G,Brokerage!AA$4)</f>
        <v>0</v>
      </c>
      <c r="AB279" s="857">
        <f>SUMIFS('YTD Sales'!$N:$N,'YTD Sales'!$B:$B,Brokerage!$B279,'YTD Sales'!$M:$M,Brokerage!AB$4)+SUMIFS('YTD Purchases'!$H:$H,'YTD Purchases'!$C:$C,Brokerage!$B279,'YTD Purchases'!$G:$G,Brokerage!AB$4)</f>
        <v>0</v>
      </c>
      <c r="AC279" s="857">
        <f>SUMIFS('YTD Sales'!$N:$N,'YTD Sales'!$B:$B,Brokerage!$B279,'YTD Sales'!$M:$M,Brokerage!AC$4)+SUMIFS('YTD Purchases'!$H:$H,'YTD Purchases'!$C:$C,Brokerage!$B279,'YTD Purchases'!$G:$G,Brokerage!AC$4)</f>
        <v>0</v>
      </c>
      <c r="AD279" s="857">
        <f>+SUMIFS(PIB!AG:AG,PIB!AF:AF,Brokerage!AD$4,PIB!AA:AA,Brokerage!$B279)+SUMIFS('T-Bills'!AB:AB,'T-Bills'!AA:AA,Brokerage!AD$4,'T-Bills'!V:V,Brokerage!$B279)</f>
        <v>0</v>
      </c>
      <c r="AE279" s="857">
        <f>+SUMIFS(PIB!AH:AH,PIB!AG:AG,Brokerage!AE$4,PIB!AB:AB,Brokerage!$B279)+SUMIFS('T-Bills'!AC:AC,'T-Bills'!AB:AB,Brokerage!AE$4,'T-Bills'!W:W,Brokerage!$B279)</f>
        <v>0</v>
      </c>
      <c r="AF279" s="857">
        <f>+SUMIFS(PIB!AI:AI,PIB!AH:AH,Brokerage!AF$4,PIB!AC:AC,Brokerage!$B279)+SUMIFS('T-Bills'!AD:AD,'T-Bills'!AC:AC,Brokerage!AF$4,'T-Bills'!X:X,Brokerage!$B279)</f>
        <v>0</v>
      </c>
      <c r="AG279" s="857">
        <f t="shared" si="26"/>
        <v>0</v>
      </c>
      <c r="AH279" s="858">
        <f t="shared" si="27"/>
        <v>0</v>
      </c>
    </row>
    <row r="280" spans="2:34" x14ac:dyDescent="0.15">
      <c r="B280" s="661">
        <f t="shared" si="25"/>
        <v>44836</v>
      </c>
      <c r="C280" s="857">
        <f>SUMIFS('YTD Sales'!$N:$N,'YTD Sales'!$B:$B,Brokerage!$B280,'YTD Sales'!$M:$M,Brokerage!C$4)+SUMIFS('YTD Purchases'!$H:$H,'YTD Purchases'!$C:$C,Brokerage!$B280,'YTD Purchases'!$G:$G,Brokerage!C$4)</f>
        <v>0</v>
      </c>
      <c r="D280" s="857">
        <f>SUMIFS('YTD Sales'!$N:$N,'YTD Sales'!$B:$B,Brokerage!$B280,'YTD Sales'!$M:$M,Brokerage!D$4)+SUMIFS('YTD Purchases'!$H:$H,'YTD Purchases'!$C:$C,Brokerage!$B280,'YTD Purchases'!$G:$G,Brokerage!D$4)</f>
        <v>0</v>
      </c>
      <c r="E280" s="857">
        <f>SUMIFS('YTD Sales'!$N:$N,'YTD Sales'!$B:$B,Brokerage!$B280,'YTD Sales'!$M:$M,Brokerage!E$4)+SUMIFS('YTD Purchases'!$H:$H,'YTD Purchases'!$C:$C,Brokerage!$B280,'YTD Purchases'!$G:$G,Brokerage!E$4)</f>
        <v>0</v>
      </c>
      <c r="F280" s="857">
        <f>SUMIFS('YTD Sales'!$N:$N,'YTD Sales'!$B:$B,Brokerage!$B280,'YTD Sales'!$M:$M,Brokerage!F$4)+SUMIFS('YTD Purchases'!$H:$H,'YTD Purchases'!$C:$C,Brokerage!$B280,'YTD Purchases'!$G:$G,Brokerage!F$4)</f>
        <v>0</v>
      </c>
      <c r="G280" s="857">
        <f>SUMIFS('YTD Sales'!$N:$N,'YTD Sales'!$B:$B,Brokerage!$B280,'YTD Sales'!$M:$M,Brokerage!G$4)+SUMIFS('YTD Purchases'!$H:$H,'YTD Purchases'!$C:$C,Brokerage!$B280,'YTD Purchases'!$G:$G,Brokerage!G$4)</f>
        <v>0</v>
      </c>
      <c r="H280" s="857">
        <f>SUMIFS('YTD Sales'!$N:$N,'YTD Sales'!$B:$B,Brokerage!$B280,'YTD Sales'!$M:$M,Brokerage!H$4)+SUMIFS('YTD Purchases'!$H:$H,'YTD Purchases'!$C:$C,Brokerage!$B280,'YTD Purchases'!$G:$G,Brokerage!H$4)</f>
        <v>0</v>
      </c>
      <c r="I280" s="857">
        <f>SUMIFS('YTD Sales'!$N:$N,'YTD Sales'!$B:$B,Brokerage!$B280,'YTD Sales'!$M:$M,Brokerage!I$4)+SUMIFS('YTD Purchases'!$H:$H,'YTD Purchases'!$C:$C,Brokerage!$B280,'YTD Purchases'!$G:$G,Brokerage!I$4)</f>
        <v>0</v>
      </c>
      <c r="J280" s="857">
        <f>SUMIFS('YTD Sales'!$N:$N,'YTD Sales'!$B:$B,Brokerage!$B280,'YTD Sales'!$M:$M,Brokerage!J$4)+SUMIFS('YTD Purchases'!$H:$H,'YTD Purchases'!$C:$C,Brokerage!$B280,'YTD Purchases'!$G:$G,Brokerage!J$4)</f>
        <v>0</v>
      </c>
      <c r="K280" s="857">
        <f>SUMIFS('YTD Sales'!$N:$N,'YTD Sales'!$B:$B,Brokerage!$B280,'YTD Sales'!$M:$M,Brokerage!K$4)+SUMIFS('YTD Purchases'!$H:$H,'YTD Purchases'!$C:$C,Brokerage!$B280,'YTD Purchases'!$G:$G,Brokerage!K$4)</f>
        <v>0</v>
      </c>
      <c r="L280" s="857">
        <f>SUMIFS('YTD Sales'!$N:$N,'YTD Sales'!$B:$B,Brokerage!$B280,'YTD Sales'!$M:$M,Brokerage!L$4)+SUMIFS('YTD Purchases'!$H:$H,'YTD Purchases'!$C:$C,Brokerage!$B280,'YTD Purchases'!$G:$G,Brokerage!L$4)</f>
        <v>0</v>
      </c>
      <c r="M280" s="857">
        <f>SUMIFS('YTD Sales'!$N:$N,'YTD Sales'!$B:$B,Brokerage!$B280,'YTD Sales'!$M:$M,Brokerage!M$4)+SUMIFS('YTD Purchases'!$H:$H,'YTD Purchases'!$C:$C,Brokerage!$B280,'YTD Purchases'!$G:$G,Brokerage!M$4)</f>
        <v>0</v>
      </c>
      <c r="N280" s="857">
        <f>SUMIFS('YTD Sales'!$N:$N,'YTD Sales'!$B:$B,Brokerage!$B280,'YTD Sales'!$M:$M,Brokerage!N$4)+SUMIFS('YTD Purchases'!$H:$H,'YTD Purchases'!$C:$C,Brokerage!$B280,'YTD Purchases'!$G:$G,Brokerage!N$4)</f>
        <v>0</v>
      </c>
      <c r="O280" s="857">
        <f>SUMIFS('YTD Sales'!$N:$N,'YTD Sales'!$B:$B,Brokerage!$B280,'YTD Sales'!$M:$M,Brokerage!O$4)+SUMIFS('YTD Purchases'!$H:$H,'YTD Purchases'!$C:$C,Brokerage!$B280,'YTD Purchases'!$G:$G,Brokerage!O$4)</f>
        <v>0</v>
      </c>
      <c r="P280" s="857">
        <f>SUMIFS('YTD Sales'!$N:$N,'YTD Sales'!$B:$B,Brokerage!$B280,'YTD Sales'!$M:$M,Brokerage!P$4)+SUMIFS('YTD Purchases'!$H:$H,'YTD Purchases'!$C:$C,Brokerage!$B280,'YTD Purchases'!$G:$G,Brokerage!P$4)</f>
        <v>0</v>
      </c>
      <c r="Q280" s="857">
        <f>SUMIFS('YTD Sales'!$N:$N,'YTD Sales'!$B:$B,Brokerage!$B280,'YTD Sales'!$M:$M,Brokerage!Q$4)+SUMIFS('YTD Purchases'!$H:$H,'YTD Purchases'!$C:$C,Brokerage!$B280,'YTD Purchases'!$G:$G,Brokerage!Q$4)</f>
        <v>0</v>
      </c>
      <c r="R280" s="857">
        <f>SUMIFS('YTD Sales'!$N:$N,'YTD Sales'!$B:$B,Brokerage!$B280,'YTD Sales'!$M:$M,Brokerage!R$4)+SUMIFS('YTD Purchases'!$H:$H,'YTD Purchases'!$C:$C,Brokerage!$B280,'YTD Purchases'!$G:$G,Brokerage!R$4)</f>
        <v>0</v>
      </c>
      <c r="S280" s="857">
        <f>SUMIFS('YTD Sales'!$N:$N,'YTD Sales'!$B:$B,Brokerage!$B280,'YTD Sales'!$M:$M,Brokerage!S$4)+SUMIFS('YTD Purchases'!$H:$H,'YTD Purchases'!$C:$C,Brokerage!$B280,'YTD Purchases'!$G:$G,Brokerage!S$4)</f>
        <v>0</v>
      </c>
      <c r="T280" s="857">
        <f>SUMIFS('YTD Sales'!$N:$N,'YTD Sales'!$B:$B,Brokerage!$B280,'YTD Sales'!$M:$M,Brokerage!T$4)+SUMIFS('YTD Purchases'!$H:$H,'YTD Purchases'!$C:$C,Brokerage!$B280,'YTD Purchases'!$G:$G,Brokerage!T$4)</f>
        <v>0</v>
      </c>
      <c r="U280" s="857">
        <f>SUMIFS('YTD Sales'!$N:$N,'YTD Sales'!$B:$B,Brokerage!$B280,'YTD Sales'!$M:$M,Brokerage!U$4)+SUMIFS('YTD Purchases'!$H:$H,'YTD Purchases'!$C:$C,Brokerage!$B280,'YTD Purchases'!$G:$G,Brokerage!U$4)</f>
        <v>0</v>
      </c>
      <c r="V280" s="857">
        <f>SUMIFS('YTD Sales'!$N:$N,'YTD Sales'!$B:$B,Brokerage!$B280,'YTD Sales'!$M:$M,Brokerage!V$4)+SUMIFS('YTD Purchases'!$H:$H,'YTD Purchases'!$C:$C,Brokerage!$B280,'YTD Purchases'!$G:$G,Brokerage!V$4)</f>
        <v>0</v>
      </c>
      <c r="W280" s="857">
        <f>SUMIFS('YTD Sales'!$N:$N,'YTD Sales'!$B:$B,Brokerage!$B280,'YTD Sales'!$M:$M,Brokerage!W$4)+SUMIFS('YTD Purchases'!$H:$H,'YTD Purchases'!$C:$C,Brokerage!$B280,'YTD Purchases'!$G:$G,Brokerage!W$4)</f>
        <v>0</v>
      </c>
      <c r="X280" s="857">
        <f>SUMIFS('YTD Sales'!$N:$N,'YTD Sales'!$B:$B,Brokerage!$B280,'YTD Sales'!$M:$M,Brokerage!X$4)+SUMIFS('YTD Purchases'!$H:$H,'YTD Purchases'!$C:$C,Brokerage!$B280,'YTD Purchases'!$G:$G,Brokerage!X$4)</f>
        <v>0</v>
      </c>
      <c r="Y280" s="857">
        <f>SUMIFS('YTD Sales'!$N:$N,'YTD Sales'!$B:$B,Brokerage!$B280,'YTD Sales'!$M:$M,Brokerage!Y$4)+SUMIFS('YTD Purchases'!$H:$H,'YTD Purchases'!$C:$C,Brokerage!$B280,'YTD Purchases'!$G:$G,Brokerage!Y$4)</f>
        <v>0</v>
      </c>
      <c r="Z280" s="857">
        <f>SUMIFS('YTD Sales'!$N:$N,'YTD Sales'!$B:$B,Brokerage!$B280,'YTD Sales'!$M:$M,Brokerage!Z$4)+SUMIFS('YTD Purchases'!$H:$H,'YTD Purchases'!$C:$C,Brokerage!$B280,'YTD Purchases'!$G:$G,Brokerage!Z$4)</f>
        <v>0</v>
      </c>
      <c r="AA280" s="857">
        <f>SUMIFS('YTD Sales'!$N:$N,'YTD Sales'!$B:$B,Brokerage!$B280,'YTD Sales'!$M:$M,Brokerage!AA$4)+SUMIFS('YTD Purchases'!$H:$H,'YTD Purchases'!$C:$C,Brokerage!$B280,'YTD Purchases'!$G:$G,Brokerage!AA$4)</f>
        <v>0</v>
      </c>
      <c r="AB280" s="857">
        <f>SUMIFS('YTD Sales'!$N:$N,'YTD Sales'!$B:$B,Brokerage!$B280,'YTD Sales'!$M:$M,Brokerage!AB$4)+SUMIFS('YTD Purchases'!$H:$H,'YTD Purchases'!$C:$C,Brokerage!$B280,'YTD Purchases'!$G:$G,Brokerage!AB$4)</f>
        <v>0</v>
      </c>
      <c r="AC280" s="857">
        <f>SUMIFS('YTD Sales'!$N:$N,'YTD Sales'!$B:$B,Brokerage!$B280,'YTD Sales'!$M:$M,Brokerage!AC$4)+SUMIFS('YTD Purchases'!$H:$H,'YTD Purchases'!$C:$C,Brokerage!$B280,'YTD Purchases'!$G:$G,Brokerage!AC$4)</f>
        <v>0</v>
      </c>
      <c r="AD280" s="857">
        <f>+SUMIFS(PIB!AG:AG,PIB!AF:AF,Brokerage!AD$4,PIB!AA:AA,Brokerage!$B280)+SUMIFS('T-Bills'!AB:AB,'T-Bills'!AA:AA,Brokerage!AD$4,'T-Bills'!V:V,Brokerage!$B280)</f>
        <v>0</v>
      </c>
      <c r="AE280" s="857">
        <f>+SUMIFS(PIB!AH:AH,PIB!AG:AG,Brokerage!AE$4,PIB!AB:AB,Brokerage!$B280)+SUMIFS('T-Bills'!AC:AC,'T-Bills'!AB:AB,Brokerage!AE$4,'T-Bills'!W:W,Brokerage!$B280)</f>
        <v>0</v>
      </c>
      <c r="AF280" s="857">
        <f>+SUMIFS(PIB!AI:AI,PIB!AH:AH,Brokerage!AF$4,PIB!AC:AC,Brokerage!$B280)+SUMIFS('T-Bills'!AD:AD,'T-Bills'!AC:AC,Brokerage!AF$4,'T-Bills'!X:X,Brokerage!$B280)</f>
        <v>0</v>
      </c>
      <c r="AG280" s="857">
        <f t="shared" si="26"/>
        <v>0</v>
      </c>
      <c r="AH280" s="858">
        <f t="shared" si="27"/>
        <v>0</v>
      </c>
    </row>
    <row r="281" spans="2:34" x14ac:dyDescent="0.15">
      <c r="B281" s="661">
        <f t="shared" si="25"/>
        <v>44837</v>
      </c>
      <c r="C281" s="857">
        <f>SUMIFS('YTD Sales'!$N:$N,'YTD Sales'!$B:$B,Brokerage!$B281,'YTD Sales'!$M:$M,Brokerage!C$4)+SUMIFS('YTD Purchases'!$H:$H,'YTD Purchases'!$C:$C,Brokerage!$B281,'YTD Purchases'!$G:$G,Brokerage!C$4)</f>
        <v>0</v>
      </c>
      <c r="D281" s="857">
        <f>SUMIFS('YTD Sales'!$N:$N,'YTD Sales'!$B:$B,Brokerage!$B281,'YTD Sales'!$M:$M,Brokerage!D$4)+SUMIFS('YTD Purchases'!$H:$H,'YTD Purchases'!$C:$C,Brokerage!$B281,'YTD Purchases'!$G:$G,Brokerage!D$4)</f>
        <v>0</v>
      </c>
      <c r="E281" s="857">
        <f>SUMIFS('YTD Sales'!$N:$N,'YTD Sales'!$B:$B,Brokerage!$B281,'YTD Sales'!$M:$M,Brokerage!E$4)+SUMIFS('YTD Purchases'!$H:$H,'YTD Purchases'!$C:$C,Brokerage!$B281,'YTD Purchases'!$G:$G,Brokerage!E$4)</f>
        <v>0</v>
      </c>
      <c r="F281" s="857">
        <f>SUMIFS('YTD Sales'!$N:$N,'YTD Sales'!$B:$B,Brokerage!$B281,'YTD Sales'!$M:$M,Brokerage!F$4)+SUMIFS('YTD Purchases'!$H:$H,'YTD Purchases'!$C:$C,Brokerage!$B281,'YTD Purchases'!$G:$G,Brokerage!F$4)</f>
        <v>0</v>
      </c>
      <c r="G281" s="857">
        <f>SUMIFS('YTD Sales'!$N:$N,'YTD Sales'!$B:$B,Brokerage!$B281,'YTD Sales'!$M:$M,Brokerage!G$4)+SUMIFS('YTD Purchases'!$H:$H,'YTD Purchases'!$C:$C,Brokerage!$B281,'YTD Purchases'!$G:$G,Brokerage!G$4)</f>
        <v>0</v>
      </c>
      <c r="H281" s="857">
        <f>SUMIFS('YTD Sales'!$N:$N,'YTD Sales'!$B:$B,Brokerage!$B281,'YTD Sales'!$M:$M,Brokerage!H$4)+SUMIFS('YTD Purchases'!$H:$H,'YTD Purchases'!$C:$C,Brokerage!$B281,'YTD Purchases'!$G:$G,Brokerage!H$4)</f>
        <v>0</v>
      </c>
      <c r="I281" s="857">
        <f>SUMIFS('YTD Sales'!$N:$N,'YTD Sales'!$B:$B,Brokerage!$B281,'YTD Sales'!$M:$M,Brokerage!I$4)+SUMIFS('YTD Purchases'!$H:$H,'YTD Purchases'!$C:$C,Brokerage!$B281,'YTD Purchases'!$G:$G,Brokerage!I$4)</f>
        <v>0</v>
      </c>
      <c r="J281" s="857">
        <f>SUMIFS('YTD Sales'!$N:$N,'YTD Sales'!$B:$B,Brokerage!$B281,'YTD Sales'!$M:$M,Brokerage!J$4)+SUMIFS('YTD Purchases'!$H:$H,'YTD Purchases'!$C:$C,Brokerage!$B281,'YTD Purchases'!$G:$G,Brokerage!J$4)</f>
        <v>0</v>
      </c>
      <c r="K281" s="857">
        <f>SUMIFS('YTD Sales'!$N:$N,'YTD Sales'!$B:$B,Brokerage!$B281,'YTD Sales'!$M:$M,Brokerage!K$4)+SUMIFS('YTD Purchases'!$H:$H,'YTD Purchases'!$C:$C,Brokerage!$B281,'YTD Purchases'!$G:$G,Brokerage!K$4)</f>
        <v>0</v>
      </c>
      <c r="L281" s="857">
        <f>SUMIFS('YTD Sales'!$N:$N,'YTD Sales'!$B:$B,Brokerage!$B281,'YTD Sales'!$M:$M,Brokerage!L$4)+SUMIFS('YTD Purchases'!$H:$H,'YTD Purchases'!$C:$C,Brokerage!$B281,'YTD Purchases'!$G:$G,Brokerage!L$4)</f>
        <v>0</v>
      </c>
      <c r="M281" s="857">
        <f>SUMIFS('YTD Sales'!$N:$N,'YTD Sales'!$B:$B,Brokerage!$B281,'YTD Sales'!$M:$M,Brokerage!M$4)+SUMIFS('YTD Purchases'!$H:$H,'YTD Purchases'!$C:$C,Brokerage!$B281,'YTD Purchases'!$G:$G,Brokerage!M$4)</f>
        <v>0</v>
      </c>
      <c r="N281" s="857">
        <f>SUMIFS('YTD Sales'!$N:$N,'YTD Sales'!$B:$B,Brokerage!$B281,'YTD Sales'!$M:$M,Brokerage!N$4)+SUMIFS('YTD Purchases'!$H:$H,'YTD Purchases'!$C:$C,Brokerage!$B281,'YTD Purchases'!$G:$G,Brokerage!N$4)</f>
        <v>0</v>
      </c>
      <c r="O281" s="857">
        <f>SUMIFS('YTD Sales'!$N:$N,'YTD Sales'!$B:$B,Brokerage!$B281,'YTD Sales'!$M:$M,Brokerage!O$4)+SUMIFS('YTD Purchases'!$H:$H,'YTD Purchases'!$C:$C,Brokerage!$B281,'YTD Purchases'!$G:$G,Brokerage!O$4)</f>
        <v>0</v>
      </c>
      <c r="P281" s="857">
        <f>SUMIFS('YTD Sales'!$N:$N,'YTD Sales'!$B:$B,Brokerage!$B281,'YTD Sales'!$M:$M,Brokerage!P$4)+SUMIFS('YTD Purchases'!$H:$H,'YTD Purchases'!$C:$C,Brokerage!$B281,'YTD Purchases'!$G:$G,Brokerage!P$4)</f>
        <v>0</v>
      </c>
      <c r="Q281" s="857">
        <f>SUMIFS('YTD Sales'!$N:$N,'YTD Sales'!$B:$B,Brokerage!$B281,'YTD Sales'!$M:$M,Brokerage!Q$4)+SUMIFS('YTD Purchases'!$H:$H,'YTD Purchases'!$C:$C,Brokerage!$B281,'YTD Purchases'!$G:$G,Brokerage!Q$4)</f>
        <v>0</v>
      </c>
      <c r="R281" s="857">
        <f>SUMIFS('YTD Sales'!$N:$N,'YTD Sales'!$B:$B,Brokerage!$B281,'YTD Sales'!$M:$M,Brokerage!R$4)+SUMIFS('YTD Purchases'!$H:$H,'YTD Purchases'!$C:$C,Brokerage!$B281,'YTD Purchases'!$G:$G,Brokerage!R$4)</f>
        <v>0</v>
      </c>
      <c r="S281" s="857">
        <f>SUMIFS('YTD Sales'!$N:$N,'YTD Sales'!$B:$B,Brokerage!$B281,'YTD Sales'!$M:$M,Brokerage!S$4)+SUMIFS('YTD Purchases'!$H:$H,'YTD Purchases'!$C:$C,Brokerage!$B281,'YTD Purchases'!$G:$G,Brokerage!S$4)</f>
        <v>0</v>
      </c>
      <c r="T281" s="857">
        <f>SUMIFS('YTD Sales'!$N:$N,'YTD Sales'!$B:$B,Brokerage!$B281,'YTD Sales'!$M:$M,Brokerage!T$4)+SUMIFS('YTD Purchases'!$H:$H,'YTD Purchases'!$C:$C,Brokerage!$B281,'YTD Purchases'!$G:$G,Brokerage!T$4)</f>
        <v>0</v>
      </c>
      <c r="U281" s="857">
        <f>SUMIFS('YTD Sales'!$N:$N,'YTD Sales'!$B:$B,Brokerage!$B281,'YTD Sales'!$M:$M,Brokerage!U$4)+SUMIFS('YTD Purchases'!$H:$H,'YTD Purchases'!$C:$C,Brokerage!$B281,'YTD Purchases'!$G:$G,Brokerage!U$4)</f>
        <v>0</v>
      </c>
      <c r="V281" s="857">
        <f>SUMIFS('YTD Sales'!$N:$N,'YTD Sales'!$B:$B,Brokerage!$B281,'YTD Sales'!$M:$M,Brokerage!V$4)+SUMIFS('YTD Purchases'!$H:$H,'YTD Purchases'!$C:$C,Brokerage!$B281,'YTD Purchases'!$G:$G,Brokerage!V$4)</f>
        <v>0</v>
      </c>
      <c r="W281" s="857">
        <f>SUMIFS('YTD Sales'!$N:$N,'YTD Sales'!$B:$B,Brokerage!$B281,'YTD Sales'!$M:$M,Brokerage!W$4)+SUMIFS('YTD Purchases'!$H:$H,'YTD Purchases'!$C:$C,Brokerage!$B281,'YTD Purchases'!$G:$G,Brokerage!W$4)</f>
        <v>0</v>
      </c>
      <c r="X281" s="857">
        <f>SUMIFS('YTD Sales'!$N:$N,'YTD Sales'!$B:$B,Brokerage!$B281,'YTD Sales'!$M:$M,Brokerage!X$4)+SUMIFS('YTD Purchases'!$H:$H,'YTD Purchases'!$C:$C,Brokerage!$B281,'YTD Purchases'!$G:$G,Brokerage!X$4)</f>
        <v>0</v>
      </c>
      <c r="Y281" s="857">
        <f>SUMIFS('YTD Sales'!$N:$N,'YTD Sales'!$B:$B,Brokerage!$B281,'YTD Sales'!$M:$M,Brokerage!Y$4)+SUMIFS('YTD Purchases'!$H:$H,'YTD Purchases'!$C:$C,Brokerage!$B281,'YTD Purchases'!$G:$G,Brokerage!Y$4)</f>
        <v>0</v>
      </c>
      <c r="Z281" s="857">
        <f>SUMIFS('YTD Sales'!$N:$N,'YTD Sales'!$B:$B,Brokerage!$B281,'YTD Sales'!$M:$M,Brokerage!Z$4)+SUMIFS('YTD Purchases'!$H:$H,'YTD Purchases'!$C:$C,Brokerage!$B281,'YTD Purchases'!$G:$G,Brokerage!Z$4)</f>
        <v>0</v>
      </c>
      <c r="AA281" s="857">
        <f>SUMIFS('YTD Sales'!$N:$N,'YTD Sales'!$B:$B,Brokerage!$B281,'YTD Sales'!$M:$M,Brokerage!AA$4)+SUMIFS('YTD Purchases'!$H:$H,'YTD Purchases'!$C:$C,Brokerage!$B281,'YTD Purchases'!$G:$G,Brokerage!AA$4)</f>
        <v>0</v>
      </c>
      <c r="AB281" s="857">
        <f>SUMIFS('YTD Sales'!$N:$N,'YTD Sales'!$B:$B,Brokerage!$B281,'YTD Sales'!$M:$M,Brokerage!AB$4)+SUMIFS('YTD Purchases'!$H:$H,'YTD Purchases'!$C:$C,Brokerage!$B281,'YTD Purchases'!$G:$G,Brokerage!AB$4)</f>
        <v>0</v>
      </c>
      <c r="AC281" s="857">
        <f>SUMIFS('YTD Sales'!$N:$N,'YTD Sales'!$B:$B,Brokerage!$B281,'YTD Sales'!$M:$M,Brokerage!AC$4)+SUMIFS('YTD Purchases'!$H:$H,'YTD Purchases'!$C:$C,Brokerage!$B281,'YTD Purchases'!$G:$G,Brokerage!AC$4)</f>
        <v>0</v>
      </c>
      <c r="AD281" s="857">
        <f>+SUMIFS(PIB!AG:AG,PIB!AF:AF,Brokerage!AD$4,PIB!AA:AA,Brokerage!$B281)+SUMIFS('T-Bills'!AB:AB,'T-Bills'!AA:AA,Brokerage!AD$4,'T-Bills'!V:V,Brokerage!$B281)</f>
        <v>0</v>
      </c>
      <c r="AE281" s="857">
        <f>+SUMIFS(PIB!AH:AH,PIB!AG:AG,Brokerage!AE$4,PIB!AB:AB,Brokerage!$B281)+SUMIFS('T-Bills'!AC:AC,'T-Bills'!AB:AB,Brokerage!AE$4,'T-Bills'!W:W,Brokerage!$B281)</f>
        <v>0</v>
      </c>
      <c r="AF281" s="857">
        <f>+SUMIFS(PIB!AI:AI,PIB!AH:AH,Brokerage!AF$4,PIB!AC:AC,Brokerage!$B281)+SUMIFS('T-Bills'!AD:AD,'T-Bills'!AC:AC,Brokerage!AF$4,'T-Bills'!X:X,Brokerage!$B281)</f>
        <v>0</v>
      </c>
      <c r="AG281" s="857">
        <f t="shared" si="26"/>
        <v>0</v>
      </c>
      <c r="AH281" s="858">
        <f t="shared" si="27"/>
        <v>0</v>
      </c>
    </row>
    <row r="282" spans="2:34" x14ac:dyDescent="0.15">
      <c r="B282" s="661">
        <f t="shared" si="25"/>
        <v>44838</v>
      </c>
      <c r="C282" s="857">
        <f>SUMIFS('YTD Sales'!$N:$N,'YTD Sales'!$B:$B,Brokerage!$B282,'YTD Sales'!$M:$M,Brokerage!C$4)+SUMIFS('YTD Purchases'!$H:$H,'YTD Purchases'!$C:$C,Brokerage!$B282,'YTD Purchases'!$G:$G,Brokerage!C$4)</f>
        <v>0</v>
      </c>
      <c r="D282" s="857">
        <f>SUMIFS('YTD Sales'!$N:$N,'YTD Sales'!$B:$B,Brokerage!$B282,'YTD Sales'!$M:$M,Brokerage!D$4)+SUMIFS('YTD Purchases'!$H:$H,'YTD Purchases'!$C:$C,Brokerage!$B282,'YTD Purchases'!$G:$G,Brokerage!D$4)</f>
        <v>0</v>
      </c>
      <c r="E282" s="857">
        <f>SUMIFS('YTD Sales'!$N:$N,'YTD Sales'!$B:$B,Brokerage!$B282,'YTD Sales'!$M:$M,Brokerage!E$4)+SUMIFS('YTD Purchases'!$H:$H,'YTD Purchases'!$C:$C,Brokerage!$B282,'YTD Purchases'!$G:$G,Brokerage!E$4)</f>
        <v>0</v>
      </c>
      <c r="F282" s="857">
        <f>SUMIFS('YTD Sales'!$N:$N,'YTD Sales'!$B:$B,Brokerage!$B282,'YTD Sales'!$M:$M,Brokerage!F$4)+SUMIFS('YTD Purchases'!$H:$H,'YTD Purchases'!$C:$C,Brokerage!$B282,'YTD Purchases'!$G:$G,Brokerage!F$4)</f>
        <v>0</v>
      </c>
      <c r="G282" s="857">
        <f>SUMIFS('YTD Sales'!$N:$N,'YTD Sales'!$B:$B,Brokerage!$B282,'YTD Sales'!$M:$M,Brokerage!G$4)+SUMIFS('YTD Purchases'!$H:$H,'YTD Purchases'!$C:$C,Brokerage!$B282,'YTD Purchases'!$G:$G,Brokerage!G$4)</f>
        <v>0</v>
      </c>
      <c r="H282" s="857">
        <f>SUMIFS('YTD Sales'!$N:$N,'YTD Sales'!$B:$B,Brokerage!$B282,'YTD Sales'!$M:$M,Brokerage!H$4)+SUMIFS('YTD Purchases'!$H:$H,'YTD Purchases'!$C:$C,Brokerage!$B282,'YTD Purchases'!$G:$G,Brokerage!H$4)</f>
        <v>0</v>
      </c>
      <c r="I282" s="857">
        <f>SUMIFS('YTD Sales'!$N:$N,'YTD Sales'!$B:$B,Brokerage!$B282,'YTD Sales'!$M:$M,Brokerage!I$4)+SUMIFS('YTD Purchases'!$H:$H,'YTD Purchases'!$C:$C,Brokerage!$B282,'YTD Purchases'!$G:$G,Brokerage!I$4)</f>
        <v>0</v>
      </c>
      <c r="J282" s="857">
        <f>SUMIFS('YTD Sales'!$N:$N,'YTD Sales'!$B:$B,Brokerage!$B282,'YTD Sales'!$M:$M,Brokerage!J$4)+SUMIFS('YTD Purchases'!$H:$H,'YTD Purchases'!$C:$C,Brokerage!$B282,'YTD Purchases'!$G:$G,Brokerage!J$4)</f>
        <v>0</v>
      </c>
      <c r="K282" s="857">
        <f>SUMIFS('YTD Sales'!$N:$N,'YTD Sales'!$B:$B,Brokerage!$B282,'YTD Sales'!$M:$M,Brokerage!K$4)+SUMIFS('YTD Purchases'!$H:$H,'YTD Purchases'!$C:$C,Brokerage!$B282,'YTD Purchases'!$G:$G,Brokerage!K$4)</f>
        <v>0</v>
      </c>
      <c r="L282" s="857">
        <f>SUMIFS('YTD Sales'!$N:$N,'YTD Sales'!$B:$B,Brokerage!$B282,'YTD Sales'!$M:$M,Brokerage!L$4)+SUMIFS('YTD Purchases'!$H:$H,'YTD Purchases'!$C:$C,Brokerage!$B282,'YTD Purchases'!$G:$G,Brokerage!L$4)</f>
        <v>0</v>
      </c>
      <c r="M282" s="857">
        <f>SUMIFS('YTD Sales'!$N:$N,'YTD Sales'!$B:$B,Brokerage!$B282,'YTD Sales'!$M:$M,Brokerage!M$4)+SUMIFS('YTD Purchases'!$H:$H,'YTD Purchases'!$C:$C,Brokerage!$B282,'YTD Purchases'!$G:$G,Brokerage!M$4)</f>
        <v>0</v>
      </c>
      <c r="N282" s="857">
        <f>SUMIFS('YTD Sales'!$N:$N,'YTD Sales'!$B:$B,Brokerage!$B282,'YTD Sales'!$M:$M,Brokerage!N$4)+SUMIFS('YTD Purchases'!$H:$H,'YTD Purchases'!$C:$C,Brokerage!$B282,'YTD Purchases'!$G:$G,Brokerage!N$4)</f>
        <v>0</v>
      </c>
      <c r="O282" s="857">
        <f>SUMIFS('YTD Sales'!$N:$N,'YTD Sales'!$B:$B,Brokerage!$B282,'YTD Sales'!$M:$M,Brokerage!O$4)+SUMIFS('YTD Purchases'!$H:$H,'YTD Purchases'!$C:$C,Brokerage!$B282,'YTD Purchases'!$G:$G,Brokerage!O$4)</f>
        <v>0</v>
      </c>
      <c r="P282" s="857">
        <f>SUMIFS('YTD Sales'!$N:$N,'YTD Sales'!$B:$B,Brokerage!$B282,'YTD Sales'!$M:$M,Brokerage!P$4)+SUMIFS('YTD Purchases'!$H:$H,'YTD Purchases'!$C:$C,Brokerage!$B282,'YTD Purchases'!$G:$G,Brokerage!P$4)</f>
        <v>0</v>
      </c>
      <c r="Q282" s="857">
        <f>SUMIFS('YTD Sales'!$N:$N,'YTD Sales'!$B:$B,Brokerage!$B282,'YTD Sales'!$M:$M,Brokerage!Q$4)+SUMIFS('YTD Purchases'!$H:$H,'YTD Purchases'!$C:$C,Brokerage!$B282,'YTD Purchases'!$G:$G,Brokerage!Q$4)</f>
        <v>0</v>
      </c>
      <c r="R282" s="857">
        <f>SUMIFS('YTD Sales'!$N:$N,'YTD Sales'!$B:$B,Brokerage!$B282,'YTD Sales'!$M:$M,Brokerage!R$4)+SUMIFS('YTD Purchases'!$H:$H,'YTD Purchases'!$C:$C,Brokerage!$B282,'YTD Purchases'!$G:$G,Brokerage!R$4)</f>
        <v>0</v>
      </c>
      <c r="S282" s="857">
        <f>SUMIFS('YTD Sales'!$N:$N,'YTD Sales'!$B:$B,Brokerage!$B282,'YTD Sales'!$M:$M,Brokerage!S$4)+SUMIFS('YTD Purchases'!$H:$H,'YTD Purchases'!$C:$C,Brokerage!$B282,'YTD Purchases'!$G:$G,Brokerage!S$4)</f>
        <v>0</v>
      </c>
      <c r="T282" s="857">
        <f>SUMIFS('YTD Sales'!$N:$N,'YTD Sales'!$B:$B,Brokerage!$B282,'YTD Sales'!$M:$M,Brokerage!T$4)+SUMIFS('YTD Purchases'!$H:$H,'YTD Purchases'!$C:$C,Brokerage!$B282,'YTD Purchases'!$G:$G,Brokerage!T$4)</f>
        <v>0</v>
      </c>
      <c r="U282" s="857">
        <f>SUMIFS('YTD Sales'!$N:$N,'YTD Sales'!$B:$B,Brokerage!$B282,'YTD Sales'!$M:$M,Brokerage!U$4)+SUMIFS('YTD Purchases'!$H:$H,'YTD Purchases'!$C:$C,Brokerage!$B282,'YTD Purchases'!$G:$G,Brokerage!U$4)</f>
        <v>0</v>
      </c>
      <c r="V282" s="857">
        <f>SUMIFS('YTD Sales'!$N:$N,'YTD Sales'!$B:$B,Brokerage!$B282,'YTD Sales'!$M:$M,Brokerage!V$4)+SUMIFS('YTD Purchases'!$H:$H,'YTD Purchases'!$C:$C,Brokerage!$B282,'YTD Purchases'!$G:$G,Brokerage!V$4)</f>
        <v>0</v>
      </c>
      <c r="W282" s="857">
        <f>SUMIFS('YTD Sales'!$N:$N,'YTD Sales'!$B:$B,Brokerage!$B282,'YTD Sales'!$M:$M,Brokerage!W$4)+SUMIFS('YTD Purchases'!$H:$H,'YTD Purchases'!$C:$C,Brokerage!$B282,'YTD Purchases'!$G:$G,Brokerage!W$4)</f>
        <v>0</v>
      </c>
      <c r="X282" s="857">
        <f>SUMIFS('YTD Sales'!$N:$N,'YTD Sales'!$B:$B,Brokerage!$B282,'YTD Sales'!$M:$M,Brokerage!X$4)+SUMIFS('YTD Purchases'!$H:$H,'YTD Purchases'!$C:$C,Brokerage!$B282,'YTD Purchases'!$G:$G,Brokerage!X$4)</f>
        <v>0</v>
      </c>
      <c r="Y282" s="857">
        <f>SUMIFS('YTD Sales'!$N:$N,'YTD Sales'!$B:$B,Brokerage!$B282,'YTD Sales'!$M:$M,Brokerage!Y$4)+SUMIFS('YTD Purchases'!$H:$H,'YTD Purchases'!$C:$C,Brokerage!$B282,'YTD Purchases'!$G:$G,Brokerage!Y$4)</f>
        <v>0</v>
      </c>
      <c r="Z282" s="857">
        <f>SUMIFS('YTD Sales'!$N:$N,'YTD Sales'!$B:$B,Brokerage!$B282,'YTD Sales'!$M:$M,Brokerage!Z$4)+SUMIFS('YTD Purchases'!$H:$H,'YTD Purchases'!$C:$C,Brokerage!$B282,'YTD Purchases'!$G:$G,Brokerage!Z$4)</f>
        <v>0</v>
      </c>
      <c r="AA282" s="857">
        <f>SUMIFS('YTD Sales'!$N:$N,'YTD Sales'!$B:$B,Brokerage!$B282,'YTD Sales'!$M:$M,Brokerage!AA$4)+SUMIFS('YTD Purchases'!$H:$H,'YTD Purchases'!$C:$C,Brokerage!$B282,'YTD Purchases'!$G:$G,Brokerage!AA$4)</f>
        <v>0</v>
      </c>
      <c r="AB282" s="857">
        <f>SUMIFS('YTD Sales'!$N:$N,'YTD Sales'!$B:$B,Brokerage!$B282,'YTD Sales'!$M:$M,Brokerage!AB$4)+SUMIFS('YTD Purchases'!$H:$H,'YTD Purchases'!$C:$C,Brokerage!$B282,'YTD Purchases'!$G:$G,Brokerage!AB$4)</f>
        <v>0</v>
      </c>
      <c r="AC282" s="857">
        <f>SUMIFS('YTD Sales'!$N:$N,'YTD Sales'!$B:$B,Brokerage!$B282,'YTD Sales'!$M:$M,Brokerage!AC$4)+SUMIFS('YTD Purchases'!$H:$H,'YTD Purchases'!$C:$C,Brokerage!$B282,'YTD Purchases'!$G:$G,Brokerage!AC$4)</f>
        <v>0</v>
      </c>
      <c r="AD282" s="857">
        <f>+SUMIFS(PIB!AG:AG,PIB!AF:AF,Brokerage!AD$4,PIB!AA:AA,Brokerage!$B282)+SUMIFS('T-Bills'!AB:AB,'T-Bills'!AA:AA,Brokerage!AD$4,'T-Bills'!V:V,Brokerage!$B282)</f>
        <v>0</v>
      </c>
      <c r="AE282" s="857">
        <f>+SUMIFS(PIB!AH:AH,PIB!AG:AG,Brokerage!AE$4,PIB!AB:AB,Brokerage!$B282)+SUMIFS('T-Bills'!AC:AC,'T-Bills'!AB:AB,Brokerage!AE$4,'T-Bills'!W:W,Brokerage!$B282)</f>
        <v>0</v>
      </c>
      <c r="AF282" s="857">
        <f>+SUMIFS(PIB!AI:AI,PIB!AH:AH,Brokerage!AF$4,PIB!AC:AC,Brokerage!$B282)+SUMIFS('T-Bills'!AD:AD,'T-Bills'!AC:AC,Brokerage!AF$4,'T-Bills'!X:X,Brokerage!$B282)</f>
        <v>0</v>
      </c>
      <c r="AG282" s="857">
        <f t="shared" si="26"/>
        <v>0</v>
      </c>
      <c r="AH282" s="858">
        <f t="shared" si="27"/>
        <v>0</v>
      </c>
    </row>
    <row r="283" spans="2:34" x14ac:dyDescent="0.15">
      <c r="B283" s="661">
        <f t="shared" si="25"/>
        <v>44839</v>
      </c>
      <c r="C283" s="857">
        <f>SUMIFS('YTD Sales'!$N:$N,'YTD Sales'!$B:$B,Brokerage!$B283,'YTD Sales'!$M:$M,Brokerage!C$4)+SUMIFS('YTD Purchases'!$H:$H,'YTD Purchases'!$C:$C,Brokerage!$B283,'YTD Purchases'!$G:$G,Brokerage!C$4)</f>
        <v>0</v>
      </c>
      <c r="D283" s="857">
        <f>SUMIFS('YTD Sales'!$N:$N,'YTD Sales'!$B:$B,Brokerage!$B283,'YTD Sales'!$M:$M,Brokerage!D$4)+SUMIFS('YTD Purchases'!$H:$H,'YTD Purchases'!$C:$C,Brokerage!$B283,'YTD Purchases'!$G:$G,Brokerage!D$4)</f>
        <v>0</v>
      </c>
      <c r="E283" s="857">
        <f>SUMIFS('YTD Sales'!$N:$N,'YTD Sales'!$B:$B,Brokerage!$B283,'YTD Sales'!$M:$M,Brokerage!E$4)+SUMIFS('YTD Purchases'!$H:$H,'YTD Purchases'!$C:$C,Brokerage!$B283,'YTD Purchases'!$G:$G,Brokerage!E$4)</f>
        <v>0</v>
      </c>
      <c r="F283" s="857">
        <f>SUMIFS('YTD Sales'!$N:$N,'YTD Sales'!$B:$B,Brokerage!$B283,'YTD Sales'!$M:$M,Brokerage!F$4)+SUMIFS('YTD Purchases'!$H:$H,'YTD Purchases'!$C:$C,Brokerage!$B283,'YTD Purchases'!$G:$G,Brokerage!F$4)</f>
        <v>0</v>
      </c>
      <c r="G283" s="857">
        <f>SUMIFS('YTD Sales'!$N:$N,'YTD Sales'!$B:$B,Brokerage!$B283,'YTD Sales'!$M:$M,Brokerage!G$4)+SUMIFS('YTD Purchases'!$H:$H,'YTD Purchases'!$C:$C,Brokerage!$B283,'YTD Purchases'!$G:$G,Brokerage!G$4)</f>
        <v>0</v>
      </c>
      <c r="H283" s="857">
        <f>SUMIFS('YTD Sales'!$N:$N,'YTD Sales'!$B:$B,Brokerage!$B283,'YTD Sales'!$M:$M,Brokerage!H$4)+SUMIFS('YTD Purchases'!$H:$H,'YTD Purchases'!$C:$C,Brokerage!$B283,'YTD Purchases'!$G:$G,Brokerage!H$4)</f>
        <v>0</v>
      </c>
      <c r="I283" s="857">
        <f>SUMIFS('YTD Sales'!$N:$N,'YTD Sales'!$B:$B,Brokerage!$B283,'YTD Sales'!$M:$M,Brokerage!I$4)+SUMIFS('YTD Purchases'!$H:$H,'YTD Purchases'!$C:$C,Brokerage!$B283,'YTD Purchases'!$G:$G,Brokerage!I$4)</f>
        <v>0</v>
      </c>
      <c r="J283" s="857">
        <f>SUMIFS('YTD Sales'!$N:$N,'YTD Sales'!$B:$B,Brokerage!$B283,'YTD Sales'!$M:$M,Brokerage!J$4)+SUMIFS('YTD Purchases'!$H:$H,'YTD Purchases'!$C:$C,Brokerage!$B283,'YTD Purchases'!$G:$G,Brokerage!J$4)</f>
        <v>0</v>
      </c>
      <c r="K283" s="857">
        <f>SUMIFS('YTD Sales'!$N:$N,'YTD Sales'!$B:$B,Brokerage!$B283,'YTD Sales'!$M:$M,Brokerage!K$4)+SUMIFS('YTD Purchases'!$H:$H,'YTD Purchases'!$C:$C,Brokerage!$B283,'YTD Purchases'!$G:$G,Brokerage!K$4)</f>
        <v>0</v>
      </c>
      <c r="L283" s="857">
        <f>SUMIFS('YTD Sales'!$N:$N,'YTD Sales'!$B:$B,Brokerage!$B283,'YTD Sales'!$M:$M,Brokerage!L$4)+SUMIFS('YTD Purchases'!$H:$H,'YTD Purchases'!$C:$C,Brokerage!$B283,'YTD Purchases'!$G:$G,Brokerage!L$4)</f>
        <v>0</v>
      </c>
      <c r="M283" s="857">
        <f>SUMIFS('YTD Sales'!$N:$N,'YTD Sales'!$B:$B,Brokerage!$B283,'YTD Sales'!$M:$M,Brokerage!M$4)+SUMIFS('YTD Purchases'!$H:$H,'YTD Purchases'!$C:$C,Brokerage!$B283,'YTD Purchases'!$G:$G,Brokerage!M$4)</f>
        <v>0</v>
      </c>
      <c r="N283" s="857">
        <f>SUMIFS('YTD Sales'!$N:$N,'YTD Sales'!$B:$B,Brokerage!$B283,'YTD Sales'!$M:$M,Brokerage!N$4)+SUMIFS('YTD Purchases'!$H:$H,'YTD Purchases'!$C:$C,Brokerage!$B283,'YTD Purchases'!$G:$G,Brokerage!N$4)</f>
        <v>0</v>
      </c>
      <c r="O283" s="857">
        <f>SUMIFS('YTD Sales'!$N:$N,'YTD Sales'!$B:$B,Brokerage!$B283,'YTD Sales'!$M:$M,Brokerage!O$4)+SUMIFS('YTD Purchases'!$H:$H,'YTD Purchases'!$C:$C,Brokerage!$B283,'YTD Purchases'!$G:$G,Brokerage!O$4)</f>
        <v>0</v>
      </c>
      <c r="P283" s="857">
        <f>SUMIFS('YTD Sales'!$N:$N,'YTD Sales'!$B:$B,Brokerage!$B283,'YTD Sales'!$M:$M,Brokerage!P$4)+SUMIFS('YTD Purchases'!$H:$H,'YTD Purchases'!$C:$C,Brokerage!$B283,'YTD Purchases'!$G:$G,Brokerage!P$4)</f>
        <v>0</v>
      </c>
      <c r="Q283" s="857">
        <f>SUMIFS('YTD Sales'!$N:$N,'YTD Sales'!$B:$B,Brokerage!$B283,'YTD Sales'!$M:$M,Brokerage!Q$4)+SUMIFS('YTD Purchases'!$H:$H,'YTD Purchases'!$C:$C,Brokerage!$B283,'YTD Purchases'!$G:$G,Brokerage!Q$4)</f>
        <v>0</v>
      </c>
      <c r="R283" s="857">
        <f>SUMIFS('YTD Sales'!$N:$N,'YTD Sales'!$B:$B,Brokerage!$B283,'YTD Sales'!$M:$M,Brokerage!R$4)+SUMIFS('YTD Purchases'!$H:$H,'YTD Purchases'!$C:$C,Brokerage!$B283,'YTD Purchases'!$G:$G,Brokerage!R$4)</f>
        <v>0</v>
      </c>
      <c r="S283" s="857">
        <f>SUMIFS('YTD Sales'!$N:$N,'YTD Sales'!$B:$B,Brokerage!$B283,'YTD Sales'!$M:$M,Brokerage!S$4)+SUMIFS('YTD Purchases'!$H:$H,'YTD Purchases'!$C:$C,Brokerage!$B283,'YTD Purchases'!$G:$G,Brokerage!S$4)</f>
        <v>0</v>
      </c>
      <c r="T283" s="857">
        <f>SUMIFS('YTD Sales'!$N:$N,'YTD Sales'!$B:$B,Brokerage!$B283,'YTD Sales'!$M:$M,Brokerage!T$4)+SUMIFS('YTD Purchases'!$H:$H,'YTD Purchases'!$C:$C,Brokerage!$B283,'YTD Purchases'!$G:$G,Brokerage!T$4)</f>
        <v>0</v>
      </c>
      <c r="U283" s="857">
        <f>SUMIFS('YTD Sales'!$N:$N,'YTD Sales'!$B:$B,Brokerage!$B283,'YTD Sales'!$M:$M,Brokerage!U$4)+SUMIFS('YTD Purchases'!$H:$H,'YTD Purchases'!$C:$C,Brokerage!$B283,'YTD Purchases'!$G:$G,Brokerage!U$4)</f>
        <v>0</v>
      </c>
      <c r="V283" s="857">
        <f>SUMIFS('YTD Sales'!$N:$N,'YTD Sales'!$B:$B,Brokerage!$B283,'YTD Sales'!$M:$M,Brokerage!V$4)+SUMIFS('YTD Purchases'!$H:$H,'YTD Purchases'!$C:$C,Brokerage!$B283,'YTD Purchases'!$G:$G,Brokerage!V$4)</f>
        <v>0</v>
      </c>
      <c r="W283" s="857">
        <f>SUMIFS('YTD Sales'!$N:$N,'YTD Sales'!$B:$B,Brokerage!$B283,'YTD Sales'!$M:$M,Brokerage!W$4)+SUMIFS('YTD Purchases'!$H:$H,'YTD Purchases'!$C:$C,Brokerage!$B283,'YTD Purchases'!$G:$G,Brokerage!W$4)</f>
        <v>0</v>
      </c>
      <c r="X283" s="857">
        <f>SUMIFS('YTD Sales'!$N:$N,'YTD Sales'!$B:$B,Brokerage!$B283,'YTD Sales'!$M:$M,Brokerage!X$4)+SUMIFS('YTD Purchases'!$H:$H,'YTD Purchases'!$C:$C,Brokerage!$B283,'YTD Purchases'!$G:$G,Brokerage!X$4)</f>
        <v>0</v>
      </c>
      <c r="Y283" s="857">
        <f>SUMIFS('YTD Sales'!$N:$N,'YTD Sales'!$B:$B,Brokerage!$B283,'YTD Sales'!$M:$M,Brokerage!Y$4)+SUMIFS('YTD Purchases'!$H:$H,'YTD Purchases'!$C:$C,Brokerage!$B283,'YTD Purchases'!$G:$G,Brokerage!Y$4)</f>
        <v>0</v>
      </c>
      <c r="Z283" s="857">
        <f>SUMIFS('YTD Sales'!$N:$N,'YTD Sales'!$B:$B,Brokerage!$B283,'YTD Sales'!$M:$M,Brokerage!Z$4)+SUMIFS('YTD Purchases'!$H:$H,'YTD Purchases'!$C:$C,Brokerage!$B283,'YTD Purchases'!$G:$G,Brokerage!Z$4)</f>
        <v>0</v>
      </c>
      <c r="AA283" s="857">
        <f>SUMIFS('YTD Sales'!$N:$N,'YTD Sales'!$B:$B,Brokerage!$B283,'YTD Sales'!$M:$M,Brokerage!AA$4)+SUMIFS('YTD Purchases'!$H:$H,'YTD Purchases'!$C:$C,Brokerage!$B283,'YTD Purchases'!$G:$G,Brokerage!AA$4)</f>
        <v>0</v>
      </c>
      <c r="AB283" s="857">
        <f>SUMIFS('YTD Sales'!$N:$N,'YTD Sales'!$B:$B,Brokerage!$B283,'YTD Sales'!$M:$M,Brokerage!AB$4)+SUMIFS('YTD Purchases'!$H:$H,'YTD Purchases'!$C:$C,Brokerage!$B283,'YTD Purchases'!$G:$G,Brokerage!AB$4)</f>
        <v>0</v>
      </c>
      <c r="AC283" s="857">
        <f>SUMIFS('YTD Sales'!$N:$N,'YTD Sales'!$B:$B,Brokerage!$B283,'YTD Sales'!$M:$M,Brokerage!AC$4)+SUMIFS('YTD Purchases'!$H:$H,'YTD Purchases'!$C:$C,Brokerage!$B283,'YTD Purchases'!$G:$G,Brokerage!AC$4)</f>
        <v>0</v>
      </c>
      <c r="AD283" s="857">
        <f>+SUMIFS(PIB!AG:AG,PIB!AF:AF,Brokerage!AD$4,PIB!AA:AA,Brokerage!$B283)+SUMIFS('T-Bills'!AB:AB,'T-Bills'!AA:AA,Brokerage!AD$4,'T-Bills'!V:V,Brokerage!$B283)</f>
        <v>0</v>
      </c>
      <c r="AE283" s="857">
        <f>+SUMIFS(PIB!AH:AH,PIB!AG:AG,Brokerage!AE$4,PIB!AB:AB,Brokerage!$B283)+SUMIFS('T-Bills'!AC:AC,'T-Bills'!AB:AB,Brokerage!AE$4,'T-Bills'!W:W,Brokerage!$B283)</f>
        <v>0</v>
      </c>
      <c r="AF283" s="857">
        <f>+SUMIFS(PIB!AI:AI,PIB!AH:AH,Brokerage!AF$4,PIB!AC:AC,Brokerage!$B283)+SUMIFS('T-Bills'!AD:AD,'T-Bills'!AC:AC,Brokerage!AF$4,'T-Bills'!X:X,Brokerage!$B283)</f>
        <v>0</v>
      </c>
      <c r="AG283" s="857">
        <f t="shared" si="26"/>
        <v>0</v>
      </c>
      <c r="AH283" s="858">
        <f t="shared" si="27"/>
        <v>0</v>
      </c>
    </row>
    <row r="284" spans="2:34" x14ac:dyDescent="0.15">
      <c r="B284" s="661">
        <f t="shared" si="25"/>
        <v>44840</v>
      </c>
      <c r="C284" s="857">
        <f>SUMIFS('YTD Sales'!$N:$N,'YTD Sales'!$B:$B,Brokerage!$B284,'YTD Sales'!$M:$M,Brokerage!C$4)+SUMIFS('YTD Purchases'!$H:$H,'YTD Purchases'!$C:$C,Brokerage!$B284,'YTD Purchases'!$G:$G,Brokerage!C$4)</f>
        <v>0</v>
      </c>
      <c r="D284" s="857">
        <f>SUMIFS('YTD Sales'!$N:$N,'YTD Sales'!$B:$B,Brokerage!$B284,'YTD Sales'!$M:$M,Brokerage!D$4)+SUMIFS('YTD Purchases'!$H:$H,'YTD Purchases'!$C:$C,Brokerage!$B284,'YTD Purchases'!$G:$G,Brokerage!D$4)</f>
        <v>0</v>
      </c>
      <c r="E284" s="857">
        <f>SUMIFS('YTD Sales'!$N:$N,'YTD Sales'!$B:$B,Brokerage!$B284,'YTD Sales'!$M:$M,Brokerage!E$4)+SUMIFS('YTD Purchases'!$H:$H,'YTD Purchases'!$C:$C,Brokerage!$B284,'YTD Purchases'!$G:$G,Brokerage!E$4)</f>
        <v>0</v>
      </c>
      <c r="F284" s="857">
        <f>SUMIFS('YTD Sales'!$N:$N,'YTD Sales'!$B:$B,Brokerage!$B284,'YTD Sales'!$M:$M,Brokerage!F$4)+SUMIFS('YTD Purchases'!$H:$H,'YTD Purchases'!$C:$C,Brokerage!$B284,'YTD Purchases'!$G:$G,Brokerage!F$4)</f>
        <v>0</v>
      </c>
      <c r="G284" s="857">
        <f>SUMIFS('YTD Sales'!$N:$N,'YTD Sales'!$B:$B,Brokerage!$B284,'YTD Sales'!$M:$M,Brokerage!G$4)+SUMIFS('YTD Purchases'!$H:$H,'YTD Purchases'!$C:$C,Brokerage!$B284,'YTD Purchases'!$G:$G,Brokerage!G$4)</f>
        <v>0</v>
      </c>
      <c r="H284" s="857">
        <f>SUMIFS('YTD Sales'!$N:$N,'YTD Sales'!$B:$B,Brokerage!$B284,'YTD Sales'!$M:$M,Brokerage!H$4)+SUMIFS('YTD Purchases'!$H:$H,'YTD Purchases'!$C:$C,Brokerage!$B284,'YTD Purchases'!$G:$G,Brokerage!H$4)</f>
        <v>0</v>
      </c>
      <c r="I284" s="857">
        <f>SUMIFS('YTD Sales'!$N:$N,'YTD Sales'!$B:$B,Brokerage!$B284,'YTD Sales'!$M:$M,Brokerage!I$4)+SUMIFS('YTD Purchases'!$H:$H,'YTD Purchases'!$C:$C,Brokerage!$B284,'YTD Purchases'!$G:$G,Brokerage!I$4)</f>
        <v>0</v>
      </c>
      <c r="J284" s="857">
        <f>SUMIFS('YTD Sales'!$N:$N,'YTD Sales'!$B:$B,Brokerage!$B284,'YTD Sales'!$M:$M,Brokerage!J$4)+SUMIFS('YTD Purchases'!$H:$H,'YTD Purchases'!$C:$C,Brokerage!$B284,'YTD Purchases'!$G:$G,Brokerage!J$4)</f>
        <v>0</v>
      </c>
      <c r="K284" s="857">
        <f>SUMIFS('YTD Sales'!$N:$N,'YTD Sales'!$B:$B,Brokerage!$B284,'YTD Sales'!$M:$M,Brokerage!K$4)+SUMIFS('YTD Purchases'!$H:$H,'YTD Purchases'!$C:$C,Brokerage!$B284,'YTD Purchases'!$G:$G,Brokerage!K$4)</f>
        <v>0</v>
      </c>
      <c r="L284" s="857">
        <f>SUMIFS('YTD Sales'!$N:$N,'YTD Sales'!$B:$B,Brokerage!$B284,'YTD Sales'!$M:$M,Brokerage!L$4)+SUMIFS('YTD Purchases'!$H:$H,'YTD Purchases'!$C:$C,Brokerage!$B284,'YTD Purchases'!$G:$G,Brokerage!L$4)</f>
        <v>0</v>
      </c>
      <c r="M284" s="857">
        <f>SUMIFS('YTD Sales'!$N:$N,'YTD Sales'!$B:$B,Brokerage!$B284,'YTD Sales'!$M:$M,Brokerage!M$4)+SUMIFS('YTD Purchases'!$H:$H,'YTD Purchases'!$C:$C,Brokerage!$B284,'YTD Purchases'!$G:$G,Brokerage!M$4)</f>
        <v>0</v>
      </c>
      <c r="N284" s="857">
        <f>SUMIFS('YTD Sales'!$N:$N,'YTD Sales'!$B:$B,Brokerage!$B284,'YTD Sales'!$M:$M,Brokerage!N$4)+SUMIFS('YTD Purchases'!$H:$H,'YTD Purchases'!$C:$C,Brokerage!$B284,'YTD Purchases'!$G:$G,Brokerage!N$4)</f>
        <v>0</v>
      </c>
      <c r="O284" s="857">
        <f>SUMIFS('YTD Sales'!$N:$N,'YTD Sales'!$B:$B,Brokerage!$B284,'YTD Sales'!$M:$M,Brokerage!O$4)+SUMIFS('YTD Purchases'!$H:$H,'YTD Purchases'!$C:$C,Brokerage!$B284,'YTD Purchases'!$G:$G,Brokerage!O$4)</f>
        <v>0</v>
      </c>
      <c r="P284" s="857">
        <f>SUMIFS('YTD Sales'!$N:$N,'YTD Sales'!$B:$B,Brokerage!$B284,'YTD Sales'!$M:$M,Brokerage!P$4)+SUMIFS('YTD Purchases'!$H:$H,'YTD Purchases'!$C:$C,Brokerage!$B284,'YTD Purchases'!$G:$G,Brokerage!P$4)</f>
        <v>0</v>
      </c>
      <c r="Q284" s="857">
        <f>SUMIFS('YTD Sales'!$N:$N,'YTD Sales'!$B:$B,Brokerage!$B284,'YTD Sales'!$M:$M,Brokerage!Q$4)+SUMIFS('YTD Purchases'!$H:$H,'YTD Purchases'!$C:$C,Brokerage!$B284,'YTD Purchases'!$G:$G,Brokerage!Q$4)</f>
        <v>0</v>
      </c>
      <c r="R284" s="857">
        <f>SUMIFS('YTD Sales'!$N:$N,'YTD Sales'!$B:$B,Brokerage!$B284,'YTD Sales'!$M:$M,Brokerage!R$4)+SUMIFS('YTD Purchases'!$H:$H,'YTD Purchases'!$C:$C,Brokerage!$B284,'YTD Purchases'!$G:$G,Brokerage!R$4)</f>
        <v>0</v>
      </c>
      <c r="S284" s="857">
        <f>SUMIFS('YTD Sales'!$N:$N,'YTD Sales'!$B:$B,Brokerage!$B284,'YTD Sales'!$M:$M,Brokerage!S$4)+SUMIFS('YTD Purchases'!$H:$H,'YTD Purchases'!$C:$C,Brokerage!$B284,'YTD Purchases'!$G:$G,Brokerage!S$4)</f>
        <v>0</v>
      </c>
      <c r="T284" s="857">
        <f>SUMIFS('YTD Sales'!$N:$N,'YTD Sales'!$B:$B,Brokerage!$B284,'YTD Sales'!$M:$M,Brokerage!T$4)+SUMIFS('YTD Purchases'!$H:$H,'YTD Purchases'!$C:$C,Brokerage!$B284,'YTD Purchases'!$G:$G,Brokerage!T$4)</f>
        <v>0</v>
      </c>
      <c r="U284" s="857">
        <f>SUMIFS('YTD Sales'!$N:$N,'YTD Sales'!$B:$B,Brokerage!$B284,'YTD Sales'!$M:$M,Brokerage!U$4)+SUMIFS('YTD Purchases'!$H:$H,'YTD Purchases'!$C:$C,Brokerage!$B284,'YTD Purchases'!$G:$G,Brokerage!U$4)</f>
        <v>0</v>
      </c>
      <c r="V284" s="857">
        <f>SUMIFS('YTD Sales'!$N:$N,'YTD Sales'!$B:$B,Brokerage!$B284,'YTD Sales'!$M:$M,Brokerage!V$4)+SUMIFS('YTD Purchases'!$H:$H,'YTD Purchases'!$C:$C,Brokerage!$B284,'YTD Purchases'!$G:$G,Brokerage!V$4)</f>
        <v>0</v>
      </c>
      <c r="W284" s="857">
        <f>SUMIFS('YTD Sales'!$N:$N,'YTD Sales'!$B:$B,Brokerage!$B284,'YTD Sales'!$M:$M,Brokerage!W$4)+SUMIFS('YTD Purchases'!$H:$H,'YTD Purchases'!$C:$C,Brokerage!$B284,'YTD Purchases'!$G:$G,Brokerage!W$4)</f>
        <v>0</v>
      </c>
      <c r="X284" s="857">
        <f>SUMIFS('YTD Sales'!$N:$N,'YTD Sales'!$B:$B,Brokerage!$B284,'YTD Sales'!$M:$M,Brokerage!X$4)+SUMIFS('YTD Purchases'!$H:$H,'YTD Purchases'!$C:$C,Brokerage!$B284,'YTD Purchases'!$G:$G,Brokerage!X$4)</f>
        <v>0</v>
      </c>
      <c r="Y284" s="857">
        <f>SUMIFS('YTD Sales'!$N:$N,'YTD Sales'!$B:$B,Brokerage!$B284,'YTD Sales'!$M:$M,Brokerage!Y$4)+SUMIFS('YTD Purchases'!$H:$H,'YTD Purchases'!$C:$C,Brokerage!$B284,'YTD Purchases'!$G:$G,Brokerage!Y$4)</f>
        <v>0</v>
      </c>
      <c r="Z284" s="857">
        <f>SUMIFS('YTD Sales'!$N:$N,'YTD Sales'!$B:$B,Brokerage!$B284,'YTD Sales'!$M:$M,Brokerage!Z$4)+SUMIFS('YTD Purchases'!$H:$H,'YTD Purchases'!$C:$C,Brokerage!$B284,'YTD Purchases'!$G:$G,Brokerage!Z$4)</f>
        <v>0</v>
      </c>
      <c r="AA284" s="857">
        <f>SUMIFS('YTD Sales'!$N:$N,'YTD Sales'!$B:$B,Brokerage!$B284,'YTD Sales'!$M:$M,Brokerage!AA$4)+SUMIFS('YTD Purchases'!$H:$H,'YTD Purchases'!$C:$C,Brokerage!$B284,'YTD Purchases'!$G:$G,Brokerage!AA$4)</f>
        <v>0</v>
      </c>
      <c r="AB284" s="857">
        <f>SUMIFS('YTD Sales'!$N:$N,'YTD Sales'!$B:$B,Brokerage!$B284,'YTD Sales'!$M:$M,Brokerage!AB$4)+SUMIFS('YTD Purchases'!$H:$H,'YTD Purchases'!$C:$C,Brokerage!$B284,'YTD Purchases'!$G:$G,Brokerage!AB$4)</f>
        <v>0</v>
      </c>
      <c r="AC284" s="857">
        <f>SUMIFS('YTD Sales'!$N:$N,'YTD Sales'!$B:$B,Brokerage!$B284,'YTD Sales'!$M:$M,Brokerage!AC$4)+SUMIFS('YTD Purchases'!$H:$H,'YTD Purchases'!$C:$C,Brokerage!$B284,'YTD Purchases'!$G:$G,Brokerage!AC$4)</f>
        <v>0</v>
      </c>
      <c r="AD284" s="857">
        <f>+SUMIFS(PIB!AG:AG,PIB!AF:AF,Brokerage!AD$4,PIB!AA:AA,Brokerage!$B284)+SUMIFS('T-Bills'!AB:AB,'T-Bills'!AA:AA,Brokerage!AD$4,'T-Bills'!V:V,Brokerage!$B284)</f>
        <v>0</v>
      </c>
      <c r="AE284" s="857">
        <f>+SUMIFS(PIB!AH:AH,PIB!AG:AG,Brokerage!AE$4,PIB!AB:AB,Brokerage!$B284)+SUMIFS('T-Bills'!AC:AC,'T-Bills'!AB:AB,Brokerage!AE$4,'T-Bills'!W:W,Brokerage!$B284)</f>
        <v>0</v>
      </c>
      <c r="AF284" s="857">
        <f>+SUMIFS(PIB!AI:AI,PIB!AH:AH,Brokerage!AF$4,PIB!AC:AC,Brokerage!$B284)+SUMIFS('T-Bills'!AD:AD,'T-Bills'!AC:AC,Brokerage!AF$4,'T-Bills'!X:X,Brokerage!$B284)</f>
        <v>0</v>
      </c>
      <c r="AG284" s="857">
        <f t="shared" si="26"/>
        <v>0</v>
      </c>
      <c r="AH284" s="858">
        <f t="shared" si="27"/>
        <v>0</v>
      </c>
    </row>
    <row r="285" spans="2:34" x14ac:dyDescent="0.15">
      <c r="B285" s="661">
        <f t="shared" si="25"/>
        <v>44841</v>
      </c>
      <c r="C285" s="857">
        <f>SUMIFS('YTD Sales'!$N:$N,'YTD Sales'!$B:$B,Brokerage!$B285,'YTD Sales'!$M:$M,Brokerage!C$4)+SUMIFS('YTD Purchases'!$H:$H,'YTD Purchases'!$C:$C,Brokerage!$B285,'YTD Purchases'!$G:$G,Brokerage!C$4)</f>
        <v>0</v>
      </c>
      <c r="D285" s="857">
        <f>SUMIFS('YTD Sales'!$N:$N,'YTD Sales'!$B:$B,Brokerage!$B285,'YTD Sales'!$M:$M,Brokerage!D$4)+SUMIFS('YTD Purchases'!$H:$H,'YTD Purchases'!$C:$C,Brokerage!$B285,'YTD Purchases'!$G:$G,Brokerage!D$4)</f>
        <v>0</v>
      </c>
      <c r="E285" s="857">
        <f>SUMIFS('YTD Sales'!$N:$N,'YTD Sales'!$B:$B,Brokerage!$B285,'YTD Sales'!$M:$M,Brokerage!E$4)+SUMIFS('YTD Purchases'!$H:$H,'YTD Purchases'!$C:$C,Brokerage!$B285,'YTD Purchases'!$G:$G,Brokerage!E$4)</f>
        <v>0</v>
      </c>
      <c r="F285" s="857">
        <f>SUMIFS('YTD Sales'!$N:$N,'YTD Sales'!$B:$B,Brokerage!$B285,'YTD Sales'!$M:$M,Brokerage!F$4)+SUMIFS('YTD Purchases'!$H:$H,'YTD Purchases'!$C:$C,Brokerage!$B285,'YTD Purchases'!$G:$G,Brokerage!F$4)</f>
        <v>0</v>
      </c>
      <c r="G285" s="857">
        <f>SUMIFS('YTD Sales'!$N:$N,'YTD Sales'!$B:$B,Brokerage!$B285,'YTD Sales'!$M:$M,Brokerage!G$4)+SUMIFS('YTD Purchases'!$H:$H,'YTD Purchases'!$C:$C,Brokerage!$B285,'YTD Purchases'!$G:$G,Brokerage!G$4)</f>
        <v>0</v>
      </c>
      <c r="H285" s="857">
        <f>SUMIFS('YTD Sales'!$N:$N,'YTD Sales'!$B:$B,Brokerage!$B285,'YTD Sales'!$M:$M,Brokerage!H$4)+SUMIFS('YTD Purchases'!$H:$H,'YTD Purchases'!$C:$C,Brokerage!$B285,'YTD Purchases'!$G:$G,Brokerage!H$4)</f>
        <v>0</v>
      </c>
      <c r="I285" s="857">
        <f>SUMIFS('YTD Sales'!$N:$N,'YTD Sales'!$B:$B,Brokerage!$B285,'YTD Sales'!$M:$M,Brokerage!I$4)+SUMIFS('YTD Purchases'!$H:$H,'YTD Purchases'!$C:$C,Brokerage!$B285,'YTD Purchases'!$G:$G,Brokerage!I$4)</f>
        <v>0</v>
      </c>
      <c r="J285" s="857">
        <f>SUMIFS('YTD Sales'!$N:$N,'YTD Sales'!$B:$B,Brokerage!$B285,'YTD Sales'!$M:$M,Brokerage!J$4)+SUMIFS('YTD Purchases'!$H:$H,'YTD Purchases'!$C:$C,Brokerage!$B285,'YTD Purchases'!$G:$G,Brokerage!J$4)</f>
        <v>0</v>
      </c>
      <c r="K285" s="857">
        <f>SUMIFS('YTD Sales'!$N:$N,'YTD Sales'!$B:$B,Brokerage!$B285,'YTD Sales'!$M:$M,Brokerage!K$4)+SUMIFS('YTD Purchases'!$H:$H,'YTD Purchases'!$C:$C,Brokerage!$B285,'YTD Purchases'!$G:$G,Brokerage!K$4)</f>
        <v>0</v>
      </c>
      <c r="L285" s="857">
        <f>SUMIFS('YTD Sales'!$N:$N,'YTD Sales'!$B:$B,Brokerage!$B285,'YTD Sales'!$M:$M,Brokerage!L$4)+SUMIFS('YTD Purchases'!$H:$H,'YTD Purchases'!$C:$C,Brokerage!$B285,'YTD Purchases'!$G:$G,Brokerage!L$4)</f>
        <v>0</v>
      </c>
      <c r="M285" s="857">
        <f>SUMIFS('YTD Sales'!$N:$N,'YTD Sales'!$B:$B,Brokerage!$B285,'YTD Sales'!$M:$M,Brokerage!M$4)+SUMIFS('YTD Purchases'!$H:$H,'YTD Purchases'!$C:$C,Brokerage!$B285,'YTD Purchases'!$G:$G,Brokerage!M$4)</f>
        <v>0</v>
      </c>
      <c r="N285" s="857">
        <f>SUMIFS('YTD Sales'!$N:$N,'YTD Sales'!$B:$B,Brokerage!$B285,'YTD Sales'!$M:$M,Brokerage!N$4)+SUMIFS('YTD Purchases'!$H:$H,'YTD Purchases'!$C:$C,Brokerage!$B285,'YTD Purchases'!$G:$G,Brokerage!N$4)</f>
        <v>0</v>
      </c>
      <c r="O285" s="857">
        <f>SUMIFS('YTD Sales'!$N:$N,'YTD Sales'!$B:$B,Brokerage!$B285,'YTD Sales'!$M:$M,Brokerage!O$4)+SUMIFS('YTD Purchases'!$H:$H,'YTD Purchases'!$C:$C,Brokerage!$B285,'YTD Purchases'!$G:$G,Brokerage!O$4)</f>
        <v>0</v>
      </c>
      <c r="P285" s="857">
        <f>SUMIFS('YTD Sales'!$N:$N,'YTD Sales'!$B:$B,Brokerage!$B285,'YTD Sales'!$M:$M,Brokerage!P$4)+SUMIFS('YTD Purchases'!$H:$H,'YTD Purchases'!$C:$C,Brokerage!$B285,'YTD Purchases'!$G:$G,Brokerage!P$4)</f>
        <v>0</v>
      </c>
      <c r="Q285" s="857">
        <f>SUMIFS('YTD Sales'!$N:$N,'YTD Sales'!$B:$B,Brokerage!$B285,'YTD Sales'!$M:$M,Brokerage!Q$4)+SUMIFS('YTD Purchases'!$H:$H,'YTD Purchases'!$C:$C,Brokerage!$B285,'YTD Purchases'!$G:$G,Brokerage!Q$4)</f>
        <v>0</v>
      </c>
      <c r="R285" s="857">
        <f>SUMIFS('YTD Sales'!$N:$N,'YTD Sales'!$B:$B,Brokerage!$B285,'YTD Sales'!$M:$M,Brokerage!R$4)+SUMIFS('YTD Purchases'!$H:$H,'YTD Purchases'!$C:$C,Brokerage!$B285,'YTD Purchases'!$G:$G,Brokerage!R$4)</f>
        <v>0</v>
      </c>
      <c r="S285" s="857">
        <f>SUMIFS('YTD Sales'!$N:$N,'YTD Sales'!$B:$B,Brokerage!$B285,'YTD Sales'!$M:$M,Brokerage!S$4)+SUMIFS('YTD Purchases'!$H:$H,'YTD Purchases'!$C:$C,Brokerage!$B285,'YTD Purchases'!$G:$G,Brokerage!S$4)</f>
        <v>0</v>
      </c>
      <c r="T285" s="857">
        <f>SUMIFS('YTD Sales'!$N:$N,'YTD Sales'!$B:$B,Brokerage!$B285,'YTD Sales'!$M:$M,Brokerage!T$4)+SUMIFS('YTD Purchases'!$H:$H,'YTD Purchases'!$C:$C,Brokerage!$B285,'YTD Purchases'!$G:$G,Brokerage!T$4)</f>
        <v>0</v>
      </c>
      <c r="U285" s="857">
        <f>SUMIFS('YTD Sales'!$N:$N,'YTD Sales'!$B:$B,Brokerage!$B285,'YTD Sales'!$M:$M,Brokerage!U$4)+SUMIFS('YTD Purchases'!$H:$H,'YTD Purchases'!$C:$C,Brokerage!$B285,'YTD Purchases'!$G:$G,Brokerage!U$4)</f>
        <v>0</v>
      </c>
      <c r="V285" s="857">
        <f>SUMIFS('YTD Sales'!$N:$N,'YTD Sales'!$B:$B,Brokerage!$B285,'YTD Sales'!$M:$M,Brokerage!V$4)+SUMIFS('YTD Purchases'!$H:$H,'YTD Purchases'!$C:$C,Brokerage!$B285,'YTD Purchases'!$G:$G,Brokerage!V$4)</f>
        <v>0</v>
      </c>
      <c r="W285" s="857">
        <f>SUMIFS('YTD Sales'!$N:$N,'YTD Sales'!$B:$B,Brokerage!$B285,'YTD Sales'!$M:$M,Brokerage!W$4)+SUMIFS('YTD Purchases'!$H:$H,'YTD Purchases'!$C:$C,Brokerage!$B285,'YTD Purchases'!$G:$G,Brokerage!W$4)</f>
        <v>0</v>
      </c>
      <c r="X285" s="857">
        <f>SUMIFS('YTD Sales'!$N:$N,'YTD Sales'!$B:$B,Brokerage!$B285,'YTD Sales'!$M:$M,Brokerage!X$4)+SUMIFS('YTD Purchases'!$H:$H,'YTD Purchases'!$C:$C,Brokerage!$B285,'YTD Purchases'!$G:$G,Brokerage!X$4)</f>
        <v>0</v>
      </c>
      <c r="Y285" s="857">
        <f>SUMIFS('YTD Sales'!$N:$N,'YTD Sales'!$B:$B,Brokerage!$B285,'YTD Sales'!$M:$M,Brokerage!Y$4)+SUMIFS('YTD Purchases'!$H:$H,'YTD Purchases'!$C:$C,Brokerage!$B285,'YTD Purchases'!$G:$G,Brokerage!Y$4)</f>
        <v>0</v>
      </c>
      <c r="Z285" s="857">
        <f>SUMIFS('YTD Sales'!$N:$N,'YTD Sales'!$B:$B,Brokerage!$B285,'YTD Sales'!$M:$M,Brokerage!Z$4)+SUMIFS('YTD Purchases'!$H:$H,'YTD Purchases'!$C:$C,Brokerage!$B285,'YTD Purchases'!$G:$G,Brokerage!Z$4)</f>
        <v>0</v>
      </c>
      <c r="AA285" s="857">
        <f>SUMIFS('YTD Sales'!$N:$N,'YTD Sales'!$B:$B,Brokerage!$B285,'YTD Sales'!$M:$M,Brokerage!AA$4)+SUMIFS('YTD Purchases'!$H:$H,'YTD Purchases'!$C:$C,Brokerage!$B285,'YTD Purchases'!$G:$G,Brokerage!AA$4)</f>
        <v>0</v>
      </c>
      <c r="AB285" s="857">
        <f>SUMIFS('YTD Sales'!$N:$N,'YTD Sales'!$B:$B,Brokerage!$B285,'YTD Sales'!$M:$M,Brokerage!AB$4)+SUMIFS('YTD Purchases'!$H:$H,'YTD Purchases'!$C:$C,Brokerage!$B285,'YTD Purchases'!$G:$G,Brokerage!AB$4)</f>
        <v>0</v>
      </c>
      <c r="AC285" s="857">
        <f>SUMIFS('YTD Sales'!$N:$N,'YTD Sales'!$B:$B,Brokerage!$B285,'YTD Sales'!$M:$M,Brokerage!AC$4)+SUMIFS('YTD Purchases'!$H:$H,'YTD Purchases'!$C:$C,Brokerage!$B285,'YTD Purchases'!$G:$G,Brokerage!AC$4)</f>
        <v>0</v>
      </c>
      <c r="AD285" s="857">
        <f>+SUMIFS(PIB!AG:AG,PIB!AF:AF,Brokerage!AD$4,PIB!AA:AA,Brokerage!$B285)+SUMIFS('T-Bills'!AB:AB,'T-Bills'!AA:AA,Brokerage!AD$4,'T-Bills'!V:V,Brokerage!$B285)</f>
        <v>0</v>
      </c>
      <c r="AE285" s="857">
        <f>+SUMIFS(PIB!AH:AH,PIB!AG:AG,Brokerage!AE$4,PIB!AB:AB,Brokerage!$B285)+SUMIFS('T-Bills'!AC:AC,'T-Bills'!AB:AB,Brokerage!AE$4,'T-Bills'!W:W,Brokerage!$B285)</f>
        <v>0</v>
      </c>
      <c r="AF285" s="857">
        <f>+SUMIFS(PIB!AI:AI,PIB!AH:AH,Brokerage!AF$4,PIB!AC:AC,Brokerage!$B285)+SUMIFS('T-Bills'!AD:AD,'T-Bills'!AC:AC,Brokerage!AF$4,'T-Bills'!X:X,Brokerage!$B285)</f>
        <v>0</v>
      </c>
      <c r="AG285" s="857">
        <f t="shared" si="26"/>
        <v>0</v>
      </c>
      <c r="AH285" s="858">
        <f t="shared" si="27"/>
        <v>0</v>
      </c>
    </row>
    <row r="286" spans="2:34" x14ac:dyDescent="0.15">
      <c r="B286" s="661">
        <f t="shared" si="25"/>
        <v>44842</v>
      </c>
      <c r="C286" s="857">
        <f>SUMIFS('YTD Sales'!$N:$N,'YTD Sales'!$B:$B,Brokerage!$B286,'YTD Sales'!$M:$M,Brokerage!C$4)+SUMIFS('YTD Purchases'!$H:$H,'YTD Purchases'!$C:$C,Brokerage!$B286,'YTD Purchases'!$G:$G,Brokerage!C$4)</f>
        <v>0</v>
      </c>
      <c r="D286" s="857">
        <f>SUMIFS('YTD Sales'!$N:$N,'YTD Sales'!$B:$B,Brokerage!$B286,'YTD Sales'!$M:$M,Brokerage!D$4)+SUMIFS('YTD Purchases'!$H:$H,'YTD Purchases'!$C:$C,Brokerage!$B286,'YTD Purchases'!$G:$G,Brokerage!D$4)</f>
        <v>0</v>
      </c>
      <c r="E286" s="857">
        <f>SUMIFS('YTD Sales'!$N:$N,'YTD Sales'!$B:$B,Brokerage!$B286,'YTD Sales'!$M:$M,Brokerage!E$4)+SUMIFS('YTD Purchases'!$H:$H,'YTD Purchases'!$C:$C,Brokerage!$B286,'YTD Purchases'!$G:$G,Brokerage!E$4)</f>
        <v>0</v>
      </c>
      <c r="F286" s="857">
        <f>SUMIFS('YTD Sales'!$N:$N,'YTD Sales'!$B:$B,Brokerage!$B286,'YTD Sales'!$M:$M,Brokerage!F$4)+SUMIFS('YTD Purchases'!$H:$H,'YTD Purchases'!$C:$C,Brokerage!$B286,'YTD Purchases'!$G:$G,Brokerage!F$4)</f>
        <v>0</v>
      </c>
      <c r="G286" s="857">
        <f>SUMIFS('YTD Sales'!$N:$N,'YTD Sales'!$B:$B,Brokerage!$B286,'YTD Sales'!$M:$M,Brokerage!G$4)+SUMIFS('YTD Purchases'!$H:$H,'YTD Purchases'!$C:$C,Brokerage!$B286,'YTD Purchases'!$G:$G,Brokerage!G$4)</f>
        <v>0</v>
      </c>
      <c r="H286" s="857">
        <f>SUMIFS('YTD Sales'!$N:$N,'YTD Sales'!$B:$B,Brokerage!$B286,'YTD Sales'!$M:$M,Brokerage!H$4)+SUMIFS('YTD Purchases'!$H:$H,'YTD Purchases'!$C:$C,Brokerage!$B286,'YTD Purchases'!$G:$G,Brokerage!H$4)</f>
        <v>0</v>
      </c>
      <c r="I286" s="857">
        <f>SUMIFS('YTD Sales'!$N:$N,'YTD Sales'!$B:$B,Brokerage!$B286,'YTD Sales'!$M:$M,Brokerage!I$4)+SUMIFS('YTD Purchases'!$H:$H,'YTD Purchases'!$C:$C,Brokerage!$B286,'YTD Purchases'!$G:$G,Brokerage!I$4)</f>
        <v>0</v>
      </c>
      <c r="J286" s="857">
        <f>SUMIFS('YTD Sales'!$N:$N,'YTD Sales'!$B:$B,Brokerage!$B286,'YTD Sales'!$M:$M,Brokerage!J$4)+SUMIFS('YTD Purchases'!$H:$H,'YTD Purchases'!$C:$C,Brokerage!$B286,'YTD Purchases'!$G:$G,Brokerage!J$4)</f>
        <v>0</v>
      </c>
      <c r="K286" s="857">
        <f>SUMIFS('YTD Sales'!$N:$N,'YTD Sales'!$B:$B,Brokerage!$B286,'YTD Sales'!$M:$M,Brokerage!K$4)+SUMIFS('YTD Purchases'!$H:$H,'YTD Purchases'!$C:$C,Brokerage!$B286,'YTD Purchases'!$G:$G,Brokerage!K$4)</f>
        <v>0</v>
      </c>
      <c r="L286" s="857">
        <f>SUMIFS('YTD Sales'!$N:$N,'YTD Sales'!$B:$B,Brokerage!$B286,'YTD Sales'!$M:$M,Brokerage!L$4)+SUMIFS('YTD Purchases'!$H:$H,'YTD Purchases'!$C:$C,Brokerage!$B286,'YTD Purchases'!$G:$G,Brokerage!L$4)</f>
        <v>0</v>
      </c>
      <c r="M286" s="857">
        <f>SUMIFS('YTD Sales'!$N:$N,'YTD Sales'!$B:$B,Brokerage!$B286,'YTD Sales'!$M:$M,Brokerage!M$4)+SUMIFS('YTD Purchases'!$H:$H,'YTD Purchases'!$C:$C,Brokerage!$B286,'YTD Purchases'!$G:$G,Brokerage!M$4)</f>
        <v>0</v>
      </c>
      <c r="N286" s="857">
        <f>SUMIFS('YTD Sales'!$N:$N,'YTD Sales'!$B:$B,Brokerage!$B286,'YTD Sales'!$M:$M,Brokerage!N$4)+SUMIFS('YTD Purchases'!$H:$H,'YTD Purchases'!$C:$C,Brokerage!$B286,'YTD Purchases'!$G:$G,Brokerage!N$4)</f>
        <v>0</v>
      </c>
      <c r="O286" s="857">
        <f>SUMIFS('YTD Sales'!$N:$N,'YTD Sales'!$B:$B,Brokerage!$B286,'YTD Sales'!$M:$M,Brokerage!O$4)+SUMIFS('YTD Purchases'!$H:$H,'YTD Purchases'!$C:$C,Brokerage!$B286,'YTD Purchases'!$G:$G,Brokerage!O$4)</f>
        <v>0</v>
      </c>
      <c r="P286" s="857">
        <f>SUMIFS('YTD Sales'!$N:$N,'YTD Sales'!$B:$B,Brokerage!$B286,'YTD Sales'!$M:$M,Brokerage!P$4)+SUMIFS('YTD Purchases'!$H:$H,'YTD Purchases'!$C:$C,Brokerage!$B286,'YTD Purchases'!$G:$G,Brokerage!P$4)</f>
        <v>0</v>
      </c>
      <c r="Q286" s="857">
        <f>SUMIFS('YTD Sales'!$N:$N,'YTD Sales'!$B:$B,Brokerage!$B286,'YTD Sales'!$M:$M,Brokerage!Q$4)+SUMIFS('YTD Purchases'!$H:$H,'YTD Purchases'!$C:$C,Brokerage!$B286,'YTD Purchases'!$G:$G,Brokerage!Q$4)</f>
        <v>0</v>
      </c>
      <c r="R286" s="857">
        <f>SUMIFS('YTD Sales'!$N:$N,'YTD Sales'!$B:$B,Brokerage!$B286,'YTD Sales'!$M:$M,Brokerage!R$4)+SUMIFS('YTD Purchases'!$H:$H,'YTD Purchases'!$C:$C,Brokerage!$B286,'YTD Purchases'!$G:$G,Brokerage!R$4)</f>
        <v>0</v>
      </c>
      <c r="S286" s="857">
        <f>SUMIFS('YTD Sales'!$N:$N,'YTD Sales'!$B:$B,Brokerage!$B286,'YTD Sales'!$M:$M,Brokerage!S$4)+SUMIFS('YTD Purchases'!$H:$H,'YTD Purchases'!$C:$C,Brokerage!$B286,'YTD Purchases'!$G:$G,Brokerage!S$4)</f>
        <v>0</v>
      </c>
      <c r="T286" s="857">
        <f>SUMIFS('YTD Sales'!$N:$N,'YTD Sales'!$B:$B,Brokerage!$B286,'YTD Sales'!$M:$M,Brokerage!T$4)+SUMIFS('YTD Purchases'!$H:$H,'YTD Purchases'!$C:$C,Brokerage!$B286,'YTD Purchases'!$G:$G,Brokerage!T$4)</f>
        <v>0</v>
      </c>
      <c r="U286" s="857">
        <f>SUMIFS('YTD Sales'!$N:$N,'YTD Sales'!$B:$B,Brokerage!$B286,'YTD Sales'!$M:$M,Brokerage!U$4)+SUMIFS('YTD Purchases'!$H:$H,'YTD Purchases'!$C:$C,Brokerage!$B286,'YTD Purchases'!$G:$G,Brokerage!U$4)</f>
        <v>0</v>
      </c>
      <c r="V286" s="857">
        <f>SUMIFS('YTD Sales'!$N:$N,'YTD Sales'!$B:$B,Brokerage!$B286,'YTD Sales'!$M:$M,Brokerage!V$4)+SUMIFS('YTD Purchases'!$H:$H,'YTD Purchases'!$C:$C,Brokerage!$B286,'YTD Purchases'!$G:$G,Brokerage!V$4)</f>
        <v>0</v>
      </c>
      <c r="W286" s="857">
        <f>SUMIFS('YTD Sales'!$N:$N,'YTD Sales'!$B:$B,Brokerage!$B286,'YTD Sales'!$M:$M,Brokerage!W$4)+SUMIFS('YTD Purchases'!$H:$H,'YTD Purchases'!$C:$C,Brokerage!$B286,'YTD Purchases'!$G:$G,Brokerage!W$4)</f>
        <v>0</v>
      </c>
      <c r="X286" s="857">
        <f>SUMIFS('YTD Sales'!$N:$N,'YTD Sales'!$B:$B,Brokerage!$B286,'YTD Sales'!$M:$M,Brokerage!X$4)+SUMIFS('YTD Purchases'!$H:$H,'YTD Purchases'!$C:$C,Brokerage!$B286,'YTD Purchases'!$G:$G,Brokerage!X$4)</f>
        <v>0</v>
      </c>
      <c r="Y286" s="857">
        <f>SUMIFS('YTD Sales'!$N:$N,'YTD Sales'!$B:$B,Brokerage!$B286,'YTD Sales'!$M:$M,Brokerage!Y$4)+SUMIFS('YTD Purchases'!$H:$H,'YTD Purchases'!$C:$C,Brokerage!$B286,'YTD Purchases'!$G:$G,Brokerage!Y$4)</f>
        <v>0</v>
      </c>
      <c r="Z286" s="857">
        <f>SUMIFS('YTD Sales'!$N:$N,'YTD Sales'!$B:$B,Brokerage!$B286,'YTD Sales'!$M:$M,Brokerage!Z$4)+SUMIFS('YTD Purchases'!$H:$H,'YTD Purchases'!$C:$C,Brokerage!$B286,'YTD Purchases'!$G:$G,Brokerage!Z$4)</f>
        <v>0</v>
      </c>
      <c r="AA286" s="857">
        <f>SUMIFS('YTD Sales'!$N:$N,'YTD Sales'!$B:$B,Brokerage!$B286,'YTD Sales'!$M:$M,Brokerage!AA$4)+SUMIFS('YTD Purchases'!$H:$H,'YTD Purchases'!$C:$C,Brokerage!$B286,'YTD Purchases'!$G:$G,Brokerage!AA$4)</f>
        <v>0</v>
      </c>
      <c r="AB286" s="857">
        <f>SUMIFS('YTD Sales'!$N:$N,'YTD Sales'!$B:$B,Brokerage!$B286,'YTD Sales'!$M:$M,Brokerage!AB$4)+SUMIFS('YTD Purchases'!$H:$H,'YTD Purchases'!$C:$C,Brokerage!$B286,'YTD Purchases'!$G:$G,Brokerage!AB$4)</f>
        <v>0</v>
      </c>
      <c r="AC286" s="857">
        <f>SUMIFS('YTD Sales'!$N:$N,'YTD Sales'!$B:$B,Brokerage!$B286,'YTD Sales'!$M:$M,Brokerage!AC$4)+SUMIFS('YTD Purchases'!$H:$H,'YTD Purchases'!$C:$C,Brokerage!$B286,'YTD Purchases'!$G:$G,Brokerage!AC$4)</f>
        <v>0</v>
      </c>
      <c r="AD286" s="857">
        <f>+SUMIFS(PIB!AG:AG,PIB!AF:AF,Brokerage!AD$4,PIB!AA:AA,Brokerage!$B286)+SUMIFS('T-Bills'!AB:AB,'T-Bills'!AA:AA,Brokerage!AD$4,'T-Bills'!V:V,Brokerage!$B286)</f>
        <v>0</v>
      </c>
      <c r="AE286" s="857">
        <f>+SUMIFS(PIB!AH:AH,PIB!AG:AG,Brokerage!AE$4,PIB!AB:AB,Brokerage!$B286)+SUMIFS('T-Bills'!AC:AC,'T-Bills'!AB:AB,Brokerage!AE$4,'T-Bills'!W:W,Brokerage!$B286)</f>
        <v>0</v>
      </c>
      <c r="AF286" s="857">
        <f>+SUMIFS(PIB!AI:AI,PIB!AH:AH,Brokerage!AF$4,PIB!AC:AC,Brokerage!$B286)+SUMIFS('T-Bills'!AD:AD,'T-Bills'!AC:AC,Brokerage!AF$4,'T-Bills'!X:X,Brokerage!$B286)</f>
        <v>0</v>
      </c>
      <c r="AG286" s="857">
        <f t="shared" si="26"/>
        <v>0</v>
      </c>
      <c r="AH286" s="858">
        <f t="shared" si="27"/>
        <v>0</v>
      </c>
    </row>
    <row r="287" spans="2:34" x14ac:dyDescent="0.15">
      <c r="B287" s="661">
        <f t="shared" si="25"/>
        <v>44843</v>
      </c>
      <c r="C287" s="857">
        <f>SUMIFS('YTD Sales'!$N:$N,'YTD Sales'!$B:$B,Brokerage!$B287,'YTD Sales'!$M:$M,Brokerage!C$4)+SUMIFS('YTD Purchases'!$H:$H,'YTD Purchases'!$C:$C,Brokerage!$B287,'YTD Purchases'!$G:$G,Brokerage!C$4)</f>
        <v>0</v>
      </c>
      <c r="D287" s="857">
        <f>SUMIFS('YTD Sales'!$N:$N,'YTD Sales'!$B:$B,Brokerage!$B287,'YTD Sales'!$M:$M,Brokerage!D$4)+SUMIFS('YTD Purchases'!$H:$H,'YTD Purchases'!$C:$C,Brokerage!$B287,'YTD Purchases'!$G:$G,Brokerage!D$4)</f>
        <v>0</v>
      </c>
      <c r="E287" s="857">
        <f>SUMIFS('YTD Sales'!$N:$N,'YTD Sales'!$B:$B,Brokerage!$B287,'YTD Sales'!$M:$M,Brokerage!E$4)+SUMIFS('YTD Purchases'!$H:$H,'YTD Purchases'!$C:$C,Brokerage!$B287,'YTD Purchases'!$G:$G,Brokerage!E$4)</f>
        <v>0</v>
      </c>
      <c r="F287" s="857">
        <f>SUMIFS('YTD Sales'!$N:$N,'YTD Sales'!$B:$B,Brokerage!$B287,'YTD Sales'!$M:$M,Brokerage!F$4)+SUMIFS('YTD Purchases'!$H:$H,'YTD Purchases'!$C:$C,Brokerage!$B287,'YTD Purchases'!$G:$G,Brokerage!F$4)</f>
        <v>0</v>
      </c>
      <c r="G287" s="857">
        <f>SUMIFS('YTD Sales'!$N:$N,'YTD Sales'!$B:$B,Brokerage!$B287,'YTD Sales'!$M:$M,Brokerage!G$4)+SUMIFS('YTD Purchases'!$H:$H,'YTD Purchases'!$C:$C,Brokerage!$B287,'YTD Purchases'!$G:$G,Brokerage!G$4)</f>
        <v>0</v>
      </c>
      <c r="H287" s="857">
        <f>SUMIFS('YTD Sales'!$N:$N,'YTD Sales'!$B:$B,Brokerage!$B287,'YTD Sales'!$M:$M,Brokerage!H$4)+SUMIFS('YTD Purchases'!$H:$H,'YTD Purchases'!$C:$C,Brokerage!$B287,'YTD Purchases'!$G:$G,Brokerage!H$4)</f>
        <v>0</v>
      </c>
      <c r="I287" s="857">
        <f>SUMIFS('YTD Sales'!$N:$N,'YTD Sales'!$B:$B,Brokerage!$B287,'YTD Sales'!$M:$M,Brokerage!I$4)+SUMIFS('YTD Purchases'!$H:$H,'YTD Purchases'!$C:$C,Brokerage!$B287,'YTD Purchases'!$G:$G,Brokerage!I$4)</f>
        <v>0</v>
      </c>
      <c r="J287" s="857">
        <f>SUMIFS('YTD Sales'!$N:$N,'YTD Sales'!$B:$B,Brokerage!$B287,'YTD Sales'!$M:$M,Brokerage!J$4)+SUMIFS('YTD Purchases'!$H:$H,'YTD Purchases'!$C:$C,Brokerage!$B287,'YTD Purchases'!$G:$G,Brokerage!J$4)</f>
        <v>0</v>
      </c>
      <c r="K287" s="857">
        <f>SUMIFS('YTD Sales'!$N:$N,'YTD Sales'!$B:$B,Brokerage!$B287,'YTD Sales'!$M:$M,Brokerage!K$4)+SUMIFS('YTD Purchases'!$H:$H,'YTD Purchases'!$C:$C,Brokerage!$B287,'YTD Purchases'!$G:$G,Brokerage!K$4)</f>
        <v>0</v>
      </c>
      <c r="L287" s="857">
        <f>SUMIFS('YTD Sales'!$N:$N,'YTD Sales'!$B:$B,Brokerage!$B287,'YTD Sales'!$M:$M,Brokerage!L$4)+SUMIFS('YTD Purchases'!$H:$H,'YTD Purchases'!$C:$C,Brokerage!$B287,'YTD Purchases'!$G:$G,Brokerage!L$4)</f>
        <v>0</v>
      </c>
      <c r="M287" s="857">
        <f>SUMIFS('YTD Sales'!$N:$N,'YTD Sales'!$B:$B,Brokerage!$B287,'YTD Sales'!$M:$M,Brokerage!M$4)+SUMIFS('YTD Purchases'!$H:$H,'YTD Purchases'!$C:$C,Brokerage!$B287,'YTD Purchases'!$G:$G,Brokerage!M$4)</f>
        <v>0</v>
      </c>
      <c r="N287" s="857">
        <f>SUMIFS('YTD Sales'!$N:$N,'YTD Sales'!$B:$B,Brokerage!$B287,'YTD Sales'!$M:$M,Brokerage!N$4)+SUMIFS('YTD Purchases'!$H:$H,'YTD Purchases'!$C:$C,Brokerage!$B287,'YTD Purchases'!$G:$G,Brokerage!N$4)</f>
        <v>0</v>
      </c>
      <c r="O287" s="857">
        <f>SUMIFS('YTD Sales'!$N:$N,'YTD Sales'!$B:$B,Brokerage!$B287,'YTD Sales'!$M:$M,Brokerage!O$4)+SUMIFS('YTD Purchases'!$H:$H,'YTD Purchases'!$C:$C,Brokerage!$B287,'YTD Purchases'!$G:$G,Brokerage!O$4)</f>
        <v>0</v>
      </c>
      <c r="P287" s="857">
        <f>SUMIFS('YTD Sales'!$N:$N,'YTD Sales'!$B:$B,Brokerage!$B287,'YTD Sales'!$M:$M,Brokerage!P$4)+SUMIFS('YTD Purchases'!$H:$H,'YTD Purchases'!$C:$C,Brokerage!$B287,'YTD Purchases'!$G:$G,Brokerage!P$4)</f>
        <v>0</v>
      </c>
      <c r="Q287" s="857">
        <f>SUMIFS('YTD Sales'!$N:$N,'YTD Sales'!$B:$B,Brokerage!$B287,'YTD Sales'!$M:$M,Brokerage!Q$4)+SUMIFS('YTD Purchases'!$H:$H,'YTD Purchases'!$C:$C,Brokerage!$B287,'YTD Purchases'!$G:$G,Brokerage!Q$4)</f>
        <v>0</v>
      </c>
      <c r="R287" s="857">
        <f>SUMIFS('YTD Sales'!$N:$N,'YTD Sales'!$B:$B,Brokerage!$B287,'YTD Sales'!$M:$M,Brokerage!R$4)+SUMIFS('YTD Purchases'!$H:$H,'YTD Purchases'!$C:$C,Brokerage!$B287,'YTD Purchases'!$G:$G,Brokerage!R$4)</f>
        <v>0</v>
      </c>
      <c r="S287" s="857">
        <f>SUMIFS('YTD Sales'!$N:$N,'YTD Sales'!$B:$B,Brokerage!$B287,'YTD Sales'!$M:$M,Brokerage!S$4)+SUMIFS('YTD Purchases'!$H:$H,'YTD Purchases'!$C:$C,Brokerage!$B287,'YTD Purchases'!$G:$G,Brokerage!S$4)</f>
        <v>0</v>
      </c>
      <c r="T287" s="857">
        <f>SUMIFS('YTD Sales'!$N:$N,'YTD Sales'!$B:$B,Brokerage!$B287,'YTD Sales'!$M:$M,Brokerage!T$4)+SUMIFS('YTD Purchases'!$H:$H,'YTD Purchases'!$C:$C,Brokerage!$B287,'YTD Purchases'!$G:$G,Brokerage!T$4)</f>
        <v>0</v>
      </c>
      <c r="U287" s="857">
        <f>SUMIFS('YTD Sales'!$N:$N,'YTD Sales'!$B:$B,Brokerage!$B287,'YTD Sales'!$M:$M,Brokerage!U$4)+SUMIFS('YTD Purchases'!$H:$H,'YTD Purchases'!$C:$C,Brokerage!$B287,'YTD Purchases'!$G:$G,Brokerage!U$4)</f>
        <v>0</v>
      </c>
      <c r="V287" s="857">
        <f>SUMIFS('YTD Sales'!$N:$N,'YTD Sales'!$B:$B,Brokerage!$B287,'YTD Sales'!$M:$M,Brokerage!V$4)+SUMIFS('YTD Purchases'!$H:$H,'YTD Purchases'!$C:$C,Brokerage!$B287,'YTD Purchases'!$G:$G,Brokerage!V$4)</f>
        <v>0</v>
      </c>
      <c r="W287" s="857">
        <f>SUMIFS('YTD Sales'!$N:$N,'YTD Sales'!$B:$B,Brokerage!$B287,'YTD Sales'!$M:$M,Brokerage!W$4)+SUMIFS('YTD Purchases'!$H:$H,'YTD Purchases'!$C:$C,Brokerage!$B287,'YTD Purchases'!$G:$G,Brokerage!W$4)</f>
        <v>0</v>
      </c>
      <c r="X287" s="857">
        <f>SUMIFS('YTD Sales'!$N:$N,'YTD Sales'!$B:$B,Brokerage!$B287,'YTD Sales'!$M:$M,Brokerage!X$4)+SUMIFS('YTD Purchases'!$H:$H,'YTD Purchases'!$C:$C,Brokerage!$B287,'YTD Purchases'!$G:$G,Brokerage!X$4)</f>
        <v>0</v>
      </c>
      <c r="Y287" s="857">
        <f>SUMIFS('YTD Sales'!$N:$N,'YTD Sales'!$B:$B,Brokerage!$B287,'YTD Sales'!$M:$M,Brokerage!Y$4)+SUMIFS('YTD Purchases'!$H:$H,'YTD Purchases'!$C:$C,Brokerage!$B287,'YTD Purchases'!$G:$G,Brokerage!Y$4)</f>
        <v>0</v>
      </c>
      <c r="Z287" s="857">
        <f>SUMIFS('YTD Sales'!$N:$N,'YTD Sales'!$B:$B,Brokerage!$B287,'YTD Sales'!$M:$M,Brokerage!Z$4)+SUMIFS('YTD Purchases'!$H:$H,'YTD Purchases'!$C:$C,Brokerage!$B287,'YTD Purchases'!$G:$G,Brokerage!Z$4)</f>
        <v>0</v>
      </c>
      <c r="AA287" s="857">
        <f>SUMIFS('YTD Sales'!$N:$N,'YTD Sales'!$B:$B,Brokerage!$B287,'YTD Sales'!$M:$M,Brokerage!AA$4)+SUMIFS('YTD Purchases'!$H:$H,'YTD Purchases'!$C:$C,Brokerage!$B287,'YTD Purchases'!$G:$G,Brokerage!AA$4)</f>
        <v>0</v>
      </c>
      <c r="AB287" s="857">
        <f>SUMIFS('YTD Sales'!$N:$N,'YTD Sales'!$B:$B,Brokerage!$B287,'YTD Sales'!$M:$M,Brokerage!AB$4)+SUMIFS('YTD Purchases'!$H:$H,'YTD Purchases'!$C:$C,Brokerage!$B287,'YTD Purchases'!$G:$G,Brokerage!AB$4)</f>
        <v>0</v>
      </c>
      <c r="AC287" s="857">
        <f>SUMIFS('YTD Sales'!$N:$N,'YTD Sales'!$B:$B,Brokerage!$B287,'YTD Sales'!$M:$M,Brokerage!AC$4)+SUMIFS('YTD Purchases'!$H:$H,'YTD Purchases'!$C:$C,Brokerage!$B287,'YTD Purchases'!$G:$G,Brokerage!AC$4)</f>
        <v>0</v>
      </c>
      <c r="AD287" s="857">
        <f>+SUMIFS(PIB!AG:AG,PIB!AF:AF,Brokerage!AD$4,PIB!AA:AA,Brokerage!$B287)+SUMIFS('T-Bills'!AB:AB,'T-Bills'!AA:AA,Brokerage!AD$4,'T-Bills'!V:V,Brokerage!$B287)</f>
        <v>0</v>
      </c>
      <c r="AE287" s="857">
        <f>+SUMIFS(PIB!AH:AH,PIB!AG:AG,Brokerage!AE$4,PIB!AB:AB,Brokerage!$B287)+SUMIFS('T-Bills'!AC:AC,'T-Bills'!AB:AB,Brokerage!AE$4,'T-Bills'!W:W,Brokerage!$B287)</f>
        <v>0</v>
      </c>
      <c r="AF287" s="857">
        <f>+SUMIFS(PIB!AI:AI,PIB!AH:AH,Brokerage!AF$4,PIB!AC:AC,Brokerage!$B287)+SUMIFS('T-Bills'!AD:AD,'T-Bills'!AC:AC,Brokerage!AF$4,'T-Bills'!X:X,Brokerage!$B287)</f>
        <v>0</v>
      </c>
      <c r="AG287" s="857">
        <f t="shared" si="26"/>
        <v>0</v>
      </c>
      <c r="AH287" s="858">
        <f t="shared" si="27"/>
        <v>0</v>
      </c>
    </row>
    <row r="288" spans="2:34" x14ac:dyDescent="0.15">
      <c r="B288" s="661">
        <f t="shared" si="25"/>
        <v>44844</v>
      </c>
      <c r="C288" s="857">
        <f>SUMIFS('YTD Sales'!$N:$N,'YTD Sales'!$B:$B,Brokerage!$B288,'YTD Sales'!$M:$M,Brokerage!C$4)+SUMIFS('YTD Purchases'!$H:$H,'YTD Purchases'!$C:$C,Brokerage!$B288,'YTD Purchases'!$G:$G,Brokerage!C$4)</f>
        <v>0</v>
      </c>
      <c r="D288" s="857">
        <f>SUMIFS('YTD Sales'!$N:$N,'YTD Sales'!$B:$B,Brokerage!$B288,'YTD Sales'!$M:$M,Brokerage!D$4)+SUMIFS('YTD Purchases'!$H:$H,'YTD Purchases'!$C:$C,Brokerage!$B288,'YTD Purchases'!$G:$G,Brokerage!D$4)</f>
        <v>0</v>
      </c>
      <c r="E288" s="857">
        <f>SUMIFS('YTD Sales'!$N:$N,'YTD Sales'!$B:$B,Brokerage!$B288,'YTD Sales'!$M:$M,Brokerage!E$4)+SUMIFS('YTD Purchases'!$H:$H,'YTD Purchases'!$C:$C,Brokerage!$B288,'YTD Purchases'!$G:$G,Brokerage!E$4)</f>
        <v>0</v>
      </c>
      <c r="F288" s="857">
        <f>SUMIFS('YTD Sales'!$N:$N,'YTD Sales'!$B:$B,Brokerage!$B288,'YTD Sales'!$M:$M,Brokerage!F$4)+SUMIFS('YTD Purchases'!$H:$H,'YTD Purchases'!$C:$C,Brokerage!$B288,'YTD Purchases'!$G:$G,Brokerage!F$4)</f>
        <v>0</v>
      </c>
      <c r="G288" s="857">
        <f>SUMIFS('YTD Sales'!$N:$N,'YTD Sales'!$B:$B,Brokerage!$B288,'YTD Sales'!$M:$M,Brokerage!G$4)+SUMIFS('YTD Purchases'!$H:$H,'YTD Purchases'!$C:$C,Brokerage!$B288,'YTD Purchases'!$G:$G,Brokerage!G$4)</f>
        <v>0</v>
      </c>
      <c r="H288" s="857">
        <f>SUMIFS('YTD Sales'!$N:$N,'YTD Sales'!$B:$B,Brokerage!$B288,'YTD Sales'!$M:$M,Brokerage!H$4)+SUMIFS('YTD Purchases'!$H:$H,'YTD Purchases'!$C:$C,Brokerage!$B288,'YTD Purchases'!$G:$G,Brokerage!H$4)</f>
        <v>0</v>
      </c>
      <c r="I288" s="857">
        <f>SUMIFS('YTD Sales'!$N:$N,'YTD Sales'!$B:$B,Brokerage!$B288,'YTD Sales'!$M:$M,Brokerage!I$4)+SUMIFS('YTD Purchases'!$H:$H,'YTD Purchases'!$C:$C,Brokerage!$B288,'YTD Purchases'!$G:$G,Brokerage!I$4)</f>
        <v>0</v>
      </c>
      <c r="J288" s="857">
        <f>SUMIFS('YTD Sales'!$N:$N,'YTD Sales'!$B:$B,Brokerage!$B288,'YTD Sales'!$M:$M,Brokerage!J$4)+SUMIFS('YTD Purchases'!$H:$H,'YTD Purchases'!$C:$C,Brokerage!$B288,'YTD Purchases'!$G:$G,Brokerage!J$4)</f>
        <v>0</v>
      </c>
      <c r="K288" s="857">
        <f>SUMIFS('YTD Sales'!$N:$N,'YTD Sales'!$B:$B,Brokerage!$B288,'YTD Sales'!$M:$M,Brokerage!K$4)+SUMIFS('YTD Purchases'!$H:$H,'YTD Purchases'!$C:$C,Brokerage!$B288,'YTD Purchases'!$G:$G,Brokerage!K$4)</f>
        <v>0</v>
      </c>
      <c r="L288" s="857">
        <f>SUMIFS('YTD Sales'!$N:$N,'YTD Sales'!$B:$B,Brokerage!$B288,'YTD Sales'!$M:$M,Brokerage!L$4)+SUMIFS('YTD Purchases'!$H:$H,'YTD Purchases'!$C:$C,Brokerage!$B288,'YTD Purchases'!$G:$G,Brokerage!L$4)</f>
        <v>0</v>
      </c>
      <c r="M288" s="857">
        <f>SUMIFS('YTD Sales'!$N:$N,'YTD Sales'!$B:$B,Brokerage!$B288,'YTD Sales'!$M:$M,Brokerage!M$4)+SUMIFS('YTD Purchases'!$H:$H,'YTD Purchases'!$C:$C,Brokerage!$B288,'YTD Purchases'!$G:$G,Brokerage!M$4)</f>
        <v>0</v>
      </c>
      <c r="N288" s="857">
        <f>SUMIFS('YTD Sales'!$N:$N,'YTD Sales'!$B:$B,Brokerage!$B288,'YTD Sales'!$M:$M,Brokerage!N$4)+SUMIFS('YTD Purchases'!$H:$H,'YTD Purchases'!$C:$C,Brokerage!$B288,'YTD Purchases'!$G:$G,Brokerage!N$4)</f>
        <v>0</v>
      </c>
      <c r="O288" s="857">
        <f>SUMIFS('YTD Sales'!$N:$N,'YTD Sales'!$B:$B,Brokerage!$B288,'YTD Sales'!$M:$M,Brokerage!O$4)+SUMIFS('YTD Purchases'!$H:$H,'YTD Purchases'!$C:$C,Brokerage!$B288,'YTD Purchases'!$G:$G,Brokerage!O$4)</f>
        <v>0</v>
      </c>
      <c r="P288" s="857">
        <f>SUMIFS('YTD Sales'!$N:$N,'YTD Sales'!$B:$B,Brokerage!$B288,'YTD Sales'!$M:$M,Brokerage!P$4)+SUMIFS('YTD Purchases'!$H:$H,'YTD Purchases'!$C:$C,Brokerage!$B288,'YTD Purchases'!$G:$G,Brokerage!P$4)</f>
        <v>0</v>
      </c>
      <c r="Q288" s="857">
        <f>SUMIFS('YTD Sales'!$N:$N,'YTD Sales'!$B:$B,Brokerage!$B288,'YTD Sales'!$M:$M,Brokerage!Q$4)+SUMIFS('YTD Purchases'!$H:$H,'YTD Purchases'!$C:$C,Brokerage!$B288,'YTD Purchases'!$G:$G,Brokerage!Q$4)</f>
        <v>0</v>
      </c>
      <c r="R288" s="857">
        <f>SUMIFS('YTD Sales'!$N:$N,'YTD Sales'!$B:$B,Brokerage!$B288,'YTD Sales'!$M:$M,Brokerage!R$4)+SUMIFS('YTD Purchases'!$H:$H,'YTD Purchases'!$C:$C,Brokerage!$B288,'YTD Purchases'!$G:$G,Brokerage!R$4)</f>
        <v>0</v>
      </c>
      <c r="S288" s="857">
        <f>SUMIFS('YTD Sales'!$N:$N,'YTD Sales'!$B:$B,Brokerage!$B288,'YTD Sales'!$M:$M,Brokerage!S$4)+SUMIFS('YTD Purchases'!$H:$H,'YTD Purchases'!$C:$C,Brokerage!$B288,'YTD Purchases'!$G:$G,Brokerage!S$4)</f>
        <v>0</v>
      </c>
      <c r="T288" s="857">
        <f>SUMIFS('YTD Sales'!$N:$N,'YTD Sales'!$B:$B,Brokerage!$B288,'YTD Sales'!$M:$M,Brokerage!T$4)+SUMIFS('YTD Purchases'!$H:$H,'YTD Purchases'!$C:$C,Brokerage!$B288,'YTD Purchases'!$G:$G,Brokerage!T$4)</f>
        <v>0</v>
      </c>
      <c r="U288" s="857">
        <f>SUMIFS('YTD Sales'!$N:$N,'YTD Sales'!$B:$B,Brokerage!$B288,'YTD Sales'!$M:$M,Brokerage!U$4)+SUMIFS('YTD Purchases'!$H:$H,'YTD Purchases'!$C:$C,Brokerage!$B288,'YTD Purchases'!$G:$G,Brokerage!U$4)</f>
        <v>0</v>
      </c>
      <c r="V288" s="857">
        <f>SUMIFS('YTD Sales'!$N:$N,'YTD Sales'!$B:$B,Brokerage!$B288,'YTD Sales'!$M:$M,Brokerage!V$4)+SUMIFS('YTD Purchases'!$H:$H,'YTD Purchases'!$C:$C,Brokerage!$B288,'YTD Purchases'!$G:$G,Brokerage!V$4)</f>
        <v>0</v>
      </c>
      <c r="W288" s="857">
        <f>SUMIFS('YTD Sales'!$N:$N,'YTD Sales'!$B:$B,Brokerage!$B288,'YTD Sales'!$M:$M,Brokerage!W$4)+SUMIFS('YTD Purchases'!$H:$H,'YTD Purchases'!$C:$C,Brokerage!$B288,'YTD Purchases'!$G:$G,Brokerage!W$4)</f>
        <v>0</v>
      </c>
      <c r="X288" s="857">
        <f>SUMIFS('YTD Sales'!$N:$N,'YTD Sales'!$B:$B,Brokerage!$B288,'YTD Sales'!$M:$M,Brokerage!X$4)+SUMIFS('YTD Purchases'!$H:$H,'YTD Purchases'!$C:$C,Brokerage!$B288,'YTD Purchases'!$G:$G,Brokerage!X$4)</f>
        <v>0</v>
      </c>
      <c r="Y288" s="857">
        <f>SUMIFS('YTD Sales'!$N:$N,'YTD Sales'!$B:$B,Brokerage!$B288,'YTD Sales'!$M:$M,Brokerage!Y$4)+SUMIFS('YTD Purchases'!$H:$H,'YTD Purchases'!$C:$C,Brokerage!$B288,'YTD Purchases'!$G:$G,Brokerage!Y$4)</f>
        <v>0</v>
      </c>
      <c r="Z288" s="857">
        <f>SUMIFS('YTD Sales'!$N:$N,'YTD Sales'!$B:$B,Brokerage!$B288,'YTD Sales'!$M:$M,Brokerage!Z$4)+SUMIFS('YTD Purchases'!$H:$H,'YTD Purchases'!$C:$C,Brokerage!$B288,'YTD Purchases'!$G:$G,Brokerage!Z$4)</f>
        <v>0</v>
      </c>
      <c r="AA288" s="857">
        <f>SUMIFS('YTD Sales'!$N:$N,'YTD Sales'!$B:$B,Brokerage!$B288,'YTD Sales'!$M:$M,Brokerage!AA$4)+SUMIFS('YTD Purchases'!$H:$H,'YTD Purchases'!$C:$C,Brokerage!$B288,'YTD Purchases'!$G:$G,Brokerage!AA$4)</f>
        <v>0</v>
      </c>
      <c r="AB288" s="857">
        <f>SUMIFS('YTD Sales'!$N:$N,'YTD Sales'!$B:$B,Brokerage!$B288,'YTD Sales'!$M:$M,Brokerage!AB$4)+SUMIFS('YTD Purchases'!$H:$H,'YTD Purchases'!$C:$C,Brokerage!$B288,'YTD Purchases'!$G:$G,Brokerage!AB$4)</f>
        <v>0</v>
      </c>
      <c r="AC288" s="857">
        <f>SUMIFS('YTD Sales'!$N:$N,'YTD Sales'!$B:$B,Brokerage!$B288,'YTD Sales'!$M:$M,Brokerage!AC$4)+SUMIFS('YTD Purchases'!$H:$H,'YTD Purchases'!$C:$C,Brokerage!$B288,'YTD Purchases'!$G:$G,Brokerage!AC$4)</f>
        <v>0</v>
      </c>
      <c r="AD288" s="857">
        <f>+SUMIFS(PIB!AG:AG,PIB!AF:AF,Brokerage!AD$4,PIB!AA:AA,Brokerage!$B288)+SUMIFS('T-Bills'!AB:AB,'T-Bills'!AA:AA,Brokerage!AD$4,'T-Bills'!V:V,Brokerage!$B288)</f>
        <v>0</v>
      </c>
      <c r="AE288" s="857">
        <f>+SUMIFS(PIB!AH:AH,PIB!AG:AG,Brokerage!AE$4,PIB!AB:AB,Brokerage!$B288)+SUMIFS('T-Bills'!AC:AC,'T-Bills'!AB:AB,Brokerage!AE$4,'T-Bills'!W:W,Brokerage!$B288)</f>
        <v>0</v>
      </c>
      <c r="AF288" s="857">
        <f>+SUMIFS(PIB!AI:AI,PIB!AH:AH,Brokerage!AF$4,PIB!AC:AC,Brokerage!$B288)+SUMIFS('T-Bills'!AD:AD,'T-Bills'!AC:AC,Brokerage!AF$4,'T-Bills'!X:X,Brokerage!$B288)</f>
        <v>0</v>
      </c>
      <c r="AG288" s="857">
        <f t="shared" si="26"/>
        <v>0</v>
      </c>
      <c r="AH288" s="858">
        <f t="shared" si="27"/>
        <v>0</v>
      </c>
    </row>
    <row r="289" spans="2:34" x14ac:dyDescent="0.15">
      <c r="B289" s="661">
        <f t="shared" si="25"/>
        <v>44845</v>
      </c>
      <c r="C289" s="857">
        <f>SUMIFS('YTD Sales'!$N:$N,'YTD Sales'!$B:$B,Brokerage!$B289,'YTD Sales'!$M:$M,Brokerage!C$4)+SUMIFS('YTD Purchases'!$H:$H,'YTD Purchases'!$C:$C,Brokerage!$B289,'YTD Purchases'!$G:$G,Brokerage!C$4)</f>
        <v>0</v>
      </c>
      <c r="D289" s="857">
        <f>SUMIFS('YTD Sales'!$N:$N,'YTD Sales'!$B:$B,Brokerage!$B289,'YTD Sales'!$M:$M,Brokerage!D$4)+SUMIFS('YTD Purchases'!$H:$H,'YTD Purchases'!$C:$C,Brokerage!$B289,'YTD Purchases'!$G:$G,Brokerage!D$4)</f>
        <v>0</v>
      </c>
      <c r="E289" s="857">
        <f>SUMIFS('YTD Sales'!$N:$N,'YTD Sales'!$B:$B,Brokerage!$B289,'YTD Sales'!$M:$M,Brokerage!E$4)+SUMIFS('YTD Purchases'!$H:$H,'YTD Purchases'!$C:$C,Brokerage!$B289,'YTD Purchases'!$G:$G,Brokerage!E$4)</f>
        <v>0</v>
      </c>
      <c r="F289" s="857">
        <f>SUMIFS('YTD Sales'!$N:$N,'YTD Sales'!$B:$B,Brokerage!$B289,'YTD Sales'!$M:$M,Brokerage!F$4)+SUMIFS('YTD Purchases'!$H:$H,'YTD Purchases'!$C:$C,Brokerage!$B289,'YTD Purchases'!$G:$G,Brokerage!F$4)</f>
        <v>0</v>
      </c>
      <c r="G289" s="857">
        <f>SUMIFS('YTD Sales'!$N:$N,'YTD Sales'!$B:$B,Brokerage!$B289,'YTD Sales'!$M:$M,Brokerage!G$4)+SUMIFS('YTD Purchases'!$H:$H,'YTD Purchases'!$C:$C,Brokerage!$B289,'YTD Purchases'!$G:$G,Brokerage!G$4)</f>
        <v>0</v>
      </c>
      <c r="H289" s="857">
        <f>SUMIFS('YTD Sales'!$N:$N,'YTD Sales'!$B:$B,Brokerage!$B289,'YTD Sales'!$M:$M,Brokerage!H$4)+SUMIFS('YTD Purchases'!$H:$H,'YTD Purchases'!$C:$C,Brokerage!$B289,'YTD Purchases'!$G:$G,Brokerage!H$4)</f>
        <v>0</v>
      </c>
      <c r="I289" s="857">
        <f>SUMIFS('YTD Sales'!$N:$N,'YTD Sales'!$B:$B,Brokerage!$B289,'YTD Sales'!$M:$M,Brokerage!I$4)+SUMIFS('YTD Purchases'!$H:$H,'YTD Purchases'!$C:$C,Brokerage!$B289,'YTD Purchases'!$G:$G,Brokerage!I$4)</f>
        <v>0</v>
      </c>
      <c r="J289" s="857">
        <f>SUMIFS('YTD Sales'!$N:$N,'YTD Sales'!$B:$B,Brokerage!$B289,'YTD Sales'!$M:$M,Brokerage!J$4)+SUMIFS('YTD Purchases'!$H:$H,'YTD Purchases'!$C:$C,Brokerage!$B289,'YTD Purchases'!$G:$G,Brokerage!J$4)</f>
        <v>0</v>
      </c>
      <c r="K289" s="857">
        <f>SUMIFS('YTD Sales'!$N:$N,'YTD Sales'!$B:$B,Brokerage!$B289,'YTD Sales'!$M:$M,Brokerage!K$4)+SUMIFS('YTD Purchases'!$H:$H,'YTD Purchases'!$C:$C,Brokerage!$B289,'YTD Purchases'!$G:$G,Brokerage!K$4)</f>
        <v>0</v>
      </c>
      <c r="L289" s="857">
        <f>SUMIFS('YTD Sales'!$N:$N,'YTD Sales'!$B:$B,Brokerage!$B289,'YTD Sales'!$M:$M,Brokerage!L$4)+SUMIFS('YTD Purchases'!$H:$H,'YTD Purchases'!$C:$C,Brokerage!$B289,'YTD Purchases'!$G:$G,Brokerage!L$4)</f>
        <v>0</v>
      </c>
      <c r="M289" s="857">
        <f>SUMIFS('YTD Sales'!$N:$N,'YTD Sales'!$B:$B,Brokerage!$B289,'YTD Sales'!$M:$M,Brokerage!M$4)+SUMIFS('YTD Purchases'!$H:$H,'YTD Purchases'!$C:$C,Brokerage!$B289,'YTD Purchases'!$G:$G,Brokerage!M$4)</f>
        <v>0</v>
      </c>
      <c r="N289" s="857">
        <f>SUMIFS('YTD Sales'!$N:$N,'YTD Sales'!$B:$B,Brokerage!$B289,'YTD Sales'!$M:$M,Brokerage!N$4)+SUMIFS('YTD Purchases'!$H:$H,'YTD Purchases'!$C:$C,Brokerage!$B289,'YTD Purchases'!$G:$G,Brokerage!N$4)</f>
        <v>0</v>
      </c>
      <c r="O289" s="857">
        <f>SUMIFS('YTD Sales'!$N:$N,'YTD Sales'!$B:$B,Brokerage!$B289,'YTD Sales'!$M:$M,Brokerage!O$4)+SUMIFS('YTD Purchases'!$H:$H,'YTD Purchases'!$C:$C,Brokerage!$B289,'YTD Purchases'!$G:$G,Brokerage!O$4)</f>
        <v>0</v>
      </c>
      <c r="P289" s="857">
        <f>SUMIFS('YTD Sales'!$N:$N,'YTD Sales'!$B:$B,Brokerage!$B289,'YTD Sales'!$M:$M,Brokerage!P$4)+SUMIFS('YTD Purchases'!$H:$H,'YTD Purchases'!$C:$C,Brokerage!$B289,'YTD Purchases'!$G:$G,Brokerage!P$4)</f>
        <v>0</v>
      </c>
      <c r="Q289" s="857">
        <f>SUMIFS('YTD Sales'!$N:$N,'YTD Sales'!$B:$B,Brokerage!$B289,'YTD Sales'!$M:$M,Brokerage!Q$4)+SUMIFS('YTD Purchases'!$H:$H,'YTD Purchases'!$C:$C,Brokerage!$B289,'YTD Purchases'!$G:$G,Brokerage!Q$4)</f>
        <v>0</v>
      </c>
      <c r="R289" s="857">
        <f>SUMIFS('YTD Sales'!$N:$N,'YTD Sales'!$B:$B,Brokerage!$B289,'YTD Sales'!$M:$M,Brokerage!R$4)+SUMIFS('YTD Purchases'!$H:$H,'YTD Purchases'!$C:$C,Brokerage!$B289,'YTD Purchases'!$G:$G,Brokerage!R$4)</f>
        <v>0</v>
      </c>
      <c r="S289" s="857">
        <f>SUMIFS('YTD Sales'!$N:$N,'YTD Sales'!$B:$B,Brokerage!$B289,'YTD Sales'!$M:$M,Brokerage!S$4)+SUMIFS('YTD Purchases'!$H:$H,'YTD Purchases'!$C:$C,Brokerage!$B289,'YTD Purchases'!$G:$G,Brokerage!S$4)</f>
        <v>0</v>
      </c>
      <c r="T289" s="857">
        <f>SUMIFS('YTD Sales'!$N:$N,'YTD Sales'!$B:$B,Brokerage!$B289,'YTD Sales'!$M:$M,Brokerage!T$4)+SUMIFS('YTD Purchases'!$H:$H,'YTD Purchases'!$C:$C,Brokerage!$B289,'YTD Purchases'!$G:$G,Brokerage!T$4)</f>
        <v>0</v>
      </c>
      <c r="U289" s="857">
        <f>SUMIFS('YTD Sales'!$N:$N,'YTD Sales'!$B:$B,Brokerage!$B289,'YTD Sales'!$M:$M,Brokerage!U$4)+SUMIFS('YTD Purchases'!$H:$H,'YTD Purchases'!$C:$C,Brokerage!$B289,'YTD Purchases'!$G:$G,Brokerage!U$4)</f>
        <v>0</v>
      </c>
      <c r="V289" s="857">
        <f>SUMIFS('YTD Sales'!$N:$N,'YTD Sales'!$B:$B,Brokerage!$B289,'YTD Sales'!$M:$M,Brokerage!V$4)+SUMIFS('YTD Purchases'!$H:$H,'YTD Purchases'!$C:$C,Brokerage!$B289,'YTD Purchases'!$G:$G,Brokerage!V$4)</f>
        <v>0</v>
      </c>
      <c r="W289" s="857">
        <f>SUMIFS('YTD Sales'!$N:$N,'YTD Sales'!$B:$B,Brokerage!$B289,'YTD Sales'!$M:$M,Brokerage!W$4)+SUMIFS('YTD Purchases'!$H:$H,'YTD Purchases'!$C:$C,Brokerage!$B289,'YTD Purchases'!$G:$G,Brokerage!W$4)</f>
        <v>0</v>
      </c>
      <c r="X289" s="857">
        <f>SUMIFS('YTD Sales'!$N:$N,'YTD Sales'!$B:$B,Brokerage!$B289,'YTD Sales'!$M:$M,Brokerage!X$4)+SUMIFS('YTD Purchases'!$H:$H,'YTD Purchases'!$C:$C,Brokerage!$B289,'YTD Purchases'!$G:$G,Brokerage!X$4)</f>
        <v>0</v>
      </c>
      <c r="Y289" s="857">
        <f>SUMIFS('YTD Sales'!$N:$N,'YTD Sales'!$B:$B,Brokerage!$B289,'YTD Sales'!$M:$M,Brokerage!Y$4)+SUMIFS('YTD Purchases'!$H:$H,'YTD Purchases'!$C:$C,Brokerage!$B289,'YTD Purchases'!$G:$G,Brokerage!Y$4)</f>
        <v>0</v>
      </c>
      <c r="Z289" s="857">
        <f>SUMIFS('YTD Sales'!$N:$N,'YTD Sales'!$B:$B,Brokerage!$B289,'YTD Sales'!$M:$M,Brokerage!Z$4)+SUMIFS('YTD Purchases'!$H:$H,'YTD Purchases'!$C:$C,Brokerage!$B289,'YTD Purchases'!$G:$G,Brokerage!Z$4)</f>
        <v>0</v>
      </c>
      <c r="AA289" s="857">
        <f>SUMIFS('YTD Sales'!$N:$N,'YTD Sales'!$B:$B,Brokerage!$B289,'YTD Sales'!$M:$M,Brokerage!AA$4)+SUMIFS('YTD Purchases'!$H:$H,'YTD Purchases'!$C:$C,Brokerage!$B289,'YTD Purchases'!$G:$G,Brokerage!AA$4)</f>
        <v>0</v>
      </c>
      <c r="AB289" s="857">
        <f>SUMIFS('YTD Sales'!$N:$N,'YTD Sales'!$B:$B,Brokerage!$B289,'YTD Sales'!$M:$M,Brokerage!AB$4)+SUMIFS('YTD Purchases'!$H:$H,'YTD Purchases'!$C:$C,Brokerage!$B289,'YTD Purchases'!$G:$G,Brokerage!AB$4)</f>
        <v>0</v>
      </c>
      <c r="AC289" s="857">
        <f>SUMIFS('YTD Sales'!$N:$N,'YTD Sales'!$B:$B,Brokerage!$B289,'YTD Sales'!$M:$M,Brokerage!AC$4)+SUMIFS('YTD Purchases'!$H:$H,'YTD Purchases'!$C:$C,Brokerage!$B289,'YTD Purchases'!$G:$G,Brokerage!AC$4)</f>
        <v>0</v>
      </c>
      <c r="AD289" s="857">
        <f>+SUMIFS(PIB!AG:AG,PIB!AF:AF,Brokerage!AD$4,PIB!AA:AA,Brokerage!$B289)+SUMIFS('T-Bills'!AB:AB,'T-Bills'!AA:AA,Brokerage!AD$4,'T-Bills'!V:V,Brokerage!$B289)</f>
        <v>0</v>
      </c>
      <c r="AE289" s="857">
        <f>+SUMIFS(PIB!AH:AH,PIB!AG:AG,Brokerage!AE$4,PIB!AB:AB,Brokerage!$B289)+SUMIFS('T-Bills'!AC:AC,'T-Bills'!AB:AB,Brokerage!AE$4,'T-Bills'!W:W,Brokerage!$B289)</f>
        <v>0</v>
      </c>
      <c r="AF289" s="857">
        <f>+SUMIFS(PIB!AI:AI,PIB!AH:AH,Brokerage!AF$4,PIB!AC:AC,Brokerage!$B289)+SUMIFS('T-Bills'!AD:AD,'T-Bills'!AC:AC,Brokerage!AF$4,'T-Bills'!X:X,Brokerage!$B289)</f>
        <v>0</v>
      </c>
      <c r="AG289" s="857">
        <f t="shared" si="26"/>
        <v>0</v>
      </c>
      <c r="AH289" s="858">
        <f t="shared" si="27"/>
        <v>0</v>
      </c>
    </row>
    <row r="290" spans="2:34" x14ac:dyDescent="0.15">
      <c r="B290" s="661">
        <f t="shared" si="25"/>
        <v>44846</v>
      </c>
      <c r="C290" s="857">
        <f>SUMIFS('YTD Sales'!$N:$N,'YTD Sales'!$B:$B,Brokerage!$B290,'YTD Sales'!$M:$M,Brokerage!C$4)+SUMIFS('YTD Purchases'!$H:$H,'YTD Purchases'!$C:$C,Brokerage!$B290,'YTD Purchases'!$G:$G,Brokerage!C$4)</f>
        <v>0</v>
      </c>
      <c r="D290" s="857">
        <f>SUMIFS('YTD Sales'!$N:$N,'YTD Sales'!$B:$B,Brokerage!$B290,'YTD Sales'!$M:$M,Brokerage!D$4)+SUMIFS('YTD Purchases'!$H:$H,'YTD Purchases'!$C:$C,Brokerage!$B290,'YTD Purchases'!$G:$G,Brokerage!D$4)</f>
        <v>0</v>
      </c>
      <c r="E290" s="857">
        <f>SUMIFS('YTD Sales'!$N:$N,'YTD Sales'!$B:$B,Brokerage!$B290,'YTD Sales'!$M:$M,Brokerage!E$4)+SUMIFS('YTD Purchases'!$H:$H,'YTD Purchases'!$C:$C,Brokerage!$B290,'YTD Purchases'!$G:$G,Brokerage!E$4)</f>
        <v>0</v>
      </c>
      <c r="F290" s="857">
        <f>SUMIFS('YTD Sales'!$N:$N,'YTD Sales'!$B:$B,Brokerage!$B290,'YTD Sales'!$M:$M,Brokerage!F$4)+SUMIFS('YTD Purchases'!$H:$H,'YTD Purchases'!$C:$C,Brokerage!$B290,'YTD Purchases'!$G:$G,Brokerage!F$4)</f>
        <v>0</v>
      </c>
      <c r="G290" s="857">
        <f>SUMIFS('YTD Sales'!$N:$N,'YTD Sales'!$B:$B,Brokerage!$B290,'YTD Sales'!$M:$M,Brokerage!G$4)+SUMIFS('YTD Purchases'!$H:$H,'YTD Purchases'!$C:$C,Brokerage!$B290,'YTD Purchases'!$G:$G,Brokerage!G$4)</f>
        <v>0</v>
      </c>
      <c r="H290" s="857">
        <f>SUMIFS('YTD Sales'!$N:$N,'YTD Sales'!$B:$B,Brokerage!$B290,'YTD Sales'!$M:$M,Brokerage!H$4)+SUMIFS('YTD Purchases'!$H:$H,'YTD Purchases'!$C:$C,Brokerage!$B290,'YTD Purchases'!$G:$G,Brokerage!H$4)</f>
        <v>0</v>
      </c>
      <c r="I290" s="857">
        <f>SUMIFS('YTD Sales'!$N:$N,'YTD Sales'!$B:$B,Brokerage!$B290,'YTD Sales'!$M:$M,Brokerage!I$4)+SUMIFS('YTD Purchases'!$H:$H,'YTD Purchases'!$C:$C,Brokerage!$B290,'YTD Purchases'!$G:$G,Brokerage!I$4)</f>
        <v>0</v>
      </c>
      <c r="J290" s="857">
        <f>SUMIFS('YTD Sales'!$N:$N,'YTD Sales'!$B:$B,Brokerage!$B290,'YTD Sales'!$M:$M,Brokerage!J$4)+SUMIFS('YTD Purchases'!$H:$H,'YTD Purchases'!$C:$C,Brokerage!$B290,'YTD Purchases'!$G:$G,Brokerage!J$4)</f>
        <v>0</v>
      </c>
      <c r="K290" s="857">
        <f>SUMIFS('YTD Sales'!$N:$N,'YTD Sales'!$B:$B,Brokerage!$B290,'YTD Sales'!$M:$M,Brokerage!K$4)+SUMIFS('YTD Purchases'!$H:$H,'YTD Purchases'!$C:$C,Brokerage!$B290,'YTD Purchases'!$G:$G,Brokerage!K$4)</f>
        <v>0</v>
      </c>
      <c r="L290" s="857">
        <f>SUMIFS('YTD Sales'!$N:$N,'YTD Sales'!$B:$B,Brokerage!$B290,'YTD Sales'!$M:$M,Brokerage!L$4)+SUMIFS('YTD Purchases'!$H:$H,'YTD Purchases'!$C:$C,Brokerage!$B290,'YTD Purchases'!$G:$G,Brokerage!L$4)</f>
        <v>0</v>
      </c>
      <c r="M290" s="857">
        <f>SUMIFS('YTD Sales'!$N:$N,'YTD Sales'!$B:$B,Brokerage!$B290,'YTD Sales'!$M:$M,Brokerage!M$4)+SUMIFS('YTD Purchases'!$H:$H,'YTD Purchases'!$C:$C,Brokerage!$B290,'YTD Purchases'!$G:$G,Brokerage!M$4)</f>
        <v>0</v>
      </c>
      <c r="N290" s="857">
        <f>SUMIFS('YTD Sales'!$N:$N,'YTD Sales'!$B:$B,Brokerage!$B290,'YTD Sales'!$M:$M,Brokerage!N$4)+SUMIFS('YTD Purchases'!$H:$H,'YTD Purchases'!$C:$C,Brokerage!$B290,'YTD Purchases'!$G:$G,Brokerage!N$4)</f>
        <v>0</v>
      </c>
      <c r="O290" s="857">
        <f>SUMIFS('YTD Sales'!$N:$N,'YTD Sales'!$B:$B,Brokerage!$B290,'YTD Sales'!$M:$M,Brokerage!O$4)+SUMIFS('YTD Purchases'!$H:$H,'YTD Purchases'!$C:$C,Brokerage!$B290,'YTD Purchases'!$G:$G,Brokerage!O$4)</f>
        <v>0</v>
      </c>
      <c r="P290" s="857">
        <f>SUMIFS('YTD Sales'!$N:$N,'YTD Sales'!$B:$B,Brokerage!$B290,'YTD Sales'!$M:$M,Brokerage!P$4)+SUMIFS('YTD Purchases'!$H:$H,'YTD Purchases'!$C:$C,Brokerage!$B290,'YTD Purchases'!$G:$G,Brokerage!P$4)</f>
        <v>0</v>
      </c>
      <c r="Q290" s="857">
        <f>SUMIFS('YTD Sales'!$N:$N,'YTD Sales'!$B:$B,Brokerage!$B290,'YTD Sales'!$M:$M,Brokerage!Q$4)+SUMIFS('YTD Purchases'!$H:$H,'YTD Purchases'!$C:$C,Brokerage!$B290,'YTD Purchases'!$G:$G,Brokerage!Q$4)</f>
        <v>0</v>
      </c>
      <c r="R290" s="857">
        <f>SUMIFS('YTD Sales'!$N:$N,'YTD Sales'!$B:$B,Brokerage!$B290,'YTD Sales'!$M:$M,Brokerage!R$4)+SUMIFS('YTD Purchases'!$H:$H,'YTD Purchases'!$C:$C,Brokerage!$B290,'YTD Purchases'!$G:$G,Brokerage!R$4)</f>
        <v>0</v>
      </c>
      <c r="S290" s="857">
        <f>SUMIFS('YTD Sales'!$N:$N,'YTD Sales'!$B:$B,Brokerage!$B290,'YTD Sales'!$M:$M,Brokerage!S$4)+SUMIFS('YTD Purchases'!$H:$H,'YTD Purchases'!$C:$C,Brokerage!$B290,'YTD Purchases'!$G:$G,Brokerage!S$4)</f>
        <v>0</v>
      </c>
      <c r="T290" s="857">
        <f>SUMIFS('YTD Sales'!$N:$N,'YTD Sales'!$B:$B,Brokerage!$B290,'YTD Sales'!$M:$M,Brokerage!T$4)+SUMIFS('YTD Purchases'!$H:$H,'YTD Purchases'!$C:$C,Brokerage!$B290,'YTD Purchases'!$G:$G,Brokerage!T$4)</f>
        <v>0</v>
      </c>
      <c r="U290" s="857">
        <f>SUMIFS('YTD Sales'!$N:$N,'YTD Sales'!$B:$B,Brokerage!$B290,'YTD Sales'!$M:$M,Brokerage!U$4)+SUMIFS('YTD Purchases'!$H:$H,'YTD Purchases'!$C:$C,Brokerage!$B290,'YTD Purchases'!$G:$G,Brokerage!U$4)</f>
        <v>0</v>
      </c>
      <c r="V290" s="857">
        <f>SUMIFS('YTD Sales'!$N:$N,'YTD Sales'!$B:$B,Brokerage!$B290,'YTD Sales'!$M:$M,Brokerage!V$4)+SUMIFS('YTD Purchases'!$H:$H,'YTD Purchases'!$C:$C,Brokerage!$B290,'YTD Purchases'!$G:$G,Brokerage!V$4)</f>
        <v>0</v>
      </c>
      <c r="W290" s="857">
        <f>SUMIFS('YTD Sales'!$N:$N,'YTD Sales'!$B:$B,Brokerage!$B290,'YTD Sales'!$M:$M,Brokerage!W$4)+SUMIFS('YTD Purchases'!$H:$H,'YTD Purchases'!$C:$C,Brokerage!$B290,'YTD Purchases'!$G:$G,Brokerage!W$4)</f>
        <v>0</v>
      </c>
      <c r="X290" s="857">
        <f>SUMIFS('YTD Sales'!$N:$N,'YTD Sales'!$B:$B,Brokerage!$B290,'YTD Sales'!$M:$M,Brokerage!X$4)+SUMIFS('YTD Purchases'!$H:$H,'YTD Purchases'!$C:$C,Brokerage!$B290,'YTD Purchases'!$G:$G,Brokerage!X$4)</f>
        <v>0</v>
      </c>
      <c r="Y290" s="857">
        <f>SUMIFS('YTD Sales'!$N:$N,'YTD Sales'!$B:$B,Brokerage!$B290,'YTD Sales'!$M:$M,Brokerage!Y$4)+SUMIFS('YTD Purchases'!$H:$H,'YTD Purchases'!$C:$C,Brokerage!$B290,'YTD Purchases'!$G:$G,Brokerage!Y$4)</f>
        <v>0</v>
      </c>
      <c r="Z290" s="857">
        <f>SUMIFS('YTD Sales'!$N:$N,'YTD Sales'!$B:$B,Brokerage!$B290,'YTD Sales'!$M:$M,Brokerage!Z$4)+SUMIFS('YTD Purchases'!$H:$H,'YTD Purchases'!$C:$C,Brokerage!$B290,'YTD Purchases'!$G:$G,Brokerage!Z$4)</f>
        <v>0</v>
      </c>
      <c r="AA290" s="857">
        <f>SUMIFS('YTD Sales'!$N:$N,'YTD Sales'!$B:$B,Brokerage!$B290,'YTD Sales'!$M:$M,Brokerage!AA$4)+SUMIFS('YTD Purchases'!$H:$H,'YTD Purchases'!$C:$C,Brokerage!$B290,'YTD Purchases'!$G:$G,Brokerage!AA$4)</f>
        <v>0</v>
      </c>
      <c r="AB290" s="857">
        <f>SUMIFS('YTD Sales'!$N:$N,'YTD Sales'!$B:$B,Brokerage!$B290,'YTD Sales'!$M:$M,Brokerage!AB$4)+SUMIFS('YTD Purchases'!$H:$H,'YTD Purchases'!$C:$C,Brokerage!$B290,'YTD Purchases'!$G:$G,Brokerage!AB$4)</f>
        <v>0</v>
      </c>
      <c r="AC290" s="857">
        <f>SUMIFS('YTD Sales'!$N:$N,'YTD Sales'!$B:$B,Brokerage!$B290,'YTD Sales'!$M:$M,Brokerage!AC$4)+SUMIFS('YTD Purchases'!$H:$H,'YTD Purchases'!$C:$C,Brokerage!$B290,'YTD Purchases'!$G:$G,Brokerage!AC$4)</f>
        <v>0</v>
      </c>
      <c r="AD290" s="857">
        <f>+SUMIFS(PIB!AG:AG,PIB!AF:AF,Brokerage!AD$4,PIB!AA:AA,Brokerage!$B290)+SUMIFS('T-Bills'!AB:AB,'T-Bills'!AA:AA,Brokerage!AD$4,'T-Bills'!V:V,Brokerage!$B290)</f>
        <v>0</v>
      </c>
      <c r="AE290" s="857">
        <f>+SUMIFS(PIB!AH:AH,PIB!AG:AG,Brokerage!AE$4,PIB!AB:AB,Brokerage!$B290)+SUMIFS('T-Bills'!AC:AC,'T-Bills'!AB:AB,Brokerage!AE$4,'T-Bills'!W:W,Brokerage!$B290)</f>
        <v>0</v>
      </c>
      <c r="AF290" s="857">
        <f>+SUMIFS(PIB!AI:AI,PIB!AH:AH,Brokerage!AF$4,PIB!AC:AC,Brokerage!$B290)+SUMIFS('T-Bills'!AD:AD,'T-Bills'!AC:AC,Brokerage!AF$4,'T-Bills'!X:X,Brokerage!$B290)</f>
        <v>0</v>
      </c>
      <c r="AG290" s="857">
        <f t="shared" si="26"/>
        <v>0</v>
      </c>
      <c r="AH290" s="858">
        <f t="shared" si="27"/>
        <v>0</v>
      </c>
    </row>
    <row r="291" spans="2:34" x14ac:dyDescent="0.15">
      <c r="B291" s="661">
        <f t="shared" si="25"/>
        <v>44847</v>
      </c>
      <c r="C291" s="857">
        <f>SUMIFS('YTD Sales'!$N:$N,'YTD Sales'!$B:$B,Brokerage!$B291,'YTD Sales'!$M:$M,Brokerage!C$4)+SUMIFS('YTD Purchases'!$H:$H,'YTD Purchases'!$C:$C,Brokerage!$B291,'YTD Purchases'!$G:$G,Brokerage!C$4)</f>
        <v>0</v>
      </c>
      <c r="D291" s="857">
        <f>SUMIFS('YTD Sales'!$N:$N,'YTD Sales'!$B:$B,Brokerage!$B291,'YTD Sales'!$M:$M,Brokerage!D$4)+SUMIFS('YTD Purchases'!$H:$H,'YTD Purchases'!$C:$C,Brokerage!$B291,'YTD Purchases'!$G:$G,Brokerage!D$4)</f>
        <v>0</v>
      </c>
      <c r="E291" s="857">
        <f>SUMIFS('YTD Sales'!$N:$N,'YTD Sales'!$B:$B,Brokerage!$B291,'YTD Sales'!$M:$M,Brokerage!E$4)+SUMIFS('YTD Purchases'!$H:$H,'YTD Purchases'!$C:$C,Brokerage!$B291,'YTD Purchases'!$G:$G,Brokerage!E$4)</f>
        <v>0</v>
      </c>
      <c r="F291" s="857">
        <f>SUMIFS('YTD Sales'!$N:$N,'YTD Sales'!$B:$B,Brokerage!$B291,'YTD Sales'!$M:$M,Brokerage!F$4)+SUMIFS('YTD Purchases'!$H:$H,'YTD Purchases'!$C:$C,Brokerage!$B291,'YTD Purchases'!$G:$G,Brokerage!F$4)</f>
        <v>0</v>
      </c>
      <c r="G291" s="857">
        <f>SUMIFS('YTD Sales'!$N:$N,'YTD Sales'!$B:$B,Brokerage!$B291,'YTD Sales'!$M:$M,Brokerage!G$4)+SUMIFS('YTD Purchases'!$H:$H,'YTD Purchases'!$C:$C,Brokerage!$B291,'YTD Purchases'!$G:$G,Brokerage!G$4)</f>
        <v>0</v>
      </c>
      <c r="H291" s="857">
        <f>SUMIFS('YTD Sales'!$N:$N,'YTD Sales'!$B:$B,Brokerage!$B291,'YTD Sales'!$M:$M,Brokerage!H$4)+SUMIFS('YTD Purchases'!$H:$H,'YTD Purchases'!$C:$C,Brokerage!$B291,'YTD Purchases'!$G:$G,Brokerage!H$4)</f>
        <v>0</v>
      </c>
      <c r="I291" s="857">
        <f>SUMIFS('YTD Sales'!$N:$N,'YTD Sales'!$B:$B,Brokerage!$B291,'YTD Sales'!$M:$M,Brokerage!I$4)+SUMIFS('YTD Purchases'!$H:$H,'YTD Purchases'!$C:$C,Brokerage!$B291,'YTD Purchases'!$G:$G,Brokerage!I$4)</f>
        <v>0</v>
      </c>
      <c r="J291" s="857">
        <f>SUMIFS('YTD Sales'!$N:$N,'YTD Sales'!$B:$B,Brokerage!$B291,'YTD Sales'!$M:$M,Brokerage!J$4)+SUMIFS('YTD Purchases'!$H:$H,'YTD Purchases'!$C:$C,Brokerage!$B291,'YTD Purchases'!$G:$G,Brokerage!J$4)</f>
        <v>0</v>
      </c>
      <c r="K291" s="857">
        <f>SUMIFS('YTD Sales'!$N:$N,'YTD Sales'!$B:$B,Brokerage!$B291,'YTD Sales'!$M:$M,Brokerage!K$4)+SUMIFS('YTD Purchases'!$H:$H,'YTD Purchases'!$C:$C,Brokerage!$B291,'YTD Purchases'!$G:$G,Brokerage!K$4)</f>
        <v>0</v>
      </c>
      <c r="L291" s="857">
        <f>SUMIFS('YTD Sales'!$N:$N,'YTD Sales'!$B:$B,Brokerage!$B291,'YTD Sales'!$M:$M,Brokerage!L$4)+SUMIFS('YTD Purchases'!$H:$H,'YTD Purchases'!$C:$C,Brokerage!$B291,'YTD Purchases'!$G:$G,Brokerage!L$4)</f>
        <v>0</v>
      </c>
      <c r="M291" s="857">
        <f>SUMIFS('YTD Sales'!$N:$N,'YTD Sales'!$B:$B,Brokerage!$B291,'YTD Sales'!$M:$M,Brokerage!M$4)+SUMIFS('YTD Purchases'!$H:$H,'YTD Purchases'!$C:$C,Brokerage!$B291,'YTD Purchases'!$G:$G,Brokerage!M$4)</f>
        <v>0</v>
      </c>
      <c r="N291" s="857">
        <f>SUMIFS('YTD Sales'!$N:$N,'YTD Sales'!$B:$B,Brokerage!$B291,'YTD Sales'!$M:$M,Brokerage!N$4)+SUMIFS('YTD Purchases'!$H:$H,'YTD Purchases'!$C:$C,Brokerage!$B291,'YTD Purchases'!$G:$G,Brokerage!N$4)</f>
        <v>0</v>
      </c>
      <c r="O291" s="857">
        <f>SUMIFS('YTD Sales'!$N:$N,'YTD Sales'!$B:$B,Brokerage!$B291,'YTD Sales'!$M:$M,Brokerage!O$4)+SUMIFS('YTD Purchases'!$H:$H,'YTD Purchases'!$C:$C,Brokerage!$B291,'YTD Purchases'!$G:$G,Brokerage!O$4)</f>
        <v>0</v>
      </c>
      <c r="P291" s="857">
        <f>SUMIFS('YTD Sales'!$N:$N,'YTD Sales'!$B:$B,Brokerage!$B291,'YTD Sales'!$M:$M,Brokerage!P$4)+SUMIFS('YTD Purchases'!$H:$H,'YTD Purchases'!$C:$C,Brokerage!$B291,'YTD Purchases'!$G:$G,Brokerage!P$4)</f>
        <v>0</v>
      </c>
      <c r="Q291" s="857">
        <f>SUMIFS('YTD Sales'!$N:$N,'YTD Sales'!$B:$B,Brokerage!$B291,'YTD Sales'!$M:$M,Brokerage!Q$4)+SUMIFS('YTD Purchases'!$H:$H,'YTD Purchases'!$C:$C,Brokerage!$B291,'YTD Purchases'!$G:$G,Brokerage!Q$4)</f>
        <v>0</v>
      </c>
      <c r="R291" s="857">
        <f>SUMIFS('YTD Sales'!$N:$N,'YTD Sales'!$B:$B,Brokerage!$B291,'YTD Sales'!$M:$M,Brokerage!R$4)+SUMIFS('YTD Purchases'!$H:$H,'YTD Purchases'!$C:$C,Brokerage!$B291,'YTD Purchases'!$G:$G,Brokerage!R$4)</f>
        <v>0</v>
      </c>
      <c r="S291" s="857">
        <f>SUMIFS('YTD Sales'!$N:$N,'YTD Sales'!$B:$B,Brokerage!$B291,'YTD Sales'!$M:$M,Brokerage!S$4)+SUMIFS('YTD Purchases'!$H:$H,'YTD Purchases'!$C:$C,Brokerage!$B291,'YTD Purchases'!$G:$G,Brokerage!S$4)</f>
        <v>0</v>
      </c>
      <c r="T291" s="857">
        <f>SUMIFS('YTD Sales'!$N:$N,'YTD Sales'!$B:$B,Brokerage!$B291,'YTD Sales'!$M:$M,Brokerage!T$4)+SUMIFS('YTD Purchases'!$H:$H,'YTD Purchases'!$C:$C,Brokerage!$B291,'YTD Purchases'!$G:$G,Brokerage!T$4)</f>
        <v>0</v>
      </c>
      <c r="U291" s="857">
        <f>SUMIFS('YTD Sales'!$N:$N,'YTD Sales'!$B:$B,Brokerage!$B291,'YTD Sales'!$M:$M,Brokerage!U$4)+SUMIFS('YTD Purchases'!$H:$H,'YTD Purchases'!$C:$C,Brokerage!$B291,'YTD Purchases'!$G:$G,Brokerage!U$4)</f>
        <v>0</v>
      </c>
      <c r="V291" s="857">
        <f>SUMIFS('YTD Sales'!$N:$N,'YTD Sales'!$B:$B,Brokerage!$B291,'YTD Sales'!$M:$M,Brokerage!V$4)+SUMIFS('YTD Purchases'!$H:$H,'YTD Purchases'!$C:$C,Brokerage!$B291,'YTD Purchases'!$G:$G,Brokerage!V$4)</f>
        <v>0</v>
      </c>
      <c r="W291" s="857">
        <f>SUMIFS('YTD Sales'!$N:$N,'YTD Sales'!$B:$B,Brokerage!$B291,'YTD Sales'!$M:$M,Brokerage!W$4)+SUMIFS('YTD Purchases'!$H:$H,'YTD Purchases'!$C:$C,Brokerage!$B291,'YTD Purchases'!$G:$G,Brokerage!W$4)</f>
        <v>0</v>
      </c>
      <c r="X291" s="857">
        <f>SUMIFS('YTD Sales'!$N:$N,'YTD Sales'!$B:$B,Brokerage!$B291,'YTD Sales'!$M:$M,Brokerage!X$4)+SUMIFS('YTD Purchases'!$H:$H,'YTD Purchases'!$C:$C,Brokerage!$B291,'YTD Purchases'!$G:$G,Brokerage!X$4)</f>
        <v>0</v>
      </c>
      <c r="Y291" s="857">
        <f>SUMIFS('YTD Sales'!$N:$N,'YTD Sales'!$B:$B,Brokerage!$B291,'YTD Sales'!$M:$M,Brokerage!Y$4)+SUMIFS('YTD Purchases'!$H:$H,'YTD Purchases'!$C:$C,Brokerage!$B291,'YTD Purchases'!$G:$G,Brokerage!Y$4)</f>
        <v>0</v>
      </c>
      <c r="Z291" s="857">
        <f>SUMIFS('YTD Sales'!$N:$N,'YTD Sales'!$B:$B,Brokerage!$B291,'YTD Sales'!$M:$M,Brokerage!Z$4)+SUMIFS('YTD Purchases'!$H:$H,'YTD Purchases'!$C:$C,Brokerage!$B291,'YTD Purchases'!$G:$G,Brokerage!Z$4)</f>
        <v>0</v>
      </c>
      <c r="AA291" s="857">
        <f>SUMIFS('YTD Sales'!$N:$N,'YTD Sales'!$B:$B,Brokerage!$B291,'YTD Sales'!$M:$M,Brokerage!AA$4)+SUMIFS('YTD Purchases'!$H:$H,'YTD Purchases'!$C:$C,Brokerage!$B291,'YTD Purchases'!$G:$G,Brokerage!AA$4)</f>
        <v>0</v>
      </c>
      <c r="AB291" s="857">
        <f>SUMIFS('YTD Sales'!$N:$N,'YTD Sales'!$B:$B,Brokerage!$B291,'YTD Sales'!$M:$M,Brokerage!AB$4)+SUMIFS('YTD Purchases'!$H:$H,'YTD Purchases'!$C:$C,Brokerage!$B291,'YTD Purchases'!$G:$G,Brokerage!AB$4)</f>
        <v>0</v>
      </c>
      <c r="AC291" s="857">
        <f>SUMIFS('YTD Sales'!$N:$N,'YTD Sales'!$B:$B,Brokerage!$B291,'YTD Sales'!$M:$M,Brokerage!AC$4)+SUMIFS('YTD Purchases'!$H:$H,'YTD Purchases'!$C:$C,Brokerage!$B291,'YTD Purchases'!$G:$G,Brokerage!AC$4)</f>
        <v>0</v>
      </c>
      <c r="AD291" s="857">
        <f>+SUMIFS(PIB!AG:AG,PIB!AF:AF,Brokerage!AD$4,PIB!AA:AA,Brokerage!$B291)+SUMIFS('T-Bills'!AB:AB,'T-Bills'!AA:AA,Brokerage!AD$4,'T-Bills'!V:V,Brokerage!$B291)</f>
        <v>0</v>
      </c>
      <c r="AE291" s="857">
        <f>+SUMIFS(PIB!AH:AH,PIB!AG:AG,Brokerage!AE$4,PIB!AB:AB,Brokerage!$B291)+SUMIFS('T-Bills'!AC:AC,'T-Bills'!AB:AB,Brokerage!AE$4,'T-Bills'!W:W,Brokerage!$B291)</f>
        <v>0</v>
      </c>
      <c r="AF291" s="857">
        <f>+SUMIFS(PIB!AI:AI,PIB!AH:AH,Brokerage!AF$4,PIB!AC:AC,Brokerage!$B291)+SUMIFS('T-Bills'!AD:AD,'T-Bills'!AC:AC,Brokerage!AF$4,'T-Bills'!X:X,Brokerage!$B291)</f>
        <v>0</v>
      </c>
      <c r="AG291" s="857">
        <f t="shared" si="26"/>
        <v>0</v>
      </c>
      <c r="AH291" s="858">
        <f t="shared" si="27"/>
        <v>0</v>
      </c>
    </row>
    <row r="292" spans="2:34" x14ac:dyDescent="0.15">
      <c r="B292" s="661">
        <f t="shared" si="25"/>
        <v>44848</v>
      </c>
      <c r="C292" s="857">
        <f>SUMIFS('YTD Sales'!$N:$N,'YTD Sales'!$B:$B,Brokerage!$B292,'YTD Sales'!$M:$M,Brokerage!C$4)+SUMIFS('YTD Purchases'!$H:$H,'YTD Purchases'!$C:$C,Brokerage!$B292,'YTD Purchases'!$G:$G,Brokerage!C$4)</f>
        <v>0</v>
      </c>
      <c r="D292" s="857">
        <f>SUMIFS('YTD Sales'!$N:$N,'YTD Sales'!$B:$B,Brokerage!$B292,'YTD Sales'!$M:$M,Brokerage!D$4)+SUMIFS('YTD Purchases'!$H:$H,'YTD Purchases'!$C:$C,Brokerage!$B292,'YTD Purchases'!$G:$G,Brokerage!D$4)</f>
        <v>0</v>
      </c>
      <c r="E292" s="857">
        <f>SUMIFS('YTD Sales'!$N:$N,'YTD Sales'!$B:$B,Brokerage!$B292,'YTD Sales'!$M:$M,Brokerage!E$4)+SUMIFS('YTD Purchases'!$H:$H,'YTD Purchases'!$C:$C,Brokerage!$B292,'YTD Purchases'!$G:$G,Brokerage!E$4)</f>
        <v>0</v>
      </c>
      <c r="F292" s="857">
        <f>SUMIFS('YTD Sales'!$N:$N,'YTD Sales'!$B:$B,Brokerage!$B292,'YTD Sales'!$M:$M,Brokerage!F$4)+SUMIFS('YTD Purchases'!$H:$H,'YTD Purchases'!$C:$C,Brokerage!$B292,'YTD Purchases'!$G:$G,Brokerage!F$4)</f>
        <v>0</v>
      </c>
      <c r="G292" s="857">
        <f>SUMIFS('YTD Sales'!$N:$N,'YTD Sales'!$B:$B,Brokerage!$B292,'YTD Sales'!$M:$M,Brokerage!G$4)+SUMIFS('YTD Purchases'!$H:$H,'YTD Purchases'!$C:$C,Brokerage!$B292,'YTD Purchases'!$G:$G,Brokerage!G$4)</f>
        <v>0</v>
      </c>
      <c r="H292" s="857">
        <f>SUMIFS('YTD Sales'!$N:$N,'YTD Sales'!$B:$B,Brokerage!$B292,'YTD Sales'!$M:$M,Brokerage!H$4)+SUMIFS('YTD Purchases'!$H:$H,'YTD Purchases'!$C:$C,Brokerage!$B292,'YTD Purchases'!$G:$G,Brokerage!H$4)</f>
        <v>0</v>
      </c>
      <c r="I292" s="857">
        <f>SUMIFS('YTD Sales'!$N:$N,'YTD Sales'!$B:$B,Brokerage!$B292,'YTD Sales'!$M:$M,Brokerage!I$4)+SUMIFS('YTD Purchases'!$H:$H,'YTD Purchases'!$C:$C,Brokerage!$B292,'YTD Purchases'!$G:$G,Brokerage!I$4)</f>
        <v>0</v>
      </c>
      <c r="J292" s="857">
        <f>SUMIFS('YTD Sales'!$N:$N,'YTD Sales'!$B:$B,Brokerage!$B292,'YTD Sales'!$M:$M,Brokerage!J$4)+SUMIFS('YTD Purchases'!$H:$H,'YTD Purchases'!$C:$C,Brokerage!$B292,'YTD Purchases'!$G:$G,Brokerage!J$4)</f>
        <v>0</v>
      </c>
      <c r="K292" s="857">
        <f>SUMIFS('YTD Sales'!$N:$N,'YTD Sales'!$B:$B,Brokerage!$B292,'YTD Sales'!$M:$M,Brokerage!K$4)+SUMIFS('YTD Purchases'!$H:$H,'YTD Purchases'!$C:$C,Brokerage!$B292,'YTD Purchases'!$G:$G,Brokerage!K$4)</f>
        <v>0</v>
      </c>
      <c r="L292" s="857">
        <f>SUMIFS('YTD Sales'!$N:$N,'YTD Sales'!$B:$B,Brokerage!$B292,'YTD Sales'!$M:$M,Brokerage!L$4)+SUMIFS('YTD Purchases'!$H:$H,'YTD Purchases'!$C:$C,Brokerage!$B292,'YTD Purchases'!$G:$G,Brokerage!L$4)</f>
        <v>0</v>
      </c>
      <c r="M292" s="857">
        <f>SUMIFS('YTD Sales'!$N:$N,'YTD Sales'!$B:$B,Brokerage!$B292,'YTD Sales'!$M:$M,Brokerage!M$4)+SUMIFS('YTD Purchases'!$H:$H,'YTD Purchases'!$C:$C,Brokerage!$B292,'YTD Purchases'!$G:$G,Brokerage!M$4)</f>
        <v>0</v>
      </c>
      <c r="N292" s="857">
        <f>SUMIFS('YTD Sales'!$N:$N,'YTD Sales'!$B:$B,Brokerage!$B292,'YTD Sales'!$M:$M,Brokerage!N$4)+SUMIFS('YTD Purchases'!$H:$H,'YTD Purchases'!$C:$C,Brokerage!$B292,'YTD Purchases'!$G:$G,Brokerage!N$4)</f>
        <v>0</v>
      </c>
      <c r="O292" s="857">
        <f>SUMIFS('YTD Sales'!$N:$N,'YTD Sales'!$B:$B,Brokerage!$B292,'YTD Sales'!$M:$M,Brokerage!O$4)+SUMIFS('YTD Purchases'!$H:$H,'YTD Purchases'!$C:$C,Brokerage!$B292,'YTD Purchases'!$G:$G,Brokerage!O$4)</f>
        <v>0</v>
      </c>
      <c r="P292" s="857">
        <f>SUMIFS('YTD Sales'!$N:$N,'YTD Sales'!$B:$B,Brokerage!$B292,'YTD Sales'!$M:$M,Brokerage!P$4)+SUMIFS('YTD Purchases'!$H:$H,'YTD Purchases'!$C:$C,Brokerage!$B292,'YTD Purchases'!$G:$G,Brokerage!P$4)</f>
        <v>0</v>
      </c>
      <c r="Q292" s="857">
        <f>SUMIFS('YTD Sales'!$N:$N,'YTD Sales'!$B:$B,Brokerage!$B292,'YTD Sales'!$M:$M,Brokerage!Q$4)+SUMIFS('YTD Purchases'!$H:$H,'YTD Purchases'!$C:$C,Brokerage!$B292,'YTD Purchases'!$G:$G,Brokerage!Q$4)</f>
        <v>0</v>
      </c>
      <c r="R292" s="857">
        <f>SUMIFS('YTD Sales'!$N:$N,'YTD Sales'!$B:$B,Brokerage!$B292,'YTD Sales'!$M:$M,Brokerage!R$4)+SUMIFS('YTD Purchases'!$H:$H,'YTD Purchases'!$C:$C,Brokerage!$B292,'YTD Purchases'!$G:$G,Brokerage!R$4)</f>
        <v>0</v>
      </c>
      <c r="S292" s="857">
        <f>SUMIFS('YTD Sales'!$N:$N,'YTD Sales'!$B:$B,Brokerage!$B292,'YTD Sales'!$M:$M,Brokerage!S$4)+SUMIFS('YTD Purchases'!$H:$H,'YTD Purchases'!$C:$C,Brokerage!$B292,'YTD Purchases'!$G:$G,Brokerage!S$4)</f>
        <v>0</v>
      </c>
      <c r="T292" s="857">
        <f>SUMIFS('YTD Sales'!$N:$N,'YTD Sales'!$B:$B,Brokerage!$B292,'YTD Sales'!$M:$M,Brokerage!T$4)+SUMIFS('YTD Purchases'!$H:$H,'YTD Purchases'!$C:$C,Brokerage!$B292,'YTD Purchases'!$G:$G,Brokerage!T$4)</f>
        <v>0</v>
      </c>
      <c r="U292" s="857">
        <f>SUMIFS('YTD Sales'!$N:$N,'YTD Sales'!$B:$B,Brokerage!$B292,'YTD Sales'!$M:$M,Brokerage!U$4)+SUMIFS('YTD Purchases'!$H:$H,'YTD Purchases'!$C:$C,Brokerage!$B292,'YTD Purchases'!$G:$G,Brokerage!U$4)</f>
        <v>0</v>
      </c>
      <c r="V292" s="857">
        <f>SUMIFS('YTD Sales'!$N:$N,'YTD Sales'!$B:$B,Brokerage!$B292,'YTD Sales'!$M:$M,Brokerage!V$4)+SUMIFS('YTD Purchases'!$H:$H,'YTD Purchases'!$C:$C,Brokerage!$B292,'YTD Purchases'!$G:$G,Brokerage!V$4)</f>
        <v>0</v>
      </c>
      <c r="W292" s="857">
        <f>SUMIFS('YTD Sales'!$N:$N,'YTD Sales'!$B:$B,Brokerage!$B292,'YTD Sales'!$M:$M,Brokerage!W$4)+SUMIFS('YTD Purchases'!$H:$H,'YTD Purchases'!$C:$C,Brokerage!$B292,'YTD Purchases'!$G:$G,Brokerage!W$4)</f>
        <v>0</v>
      </c>
      <c r="X292" s="857">
        <f>SUMIFS('YTD Sales'!$N:$N,'YTD Sales'!$B:$B,Brokerage!$B292,'YTD Sales'!$M:$M,Brokerage!X$4)+SUMIFS('YTD Purchases'!$H:$H,'YTD Purchases'!$C:$C,Brokerage!$B292,'YTD Purchases'!$G:$G,Brokerage!X$4)</f>
        <v>0</v>
      </c>
      <c r="Y292" s="857">
        <f>SUMIFS('YTD Sales'!$N:$N,'YTD Sales'!$B:$B,Brokerage!$B292,'YTD Sales'!$M:$M,Brokerage!Y$4)+SUMIFS('YTD Purchases'!$H:$H,'YTD Purchases'!$C:$C,Brokerage!$B292,'YTD Purchases'!$G:$G,Brokerage!Y$4)</f>
        <v>0</v>
      </c>
      <c r="Z292" s="857">
        <f>SUMIFS('YTD Sales'!$N:$N,'YTD Sales'!$B:$B,Brokerage!$B292,'YTD Sales'!$M:$M,Brokerage!Z$4)+SUMIFS('YTD Purchases'!$H:$H,'YTD Purchases'!$C:$C,Brokerage!$B292,'YTD Purchases'!$G:$G,Brokerage!Z$4)</f>
        <v>0</v>
      </c>
      <c r="AA292" s="857">
        <f>SUMIFS('YTD Sales'!$N:$N,'YTD Sales'!$B:$B,Brokerage!$B292,'YTD Sales'!$M:$M,Brokerage!AA$4)+SUMIFS('YTD Purchases'!$H:$H,'YTD Purchases'!$C:$C,Brokerage!$B292,'YTD Purchases'!$G:$G,Brokerage!AA$4)</f>
        <v>0</v>
      </c>
      <c r="AB292" s="857">
        <f>SUMIFS('YTD Sales'!$N:$N,'YTD Sales'!$B:$B,Brokerage!$B292,'YTD Sales'!$M:$M,Brokerage!AB$4)+SUMIFS('YTD Purchases'!$H:$H,'YTD Purchases'!$C:$C,Brokerage!$B292,'YTD Purchases'!$G:$G,Brokerage!AB$4)</f>
        <v>0</v>
      </c>
      <c r="AC292" s="857">
        <f>SUMIFS('YTD Sales'!$N:$N,'YTD Sales'!$B:$B,Brokerage!$B292,'YTD Sales'!$M:$M,Brokerage!AC$4)+SUMIFS('YTD Purchases'!$H:$H,'YTD Purchases'!$C:$C,Brokerage!$B292,'YTD Purchases'!$G:$G,Brokerage!AC$4)</f>
        <v>0</v>
      </c>
      <c r="AD292" s="857">
        <f>+SUMIFS(PIB!AG:AG,PIB!AF:AF,Brokerage!AD$4,PIB!AA:AA,Brokerage!$B292)+SUMIFS('T-Bills'!AB:AB,'T-Bills'!AA:AA,Brokerage!AD$4,'T-Bills'!V:V,Brokerage!$B292)</f>
        <v>0</v>
      </c>
      <c r="AE292" s="857">
        <f>+SUMIFS(PIB!AH:AH,PIB!AG:AG,Brokerage!AE$4,PIB!AB:AB,Brokerage!$B292)+SUMIFS('T-Bills'!AC:AC,'T-Bills'!AB:AB,Brokerage!AE$4,'T-Bills'!W:W,Brokerage!$B292)</f>
        <v>0</v>
      </c>
      <c r="AF292" s="857">
        <f>+SUMIFS(PIB!AI:AI,PIB!AH:AH,Brokerage!AF$4,PIB!AC:AC,Brokerage!$B292)+SUMIFS('T-Bills'!AD:AD,'T-Bills'!AC:AC,Brokerage!AF$4,'T-Bills'!X:X,Brokerage!$B292)</f>
        <v>0</v>
      </c>
      <c r="AG292" s="857">
        <f t="shared" si="26"/>
        <v>0</v>
      </c>
      <c r="AH292" s="858">
        <f t="shared" si="27"/>
        <v>0</v>
      </c>
    </row>
    <row r="293" spans="2:34" x14ac:dyDescent="0.15">
      <c r="B293" s="661">
        <f t="shared" si="25"/>
        <v>44849</v>
      </c>
      <c r="C293" s="857">
        <f>SUMIFS('YTD Sales'!$N:$N,'YTD Sales'!$B:$B,Brokerage!$B293,'YTD Sales'!$M:$M,Brokerage!C$4)+SUMIFS('YTD Purchases'!$H:$H,'YTD Purchases'!$C:$C,Brokerage!$B293,'YTD Purchases'!$G:$G,Brokerage!C$4)</f>
        <v>0</v>
      </c>
      <c r="D293" s="857">
        <f>SUMIFS('YTD Sales'!$N:$N,'YTD Sales'!$B:$B,Brokerage!$B293,'YTD Sales'!$M:$M,Brokerage!D$4)+SUMIFS('YTD Purchases'!$H:$H,'YTD Purchases'!$C:$C,Brokerage!$B293,'YTD Purchases'!$G:$G,Brokerage!D$4)</f>
        <v>0</v>
      </c>
      <c r="E293" s="857">
        <f>SUMIFS('YTD Sales'!$N:$N,'YTD Sales'!$B:$B,Brokerage!$B293,'YTD Sales'!$M:$M,Brokerage!E$4)+SUMIFS('YTD Purchases'!$H:$H,'YTD Purchases'!$C:$C,Brokerage!$B293,'YTD Purchases'!$G:$G,Brokerage!E$4)</f>
        <v>0</v>
      </c>
      <c r="F293" s="857">
        <f>SUMIFS('YTD Sales'!$N:$N,'YTD Sales'!$B:$B,Brokerage!$B293,'YTD Sales'!$M:$M,Brokerage!F$4)+SUMIFS('YTD Purchases'!$H:$H,'YTD Purchases'!$C:$C,Brokerage!$B293,'YTD Purchases'!$G:$G,Brokerage!F$4)</f>
        <v>0</v>
      </c>
      <c r="G293" s="857">
        <f>SUMIFS('YTD Sales'!$N:$N,'YTD Sales'!$B:$B,Brokerage!$B293,'YTD Sales'!$M:$M,Brokerage!G$4)+SUMIFS('YTD Purchases'!$H:$H,'YTD Purchases'!$C:$C,Brokerage!$B293,'YTD Purchases'!$G:$G,Brokerage!G$4)</f>
        <v>0</v>
      </c>
      <c r="H293" s="857">
        <f>SUMIFS('YTD Sales'!$N:$N,'YTD Sales'!$B:$B,Brokerage!$B293,'YTD Sales'!$M:$M,Brokerage!H$4)+SUMIFS('YTD Purchases'!$H:$H,'YTD Purchases'!$C:$C,Brokerage!$B293,'YTD Purchases'!$G:$G,Brokerage!H$4)</f>
        <v>0</v>
      </c>
      <c r="I293" s="857">
        <f>SUMIFS('YTD Sales'!$N:$N,'YTD Sales'!$B:$B,Brokerage!$B293,'YTD Sales'!$M:$M,Brokerage!I$4)+SUMIFS('YTD Purchases'!$H:$H,'YTD Purchases'!$C:$C,Brokerage!$B293,'YTD Purchases'!$G:$G,Brokerage!I$4)</f>
        <v>0</v>
      </c>
      <c r="J293" s="857">
        <f>SUMIFS('YTD Sales'!$N:$N,'YTD Sales'!$B:$B,Brokerage!$B293,'YTD Sales'!$M:$M,Brokerage!J$4)+SUMIFS('YTD Purchases'!$H:$H,'YTD Purchases'!$C:$C,Brokerage!$B293,'YTD Purchases'!$G:$G,Brokerage!J$4)</f>
        <v>0</v>
      </c>
      <c r="K293" s="857">
        <f>SUMIFS('YTD Sales'!$N:$N,'YTD Sales'!$B:$B,Brokerage!$B293,'YTD Sales'!$M:$M,Brokerage!K$4)+SUMIFS('YTD Purchases'!$H:$H,'YTD Purchases'!$C:$C,Brokerage!$B293,'YTD Purchases'!$G:$G,Brokerage!K$4)</f>
        <v>0</v>
      </c>
      <c r="L293" s="857">
        <f>SUMIFS('YTD Sales'!$N:$N,'YTD Sales'!$B:$B,Brokerage!$B293,'YTD Sales'!$M:$M,Brokerage!L$4)+SUMIFS('YTD Purchases'!$H:$H,'YTD Purchases'!$C:$C,Brokerage!$B293,'YTD Purchases'!$G:$G,Brokerage!L$4)</f>
        <v>0</v>
      </c>
      <c r="M293" s="857">
        <f>SUMIFS('YTD Sales'!$N:$N,'YTD Sales'!$B:$B,Brokerage!$B293,'YTD Sales'!$M:$M,Brokerage!M$4)+SUMIFS('YTD Purchases'!$H:$H,'YTD Purchases'!$C:$C,Brokerage!$B293,'YTD Purchases'!$G:$G,Brokerage!M$4)</f>
        <v>0</v>
      </c>
      <c r="N293" s="857">
        <f>SUMIFS('YTD Sales'!$N:$N,'YTD Sales'!$B:$B,Brokerage!$B293,'YTD Sales'!$M:$M,Brokerage!N$4)+SUMIFS('YTD Purchases'!$H:$H,'YTD Purchases'!$C:$C,Brokerage!$B293,'YTD Purchases'!$G:$G,Brokerage!N$4)</f>
        <v>0</v>
      </c>
      <c r="O293" s="857">
        <f>SUMIFS('YTD Sales'!$N:$N,'YTD Sales'!$B:$B,Brokerage!$B293,'YTD Sales'!$M:$M,Brokerage!O$4)+SUMIFS('YTD Purchases'!$H:$H,'YTD Purchases'!$C:$C,Brokerage!$B293,'YTD Purchases'!$G:$G,Brokerage!O$4)</f>
        <v>0</v>
      </c>
      <c r="P293" s="857">
        <f>SUMIFS('YTD Sales'!$N:$N,'YTD Sales'!$B:$B,Brokerage!$B293,'YTD Sales'!$M:$M,Brokerage!P$4)+SUMIFS('YTD Purchases'!$H:$H,'YTD Purchases'!$C:$C,Brokerage!$B293,'YTD Purchases'!$G:$G,Brokerage!P$4)</f>
        <v>0</v>
      </c>
      <c r="Q293" s="857">
        <f>SUMIFS('YTD Sales'!$N:$N,'YTD Sales'!$B:$B,Brokerage!$B293,'YTD Sales'!$M:$M,Brokerage!Q$4)+SUMIFS('YTD Purchases'!$H:$H,'YTD Purchases'!$C:$C,Brokerage!$B293,'YTD Purchases'!$G:$G,Brokerage!Q$4)</f>
        <v>0</v>
      </c>
      <c r="R293" s="857">
        <f>SUMIFS('YTD Sales'!$N:$N,'YTD Sales'!$B:$B,Brokerage!$B293,'YTD Sales'!$M:$M,Brokerage!R$4)+SUMIFS('YTD Purchases'!$H:$H,'YTD Purchases'!$C:$C,Brokerage!$B293,'YTD Purchases'!$G:$G,Brokerage!R$4)</f>
        <v>0</v>
      </c>
      <c r="S293" s="857">
        <f>SUMIFS('YTD Sales'!$N:$N,'YTD Sales'!$B:$B,Brokerage!$B293,'YTD Sales'!$M:$M,Brokerage!S$4)+SUMIFS('YTD Purchases'!$H:$H,'YTD Purchases'!$C:$C,Brokerage!$B293,'YTD Purchases'!$G:$G,Brokerage!S$4)</f>
        <v>0</v>
      </c>
      <c r="T293" s="857">
        <f>SUMIFS('YTD Sales'!$N:$N,'YTD Sales'!$B:$B,Brokerage!$B293,'YTD Sales'!$M:$M,Brokerage!T$4)+SUMIFS('YTD Purchases'!$H:$H,'YTD Purchases'!$C:$C,Brokerage!$B293,'YTD Purchases'!$G:$G,Brokerage!T$4)</f>
        <v>0</v>
      </c>
      <c r="U293" s="857">
        <f>SUMIFS('YTD Sales'!$N:$N,'YTD Sales'!$B:$B,Brokerage!$B293,'YTD Sales'!$M:$M,Brokerage!U$4)+SUMIFS('YTD Purchases'!$H:$H,'YTD Purchases'!$C:$C,Brokerage!$B293,'YTD Purchases'!$G:$G,Brokerage!U$4)</f>
        <v>0</v>
      </c>
      <c r="V293" s="857">
        <f>SUMIFS('YTD Sales'!$N:$N,'YTD Sales'!$B:$B,Brokerage!$B293,'YTD Sales'!$M:$M,Brokerage!V$4)+SUMIFS('YTD Purchases'!$H:$H,'YTD Purchases'!$C:$C,Brokerage!$B293,'YTD Purchases'!$G:$G,Brokerage!V$4)</f>
        <v>0</v>
      </c>
      <c r="W293" s="857">
        <f>SUMIFS('YTD Sales'!$N:$N,'YTD Sales'!$B:$B,Brokerage!$B293,'YTD Sales'!$M:$M,Brokerage!W$4)+SUMIFS('YTD Purchases'!$H:$H,'YTD Purchases'!$C:$C,Brokerage!$B293,'YTD Purchases'!$G:$G,Brokerage!W$4)</f>
        <v>0</v>
      </c>
      <c r="X293" s="857">
        <f>SUMIFS('YTD Sales'!$N:$N,'YTD Sales'!$B:$B,Brokerage!$B293,'YTD Sales'!$M:$M,Brokerage!X$4)+SUMIFS('YTD Purchases'!$H:$H,'YTD Purchases'!$C:$C,Brokerage!$B293,'YTD Purchases'!$G:$G,Brokerage!X$4)</f>
        <v>0</v>
      </c>
      <c r="Y293" s="857">
        <f>SUMIFS('YTD Sales'!$N:$N,'YTD Sales'!$B:$B,Brokerage!$B293,'YTD Sales'!$M:$M,Brokerage!Y$4)+SUMIFS('YTD Purchases'!$H:$H,'YTD Purchases'!$C:$C,Brokerage!$B293,'YTD Purchases'!$G:$G,Brokerage!Y$4)</f>
        <v>0</v>
      </c>
      <c r="Z293" s="857">
        <f>SUMIFS('YTD Sales'!$N:$N,'YTD Sales'!$B:$B,Brokerage!$B293,'YTD Sales'!$M:$M,Brokerage!Z$4)+SUMIFS('YTD Purchases'!$H:$H,'YTD Purchases'!$C:$C,Brokerage!$B293,'YTD Purchases'!$G:$G,Brokerage!Z$4)</f>
        <v>0</v>
      </c>
      <c r="AA293" s="857">
        <f>SUMIFS('YTD Sales'!$N:$N,'YTD Sales'!$B:$B,Brokerage!$B293,'YTD Sales'!$M:$M,Brokerage!AA$4)+SUMIFS('YTD Purchases'!$H:$H,'YTD Purchases'!$C:$C,Brokerage!$B293,'YTD Purchases'!$G:$G,Brokerage!AA$4)</f>
        <v>0</v>
      </c>
      <c r="AB293" s="857">
        <f>SUMIFS('YTD Sales'!$N:$N,'YTD Sales'!$B:$B,Brokerage!$B293,'YTD Sales'!$M:$M,Brokerage!AB$4)+SUMIFS('YTD Purchases'!$H:$H,'YTD Purchases'!$C:$C,Brokerage!$B293,'YTD Purchases'!$G:$G,Brokerage!AB$4)</f>
        <v>0</v>
      </c>
      <c r="AC293" s="857">
        <f>SUMIFS('YTD Sales'!$N:$N,'YTD Sales'!$B:$B,Brokerage!$B293,'YTD Sales'!$M:$M,Brokerage!AC$4)+SUMIFS('YTD Purchases'!$H:$H,'YTD Purchases'!$C:$C,Brokerage!$B293,'YTD Purchases'!$G:$G,Brokerage!AC$4)</f>
        <v>0</v>
      </c>
      <c r="AD293" s="857">
        <f>+SUMIFS(PIB!AG:AG,PIB!AF:AF,Brokerage!AD$4,PIB!AA:AA,Brokerage!$B293)+SUMIFS('T-Bills'!AB:AB,'T-Bills'!AA:AA,Brokerage!AD$4,'T-Bills'!V:V,Brokerage!$B293)</f>
        <v>0</v>
      </c>
      <c r="AE293" s="857">
        <f>+SUMIFS(PIB!AH:AH,PIB!AG:AG,Brokerage!AE$4,PIB!AB:AB,Brokerage!$B293)+SUMIFS('T-Bills'!AC:AC,'T-Bills'!AB:AB,Brokerage!AE$4,'T-Bills'!W:W,Brokerage!$B293)</f>
        <v>0</v>
      </c>
      <c r="AF293" s="857">
        <f>+SUMIFS(PIB!AI:AI,PIB!AH:AH,Brokerage!AF$4,PIB!AC:AC,Brokerage!$B293)+SUMIFS('T-Bills'!AD:AD,'T-Bills'!AC:AC,Brokerage!AF$4,'T-Bills'!X:X,Brokerage!$B293)</f>
        <v>0</v>
      </c>
      <c r="AG293" s="857">
        <f t="shared" si="26"/>
        <v>0</v>
      </c>
      <c r="AH293" s="858">
        <f t="shared" ref="AH293:AH356" si="28">ROUND((AG293*1.5%)/365,0)</f>
        <v>0</v>
      </c>
    </row>
    <row r="294" spans="2:34" x14ac:dyDescent="0.15">
      <c r="B294" s="661">
        <f t="shared" si="25"/>
        <v>44850</v>
      </c>
      <c r="C294" s="857">
        <f>SUMIFS('YTD Sales'!$N:$N,'YTD Sales'!$B:$B,Brokerage!$B294,'YTD Sales'!$M:$M,Brokerage!C$4)+SUMIFS('YTD Purchases'!$H:$H,'YTD Purchases'!$C:$C,Brokerage!$B294,'YTD Purchases'!$G:$G,Brokerage!C$4)</f>
        <v>0</v>
      </c>
      <c r="D294" s="857">
        <f>SUMIFS('YTD Sales'!$N:$N,'YTD Sales'!$B:$B,Brokerage!$B294,'YTD Sales'!$M:$M,Brokerage!D$4)+SUMIFS('YTD Purchases'!$H:$H,'YTD Purchases'!$C:$C,Brokerage!$B294,'YTD Purchases'!$G:$G,Brokerage!D$4)</f>
        <v>0</v>
      </c>
      <c r="E294" s="857">
        <f>SUMIFS('YTD Sales'!$N:$N,'YTD Sales'!$B:$B,Brokerage!$B294,'YTD Sales'!$M:$M,Brokerage!E$4)+SUMIFS('YTD Purchases'!$H:$H,'YTD Purchases'!$C:$C,Brokerage!$B294,'YTD Purchases'!$G:$G,Brokerage!E$4)</f>
        <v>0</v>
      </c>
      <c r="F294" s="857">
        <f>SUMIFS('YTD Sales'!$N:$N,'YTD Sales'!$B:$B,Brokerage!$B294,'YTD Sales'!$M:$M,Brokerage!F$4)+SUMIFS('YTD Purchases'!$H:$H,'YTD Purchases'!$C:$C,Brokerage!$B294,'YTD Purchases'!$G:$G,Brokerage!F$4)</f>
        <v>0</v>
      </c>
      <c r="G294" s="857">
        <f>SUMIFS('YTD Sales'!$N:$N,'YTD Sales'!$B:$B,Brokerage!$B294,'YTD Sales'!$M:$M,Brokerage!G$4)+SUMIFS('YTD Purchases'!$H:$H,'YTD Purchases'!$C:$C,Brokerage!$B294,'YTD Purchases'!$G:$G,Brokerage!G$4)</f>
        <v>0</v>
      </c>
      <c r="H294" s="857">
        <f>SUMIFS('YTD Sales'!$N:$N,'YTD Sales'!$B:$B,Brokerage!$B294,'YTD Sales'!$M:$M,Brokerage!H$4)+SUMIFS('YTD Purchases'!$H:$H,'YTD Purchases'!$C:$C,Brokerage!$B294,'YTD Purchases'!$G:$G,Brokerage!H$4)</f>
        <v>0</v>
      </c>
      <c r="I294" s="857">
        <f>SUMIFS('YTD Sales'!$N:$N,'YTD Sales'!$B:$B,Brokerage!$B294,'YTD Sales'!$M:$M,Brokerage!I$4)+SUMIFS('YTD Purchases'!$H:$H,'YTD Purchases'!$C:$C,Brokerage!$B294,'YTD Purchases'!$G:$G,Brokerage!I$4)</f>
        <v>0</v>
      </c>
      <c r="J294" s="857">
        <f>SUMIFS('YTD Sales'!$N:$N,'YTD Sales'!$B:$B,Brokerage!$B294,'YTD Sales'!$M:$M,Brokerage!J$4)+SUMIFS('YTD Purchases'!$H:$H,'YTD Purchases'!$C:$C,Brokerage!$B294,'YTD Purchases'!$G:$G,Brokerage!J$4)</f>
        <v>0</v>
      </c>
      <c r="K294" s="857">
        <f>SUMIFS('YTD Sales'!$N:$N,'YTD Sales'!$B:$B,Brokerage!$B294,'YTD Sales'!$M:$M,Brokerage!K$4)+SUMIFS('YTD Purchases'!$H:$H,'YTD Purchases'!$C:$C,Brokerage!$B294,'YTD Purchases'!$G:$G,Brokerage!K$4)</f>
        <v>0</v>
      </c>
      <c r="L294" s="857">
        <f>SUMIFS('YTD Sales'!$N:$N,'YTD Sales'!$B:$B,Brokerage!$B294,'YTD Sales'!$M:$M,Brokerage!L$4)+SUMIFS('YTD Purchases'!$H:$H,'YTD Purchases'!$C:$C,Brokerage!$B294,'YTD Purchases'!$G:$G,Brokerage!L$4)</f>
        <v>0</v>
      </c>
      <c r="M294" s="857">
        <f>SUMIFS('YTD Sales'!$N:$N,'YTD Sales'!$B:$B,Brokerage!$B294,'YTD Sales'!$M:$M,Brokerage!M$4)+SUMIFS('YTD Purchases'!$H:$H,'YTD Purchases'!$C:$C,Brokerage!$B294,'YTD Purchases'!$G:$G,Brokerage!M$4)</f>
        <v>0</v>
      </c>
      <c r="N294" s="857">
        <f>SUMIFS('YTD Sales'!$N:$N,'YTD Sales'!$B:$B,Brokerage!$B294,'YTD Sales'!$M:$M,Brokerage!N$4)+SUMIFS('YTD Purchases'!$H:$H,'YTD Purchases'!$C:$C,Brokerage!$B294,'YTD Purchases'!$G:$G,Brokerage!N$4)</f>
        <v>0</v>
      </c>
      <c r="O294" s="857">
        <f>SUMIFS('YTD Sales'!$N:$N,'YTD Sales'!$B:$B,Brokerage!$B294,'YTD Sales'!$M:$M,Brokerage!O$4)+SUMIFS('YTD Purchases'!$H:$H,'YTD Purchases'!$C:$C,Brokerage!$B294,'YTD Purchases'!$G:$G,Brokerage!O$4)</f>
        <v>0</v>
      </c>
      <c r="P294" s="857">
        <f>SUMIFS('YTD Sales'!$N:$N,'YTD Sales'!$B:$B,Brokerage!$B294,'YTD Sales'!$M:$M,Brokerage!P$4)+SUMIFS('YTD Purchases'!$H:$H,'YTD Purchases'!$C:$C,Brokerage!$B294,'YTD Purchases'!$G:$G,Brokerage!P$4)</f>
        <v>0</v>
      </c>
      <c r="Q294" s="857">
        <f>SUMIFS('YTD Sales'!$N:$N,'YTD Sales'!$B:$B,Brokerage!$B294,'YTD Sales'!$M:$M,Brokerage!Q$4)+SUMIFS('YTD Purchases'!$H:$H,'YTD Purchases'!$C:$C,Brokerage!$B294,'YTD Purchases'!$G:$G,Brokerage!Q$4)</f>
        <v>0</v>
      </c>
      <c r="R294" s="857">
        <f>SUMIFS('YTD Sales'!$N:$N,'YTD Sales'!$B:$B,Brokerage!$B294,'YTD Sales'!$M:$M,Brokerage!R$4)+SUMIFS('YTD Purchases'!$H:$H,'YTD Purchases'!$C:$C,Brokerage!$B294,'YTD Purchases'!$G:$G,Brokerage!R$4)</f>
        <v>0</v>
      </c>
      <c r="S294" s="857">
        <f>SUMIFS('YTD Sales'!$N:$N,'YTD Sales'!$B:$B,Brokerage!$B294,'YTD Sales'!$M:$M,Brokerage!S$4)+SUMIFS('YTD Purchases'!$H:$H,'YTD Purchases'!$C:$C,Brokerage!$B294,'YTD Purchases'!$G:$G,Brokerage!S$4)</f>
        <v>0</v>
      </c>
      <c r="T294" s="857">
        <f>SUMIFS('YTD Sales'!$N:$N,'YTD Sales'!$B:$B,Brokerage!$B294,'YTD Sales'!$M:$M,Brokerage!T$4)+SUMIFS('YTD Purchases'!$H:$H,'YTD Purchases'!$C:$C,Brokerage!$B294,'YTD Purchases'!$G:$G,Brokerage!T$4)</f>
        <v>0</v>
      </c>
      <c r="U294" s="857">
        <f>SUMIFS('YTD Sales'!$N:$N,'YTD Sales'!$B:$B,Brokerage!$B294,'YTD Sales'!$M:$M,Brokerage!U$4)+SUMIFS('YTD Purchases'!$H:$H,'YTD Purchases'!$C:$C,Brokerage!$B294,'YTD Purchases'!$G:$G,Brokerage!U$4)</f>
        <v>0</v>
      </c>
      <c r="V294" s="857">
        <f>SUMIFS('YTD Sales'!$N:$N,'YTD Sales'!$B:$B,Brokerage!$B294,'YTD Sales'!$M:$M,Brokerage!V$4)+SUMIFS('YTD Purchases'!$H:$H,'YTD Purchases'!$C:$C,Brokerage!$B294,'YTD Purchases'!$G:$G,Brokerage!V$4)</f>
        <v>0</v>
      </c>
      <c r="W294" s="857">
        <f>SUMIFS('YTD Sales'!$N:$N,'YTD Sales'!$B:$B,Brokerage!$B294,'YTD Sales'!$M:$M,Brokerage!W$4)+SUMIFS('YTD Purchases'!$H:$H,'YTD Purchases'!$C:$C,Brokerage!$B294,'YTD Purchases'!$G:$G,Brokerage!W$4)</f>
        <v>0</v>
      </c>
      <c r="X294" s="857">
        <f>SUMIFS('YTD Sales'!$N:$N,'YTD Sales'!$B:$B,Brokerage!$B294,'YTD Sales'!$M:$M,Brokerage!X$4)+SUMIFS('YTD Purchases'!$H:$H,'YTD Purchases'!$C:$C,Brokerage!$B294,'YTD Purchases'!$G:$G,Brokerage!X$4)</f>
        <v>0</v>
      </c>
      <c r="Y294" s="857">
        <f>SUMIFS('YTD Sales'!$N:$N,'YTD Sales'!$B:$B,Brokerage!$B294,'YTD Sales'!$M:$M,Brokerage!Y$4)+SUMIFS('YTD Purchases'!$H:$H,'YTD Purchases'!$C:$C,Brokerage!$B294,'YTD Purchases'!$G:$G,Brokerage!Y$4)</f>
        <v>0</v>
      </c>
      <c r="Z294" s="857">
        <f>SUMIFS('YTD Sales'!$N:$N,'YTD Sales'!$B:$B,Brokerage!$B294,'YTD Sales'!$M:$M,Brokerage!Z$4)+SUMIFS('YTD Purchases'!$H:$H,'YTD Purchases'!$C:$C,Brokerage!$B294,'YTD Purchases'!$G:$G,Brokerage!Z$4)</f>
        <v>0</v>
      </c>
      <c r="AA294" s="857">
        <f>SUMIFS('YTD Sales'!$N:$N,'YTD Sales'!$B:$B,Brokerage!$B294,'YTD Sales'!$M:$M,Brokerage!AA$4)+SUMIFS('YTD Purchases'!$H:$H,'YTD Purchases'!$C:$C,Brokerage!$B294,'YTD Purchases'!$G:$G,Brokerage!AA$4)</f>
        <v>0</v>
      </c>
      <c r="AB294" s="857">
        <f>SUMIFS('YTD Sales'!$N:$N,'YTD Sales'!$B:$B,Brokerage!$B294,'YTD Sales'!$M:$M,Brokerage!AB$4)+SUMIFS('YTD Purchases'!$H:$H,'YTD Purchases'!$C:$C,Brokerage!$B294,'YTD Purchases'!$G:$G,Brokerage!AB$4)</f>
        <v>0</v>
      </c>
      <c r="AC294" s="857">
        <f>SUMIFS('YTD Sales'!$N:$N,'YTD Sales'!$B:$B,Brokerage!$B294,'YTD Sales'!$M:$M,Brokerage!AC$4)+SUMIFS('YTD Purchases'!$H:$H,'YTD Purchases'!$C:$C,Brokerage!$B294,'YTD Purchases'!$G:$G,Brokerage!AC$4)</f>
        <v>0</v>
      </c>
      <c r="AD294" s="857">
        <f>+SUMIFS(PIB!AG:AG,PIB!AF:AF,Brokerage!AD$4,PIB!AA:AA,Brokerage!$B294)+SUMIFS('T-Bills'!AB:AB,'T-Bills'!AA:AA,Brokerage!AD$4,'T-Bills'!V:V,Brokerage!$B294)</f>
        <v>0</v>
      </c>
      <c r="AE294" s="857">
        <f>+SUMIFS(PIB!AH:AH,PIB!AG:AG,Brokerage!AE$4,PIB!AB:AB,Brokerage!$B294)+SUMIFS('T-Bills'!AC:AC,'T-Bills'!AB:AB,Brokerage!AE$4,'T-Bills'!W:W,Brokerage!$B294)</f>
        <v>0</v>
      </c>
      <c r="AF294" s="857">
        <f>+SUMIFS(PIB!AI:AI,PIB!AH:AH,Brokerage!AF$4,PIB!AC:AC,Brokerage!$B294)+SUMIFS('T-Bills'!AD:AD,'T-Bills'!AC:AC,Brokerage!AF$4,'T-Bills'!X:X,Brokerage!$B294)</f>
        <v>0</v>
      </c>
      <c r="AG294" s="857">
        <f t="shared" si="26"/>
        <v>0</v>
      </c>
      <c r="AH294" s="858">
        <f t="shared" si="28"/>
        <v>0</v>
      </c>
    </row>
    <row r="295" spans="2:34" x14ac:dyDescent="0.15">
      <c r="B295" s="661">
        <f t="shared" si="25"/>
        <v>44851</v>
      </c>
      <c r="C295" s="857">
        <f>SUMIFS('YTD Sales'!$N:$N,'YTD Sales'!$B:$B,Brokerage!$B295,'YTD Sales'!$M:$M,Brokerage!C$4)+SUMIFS('YTD Purchases'!$H:$H,'YTD Purchases'!$C:$C,Brokerage!$B295,'YTD Purchases'!$G:$G,Brokerage!C$4)</f>
        <v>0</v>
      </c>
      <c r="D295" s="857">
        <f>SUMIFS('YTD Sales'!$N:$N,'YTD Sales'!$B:$B,Brokerage!$B295,'YTD Sales'!$M:$M,Brokerage!D$4)+SUMIFS('YTD Purchases'!$H:$H,'YTD Purchases'!$C:$C,Brokerage!$B295,'YTD Purchases'!$G:$G,Brokerage!D$4)</f>
        <v>0</v>
      </c>
      <c r="E295" s="857">
        <f>SUMIFS('YTD Sales'!$N:$N,'YTD Sales'!$B:$B,Brokerage!$B295,'YTD Sales'!$M:$M,Brokerage!E$4)+SUMIFS('YTD Purchases'!$H:$H,'YTD Purchases'!$C:$C,Brokerage!$B295,'YTD Purchases'!$G:$G,Brokerage!E$4)</f>
        <v>0</v>
      </c>
      <c r="F295" s="857">
        <f>SUMIFS('YTD Sales'!$N:$N,'YTD Sales'!$B:$B,Brokerage!$B295,'YTD Sales'!$M:$M,Brokerage!F$4)+SUMIFS('YTD Purchases'!$H:$H,'YTD Purchases'!$C:$C,Brokerage!$B295,'YTD Purchases'!$G:$G,Brokerage!F$4)</f>
        <v>0</v>
      </c>
      <c r="G295" s="857">
        <f>SUMIFS('YTD Sales'!$N:$N,'YTD Sales'!$B:$B,Brokerage!$B295,'YTD Sales'!$M:$M,Brokerage!G$4)+SUMIFS('YTD Purchases'!$H:$H,'YTD Purchases'!$C:$C,Brokerage!$B295,'YTD Purchases'!$G:$G,Brokerage!G$4)</f>
        <v>0</v>
      </c>
      <c r="H295" s="857">
        <f>SUMIFS('YTD Sales'!$N:$N,'YTD Sales'!$B:$B,Brokerage!$B295,'YTD Sales'!$M:$M,Brokerage!H$4)+SUMIFS('YTD Purchases'!$H:$H,'YTD Purchases'!$C:$C,Brokerage!$B295,'YTD Purchases'!$G:$G,Brokerage!H$4)</f>
        <v>0</v>
      </c>
      <c r="I295" s="857">
        <f>SUMIFS('YTD Sales'!$N:$N,'YTD Sales'!$B:$B,Brokerage!$B295,'YTD Sales'!$M:$M,Brokerage!I$4)+SUMIFS('YTD Purchases'!$H:$H,'YTD Purchases'!$C:$C,Brokerage!$B295,'YTD Purchases'!$G:$G,Brokerage!I$4)</f>
        <v>0</v>
      </c>
      <c r="J295" s="857">
        <f>SUMIFS('YTD Sales'!$N:$N,'YTD Sales'!$B:$B,Brokerage!$B295,'YTD Sales'!$M:$M,Brokerage!J$4)+SUMIFS('YTD Purchases'!$H:$H,'YTD Purchases'!$C:$C,Brokerage!$B295,'YTD Purchases'!$G:$G,Brokerage!J$4)</f>
        <v>0</v>
      </c>
      <c r="K295" s="857">
        <f>SUMIFS('YTD Sales'!$N:$N,'YTD Sales'!$B:$B,Brokerage!$B295,'YTD Sales'!$M:$M,Brokerage!K$4)+SUMIFS('YTD Purchases'!$H:$H,'YTD Purchases'!$C:$C,Brokerage!$B295,'YTD Purchases'!$G:$G,Brokerage!K$4)</f>
        <v>0</v>
      </c>
      <c r="L295" s="857">
        <f>SUMIFS('YTD Sales'!$N:$N,'YTD Sales'!$B:$B,Brokerage!$B295,'YTD Sales'!$M:$M,Brokerage!L$4)+SUMIFS('YTD Purchases'!$H:$H,'YTD Purchases'!$C:$C,Brokerage!$B295,'YTD Purchases'!$G:$G,Brokerage!L$4)</f>
        <v>0</v>
      </c>
      <c r="M295" s="857">
        <f>SUMIFS('YTD Sales'!$N:$N,'YTD Sales'!$B:$B,Brokerage!$B295,'YTD Sales'!$M:$M,Brokerage!M$4)+SUMIFS('YTD Purchases'!$H:$H,'YTD Purchases'!$C:$C,Brokerage!$B295,'YTD Purchases'!$G:$G,Brokerage!M$4)</f>
        <v>0</v>
      </c>
      <c r="N295" s="857">
        <f>SUMIFS('YTD Sales'!$N:$N,'YTD Sales'!$B:$B,Brokerage!$B295,'YTD Sales'!$M:$M,Brokerage!N$4)+SUMIFS('YTD Purchases'!$H:$H,'YTD Purchases'!$C:$C,Brokerage!$B295,'YTD Purchases'!$G:$G,Brokerage!N$4)</f>
        <v>0</v>
      </c>
      <c r="O295" s="857">
        <f>SUMIFS('YTD Sales'!$N:$N,'YTD Sales'!$B:$B,Brokerage!$B295,'YTD Sales'!$M:$M,Brokerage!O$4)+SUMIFS('YTD Purchases'!$H:$H,'YTD Purchases'!$C:$C,Brokerage!$B295,'YTD Purchases'!$G:$G,Brokerage!O$4)</f>
        <v>0</v>
      </c>
      <c r="P295" s="857">
        <f>SUMIFS('YTD Sales'!$N:$N,'YTD Sales'!$B:$B,Brokerage!$B295,'YTD Sales'!$M:$M,Brokerage!P$4)+SUMIFS('YTD Purchases'!$H:$H,'YTD Purchases'!$C:$C,Brokerage!$B295,'YTD Purchases'!$G:$G,Brokerage!P$4)</f>
        <v>0</v>
      </c>
      <c r="Q295" s="857">
        <f>SUMIFS('YTD Sales'!$N:$N,'YTD Sales'!$B:$B,Brokerage!$B295,'YTD Sales'!$M:$M,Brokerage!Q$4)+SUMIFS('YTD Purchases'!$H:$H,'YTD Purchases'!$C:$C,Brokerage!$B295,'YTD Purchases'!$G:$G,Brokerage!Q$4)</f>
        <v>0</v>
      </c>
      <c r="R295" s="857">
        <f>SUMIFS('YTD Sales'!$N:$N,'YTD Sales'!$B:$B,Brokerage!$B295,'YTD Sales'!$M:$M,Brokerage!R$4)+SUMIFS('YTD Purchases'!$H:$H,'YTD Purchases'!$C:$C,Brokerage!$B295,'YTD Purchases'!$G:$G,Brokerage!R$4)</f>
        <v>0</v>
      </c>
      <c r="S295" s="857">
        <f>SUMIFS('YTD Sales'!$N:$N,'YTD Sales'!$B:$B,Brokerage!$B295,'YTD Sales'!$M:$M,Brokerage!S$4)+SUMIFS('YTD Purchases'!$H:$H,'YTD Purchases'!$C:$C,Brokerage!$B295,'YTD Purchases'!$G:$G,Brokerage!S$4)</f>
        <v>0</v>
      </c>
      <c r="T295" s="857">
        <f>SUMIFS('YTD Sales'!$N:$N,'YTD Sales'!$B:$B,Brokerage!$B295,'YTD Sales'!$M:$M,Brokerage!T$4)+SUMIFS('YTD Purchases'!$H:$H,'YTD Purchases'!$C:$C,Brokerage!$B295,'YTD Purchases'!$G:$G,Brokerage!T$4)</f>
        <v>0</v>
      </c>
      <c r="U295" s="857">
        <f>SUMIFS('YTD Sales'!$N:$N,'YTD Sales'!$B:$B,Brokerage!$B295,'YTD Sales'!$M:$M,Brokerage!U$4)+SUMIFS('YTD Purchases'!$H:$H,'YTD Purchases'!$C:$C,Brokerage!$B295,'YTD Purchases'!$G:$G,Brokerage!U$4)</f>
        <v>0</v>
      </c>
      <c r="V295" s="857">
        <f>SUMIFS('YTD Sales'!$N:$N,'YTD Sales'!$B:$B,Brokerage!$B295,'YTD Sales'!$M:$M,Brokerage!V$4)+SUMIFS('YTD Purchases'!$H:$H,'YTD Purchases'!$C:$C,Brokerage!$B295,'YTD Purchases'!$G:$G,Brokerage!V$4)</f>
        <v>0</v>
      </c>
      <c r="W295" s="857">
        <f>SUMIFS('YTD Sales'!$N:$N,'YTD Sales'!$B:$B,Brokerage!$B295,'YTD Sales'!$M:$M,Brokerage!W$4)+SUMIFS('YTD Purchases'!$H:$H,'YTD Purchases'!$C:$C,Brokerage!$B295,'YTD Purchases'!$G:$G,Brokerage!W$4)</f>
        <v>0</v>
      </c>
      <c r="X295" s="857">
        <f>SUMIFS('YTD Sales'!$N:$N,'YTD Sales'!$B:$B,Brokerage!$B295,'YTD Sales'!$M:$M,Brokerage!X$4)+SUMIFS('YTD Purchases'!$H:$H,'YTD Purchases'!$C:$C,Brokerage!$B295,'YTD Purchases'!$G:$G,Brokerage!X$4)</f>
        <v>0</v>
      </c>
      <c r="Y295" s="857">
        <f>SUMIFS('YTD Sales'!$N:$N,'YTD Sales'!$B:$B,Brokerage!$B295,'YTD Sales'!$M:$M,Brokerage!Y$4)+SUMIFS('YTD Purchases'!$H:$H,'YTD Purchases'!$C:$C,Brokerage!$B295,'YTD Purchases'!$G:$G,Brokerage!Y$4)</f>
        <v>0</v>
      </c>
      <c r="Z295" s="857">
        <f>SUMIFS('YTD Sales'!$N:$N,'YTD Sales'!$B:$B,Brokerage!$B295,'YTD Sales'!$M:$M,Brokerage!Z$4)+SUMIFS('YTD Purchases'!$H:$H,'YTD Purchases'!$C:$C,Brokerage!$B295,'YTD Purchases'!$G:$G,Brokerage!Z$4)</f>
        <v>0</v>
      </c>
      <c r="AA295" s="857">
        <f>SUMIFS('YTD Sales'!$N:$N,'YTD Sales'!$B:$B,Brokerage!$B295,'YTD Sales'!$M:$M,Brokerage!AA$4)+SUMIFS('YTD Purchases'!$H:$H,'YTD Purchases'!$C:$C,Brokerage!$B295,'YTD Purchases'!$G:$G,Brokerage!AA$4)</f>
        <v>0</v>
      </c>
      <c r="AB295" s="857">
        <f>SUMIFS('YTD Sales'!$N:$N,'YTD Sales'!$B:$B,Brokerage!$B295,'YTD Sales'!$M:$M,Brokerage!AB$4)+SUMIFS('YTD Purchases'!$H:$H,'YTD Purchases'!$C:$C,Brokerage!$B295,'YTD Purchases'!$G:$G,Brokerage!AB$4)</f>
        <v>0</v>
      </c>
      <c r="AC295" s="857">
        <f>SUMIFS('YTD Sales'!$N:$N,'YTD Sales'!$B:$B,Brokerage!$B295,'YTD Sales'!$M:$M,Brokerage!AC$4)+SUMIFS('YTD Purchases'!$H:$H,'YTD Purchases'!$C:$C,Brokerage!$B295,'YTD Purchases'!$G:$G,Brokerage!AC$4)</f>
        <v>0</v>
      </c>
      <c r="AD295" s="857">
        <f>+SUMIFS(PIB!AG:AG,PIB!AF:AF,Brokerage!AD$4,PIB!AA:AA,Brokerage!$B295)+SUMIFS('T-Bills'!AB:AB,'T-Bills'!AA:AA,Brokerage!AD$4,'T-Bills'!V:V,Brokerage!$B295)</f>
        <v>0</v>
      </c>
      <c r="AE295" s="857">
        <f>+SUMIFS(PIB!AH:AH,PIB!AG:AG,Brokerage!AE$4,PIB!AB:AB,Brokerage!$B295)+SUMIFS('T-Bills'!AC:AC,'T-Bills'!AB:AB,Brokerage!AE$4,'T-Bills'!W:W,Brokerage!$B295)</f>
        <v>0</v>
      </c>
      <c r="AF295" s="857">
        <f>+SUMIFS(PIB!AI:AI,PIB!AH:AH,Brokerage!AF$4,PIB!AC:AC,Brokerage!$B295)+SUMIFS('T-Bills'!AD:AD,'T-Bills'!AC:AC,Brokerage!AF$4,'T-Bills'!X:X,Brokerage!$B295)</f>
        <v>0</v>
      </c>
      <c r="AG295" s="857">
        <f t="shared" si="26"/>
        <v>0</v>
      </c>
      <c r="AH295" s="858">
        <f t="shared" si="28"/>
        <v>0</v>
      </c>
    </row>
    <row r="296" spans="2:34" x14ac:dyDescent="0.15">
      <c r="B296" s="661">
        <f t="shared" si="25"/>
        <v>44852</v>
      </c>
      <c r="C296" s="857">
        <f>SUMIFS('YTD Sales'!$N:$N,'YTD Sales'!$B:$B,Brokerage!$B296,'YTD Sales'!$M:$M,Brokerage!C$4)+SUMIFS('YTD Purchases'!$H:$H,'YTD Purchases'!$C:$C,Brokerage!$B296,'YTD Purchases'!$G:$G,Brokerage!C$4)</f>
        <v>0</v>
      </c>
      <c r="D296" s="857">
        <f>SUMIFS('YTD Sales'!$N:$N,'YTD Sales'!$B:$B,Brokerage!$B296,'YTD Sales'!$M:$M,Brokerage!D$4)+SUMIFS('YTD Purchases'!$H:$H,'YTD Purchases'!$C:$C,Brokerage!$B296,'YTD Purchases'!$G:$G,Brokerage!D$4)</f>
        <v>0</v>
      </c>
      <c r="E296" s="857">
        <f>SUMIFS('YTD Sales'!$N:$N,'YTD Sales'!$B:$B,Brokerage!$B296,'YTD Sales'!$M:$M,Brokerage!E$4)+SUMIFS('YTD Purchases'!$H:$H,'YTD Purchases'!$C:$C,Brokerage!$B296,'YTD Purchases'!$G:$G,Brokerage!E$4)</f>
        <v>0</v>
      </c>
      <c r="F296" s="857">
        <f>SUMIFS('YTD Sales'!$N:$N,'YTD Sales'!$B:$B,Brokerage!$B296,'YTD Sales'!$M:$M,Brokerage!F$4)+SUMIFS('YTD Purchases'!$H:$H,'YTD Purchases'!$C:$C,Brokerage!$B296,'YTD Purchases'!$G:$G,Brokerage!F$4)</f>
        <v>0</v>
      </c>
      <c r="G296" s="857">
        <f>SUMIFS('YTD Sales'!$N:$N,'YTD Sales'!$B:$B,Brokerage!$B296,'YTD Sales'!$M:$M,Brokerage!G$4)+SUMIFS('YTD Purchases'!$H:$H,'YTD Purchases'!$C:$C,Brokerage!$B296,'YTD Purchases'!$G:$G,Brokerage!G$4)</f>
        <v>0</v>
      </c>
      <c r="H296" s="857">
        <f>SUMIFS('YTD Sales'!$N:$N,'YTD Sales'!$B:$B,Brokerage!$B296,'YTD Sales'!$M:$M,Brokerage!H$4)+SUMIFS('YTD Purchases'!$H:$H,'YTD Purchases'!$C:$C,Brokerage!$B296,'YTD Purchases'!$G:$G,Brokerage!H$4)</f>
        <v>0</v>
      </c>
      <c r="I296" s="857">
        <f>SUMIFS('YTD Sales'!$N:$N,'YTD Sales'!$B:$B,Brokerage!$B296,'YTD Sales'!$M:$M,Brokerage!I$4)+SUMIFS('YTD Purchases'!$H:$H,'YTD Purchases'!$C:$C,Brokerage!$B296,'YTD Purchases'!$G:$G,Brokerage!I$4)</f>
        <v>0</v>
      </c>
      <c r="J296" s="857">
        <f>SUMIFS('YTD Sales'!$N:$N,'YTD Sales'!$B:$B,Brokerage!$B296,'YTD Sales'!$M:$M,Brokerage!J$4)+SUMIFS('YTD Purchases'!$H:$H,'YTD Purchases'!$C:$C,Brokerage!$B296,'YTD Purchases'!$G:$G,Brokerage!J$4)</f>
        <v>0</v>
      </c>
      <c r="K296" s="857">
        <f>SUMIFS('YTD Sales'!$N:$N,'YTD Sales'!$B:$B,Brokerage!$B296,'YTD Sales'!$M:$M,Brokerage!K$4)+SUMIFS('YTD Purchases'!$H:$H,'YTD Purchases'!$C:$C,Brokerage!$B296,'YTD Purchases'!$G:$G,Brokerage!K$4)</f>
        <v>0</v>
      </c>
      <c r="L296" s="857">
        <f>SUMIFS('YTD Sales'!$N:$N,'YTD Sales'!$B:$B,Brokerage!$B296,'YTD Sales'!$M:$M,Brokerage!L$4)+SUMIFS('YTD Purchases'!$H:$H,'YTD Purchases'!$C:$C,Brokerage!$B296,'YTD Purchases'!$G:$G,Brokerage!L$4)</f>
        <v>0</v>
      </c>
      <c r="M296" s="857">
        <f>SUMIFS('YTD Sales'!$N:$N,'YTD Sales'!$B:$B,Brokerage!$B296,'YTD Sales'!$M:$M,Brokerage!M$4)+SUMIFS('YTD Purchases'!$H:$H,'YTD Purchases'!$C:$C,Brokerage!$B296,'YTD Purchases'!$G:$G,Brokerage!M$4)</f>
        <v>0</v>
      </c>
      <c r="N296" s="857">
        <f>SUMIFS('YTD Sales'!$N:$N,'YTD Sales'!$B:$B,Brokerage!$B296,'YTD Sales'!$M:$M,Brokerage!N$4)+SUMIFS('YTD Purchases'!$H:$H,'YTD Purchases'!$C:$C,Brokerage!$B296,'YTD Purchases'!$G:$G,Brokerage!N$4)</f>
        <v>0</v>
      </c>
      <c r="O296" s="857">
        <f>SUMIFS('YTD Sales'!$N:$N,'YTD Sales'!$B:$B,Brokerage!$B296,'YTD Sales'!$M:$M,Brokerage!O$4)+SUMIFS('YTD Purchases'!$H:$H,'YTD Purchases'!$C:$C,Brokerage!$B296,'YTD Purchases'!$G:$G,Brokerage!O$4)</f>
        <v>0</v>
      </c>
      <c r="P296" s="857">
        <f>SUMIFS('YTD Sales'!$N:$N,'YTD Sales'!$B:$B,Brokerage!$B296,'YTD Sales'!$M:$M,Brokerage!P$4)+SUMIFS('YTD Purchases'!$H:$H,'YTD Purchases'!$C:$C,Brokerage!$B296,'YTD Purchases'!$G:$G,Brokerage!P$4)</f>
        <v>0</v>
      </c>
      <c r="Q296" s="857">
        <f>SUMIFS('YTD Sales'!$N:$N,'YTD Sales'!$B:$B,Brokerage!$B296,'YTD Sales'!$M:$M,Brokerage!Q$4)+SUMIFS('YTD Purchases'!$H:$H,'YTD Purchases'!$C:$C,Brokerage!$B296,'YTD Purchases'!$G:$G,Brokerage!Q$4)</f>
        <v>0</v>
      </c>
      <c r="R296" s="857">
        <f>SUMIFS('YTD Sales'!$N:$N,'YTD Sales'!$B:$B,Brokerage!$B296,'YTD Sales'!$M:$M,Brokerage!R$4)+SUMIFS('YTD Purchases'!$H:$H,'YTD Purchases'!$C:$C,Brokerage!$B296,'YTD Purchases'!$G:$G,Brokerage!R$4)</f>
        <v>0</v>
      </c>
      <c r="S296" s="857">
        <f>SUMIFS('YTD Sales'!$N:$N,'YTD Sales'!$B:$B,Brokerage!$B296,'YTD Sales'!$M:$M,Brokerage!S$4)+SUMIFS('YTD Purchases'!$H:$H,'YTD Purchases'!$C:$C,Brokerage!$B296,'YTD Purchases'!$G:$G,Brokerage!S$4)</f>
        <v>0</v>
      </c>
      <c r="T296" s="857">
        <f>SUMIFS('YTD Sales'!$N:$N,'YTD Sales'!$B:$B,Brokerage!$B296,'YTD Sales'!$M:$M,Brokerage!T$4)+SUMIFS('YTD Purchases'!$H:$H,'YTD Purchases'!$C:$C,Brokerage!$B296,'YTD Purchases'!$G:$G,Brokerage!T$4)</f>
        <v>0</v>
      </c>
      <c r="U296" s="857">
        <f>SUMIFS('YTD Sales'!$N:$N,'YTD Sales'!$B:$B,Brokerage!$B296,'YTD Sales'!$M:$M,Brokerage!U$4)+SUMIFS('YTD Purchases'!$H:$H,'YTD Purchases'!$C:$C,Brokerage!$B296,'YTD Purchases'!$G:$G,Brokerage!U$4)</f>
        <v>0</v>
      </c>
      <c r="V296" s="857">
        <f>SUMIFS('YTD Sales'!$N:$N,'YTD Sales'!$B:$B,Brokerage!$B296,'YTD Sales'!$M:$M,Brokerage!V$4)+SUMIFS('YTD Purchases'!$H:$H,'YTD Purchases'!$C:$C,Brokerage!$B296,'YTD Purchases'!$G:$G,Brokerage!V$4)</f>
        <v>0</v>
      </c>
      <c r="W296" s="857">
        <f>SUMIFS('YTD Sales'!$N:$N,'YTD Sales'!$B:$B,Brokerage!$B296,'YTD Sales'!$M:$M,Brokerage!W$4)+SUMIFS('YTD Purchases'!$H:$H,'YTD Purchases'!$C:$C,Brokerage!$B296,'YTD Purchases'!$G:$G,Brokerage!W$4)</f>
        <v>0</v>
      </c>
      <c r="X296" s="857">
        <f>SUMIFS('YTD Sales'!$N:$N,'YTD Sales'!$B:$B,Brokerage!$B296,'YTD Sales'!$M:$M,Brokerage!X$4)+SUMIFS('YTD Purchases'!$H:$H,'YTD Purchases'!$C:$C,Brokerage!$B296,'YTD Purchases'!$G:$G,Brokerage!X$4)</f>
        <v>0</v>
      </c>
      <c r="Y296" s="857">
        <f>SUMIFS('YTD Sales'!$N:$N,'YTD Sales'!$B:$B,Brokerage!$B296,'YTD Sales'!$M:$M,Brokerage!Y$4)+SUMIFS('YTD Purchases'!$H:$H,'YTD Purchases'!$C:$C,Brokerage!$B296,'YTD Purchases'!$G:$G,Brokerage!Y$4)</f>
        <v>0</v>
      </c>
      <c r="Z296" s="857">
        <f>SUMIFS('YTD Sales'!$N:$N,'YTD Sales'!$B:$B,Brokerage!$B296,'YTD Sales'!$M:$M,Brokerage!Z$4)+SUMIFS('YTD Purchases'!$H:$H,'YTD Purchases'!$C:$C,Brokerage!$B296,'YTD Purchases'!$G:$G,Brokerage!Z$4)</f>
        <v>0</v>
      </c>
      <c r="AA296" s="857">
        <f>SUMIFS('YTD Sales'!$N:$N,'YTD Sales'!$B:$B,Brokerage!$B296,'YTD Sales'!$M:$M,Brokerage!AA$4)+SUMIFS('YTD Purchases'!$H:$H,'YTD Purchases'!$C:$C,Brokerage!$B296,'YTD Purchases'!$G:$G,Brokerage!AA$4)</f>
        <v>0</v>
      </c>
      <c r="AB296" s="857">
        <f>SUMIFS('YTD Sales'!$N:$N,'YTD Sales'!$B:$B,Brokerage!$B296,'YTD Sales'!$M:$M,Brokerage!AB$4)+SUMIFS('YTD Purchases'!$H:$H,'YTD Purchases'!$C:$C,Brokerage!$B296,'YTD Purchases'!$G:$G,Brokerage!AB$4)</f>
        <v>0</v>
      </c>
      <c r="AC296" s="857">
        <f>SUMIFS('YTD Sales'!$N:$N,'YTD Sales'!$B:$B,Brokerage!$B296,'YTD Sales'!$M:$M,Brokerage!AC$4)+SUMIFS('YTD Purchases'!$H:$H,'YTD Purchases'!$C:$C,Brokerage!$B296,'YTD Purchases'!$G:$G,Brokerage!AC$4)</f>
        <v>0</v>
      </c>
      <c r="AD296" s="857">
        <f>+SUMIFS(PIB!AG:AG,PIB!AF:AF,Brokerage!AD$4,PIB!AA:AA,Brokerage!$B296)+SUMIFS('T-Bills'!AB:AB,'T-Bills'!AA:AA,Brokerage!AD$4,'T-Bills'!V:V,Brokerage!$B296)</f>
        <v>0</v>
      </c>
      <c r="AE296" s="857">
        <f>+SUMIFS(PIB!AH:AH,PIB!AG:AG,Brokerage!AE$4,PIB!AB:AB,Brokerage!$B296)+SUMIFS('T-Bills'!AC:AC,'T-Bills'!AB:AB,Brokerage!AE$4,'T-Bills'!W:W,Brokerage!$B296)</f>
        <v>0</v>
      </c>
      <c r="AF296" s="857">
        <f>+SUMIFS(PIB!AI:AI,PIB!AH:AH,Brokerage!AF$4,PIB!AC:AC,Brokerage!$B296)+SUMIFS('T-Bills'!AD:AD,'T-Bills'!AC:AC,Brokerage!AF$4,'T-Bills'!X:X,Brokerage!$B296)</f>
        <v>0</v>
      </c>
      <c r="AG296" s="857">
        <f t="shared" si="26"/>
        <v>0</v>
      </c>
      <c r="AH296" s="858">
        <f t="shared" si="28"/>
        <v>0</v>
      </c>
    </row>
    <row r="297" spans="2:34" x14ac:dyDescent="0.15">
      <c r="B297" s="661">
        <f t="shared" si="25"/>
        <v>44853</v>
      </c>
      <c r="C297" s="857">
        <f>SUMIFS('YTD Sales'!$N:$N,'YTD Sales'!$B:$B,Brokerage!$B297,'YTD Sales'!$M:$M,Brokerage!C$4)+SUMIFS('YTD Purchases'!$H:$H,'YTD Purchases'!$C:$C,Brokerage!$B297,'YTD Purchases'!$G:$G,Brokerage!C$4)</f>
        <v>0</v>
      </c>
      <c r="D297" s="857">
        <f>SUMIFS('YTD Sales'!$N:$N,'YTD Sales'!$B:$B,Brokerage!$B297,'YTD Sales'!$M:$M,Brokerage!D$4)+SUMIFS('YTD Purchases'!$H:$H,'YTD Purchases'!$C:$C,Brokerage!$B297,'YTD Purchases'!$G:$G,Brokerage!D$4)</f>
        <v>0</v>
      </c>
      <c r="E297" s="857">
        <f>SUMIFS('YTD Sales'!$N:$N,'YTD Sales'!$B:$B,Brokerage!$B297,'YTD Sales'!$M:$M,Brokerage!E$4)+SUMIFS('YTD Purchases'!$H:$H,'YTD Purchases'!$C:$C,Brokerage!$B297,'YTD Purchases'!$G:$G,Brokerage!E$4)</f>
        <v>0</v>
      </c>
      <c r="F297" s="857">
        <f>SUMIFS('YTD Sales'!$N:$N,'YTD Sales'!$B:$B,Brokerage!$B297,'YTD Sales'!$M:$M,Brokerage!F$4)+SUMIFS('YTD Purchases'!$H:$H,'YTD Purchases'!$C:$C,Brokerage!$B297,'YTD Purchases'!$G:$G,Brokerage!F$4)</f>
        <v>0</v>
      </c>
      <c r="G297" s="857">
        <f>SUMIFS('YTD Sales'!$N:$N,'YTD Sales'!$B:$B,Brokerage!$B297,'YTD Sales'!$M:$M,Brokerage!G$4)+SUMIFS('YTD Purchases'!$H:$H,'YTD Purchases'!$C:$C,Brokerage!$B297,'YTD Purchases'!$G:$G,Brokerage!G$4)</f>
        <v>0</v>
      </c>
      <c r="H297" s="857">
        <f>SUMIFS('YTD Sales'!$N:$N,'YTD Sales'!$B:$B,Brokerage!$B297,'YTD Sales'!$M:$M,Brokerage!H$4)+SUMIFS('YTD Purchases'!$H:$H,'YTD Purchases'!$C:$C,Brokerage!$B297,'YTD Purchases'!$G:$G,Brokerage!H$4)</f>
        <v>0</v>
      </c>
      <c r="I297" s="857">
        <f>SUMIFS('YTD Sales'!$N:$N,'YTD Sales'!$B:$B,Brokerage!$B297,'YTD Sales'!$M:$M,Brokerage!I$4)+SUMIFS('YTD Purchases'!$H:$H,'YTD Purchases'!$C:$C,Brokerage!$B297,'YTD Purchases'!$G:$G,Brokerage!I$4)</f>
        <v>0</v>
      </c>
      <c r="J297" s="857">
        <f>SUMIFS('YTD Sales'!$N:$N,'YTD Sales'!$B:$B,Brokerage!$B297,'YTD Sales'!$M:$M,Brokerage!J$4)+SUMIFS('YTD Purchases'!$H:$H,'YTD Purchases'!$C:$C,Brokerage!$B297,'YTD Purchases'!$G:$G,Brokerage!J$4)</f>
        <v>0</v>
      </c>
      <c r="K297" s="857">
        <f>SUMIFS('YTD Sales'!$N:$N,'YTD Sales'!$B:$B,Brokerage!$B297,'YTD Sales'!$M:$M,Brokerage!K$4)+SUMIFS('YTD Purchases'!$H:$H,'YTD Purchases'!$C:$C,Brokerage!$B297,'YTD Purchases'!$G:$G,Brokerage!K$4)</f>
        <v>0</v>
      </c>
      <c r="L297" s="857">
        <f>SUMIFS('YTD Sales'!$N:$N,'YTD Sales'!$B:$B,Brokerage!$B297,'YTD Sales'!$M:$M,Brokerage!L$4)+SUMIFS('YTD Purchases'!$H:$H,'YTD Purchases'!$C:$C,Brokerage!$B297,'YTD Purchases'!$G:$G,Brokerage!L$4)</f>
        <v>0</v>
      </c>
      <c r="M297" s="857">
        <f>SUMIFS('YTD Sales'!$N:$N,'YTD Sales'!$B:$B,Brokerage!$B297,'YTD Sales'!$M:$M,Brokerage!M$4)+SUMIFS('YTD Purchases'!$H:$H,'YTD Purchases'!$C:$C,Brokerage!$B297,'YTD Purchases'!$G:$G,Brokerage!M$4)</f>
        <v>0</v>
      </c>
      <c r="N297" s="857">
        <f>SUMIFS('YTD Sales'!$N:$N,'YTD Sales'!$B:$B,Brokerage!$B297,'YTD Sales'!$M:$M,Brokerage!N$4)+SUMIFS('YTD Purchases'!$H:$H,'YTD Purchases'!$C:$C,Brokerage!$B297,'YTD Purchases'!$G:$G,Brokerage!N$4)</f>
        <v>0</v>
      </c>
      <c r="O297" s="857">
        <f>SUMIFS('YTD Sales'!$N:$N,'YTD Sales'!$B:$B,Brokerage!$B297,'YTD Sales'!$M:$M,Brokerage!O$4)+SUMIFS('YTD Purchases'!$H:$H,'YTD Purchases'!$C:$C,Brokerage!$B297,'YTD Purchases'!$G:$G,Brokerage!O$4)</f>
        <v>0</v>
      </c>
      <c r="P297" s="857">
        <f>SUMIFS('YTD Sales'!$N:$N,'YTD Sales'!$B:$B,Brokerage!$B297,'YTD Sales'!$M:$M,Brokerage!P$4)+SUMIFS('YTD Purchases'!$H:$H,'YTD Purchases'!$C:$C,Brokerage!$B297,'YTD Purchases'!$G:$G,Brokerage!P$4)</f>
        <v>0</v>
      </c>
      <c r="Q297" s="857">
        <f>SUMIFS('YTD Sales'!$N:$N,'YTD Sales'!$B:$B,Brokerage!$B297,'YTD Sales'!$M:$M,Brokerage!Q$4)+SUMIFS('YTD Purchases'!$H:$H,'YTD Purchases'!$C:$C,Brokerage!$B297,'YTD Purchases'!$G:$G,Brokerage!Q$4)</f>
        <v>0</v>
      </c>
      <c r="R297" s="857">
        <f>SUMIFS('YTD Sales'!$N:$N,'YTD Sales'!$B:$B,Brokerage!$B297,'YTD Sales'!$M:$M,Brokerage!R$4)+SUMIFS('YTD Purchases'!$H:$H,'YTD Purchases'!$C:$C,Brokerage!$B297,'YTD Purchases'!$G:$G,Brokerage!R$4)</f>
        <v>0</v>
      </c>
      <c r="S297" s="857">
        <f>SUMIFS('YTD Sales'!$N:$N,'YTD Sales'!$B:$B,Brokerage!$B297,'YTD Sales'!$M:$M,Brokerage!S$4)+SUMIFS('YTD Purchases'!$H:$H,'YTD Purchases'!$C:$C,Brokerage!$B297,'YTD Purchases'!$G:$G,Brokerage!S$4)</f>
        <v>0</v>
      </c>
      <c r="T297" s="857">
        <f>SUMIFS('YTD Sales'!$N:$N,'YTD Sales'!$B:$B,Brokerage!$B297,'YTD Sales'!$M:$M,Brokerage!T$4)+SUMIFS('YTD Purchases'!$H:$H,'YTD Purchases'!$C:$C,Brokerage!$B297,'YTD Purchases'!$G:$G,Brokerage!T$4)</f>
        <v>0</v>
      </c>
      <c r="U297" s="857">
        <f>SUMIFS('YTD Sales'!$N:$N,'YTD Sales'!$B:$B,Brokerage!$B297,'YTD Sales'!$M:$M,Brokerage!U$4)+SUMIFS('YTD Purchases'!$H:$H,'YTD Purchases'!$C:$C,Brokerage!$B297,'YTD Purchases'!$G:$G,Brokerage!U$4)</f>
        <v>0</v>
      </c>
      <c r="V297" s="857">
        <f>SUMIFS('YTD Sales'!$N:$N,'YTD Sales'!$B:$B,Brokerage!$B297,'YTD Sales'!$M:$M,Brokerage!V$4)+SUMIFS('YTD Purchases'!$H:$H,'YTD Purchases'!$C:$C,Brokerage!$B297,'YTD Purchases'!$G:$G,Brokerage!V$4)</f>
        <v>0</v>
      </c>
      <c r="W297" s="857">
        <f>SUMIFS('YTD Sales'!$N:$N,'YTD Sales'!$B:$B,Brokerage!$B297,'YTD Sales'!$M:$M,Brokerage!W$4)+SUMIFS('YTD Purchases'!$H:$H,'YTD Purchases'!$C:$C,Brokerage!$B297,'YTD Purchases'!$G:$G,Brokerage!W$4)</f>
        <v>0</v>
      </c>
      <c r="X297" s="857">
        <f>SUMIFS('YTD Sales'!$N:$N,'YTD Sales'!$B:$B,Brokerage!$B297,'YTD Sales'!$M:$M,Brokerage!X$4)+SUMIFS('YTD Purchases'!$H:$H,'YTD Purchases'!$C:$C,Brokerage!$B297,'YTD Purchases'!$G:$G,Brokerage!X$4)</f>
        <v>0</v>
      </c>
      <c r="Y297" s="857">
        <f>SUMIFS('YTD Sales'!$N:$N,'YTD Sales'!$B:$B,Brokerage!$B297,'YTD Sales'!$M:$M,Brokerage!Y$4)+SUMIFS('YTD Purchases'!$H:$H,'YTD Purchases'!$C:$C,Brokerage!$B297,'YTD Purchases'!$G:$G,Brokerage!Y$4)</f>
        <v>0</v>
      </c>
      <c r="Z297" s="857">
        <f>SUMIFS('YTD Sales'!$N:$N,'YTD Sales'!$B:$B,Brokerage!$B297,'YTD Sales'!$M:$M,Brokerage!Z$4)+SUMIFS('YTD Purchases'!$H:$H,'YTD Purchases'!$C:$C,Brokerage!$B297,'YTD Purchases'!$G:$G,Brokerage!Z$4)</f>
        <v>0</v>
      </c>
      <c r="AA297" s="857">
        <f>SUMIFS('YTD Sales'!$N:$N,'YTD Sales'!$B:$B,Brokerage!$B297,'YTD Sales'!$M:$M,Brokerage!AA$4)+SUMIFS('YTD Purchases'!$H:$H,'YTD Purchases'!$C:$C,Brokerage!$B297,'YTD Purchases'!$G:$G,Brokerage!AA$4)</f>
        <v>0</v>
      </c>
      <c r="AB297" s="857">
        <f>SUMIFS('YTD Sales'!$N:$N,'YTD Sales'!$B:$B,Brokerage!$B297,'YTD Sales'!$M:$M,Brokerage!AB$4)+SUMIFS('YTD Purchases'!$H:$H,'YTD Purchases'!$C:$C,Brokerage!$B297,'YTD Purchases'!$G:$G,Brokerage!AB$4)</f>
        <v>0</v>
      </c>
      <c r="AC297" s="857">
        <f>SUMIFS('YTD Sales'!$N:$N,'YTD Sales'!$B:$B,Brokerage!$B297,'YTD Sales'!$M:$M,Brokerage!AC$4)+SUMIFS('YTD Purchases'!$H:$H,'YTD Purchases'!$C:$C,Brokerage!$B297,'YTD Purchases'!$G:$G,Brokerage!AC$4)</f>
        <v>0</v>
      </c>
      <c r="AD297" s="857">
        <f>+SUMIFS(PIB!AG:AG,PIB!AF:AF,Brokerage!AD$4,PIB!AA:AA,Brokerage!$B297)+SUMIFS('T-Bills'!AB:AB,'T-Bills'!AA:AA,Brokerage!AD$4,'T-Bills'!V:V,Brokerage!$B297)</f>
        <v>0</v>
      </c>
      <c r="AE297" s="857">
        <f>+SUMIFS(PIB!AH:AH,PIB!AG:AG,Brokerage!AE$4,PIB!AB:AB,Brokerage!$B297)+SUMIFS('T-Bills'!AC:AC,'T-Bills'!AB:AB,Brokerage!AE$4,'T-Bills'!W:W,Brokerage!$B297)</f>
        <v>0</v>
      </c>
      <c r="AF297" s="857">
        <f>+SUMIFS(PIB!AI:AI,PIB!AH:AH,Brokerage!AF$4,PIB!AC:AC,Brokerage!$B297)+SUMIFS('T-Bills'!AD:AD,'T-Bills'!AC:AC,Brokerage!AF$4,'T-Bills'!X:X,Brokerage!$B297)</f>
        <v>0</v>
      </c>
      <c r="AG297" s="857">
        <f t="shared" si="26"/>
        <v>0</v>
      </c>
      <c r="AH297" s="858">
        <f t="shared" si="28"/>
        <v>0</v>
      </c>
    </row>
    <row r="298" spans="2:34" x14ac:dyDescent="0.15">
      <c r="B298" s="661">
        <f t="shared" si="25"/>
        <v>44854</v>
      </c>
      <c r="C298" s="857">
        <f>SUMIFS('YTD Sales'!$N:$N,'YTD Sales'!$B:$B,Brokerage!$B298,'YTD Sales'!$M:$M,Brokerage!C$4)+SUMIFS('YTD Purchases'!$H:$H,'YTD Purchases'!$C:$C,Brokerage!$B298,'YTD Purchases'!$G:$G,Brokerage!C$4)</f>
        <v>0</v>
      </c>
      <c r="D298" s="857">
        <f>SUMIFS('YTD Sales'!$N:$N,'YTD Sales'!$B:$B,Brokerage!$B298,'YTD Sales'!$M:$M,Brokerage!D$4)+SUMIFS('YTD Purchases'!$H:$H,'YTD Purchases'!$C:$C,Brokerage!$B298,'YTD Purchases'!$G:$G,Brokerage!D$4)</f>
        <v>0</v>
      </c>
      <c r="E298" s="857">
        <f>SUMIFS('YTD Sales'!$N:$N,'YTD Sales'!$B:$B,Brokerage!$B298,'YTD Sales'!$M:$M,Brokerage!E$4)+SUMIFS('YTD Purchases'!$H:$H,'YTD Purchases'!$C:$C,Brokerage!$B298,'YTD Purchases'!$G:$G,Brokerage!E$4)</f>
        <v>0</v>
      </c>
      <c r="F298" s="857">
        <f>SUMIFS('YTD Sales'!$N:$N,'YTD Sales'!$B:$B,Brokerage!$B298,'YTD Sales'!$M:$M,Brokerage!F$4)+SUMIFS('YTD Purchases'!$H:$H,'YTD Purchases'!$C:$C,Brokerage!$B298,'YTD Purchases'!$G:$G,Brokerage!F$4)</f>
        <v>0</v>
      </c>
      <c r="G298" s="857">
        <f>SUMIFS('YTD Sales'!$N:$N,'YTD Sales'!$B:$B,Brokerage!$B298,'YTD Sales'!$M:$M,Brokerage!G$4)+SUMIFS('YTD Purchases'!$H:$H,'YTD Purchases'!$C:$C,Brokerage!$B298,'YTD Purchases'!$G:$G,Brokerage!G$4)</f>
        <v>0</v>
      </c>
      <c r="H298" s="857">
        <f>SUMIFS('YTD Sales'!$N:$N,'YTD Sales'!$B:$B,Brokerage!$B298,'YTD Sales'!$M:$M,Brokerage!H$4)+SUMIFS('YTD Purchases'!$H:$H,'YTD Purchases'!$C:$C,Brokerage!$B298,'YTD Purchases'!$G:$G,Brokerage!H$4)</f>
        <v>0</v>
      </c>
      <c r="I298" s="857">
        <f>SUMIFS('YTD Sales'!$N:$N,'YTD Sales'!$B:$B,Brokerage!$B298,'YTD Sales'!$M:$M,Brokerage!I$4)+SUMIFS('YTD Purchases'!$H:$H,'YTD Purchases'!$C:$C,Brokerage!$B298,'YTD Purchases'!$G:$G,Brokerage!I$4)</f>
        <v>0</v>
      </c>
      <c r="J298" s="857">
        <f>SUMIFS('YTD Sales'!$N:$N,'YTD Sales'!$B:$B,Brokerage!$B298,'YTD Sales'!$M:$M,Brokerage!J$4)+SUMIFS('YTD Purchases'!$H:$H,'YTD Purchases'!$C:$C,Brokerage!$B298,'YTD Purchases'!$G:$G,Brokerage!J$4)</f>
        <v>0</v>
      </c>
      <c r="K298" s="857">
        <f>SUMIFS('YTD Sales'!$N:$N,'YTD Sales'!$B:$B,Brokerage!$B298,'YTD Sales'!$M:$M,Brokerage!K$4)+SUMIFS('YTD Purchases'!$H:$H,'YTD Purchases'!$C:$C,Brokerage!$B298,'YTD Purchases'!$G:$G,Brokerage!K$4)</f>
        <v>0</v>
      </c>
      <c r="L298" s="857">
        <f>SUMIFS('YTD Sales'!$N:$N,'YTD Sales'!$B:$B,Brokerage!$B298,'YTD Sales'!$M:$M,Brokerage!L$4)+SUMIFS('YTD Purchases'!$H:$H,'YTD Purchases'!$C:$C,Brokerage!$B298,'YTD Purchases'!$G:$G,Brokerage!L$4)</f>
        <v>0</v>
      </c>
      <c r="M298" s="857">
        <f>SUMIFS('YTD Sales'!$N:$N,'YTD Sales'!$B:$B,Brokerage!$B298,'YTD Sales'!$M:$M,Brokerage!M$4)+SUMIFS('YTD Purchases'!$H:$H,'YTD Purchases'!$C:$C,Brokerage!$B298,'YTD Purchases'!$G:$G,Brokerage!M$4)</f>
        <v>0</v>
      </c>
      <c r="N298" s="857">
        <f>SUMIFS('YTD Sales'!$N:$N,'YTD Sales'!$B:$B,Brokerage!$B298,'YTD Sales'!$M:$M,Brokerage!N$4)+SUMIFS('YTD Purchases'!$H:$H,'YTD Purchases'!$C:$C,Brokerage!$B298,'YTD Purchases'!$G:$G,Brokerage!N$4)</f>
        <v>0</v>
      </c>
      <c r="O298" s="857">
        <f>SUMIFS('YTD Sales'!$N:$N,'YTD Sales'!$B:$B,Brokerage!$B298,'YTD Sales'!$M:$M,Brokerage!O$4)+SUMIFS('YTD Purchases'!$H:$H,'YTD Purchases'!$C:$C,Brokerage!$B298,'YTD Purchases'!$G:$G,Brokerage!O$4)</f>
        <v>0</v>
      </c>
      <c r="P298" s="857">
        <f>SUMIFS('YTD Sales'!$N:$N,'YTD Sales'!$B:$B,Brokerage!$B298,'YTD Sales'!$M:$M,Brokerage!P$4)+SUMIFS('YTD Purchases'!$H:$H,'YTD Purchases'!$C:$C,Brokerage!$B298,'YTD Purchases'!$G:$G,Brokerage!P$4)</f>
        <v>0</v>
      </c>
      <c r="Q298" s="857">
        <f>SUMIFS('YTD Sales'!$N:$N,'YTD Sales'!$B:$B,Brokerage!$B298,'YTD Sales'!$M:$M,Brokerage!Q$4)+SUMIFS('YTD Purchases'!$H:$H,'YTD Purchases'!$C:$C,Brokerage!$B298,'YTD Purchases'!$G:$G,Brokerage!Q$4)</f>
        <v>0</v>
      </c>
      <c r="R298" s="857">
        <f>SUMIFS('YTD Sales'!$N:$N,'YTD Sales'!$B:$B,Brokerage!$B298,'YTD Sales'!$M:$M,Brokerage!R$4)+SUMIFS('YTD Purchases'!$H:$H,'YTD Purchases'!$C:$C,Brokerage!$B298,'YTD Purchases'!$G:$G,Brokerage!R$4)</f>
        <v>0</v>
      </c>
      <c r="S298" s="857">
        <f>SUMIFS('YTD Sales'!$N:$N,'YTD Sales'!$B:$B,Brokerage!$B298,'YTD Sales'!$M:$M,Brokerage!S$4)+SUMIFS('YTD Purchases'!$H:$H,'YTD Purchases'!$C:$C,Brokerage!$B298,'YTD Purchases'!$G:$G,Brokerage!S$4)</f>
        <v>0</v>
      </c>
      <c r="T298" s="857">
        <f>SUMIFS('YTD Sales'!$N:$N,'YTD Sales'!$B:$B,Brokerage!$B298,'YTD Sales'!$M:$M,Brokerage!T$4)+SUMIFS('YTD Purchases'!$H:$H,'YTD Purchases'!$C:$C,Brokerage!$B298,'YTD Purchases'!$G:$G,Brokerage!T$4)</f>
        <v>0</v>
      </c>
      <c r="U298" s="857">
        <f>SUMIFS('YTD Sales'!$N:$N,'YTD Sales'!$B:$B,Brokerage!$B298,'YTD Sales'!$M:$M,Brokerage!U$4)+SUMIFS('YTD Purchases'!$H:$H,'YTD Purchases'!$C:$C,Brokerage!$B298,'YTD Purchases'!$G:$G,Brokerage!U$4)</f>
        <v>0</v>
      </c>
      <c r="V298" s="857">
        <f>SUMIFS('YTD Sales'!$N:$N,'YTD Sales'!$B:$B,Brokerage!$B298,'YTD Sales'!$M:$M,Brokerage!V$4)+SUMIFS('YTD Purchases'!$H:$H,'YTD Purchases'!$C:$C,Brokerage!$B298,'YTD Purchases'!$G:$G,Brokerage!V$4)</f>
        <v>0</v>
      </c>
      <c r="W298" s="857">
        <f>SUMIFS('YTD Sales'!$N:$N,'YTD Sales'!$B:$B,Brokerage!$B298,'YTD Sales'!$M:$M,Brokerage!W$4)+SUMIFS('YTD Purchases'!$H:$H,'YTD Purchases'!$C:$C,Brokerage!$B298,'YTD Purchases'!$G:$G,Brokerage!W$4)</f>
        <v>0</v>
      </c>
      <c r="X298" s="857">
        <f>SUMIFS('YTD Sales'!$N:$N,'YTD Sales'!$B:$B,Brokerage!$B298,'YTD Sales'!$M:$M,Brokerage!X$4)+SUMIFS('YTD Purchases'!$H:$H,'YTD Purchases'!$C:$C,Brokerage!$B298,'YTD Purchases'!$G:$G,Brokerage!X$4)</f>
        <v>0</v>
      </c>
      <c r="Y298" s="857">
        <f>SUMIFS('YTD Sales'!$N:$N,'YTD Sales'!$B:$B,Brokerage!$B298,'YTD Sales'!$M:$M,Brokerage!Y$4)+SUMIFS('YTD Purchases'!$H:$H,'YTD Purchases'!$C:$C,Brokerage!$B298,'YTD Purchases'!$G:$G,Brokerage!Y$4)</f>
        <v>0</v>
      </c>
      <c r="Z298" s="857">
        <f>SUMIFS('YTD Sales'!$N:$N,'YTD Sales'!$B:$B,Brokerage!$B298,'YTD Sales'!$M:$M,Brokerage!Z$4)+SUMIFS('YTD Purchases'!$H:$H,'YTD Purchases'!$C:$C,Brokerage!$B298,'YTD Purchases'!$G:$G,Brokerage!Z$4)</f>
        <v>0</v>
      </c>
      <c r="AA298" s="857">
        <f>SUMIFS('YTD Sales'!$N:$N,'YTD Sales'!$B:$B,Brokerage!$B298,'YTD Sales'!$M:$M,Brokerage!AA$4)+SUMIFS('YTD Purchases'!$H:$H,'YTD Purchases'!$C:$C,Brokerage!$B298,'YTD Purchases'!$G:$G,Brokerage!AA$4)</f>
        <v>0</v>
      </c>
      <c r="AB298" s="857">
        <f>SUMIFS('YTD Sales'!$N:$N,'YTD Sales'!$B:$B,Brokerage!$B298,'YTD Sales'!$M:$M,Brokerage!AB$4)+SUMIFS('YTD Purchases'!$H:$H,'YTD Purchases'!$C:$C,Brokerage!$B298,'YTD Purchases'!$G:$G,Brokerage!AB$4)</f>
        <v>0</v>
      </c>
      <c r="AC298" s="857">
        <f>SUMIFS('YTD Sales'!$N:$N,'YTD Sales'!$B:$B,Brokerage!$B298,'YTD Sales'!$M:$M,Brokerage!AC$4)+SUMIFS('YTD Purchases'!$H:$H,'YTD Purchases'!$C:$C,Brokerage!$B298,'YTD Purchases'!$G:$G,Brokerage!AC$4)</f>
        <v>0</v>
      </c>
      <c r="AD298" s="857">
        <f>+SUMIFS(PIB!AG:AG,PIB!AF:AF,Brokerage!AD$4,PIB!AA:AA,Brokerage!$B298)+SUMIFS('T-Bills'!AB:AB,'T-Bills'!AA:AA,Brokerage!AD$4,'T-Bills'!V:V,Brokerage!$B298)</f>
        <v>0</v>
      </c>
      <c r="AE298" s="857">
        <f>+SUMIFS(PIB!AH:AH,PIB!AG:AG,Brokerage!AE$4,PIB!AB:AB,Brokerage!$B298)+SUMIFS('T-Bills'!AC:AC,'T-Bills'!AB:AB,Brokerage!AE$4,'T-Bills'!W:W,Brokerage!$B298)</f>
        <v>0</v>
      </c>
      <c r="AF298" s="857">
        <f>+SUMIFS(PIB!AI:AI,PIB!AH:AH,Brokerage!AF$4,PIB!AC:AC,Brokerage!$B298)+SUMIFS('T-Bills'!AD:AD,'T-Bills'!AC:AC,Brokerage!AF$4,'T-Bills'!X:X,Brokerage!$B298)</f>
        <v>0</v>
      </c>
      <c r="AG298" s="857">
        <f t="shared" si="26"/>
        <v>0</v>
      </c>
      <c r="AH298" s="858">
        <f t="shared" si="28"/>
        <v>0</v>
      </c>
    </row>
    <row r="299" spans="2:34" x14ac:dyDescent="0.15">
      <c r="B299" s="661">
        <f t="shared" si="25"/>
        <v>44855</v>
      </c>
      <c r="C299" s="857">
        <f>SUMIFS('YTD Sales'!$N:$N,'YTD Sales'!$B:$B,Brokerage!$B299,'YTD Sales'!$M:$M,Brokerage!C$4)+SUMIFS('YTD Purchases'!$H:$H,'YTD Purchases'!$C:$C,Brokerage!$B299,'YTD Purchases'!$G:$G,Brokerage!C$4)</f>
        <v>0</v>
      </c>
      <c r="D299" s="857">
        <f>SUMIFS('YTD Sales'!$N:$N,'YTD Sales'!$B:$B,Brokerage!$B299,'YTD Sales'!$M:$M,Brokerage!D$4)+SUMIFS('YTD Purchases'!$H:$H,'YTD Purchases'!$C:$C,Brokerage!$B299,'YTD Purchases'!$G:$G,Brokerage!D$4)</f>
        <v>0</v>
      </c>
      <c r="E299" s="857">
        <f>SUMIFS('YTD Sales'!$N:$N,'YTD Sales'!$B:$B,Brokerage!$B299,'YTD Sales'!$M:$M,Brokerage!E$4)+SUMIFS('YTD Purchases'!$H:$H,'YTD Purchases'!$C:$C,Brokerage!$B299,'YTD Purchases'!$G:$G,Brokerage!E$4)</f>
        <v>0</v>
      </c>
      <c r="F299" s="857">
        <f>SUMIFS('YTD Sales'!$N:$N,'YTD Sales'!$B:$B,Brokerage!$B299,'YTD Sales'!$M:$M,Brokerage!F$4)+SUMIFS('YTD Purchases'!$H:$H,'YTD Purchases'!$C:$C,Brokerage!$B299,'YTD Purchases'!$G:$G,Brokerage!F$4)</f>
        <v>0</v>
      </c>
      <c r="G299" s="857">
        <f>SUMIFS('YTD Sales'!$N:$N,'YTD Sales'!$B:$B,Brokerage!$B299,'YTD Sales'!$M:$M,Brokerage!G$4)+SUMIFS('YTD Purchases'!$H:$H,'YTD Purchases'!$C:$C,Brokerage!$B299,'YTD Purchases'!$G:$G,Brokerage!G$4)</f>
        <v>0</v>
      </c>
      <c r="H299" s="857">
        <f>SUMIFS('YTD Sales'!$N:$N,'YTD Sales'!$B:$B,Brokerage!$B299,'YTD Sales'!$M:$M,Brokerage!H$4)+SUMIFS('YTD Purchases'!$H:$H,'YTD Purchases'!$C:$C,Brokerage!$B299,'YTD Purchases'!$G:$G,Brokerage!H$4)</f>
        <v>0</v>
      </c>
      <c r="I299" s="857">
        <f>SUMIFS('YTD Sales'!$N:$N,'YTD Sales'!$B:$B,Brokerage!$B299,'YTD Sales'!$M:$M,Brokerage!I$4)+SUMIFS('YTD Purchases'!$H:$H,'YTD Purchases'!$C:$C,Brokerage!$B299,'YTD Purchases'!$G:$G,Brokerage!I$4)</f>
        <v>0</v>
      </c>
      <c r="J299" s="857">
        <f>SUMIFS('YTD Sales'!$N:$N,'YTD Sales'!$B:$B,Brokerage!$B299,'YTD Sales'!$M:$M,Brokerage!J$4)+SUMIFS('YTD Purchases'!$H:$H,'YTD Purchases'!$C:$C,Brokerage!$B299,'YTD Purchases'!$G:$G,Brokerage!J$4)</f>
        <v>0</v>
      </c>
      <c r="K299" s="857">
        <f>SUMIFS('YTD Sales'!$N:$N,'YTD Sales'!$B:$B,Brokerage!$B299,'YTD Sales'!$M:$M,Brokerage!K$4)+SUMIFS('YTD Purchases'!$H:$H,'YTD Purchases'!$C:$C,Brokerage!$B299,'YTD Purchases'!$G:$G,Brokerage!K$4)</f>
        <v>0</v>
      </c>
      <c r="L299" s="857">
        <f>SUMIFS('YTD Sales'!$N:$N,'YTD Sales'!$B:$B,Brokerage!$B299,'YTD Sales'!$M:$M,Brokerage!L$4)+SUMIFS('YTD Purchases'!$H:$H,'YTD Purchases'!$C:$C,Brokerage!$B299,'YTD Purchases'!$G:$G,Brokerage!L$4)</f>
        <v>0</v>
      </c>
      <c r="M299" s="857">
        <f>SUMIFS('YTD Sales'!$N:$N,'YTD Sales'!$B:$B,Brokerage!$B299,'YTD Sales'!$M:$M,Brokerage!M$4)+SUMIFS('YTD Purchases'!$H:$H,'YTD Purchases'!$C:$C,Brokerage!$B299,'YTD Purchases'!$G:$G,Brokerage!M$4)</f>
        <v>0</v>
      </c>
      <c r="N299" s="857">
        <f>SUMIFS('YTD Sales'!$N:$N,'YTD Sales'!$B:$B,Brokerage!$B299,'YTD Sales'!$M:$M,Brokerage!N$4)+SUMIFS('YTD Purchases'!$H:$H,'YTD Purchases'!$C:$C,Brokerage!$B299,'YTD Purchases'!$G:$G,Brokerage!N$4)</f>
        <v>0</v>
      </c>
      <c r="O299" s="857">
        <f>SUMIFS('YTD Sales'!$N:$N,'YTD Sales'!$B:$B,Brokerage!$B299,'YTD Sales'!$M:$M,Brokerage!O$4)+SUMIFS('YTD Purchases'!$H:$H,'YTD Purchases'!$C:$C,Brokerage!$B299,'YTD Purchases'!$G:$G,Brokerage!O$4)</f>
        <v>0</v>
      </c>
      <c r="P299" s="857">
        <f>SUMIFS('YTD Sales'!$N:$N,'YTD Sales'!$B:$B,Brokerage!$B299,'YTD Sales'!$M:$M,Brokerage!P$4)+SUMIFS('YTD Purchases'!$H:$H,'YTD Purchases'!$C:$C,Brokerage!$B299,'YTD Purchases'!$G:$G,Brokerage!P$4)</f>
        <v>0</v>
      </c>
      <c r="Q299" s="857">
        <f>SUMIFS('YTD Sales'!$N:$N,'YTD Sales'!$B:$B,Brokerage!$B299,'YTD Sales'!$M:$M,Brokerage!Q$4)+SUMIFS('YTD Purchases'!$H:$H,'YTD Purchases'!$C:$C,Brokerage!$B299,'YTD Purchases'!$G:$G,Brokerage!Q$4)</f>
        <v>0</v>
      </c>
      <c r="R299" s="857">
        <f>SUMIFS('YTD Sales'!$N:$N,'YTD Sales'!$B:$B,Brokerage!$B299,'YTD Sales'!$M:$M,Brokerage!R$4)+SUMIFS('YTD Purchases'!$H:$H,'YTD Purchases'!$C:$C,Brokerage!$B299,'YTD Purchases'!$G:$G,Brokerage!R$4)</f>
        <v>0</v>
      </c>
      <c r="S299" s="857">
        <f>SUMIFS('YTD Sales'!$N:$N,'YTD Sales'!$B:$B,Brokerage!$B299,'YTD Sales'!$M:$M,Brokerage!S$4)+SUMIFS('YTD Purchases'!$H:$H,'YTD Purchases'!$C:$C,Brokerage!$B299,'YTD Purchases'!$G:$G,Brokerage!S$4)</f>
        <v>0</v>
      </c>
      <c r="T299" s="857">
        <f>SUMIFS('YTD Sales'!$N:$N,'YTD Sales'!$B:$B,Brokerage!$B299,'YTD Sales'!$M:$M,Brokerage!T$4)+SUMIFS('YTD Purchases'!$H:$H,'YTD Purchases'!$C:$C,Brokerage!$B299,'YTD Purchases'!$G:$G,Brokerage!T$4)</f>
        <v>0</v>
      </c>
      <c r="U299" s="857">
        <f>SUMIFS('YTD Sales'!$N:$N,'YTD Sales'!$B:$B,Brokerage!$B299,'YTD Sales'!$M:$M,Brokerage!U$4)+SUMIFS('YTD Purchases'!$H:$H,'YTD Purchases'!$C:$C,Brokerage!$B299,'YTD Purchases'!$G:$G,Brokerage!U$4)</f>
        <v>0</v>
      </c>
      <c r="V299" s="857">
        <f>SUMIFS('YTD Sales'!$N:$N,'YTD Sales'!$B:$B,Brokerage!$B299,'YTD Sales'!$M:$M,Brokerage!V$4)+SUMIFS('YTD Purchases'!$H:$H,'YTD Purchases'!$C:$C,Brokerage!$B299,'YTD Purchases'!$G:$G,Brokerage!V$4)</f>
        <v>0</v>
      </c>
      <c r="W299" s="857">
        <f>SUMIFS('YTD Sales'!$N:$N,'YTD Sales'!$B:$B,Brokerage!$B299,'YTD Sales'!$M:$M,Brokerage!W$4)+SUMIFS('YTD Purchases'!$H:$H,'YTD Purchases'!$C:$C,Brokerage!$B299,'YTD Purchases'!$G:$G,Brokerage!W$4)</f>
        <v>0</v>
      </c>
      <c r="X299" s="857">
        <f>SUMIFS('YTD Sales'!$N:$N,'YTD Sales'!$B:$B,Brokerage!$B299,'YTD Sales'!$M:$M,Brokerage!X$4)+SUMIFS('YTD Purchases'!$H:$H,'YTD Purchases'!$C:$C,Brokerage!$B299,'YTD Purchases'!$G:$G,Brokerage!X$4)</f>
        <v>0</v>
      </c>
      <c r="Y299" s="857">
        <f>SUMIFS('YTD Sales'!$N:$N,'YTD Sales'!$B:$B,Brokerage!$B299,'YTD Sales'!$M:$M,Brokerage!Y$4)+SUMIFS('YTD Purchases'!$H:$H,'YTD Purchases'!$C:$C,Brokerage!$B299,'YTD Purchases'!$G:$G,Brokerage!Y$4)</f>
        <v>0</v>
      </c>
      <c r="Z299" s="857">
        <f>SUMIFS('YTD Sales'!$N:$N,'YTD Sales'!$B:$B,Brokerage!$B299,'YTD Sales'!$M:$M,Brokerage!Z$4)+SUMIFS('YTD Purchases'!$H:$H,'YTD Purchases'!$C:$C,Brokerage!$B299,'YTD Purchases'!$G:$G,Brokerage!Z$4)</f>
        <v>0</v>
      </c>
      <c r="AA299" s="857">
        <f>SUMIFS('YTD Sales'!$N:$N,'YTD Sales'!$B:$B,Brokerage!$B299,'YTD Sales'!$M:$M,Brokerage!AA$4)+SUMIFS('YTD Purchases'!$H:$H,'YTD Purchases'!$C:$C,Brokerage!$B299,'YTD Purchases'!$G:$G,Brokerage!AA$4)</f>
        <v>0</v>
      </c>
      <c r="AB299" s="857">
        <f>SUMIFS('YTD Sales'!$N:$N,'YTD Sales'!$B:$B,Brokerage!$B299,'YTD Sales'!$M:$M,Brokerage!AB$4)+SUMIFS('YTD Purchases'!$H:$H,'YTD Purchases'!$C:$C,Brokerage!$B299,'YTD Purchases'!$G:$G,Brokerage!AB$4)</f>
        <v>0</v>
      </c>
      <c r="AC299" s="857">
        <f>SUMIFS('YTD Sales'!$N:$N,'YTD Sales'!$B:$B,Brokerage!$B299,'YTD Sales'!$M:$M,Brokerage!AC$4)+SUMIFS('YTD Purchases'!$H:$H,'YTD Purchases'!$C:$C,Brokerage!$B299,'YTD Purchases'!$G:$G,Brokerage!AC$4)</f>
        <v>0</v>
      </c>
      <c r="AD299" s="857">
        <f>+SUMIFS(PIB!AG:AG,PIB!AF:AF,Brokerage!AD$4,PIB!AA:AA,Brokerage!$B299)+SUMIFS('T-Bills'!AB:AB,'T-Bills'!AA:AA,Brokerage!AD$4,'T-Bills'!V:V,Brokerage!$B299)</f>
        <v>0</v>
      </c>
      <c r="AE299" s="857">
        <f>+SUMIFS(PIB!AH:AH,PIB!AG:AG,Brokerage!AE$4,PIB!AB:AB,Brokerage!$B299)+SUMIFS('T-Bills'!AC:AC,'T-Bills'!AB:AB,Brokerage!AE$4,'T-Bills'!W:W,Brokerage!$B299)</f>
        <v>0</v>
      </c>
      <c r="AF299" s="857">
        <f>+SUMIFS(PIB!AI:AI,PIB!AH:AH,Brokerage!AF$4,PIB!AC:AC,Brokerage!$B299)+SUMIFS('T-Bills'!AD:AD,'T-Bills'!AC:AC,Brokerage!AF$4,'T-Bills'!X:X,Brokerage!$B299)</f>
        <v>0</v>
      </c>
      <c r="AG299" s="857">
        <f t="shared" si="26"/>
        <v>0</v>
      </c>
      <c r="AH299" s="858">
        <f t="shared" si="28"/>
        <v>0</v>
      </c>
    </row>
    <row r="300" spans="2:34" x14ac:dyDescent="0.15">
      <c r="B300" s="661">
        <f t="shared" si="25"/>
        <v>44856</v>
      </c>
      <c r="C300" s="857">
        <f>SUMIFS('YTD Sales'!$N:$N,'YTD Sales'!$B:$B,Brokerage!$B300,'YTD Sales'!$M:$M,Brokerage!C$4)+SUMIFS('YTD Purchases'!$H:$H,'YTD Purchases'!$C:$C,Brokerage!$B300,'YTD Purchases'!$G:$G,Brokerage!C$4)</f>
        <v>0</v>
      </c>
      <c r="D300" s="857">
        <f>SUMIFS('YTD Sales'!$N:$N,'YTD Sales'!$B:$B,Brokerage!$B300,'YTD Sales'!$M:$M,Brokerage!D$4)+SUMIFS('YTD Purchases'!$H:$H,'YTD Purchases'!$C:$C,Brokerage!$B300,'YTD Purchases'!$G:$G,Brokerage!D$4)</f>
        <v>0</v>
      </c>
      <c r="E300" s="857">
        <f>SUMIFS('YTD Sales'!$N:$N,'YTD Sales'!$B:$B,Brokerage!$B300,'YTD Sales'!$M:$M,Brokerage!E$4)+SUMIFS('YTD Purchases'!$H:$H,'YTD Purchases'!$C:$C,Brokerage!$B300,'YTD Purchases'!$G:$G,Brokerage!E$4)</f>
        <v>0</v>
      </c>
      <c r="F300" s="857">
        <f>SUMIFS('YTD Sales'!$N:$N,'YTD Sales'!$B:$B,Brokerage!$B300,'YTD Sales'!$M:$M,Brokerage!F$4)+SUMIFS('YTD Purchases'!$H:$H,'YTD Purchases'!$C:$C,Brokerage!$B300,'YTD Purchases'!$G:$G,Brokerage!F$4)</f>
        <v>0</v>
      </c>
      <c r="G300" s="857">
        <f>SUMIFS('YTD Sales'!$N:$N,'YTD Sales'!$B:$B,Brokerage!$B300,'YTD Sales'!$M:$M,Brokerage!G$4)+SUMIFS('YTD Purchases'!$H:$H,'YTD Purchases'!$C:$C,Brokerage!$B300,'YTD Purchases'!$G:$G,Brokerage!G$4)</f>
        <v>0</v>
      </c>
      <c r="H300" s="857">
        <f>SUMIFS('YTD Sales'!$N:$N,'YTD Sales'!$B:$B,Brokerage!$B300,'YTD Sales'!$M:$M,Brokerage!H$4)+SUMIFS('YTD Purchases'!$H:$H,'YTD Purchases'!$C:$C,Brokerage!$B300,'YTD Purchases'!$G:$G,Brokerage!H$4)</f>
        <v>0</v>
      </c>
      <c r="I300" s="857">
        <f>SUMIFS('YTD Sales'!$N:$N,'YTD Sales'!$B:$B,Brokerage!$B300,'YTD Sales'!$M:$M,Brokerage!I$4)+SUMIFS('YTD Purchases'!$H:$H,'YTD Purchases'!$C:$C,Brokerage!$B300,'YTD Purchases'!$G:$G,Brokerage!I$4)</f>
        <v>0</v>
      </c>
      <c r="J300" s="857">
        <f>SUMIFS('YTD Sales'!$N:$N,'YTD Sales'!$B:$B,Brokerage!$B300,'YTD Sales'!$M:$M,Brokerage!J$4)+SUMIFS('YTD Purchases'!$H:$H,'YTD Purchases'!$C:$C,Brokerage!$B300,'YTD Purchases'!$G:$G,Brokerage!J$4)</f>
        <v>0</v>
      </c>
      <c r="K300" s="857">
        <f>SUMIFS('YTD Sales'!$N:$N,'YTD Sales'!$B:$B,Brokerage!$B300,'YTD Sales'!$M:$M,Brokerage!K$4)+SUMIFS('YTD Purchases'!$H:$H,'YTD Purchases'!$C:$C,Brokerage!$B300,'YTD Purchases'!$G:$G,Brokerage!K$4)</f>
        <v>0</v>
      </c>
      <c r="L300" s="857">
        <f>SUMIFS('YTD Sales'!$N:$N,'YTD Sales'!$B:$B,Brokerage!$B300,'YTD Sales'!$M:$M,Brokerage!L$4)+SUMIFS('YTD Purchases'!$H:$H,'YTD Purchases'!$C:$C,Brokerage!$B300,'YTD Purchases'!$G:$G,Brokerage!L$4)</f>
        <v>0</v>
      </c>
      <c r="M300" s="857">
        <f>SUMIFS('YTD Sales'!$N:$N,'YTD Sales'!$B:$B,Brokerage!$B300,'YTD Sales'!$M:$M,Brokerage!M$4)+SUMIFS('YTD Purchases'!$H:$H,'YTD Purchases'!$C:$C,Brokerage!$B300,'YTD Purchases'!$G:$G,Brokerage!M$4)</f>
        <v>0</v>
      </c>
      <c r="N300" s="857">
        <f>SUMIFS('YTD Sales'!$N:$N,'YTD Sales'!$B:$B,Brokerage!$B300,'YTD Sales'!$M:$M,Brokerage!N$4)+SUMIFS('YTD Purchases'!$H:$H,'YTD Purchases'!$C:$C,Brokerage!$B300,'YTD Purchases'!$G:$G,Brokerage!N$4)</f>
        <v>0</v>
      </c>
      <c r="O300" s="857">
        <f>SUMIFS('YTD Sales'!$N:$N,'YTD Sales'!$B:$B,Brokerage!$B300,'YTD Sales'!$M:$M,Brokerage!O$4)+SUMIFS('YTD Purchases'!$H:$H,'YTD Purchases'!$C:$C,Brokerage!$B300,'YTD Purchases'!$G:$G,Brokerage!O$4)</f>
        <v>0</v>
      </c>
      <c r="P300" s="857">
        <f>SUMIFS('YTD Sales'!$N:$N,'YTD Sales'!$B:$B,Brokerage!$B300,'YTD Sales'!$M:$M,Brokerage!P$4)+SUMIFS('YTD Purchases'!$H:$H,'YTD Purchases'!$C:$C,Brokerage!$B300,'YTD Purchases'!$G:$G,Brokerage!P$4)</f>
        <v>0</v>
      </c>
      <c r="Q300" s="857">
        <f>SUMIFS('YTD Sales'!$N:$N,'YTD Sales'!$B:$B,Brokerage!$B300,'YTD Sales'!$M:$M,Brokerage!Q$4)+SUMIFS('YTD Purchases'!$H:$H,'YTD Purchases'!$C:$C,Brokerage!$B300,'YTD Purchases'!$G:$G,Brokerage!Q$4)</f>
        <v>0</v>
      </c>
      <c r="R300" s="857">
        <f>SUMIFS('YTD Sales'!$N:$N,'YTD Sales'!$B:$B,Brokerage!$B300,'YTD Sales'!$M:$M,Brokerage!R$4)+SUMIFS('YTD Purchases'!$H:$H,'YTD Purchases'!$C:$C,Brokerage!$B300,'YTD Purchases'!$G:$G,Brokerage!R$4)</f>
        <v>0</v>
      </c>
      <c r="S300" s="857">
        <f>SUMIFS('YTD Sales'!$N:$N,'YTD Sales'!$B:$B,Brokerage!$B300,'YTD Sales'!$M:$M,Brokerage!S$4)+SUMIFS('YTD Purchases'!$H:$H,'YTD Purchases'!$C:$C,Brokerage!$B300,'YTD Purchases'!$G:$G,Brokerage!S$4)</f>
        <v>0</v>
      </c>
      <c r="T300" s="857">
        <f>SUMIFS('YTD Sales'!$N:$N,'YTD Sales'!$B:$B,Brokerage!$B300,'YTD Sales'!$M:$M,Brokerage!T$4)+SUMIFS('YTD Purchases'!$H:$H,'YTD Purchases'!$C:$C,Brokerage!$B300,'YTD Purchases'!$G:$G,Brokerage!T$4)</f>
        <v>0</v>
      </c>
      <c r="U300" s="857">
        <f>SUMIFS('YTD Sales'!$N:$N,'YTD Sales'!$B:$B,Brokerage!$B300,'YTD Sales'!$M:$M,Brokerage!U$4)+SUMIFS('YTD Purchases'!$H:$H,'YTD Purchases'!$C:$C,Brokerage!$B300,'YTD Purchases'!$G:$G,Brokerage!U$4)</f>
        <v>0</v>
      </c>
      <c r="V300" s="857">
        <f>SUMIFS('YTD Sales'!$N:$N,'YTD Sales'!$B:$B,Brokerage!$B300,'YTD Sales'!$M:$M,Brokerage!V$4)+SUMIFS('YTD Purchases'!$H:$H,'YTD Purchases'!$C:$C,Brokerage!$B300,'YTD Purchases'!$G:$G,Brokerage!V$4)</f>
        <v>0</v>
      </c>
      <c r="W300" s="857">
        <f>SUMIFS('YTD Sales'!$N:$N,'YTD Sales'!$B:$B,Brokerage!$B300,'YTD Sales'!$M:$M,Brokerage!W$4)+SUMIFS('YTD Purchases'!$H:$H,'YTD Purchases'!$C:$C,Brokerage!$B300,'YTD Purchases'!$G:$G,Brokerage!W$4)</f>
        <v>0</v>
      </c>
      <c r="X300" s="857">
        <f>SUMIFS('YTD Sales'!$N:$N,'YTD Sales'!$B:$B,Brokerage!$B300,'YTD Sales'!$M:$M,Brokerage!X$4)+SUMIFS('YTD Purchases'!$H:$H,'YTD Purchases'!$C:$C,Brokerage!$B300,'YTD Purchases'!$G:$G,Brokerage!X$4)</f>
        <v>0</v>
      </c>
      <c r="Y300" s="857">
        <f>SUMIFS('YTD Sales'!$N:$N,'YTD Sales'!$B:$B,Brokerage!$B300,'YTD Sales'!$M:$M,Brokerage!Y$4)+SUMIFS('YTD Purchases'!$H:$H,'YTD Purchases'!$C:$C,Brokerage!$B300,'YTD Purchases'!$G:$G,Brokerage!Y$4)</f>
        <v>0</v>
      </c>
      <c r="Z300" s="857">
        <f>SUMIFS('YTD Sales'!$N:$N,'YTD Sales'!$B:$B,Brokerage!$B300,'YTD Sales'!$M:$M,Brokerage!Z$4)+SUMIFS('YTD Purchases'!$H:$H,'YTD Purchases'!$C:$C,Brokerage!$B300,'YTD Purchases'!$G:$G,Brokerage!Z$4)</f>
        <v>0</v>
      </c>
      <c r="AA300" s="857">
        <f>SUMIFS('YTD Sales'!$N:$N,'YTD Sales'!$B:$B,Brokerage!$B300,'YTD Sales'!$M:$M,Brokerage!AA$4)+SUMIFS('YTD Purchases'!$H:$H,'YTD Purchases'!$C:$C,Brokerage!$B300,'YTD Purchases'!$G:$G,Brokerage!AA$4)</f>
        <v>0</v>
      </c>
      <c r="AB300" s="857">
        <f>SUMIFS('YTD Sales'!$N:$N,'YTD Sales'!$B:$B,Brokerage!$B300,'YTD Sales'!$M:$M,Brokerage!AB$4)+SUMIFS('YTD Purchases'!$H:$H,'YTD Purchases'!$C:$C,Brokerage!$B300,'YTD Purchases'!$G:$G,Brokerage!AB$4)</f>
        <v>0</v>
      </c>
      <c r="AC300" s="857">
        <f>SUMIFS('YTD Sales'!$N:$N,'YTD Sales'!$B:$B,Brokerage!$B300,'YTD Sales'!$M:$M,Brokerage!AC$4)+SUMIFS('YTD Purchases'!$H:$H,'YTD Purchases'!$C:$C,Brokerage!$B300,'YTD Purchases'!$G:$G,Brokerage!AC$4)</f>
        <v>0</v>
      </c>
      <c r="AD300" s="857">
        <f>+SUMIFS(PIB!AG:AG,PIB!AF:AF,Brokerage!AD$4,PIB!AA:AA,Brokerage!$B300)+SUMIFS('T-Bills'!AB:AB,'T-Bills'!AA:AA,Brokerage!AD$4,'T-Bills'!V:V,Brokerage!$B300)</f>
        <v>0</v>
      </c>
      <c r="AE300" s="857">
        <f>+SUMIFS(PIB!AH:AH,PIB!AG:AG,Brokerage!AE$4,PIB!AB:AB,Brokerage!$B300)+SUMIFS('T-Bills'!AC:AC,'T-Bills'!AB:AB,Brokerage!AE$4,'T-Bills'!W:W,Brokerage!$B300)</f>
        <v>0</v>
      </c>
      <c r="AF300" s="857">
        <f>+SUMIFS(PIB!AI:AI,PIB!AH:AH,Brokerage!AF$4,PIB!AC:AC,Brokerage!$B300)+SUMIFS('T-Bills'!AD:AD,'T-Bills'!AC:AC,Brokerage!AF$4,'T-Bills'!X:X,Brokerage!$B300)</f>
        <v>0</v>
      </c>
      <c r="AG300" s="857">
        <f t="shared" si="26"/>
        <v>0</v>
      </c>
      <c r="AH300" s="858">
        <f t="shared" si="28"/>
        <v>0</v>
      </c>
    </row>
    <row r="301" spans="2:34" x14ac:dyDescent="0.15">
      <c r="B301" s="661">
        <f t="shared" si="25"/>
        <v>44857</v>
      </c>
      <c r="C301" s="857">
        <f>SUMIFS('YTD Sales'!$N:$N,'YTD Sales'!$B:$B,Brokerage!$B301,'YTD Sales'!$M:$M,Brokerage!C$4)+SUMIFS('YTD Purchases'!$H:$H,'YTD Purchases'!$C:$C,Brokerage!$B301,'YTD Purchases'!$G:$G,Brokerage!C$4)</f>
        <v>0</v>
      </c>
      <c r="D301" s="857">
        <f>SUMIFS('YTD Sales'!$N:$N,'YTD Sales'!$B:$B,Brokerage!$B301,'YTD Sales'!$M:$M,Brokerage!D$4)+SUMIFS('YTD Purchases'!$H:$H,'YTD Purchases'!$C:$C,Brokerage!$B301,'YTD Purchases'!$G:$G,Brokerage!D$4)</f>
        <v>0</v>
      </c>
      <c r="E301" s="857">
        <f>SUMIFS('YTD Sales'!$N:$N,'YTD Sales'!$B:$B,Brokerage!$B301,'YTD Sales'!$M:$M,Brokerage!E$4)+SUMIFS('YTD Purchases'!$H:$H,'YTD Purchases'!$C:$C,Brokerage!$B301,'YTD Purchases'!$G:$G,Brokerage!E$4)</f>
        <v>0</v>
      </c>
      <c r="F301" s="857">
        <f>SUMIFS('YTD Sales'!$N:$N,'YTD Sales'!$B:$B,Brokerage!$B301,'YTD Sales'!$M:$M,Brokerage!F$4)+SUMIFS('YTD Purchases'!$H:$H,'YTD Purchases'!$C:$C,Brokerage!$B301,'YTD Purchases'!$G:$G,Brokerage!F$4)</f>
        <v>0</v>
      </c>
      <c r="G301" s="857">
        <f>SUMIFS('YTD Sales'!$N:$N,'YTD Sales'!$B:$B,Brokerage!$B301,'YTD Sales'!$M:$M,Brokerage!G$4)+SUMIFS('YTD Purchases'!$H:$H,'YTD Purchases'!$C:$C,Brokerage!$B301,'YTD Purchases'!$G:$G,Brokerage!G$4)</f>
        <v>0</v>
      </c>
      <c r="H301" s="857">
        <f>SUMIFS('YTD Sales'!$N:$N,'YTD Sales'!$B:$B,Brokerage!$B301,'YTD Sales'!$M:$M,Brokerage!H$4)+SUMIFS('YTD Purchases'!$H:$H,'YTD Purchases'!$C:$C,Brokerage!$B301,'YTD Purchases'!$G:$G,Brokerage!H$4)</f>
        <v>0</v>
      </c>
      <c r="I301" s="857">
        <f>SUMIFS('YTD Sales'!$N:$N,'YTD Sales'!$B:$B,Brokerage!$B301,'YTD Sales'!$M:$M,Brokerage!I$4)+SUMIFS('YTD Purchases'!$H:$H,'YTD Purchases'!$C:$C,Brokerage!$B301,'YTD Purchases'!$G:$G,Brokerage!I$4)</f>
        <v>0</v>
      </c>
      <c r="J301" s="857">
        <f>SUMIFS('YTD Sales'!$N:$N,'YTD Sales'!$B:$B,Brokerage!$B301,'YTD Sales'!$M:$M,Brokerage!J$4)+SUMIFS('YTD Purchases'!$H:$H,'YTD Purchases'!$C:$C,Brokerage!$B301,'YTD Purchases'!$G:$G,Brokerage!J$4)</f>
        <v>0</v>
      </c>
      <c r="K301" s="857">
        <f>SUMIFS('YTD Sales'!$N:$N,'YTD Sales'!$B:$B,Brokerage!$B301,'YTD Sales'!$M:$M,Brokerage!K$4)+SUMIFS('YTD Purchases'!$H:$H,'YTD Purchases'!$C:$C,Brokerage!$B301,'YTD Purchases'!$G:$G,Brokerage!K$4)</f>
        <v>0</v>
      </c>
      <c r="L301" s="857">
        <f>SUMIFS('YTD Sales'!$N:$N,'YTD Sales'!$B:$B,Brokerage!$B301,'YTD Sales'!$M:$M,Brokerage!L$4)+SUMIFS('YTD Purchases'!$H:$H,'YTD Purchases'!$C:$C,Brokerage!$B301,'YTD Purchases'!$G:$G,Brokerage!L$4)</f>
        <v>0</v>
      </c>
      <c r="M301" s="857">
        <f>SUMIFS('YTD Sales'!$N:$N,'YTD Sales'!$B:$B,Brokerage!$B301,'YTD Sales'!$M:$M,Brokerage!M$4)+SUMIFS('YTD Purchases'!$H:$H,'YTD Purchases'!$C:$C,Brokerage!$B301,'YTD Purchases'!$G:$G,Brokerage!M$4)</f>
        <v>0</v>
      </c>
      <c r="N301" s="857">
        <f>SUMIFS('YTD Sales'!$N:$N,'YTD Sales'!$B:$B,Brokerage!$B301,'YTD Sales'!$M:$M,Brokerage!N$4)+SUMIFS('YTD Purchases'!$H:$H,'YTD Purchases'!$C:$C,Brokerage!$B301,'YTD Purchases'!$G:$G,Brokerage!N$4)</f>
        <v>0</v>
      </c>
      <c r="O301" s="857">
        <f>SUMIFS('YTD Sales'!$N:$N,'YTD Sales'!$B:$B,Brokerage!$B301,'YTD Sales'!$M:$M,Brokerage!O$4)+SUMIFS('YTD Purchases'!$H:$H,'YTD Purchases'!$C:$C,Brokerage!$B301,'YTD Purchases'!$G:$G,Brokerage!O$4)</f>
        <v>0</v>
      </c>
      <c r="P301" s="857">
        <f>SUMIFS('YTD Sales'!$N:$N,'YTD Sales'!$B:$B,Brokerage!$B301,'YTD Sales'!$M:$M,Brokerage!P$4)+SUMIFS('YTD Purchases'!$H:$H,'YTD Purchases'!$C:$C,Brokerage!$B301,'YTD Purchases'!$G:$G,Brokerage!P$4)</f>
        <v>0</v>
      </c>
      <c r="Q301" s="857">
        <f>SUMIFS('YTD Sales'!$N:$N,'YTD Sales'!$B:$B,Brokerage!$B301,'YTD Sales'!$M:$M,Brokerage!Q$4)+SUMIFS('YTD Purchases'!$H:$H,'YTD Purchases'!$C:$C,Brokerage!$B301,'YTD Purchases'!$G:$G,Brokerage!Q$4)</f>
        <v>0</v>
      </c>
      <c r="R301" s="857">
        <f>SUMIFS('YTD Sales'!$N:$N,'YTD Sales'!$B:$B,Brokerage!$B301,'YTD Sales'!$M:$M,Brokerage!R$4)+SUMIFS('YTD Purchases'!$H:$H,'YTD Purchases'!$C:$C,Brokerage!$B301,'YTD Purchases'!$G:$G,Brokerage!R$4)</f>
        <v>0</v>
      </c>
      <c r="S301" s="857">
        <f>SUMIFS('YTD Sales'!$N:$N,'YTD Sales'!$B:$B,Brokerage!$B301,'YTD Sales'!$M:$M,Brokerage!S$4)+SUMIFS('YTD Purchases'!$H:$H,'YTD Purchases'!$C:$C,Brokerage!$B301,'YTD Purchases'!$G:$G,Brokerage!S$4)</f>
        <v>0</v>
      </c>
      <c r="T301" s="857">
        <f>SUMIFS('YTD Sales'!$N:$N,'YTD Sales'!$B:$B,Brokerage!$B301,'YTD Sales'!$M:$M,Brokerage!T$4)+SUMIFS('YTD Purchases'!$H:$H,'YTD Purchases'!$C:$C,Brokerage!$B301,'YTD Purchases'!$G:$G,Brokerage!T$4)</f>
        <v>0</v>
      </c>
      <c r="U301" s="857">
        <f>SUMIFS('YTD Sales'!$N:$N,'YTD Sales'!$B:$B,Brokerage!$B301,'YTD Sales'!$M:$M,Brokerage!U$4)+SUMIFS('YTD Purchases'!$H:$H,'YTD Purchases'!$C:$C,Brokerage!$B301,'YTD Purchases'!$G:$G,Brokerage!U$4)</f>
        <v>0</v>
      </c>
      <c r="V301" s="857">
        <f>SUMIFS('YTD Sales'!$N:$N,'YTD Sales'!$B:$B,Brokerage!$B301,'YTD Sales'!$M:$M,Brokerage!V$4)+SUMIFS('YTD Purchases'!$H:$H,'YTD Purchases'!$C:$C,Brokerage!$B301,'YTD Purchases'!$G:$G,Brokerage!V$4)</f>
        <v>0</v>
      </c>
      <c r="W301" s="857">
        <f>SUMIFS('YTD Sales'!$N:$N,'YTD Sales'!$B:$B,Brokerage!$B301,'YTD Sales'!$M:$M,Brokerage!W$4)+SUMIFS('YTD Purchases'!$H:$H,'YTD Purchases'!$C:$C,Brokerage!$B301,'YTD Purchases'!$G:$G,Brokerage!W$4)</f>
        <v>0</v>
      </c>
      <c r="X301" s="857">
        <f>SUMIFS('YTD Sales'!$N:$N,'YTD Sales'!$B:$B,Brokerage!$B301,'YTD Sales'!$M:$M,Brokerage!X$4)+SUMIFS('YTD Purchases'!$H:$H,'YTD Purchases'!$C:$C,Brokerage!$B301,'YTD Purchases'!$G:$G,Brokerage!X$4)</f>
        <v>0</v>
      </c>
      <c r="Y301" s="857">
        <f>SUMIFS('YTD Sales'!$N:$N,'YTD Sales'!$B:$B,Brokerage!$B301,'YTD Sales'!$M:$M,Brokerage!Y$4)+SUMIFS('YTD Purchases'!$H:$H,'YTD Purchases'!$C:$C,Brokerage!$B301,'YTD Purchases'!$G:$G,Brokerage!Y$4)</f>
        <v>0</v>
      </c>
      <c r="Z301" s="857">
        <f>SUMIFS('YTD Sales'!$N:$N,'YTD Sales'!$B:$B,Brokerage!$B301,'YTD Sales'!$M:$M,Brokerage!Z$4)+SUMIFS('YTD Purchases'!$H:$H,'YTD Purchases'!$C:$C,Brokerage!$B301,'YTD Purchases'!$G:$G,Brokerage!Z$4)</f>
        <v>0</v>
      </c>
      <c r="AA301" s="857">
        <f>SUMIFS('YTD Sales'!$N:$N,'YTD Sales'!$B:$B,Brokerage!$B301,'YTD Sales'!$M:$M,Brokerage!AA$4)+SUMIFS('YTD Purchases'!$H:$H,'YTD Purchases'!$C:$C,Brokerage!$B301,'YTD Purchases'!$G:$G,Brokerage!AA$4)</f>
        <v>0</v>
      </c>
      <c r="AB301" s="857">
        <f>SUMIFS('YTD Sales'!$N:$N,'YTD Sales'!$B:$B,Brokerage!$B301,'YTD Sales'!$M:$M,Brokerage!AB$4)+SUMIFS('YTD Purchases'!$H:$H,'YTD Purchases'!$C:$C,Brokerage!$B301,'YTD Purchases'!$G:$G,Brokerage!AB$4)</f>
        <v>0</v>
      </c>
      <c r="AC301" s="857">
        <f>SUMIFS('YTD Sales'!$N:$N,'YTD Sales'!$B:$B,Brokerage!$B301,'YTD Sales'!$M:$M,Brokerage!AC$4)+SUMIFS('YTD Purchases'!$H:$H,'YTD Purchases'!$C:$C,Brokerage!$B301,'YTD Purchases'!$G:$G,Brokerage!AC$4)</f>
        <v>0</v>
      </c>
      <c r="AD301" s="857">
        <f>+SUMIFS(PIB!AG:AG,PIB!AF:AF,Brokerage!AD$4,PIB!AA:AA,Brokerage!$B301)+SUMIFS('T-Bills'!AB:AB,'T-Bills'!AA:AA,Brokerage!AD$4,'T-Bills'!V:V,Brokerage!$B301)</f>
        <v>0</v>
      </c>
      <c r="AE301" s="857">
        <f>+SUMIFS(PIB!AH:AH,PIB!AG:AG,Brokerage!AE$4,PIB!AB:AB,Brokerage!$B301)+SUMIFS('T-Bills'!AC:AC,'T-Bills'!AB:AB,Brokerage!AE$4,'T-Bills'!W:W,Brokerage!$B301)</f>
        <v>0</v>
      </c>
      <c r="AF301" s="857">
        <f>+SUMIFS(PIB!AI:AI,PIB!AH:AH,Brokerage!AF$4,PIB!AC:AC,Brokerage!$B301)+SUMIFS('T-Bills'!AD:AD,'T-Bills'!AC:AC,Brokerage!AF$4,'T-Bills'!X:X,Brokerage!$B301)</f>
        <v>0</v>
      </c>
      <c r="AG301" s="857">
        <f t="shared" si="26"/>
        <v>0</v>
      </c>
      <c r="AH301" s="858">
        <f t="shared" si="28"/>
        <v>0</v>
      </c>
    </row>
    <row r="302" spans="2:34" x14ac:dyDescent="0.15">
      <c r="B302" s="661">
        <f t="shared" si="25"/>
        <v>44858</v>
      </c>
      <c r="C302" s="857">
        <f>SUMIFS('YTD Sales'!$N:$N,'YTD Sales'!$B:$B,Brokerage!$B302,'YTD Sales'!$M:$M,Brokerage!C$4)+SUMIFS('YTD Purchases'!$H:$H,'YTD Purchases'!$C:$C,Brokerage!$B302,'YTD Purchases'!$G:$G,Brokerage!C$4)</f>
        <v>0</v>
      </c>
      <c r="D302" s="857">
        <f>SUMIFS('YTD Sales'!$N:$N,'YTD Sales'!$B:$B,Brokerage!$B302,'YTD Sales'!$M:$M,Brokerage!D$4)+SUMIFS('YTD Purchases'!$H:$H,'YTD Purchases'!$C:$C,Brokerage!$B302,'YTD Purchases'!$G:$G,Brokerage!D$4)</f>
        <v>0</v>
      </c>
      <c r="E302" s="857">
        <f>SUMIFS('YTD Sales'!$N:$N,'YTD Sales'!$B:$B,Brokerage!$B302,'YTD Sales'!$M:$M,Brokerage!E$4)+SUMIFS('YTD Purchases'!$H:$H,'YTD Purchases'!$C:$C,Brokerage!$B302,'YTD Purchases'!$G:$G,Brokerage!E$4)</f>
        <v>0</v>
      </c>
      <c r="F302" s="857">
        <f>SUMIFS('YTD Sales'!$N:$N,'YTD Sales'!$B:$B,Brokerage!$B302,'YTD Sales'!$M:$M,Brokerage!F$4)+SUMIFS('YTD Purchases'!$H:$H,'YTD Purchases'!$C:$C,Brokerage!$B302,'YTD Purchases'!$G:$G,Brokerage!F$4)</f>
        <v>0</v>
      </c>
      <c r="G302" s="857">
        <f>SUMIFS('YTD Sales'!$N:$N,'YTD Sales'!$B:$B,Brokerage!$B302,'YTD Sales'!$M:$M,Brokerage!G$4)+SUMIFS('YTD Purchases'!$H:$H,'YTD Purchases'!$C:$C,Brokerage!$B302,'YTD Purchases'!$G:$G,Brokerage!G$4)</f>
        <v>0</v>
      </c>
      <c r="H302" s="857">
        <f>SUMIFS('YTD Sales'!$N:$N,'YTD Sales'!$B:$B,Brokerage!$B302,'YTD Sales'!$M:$M,Brokerage!H$4)+SUMIFS('YTD Purchases'!$H:$H,'YTD Purchases'!$C:$C,Brokerage!$B302,'YTD Purchases'!$G:$G,Brokerage!H$4)</f>
        <v>0</v>
      </c>
      <c r="I302" s="857">
        <f>SUMIFS('YTD Sales'!$N:$N,'YTD Sales'!$B:$B,Brokerage!$B302,'YTD Sales'!$M:$M,Brokerage!I$4)+SUMIFS('YTD Purchases'!$H:$H,'YTD Purchases'!$C:$C,Brokerage!$B302,'YTD Purchases'!$G:$G,Brokerage!I$4)</f>
        <v>0</v>
      </c>
      <c r="J302" s="857">
        <f>SUMIFS('YTD Sales'!$N:$N,'YTD Sales'!$B:$B,Brokerage!$B302,'YTD Sales'!$M:$M,Brokerage!J$4)+SUMIFS('YTD Purchases'!$H:$H,'YTD Purchases'!$C:$C,Brokerage!$B302,'YTD Purchases'!$G:$G,Brokerage!J$4)</f>
        <v>0</v>
      </c>
      <c r="K302" s="857">
        <f>SUMIFS('YTD Sales'!$N:$N,'YTD Sales'!$B:$B,Brokerage!$B302,'YTD Sales'!$M:$M,Brokerage!K$4)+SUMIFS('YTD Purchases'!$H:$H,'YTD Purchases'!$C:$C,Brokerage!$B302,'YTD Purchases'!$G:$G,Brokerage!K$4)</f>
        <v>0</v>
      </c>
      <c r="L302" s="857">
        <f>SUMIFS('YTD Sales'!$N:$N,'YTD Sales'!$B:$B,Brokerage!$B302,'YTD Sales'!$M:$M,Brokerage!L$4)+SUMIFS('YTD Purchases'!$H:$H,'YTD Purchases'!$C:$C,Brokerage!$B302,'YTD Purchases'!$G:$G,Brokerage!L$4)</f>
        <v>0</v>
      </c>
      <c r="M302" s="857">
        <f>SUMIFS('YTD Sales'!$N:$N,'YTD Sales'!$B:$B,Brokerage!$B302,'YTD Sales'!$M:$M,Brokerage!M$4)+SUMIFS('YTD Purchases'!$H:$H,'YTD Purchases'!$C:$C,Brokerage!$B302,'YTD Purchases'!$G:$G,Brokerage!M$4)</f>
        <v>0</v>
      </c>
      <c r="N302" s="857">
        <f>SUMIFS('YTD Sales'!$N:$N,'YTD Sales'!$B:$B,Brokerage!$B302,'YTD Sales'!$M:$M,Brokerage!N$4)+SUMIFS('YTD Purchases'!$H:$H,'YTD Purchases'!$C:$C,Brokerage!$B302,'YTD Purchases'!$G:$G,Brokerage!N$4)</f>
        <v>0</v>
      </c>
      <c r="O302" s="857">
        <f>SUMIFS('YTD Sales'!$N:$N,'YTD Sales'!$B:$B,Brokerage!$B302,'YTD Sales'!$M:$M,Brokerage!O$4)+SUMIFS('YTD Purchases'!$H:$H,'YTD Purchases'!$C:$C,Brokerage!$B302,'YTD Purchases'!$G:$G,Brokerage!O$4)</f>
        <v>0</v>
      </c>
      <c r="P302" s="857">
        <f>SUMIFS('YTD Sales'!$N:$N,'YTD Sales'!$B:$B,Brokerage!$B302,'YTD Sales'!$M:$M,Brokerage!P$4)+SUMIFS('YTD Purchases'!$H:$H,'YTD Purchases'!$C:$C,Brokerage!$B302,'YTD Purchases'!$G:$G,Brokerage!P$4)</f>
        <v>0</v>
      </c>
      <c r="Q302" s="857">
        <f>SUMIFS('YTD Sales'!$N:$N,'YTD Sales'!$B:$B,Brokerage!$B302,'YTD Sales'!$M:$M,Brokerage!Q$4)+SUMIFS('YTD Purchases'!$H:$H,'YTD Purchases'!$C:$C,Brokerage!$B302,'YTD Purchases'!$G:$G,Brokerage!Q$4)</f>
        <v>0</v>
      </c>
      <c r="R302" s="857">
        <f>SUMIFS('YTD Sales'!$N:$N,'YTD Sales'!$B:$B,Brokerage!$B302,'YTD Sales'!$M:$M,Brokerage!R$4)+SUMIFS('YTD Purchases'!$H:$H,'YTD Purchases'!$C:$C,Brokerage!$B302,'YTD Purchases'!$G:$G,Brokerage!R$4)</f>
        <v>0</v>
      </c>
      <c r="S302" s="857">
        <f>SUMIFS('YTD Sales'!$N:$N,'YTD Sales'!$B:$B,Brokerage!$B302,'YTD Sales'!$M:$M,Brokerage!S$4)+SUMIFS('YTD Purchases'!$H:$H,'YTD Purchases'!$C:$C,Brokerage!$B302,'YTD Purchases'!$G:$G,Brokerage!S$4)</f>
        <v>0</v>
      </c>
      <c r="T302" s="857">
        <f>SUMIFS('YTD Sales'!$N:$N,'YTD Sales'!$B:$B,Brokerage!$B302,'YTD Sales'!$M:$M,Brokerage!T$4)+SUMIFS('YTD Purchases'!$H:$H,'YTD Purchases'!$C:$C,Brokerage!$B302,'YTD Purchases'!$G:$G,Brokerage!T$4)</f>
        <v>0</v>
      </c>
      <c r="U302" s="857">
        <f>SUMIFS('YTD Sales'!$N:$N,'YTD Sales'!$B:$B,Brokerage!$B302,'YTD Sales'!$M:$M,Brokerage!U$4)+SUMIFS('YTD Purchases'!$H:$H,'YTD Purchases'!$C:$C,Brokerage!$B302,'YTD Purchases'!$G:$G,Brokerage!U$4)</f>
        <v>0</v>
      </c>
      <c r="V302" s="857">
        <f>SUMIFS('YTD Sales'!$N:$N,'YTD Sales'!$B:$B,Brokerage!$B302,'YTD Sales'!$M:$M,Brokerage!V$4)+SUMIFS('YTD Purchases'!$H:$H,'YTD Purchases'!$C:$C,Brokerage!$B302,'YTD Purchases'!$G:$G,Brokerage!V$4)</f>
        <v>0</v>
      </c>
      <c r="W302" s="857">
        <f>SUMIFS('YTD Sales'!$N:$N,'YTD Sales'!$B:$B,Brokerage!$B302,'YTD Sales'!$M:$M,Brokerage!W$4)+SUMIFS('YTD Purchases'!$H:$H,'YTD Purchases'!$C:$C,Brokerage!$B302,'YTD Purchases'!$G:$G,Brokerage!W$4)</f>
        <v>0</v>
      </c>
      <c r="X302" s="857">
        <f>SUMIFS('YTD Sales'!$N:$N,'YTD Sales'!$B:$B,Brokerage!$B302,'YTD Sales'!$M:$M,Brokerage!X$4)+SUMIFS('YTD Purchases'!$H:$H,'YTD Purchases'!$C:$C,Brokerage!$B302,'YTD Purchases'!$G:$G,Brokerage!X$4)</f>
        <v>0</v>
      </c>
      <c r="Y302" s="857">
        <f>SUMIFS('YTD Sales'!$N:$N,'YTD Sales'!$B:$B,Brokerage!$B302,'YTD Sales'!$M:$M,Brokerage!Y$4)+SUMIFS('YTD Purchases'!$H:$H,'YTD Purchases'!$C:$C,Brokerage!$B302,'YTD Purchases'!$G:$G,Brokerage!Y$4)</f>
        <v>0</v>
      </c>
      <c r="Z302" s="857">
        <f>SUMIFS('YTD Sales'!$N:$N,'YTD Sales'!$B:$B,Brokerage!$B302,'YTD Sales'!$M:$M,Brokerage!Z$4)+SUMIFS('YTD Purchases'!$H:$H,'YTD Purchases'!$C:$C,Brokerage!$B302,'YTD Purchases'!$G:$G,Brokerage!Z$4)</f>
        <v>0</v>
      </c>
      <c r="AA302" s="857">
        <f>SUMIFS('YTD Sales'!$N:$N,'YTD Sales'!$B:$B,Brokerage!$B302,'YTD Sales'!$M:$M,Brokerage!AA$4)+SUMIFS('YTD Purchases'!$H:$H,'YTD Purchases'!$C:$C,Brokerage!$B302,'YTD Purchases'!$G:$G,Brokerage!AA$4)</f>
        <v>0</v>
      </c>
      <c r="AB302" s="857">
        <f>SUMIFS('YTD Sales'!$N:$N,'YTD Sales'!$B:$B,Brokerage!$B302,'YTD Sales'!$M:$M,Brokerage!AB$4)+SUMIFS('YTD Purchases'!$H:$H,'YTD Purchases'!$C:$C,Brokerage!$B302,'YTD Purchases'!$G:$G,Brokerage!AB$4)</f>
        <v>0</v>
      </c>
      <c r="AC302" s="857">
        <f>SUMIFS('YTD Sales'!$N:$N,'YTD Sales'!$B:$B,Brokerage!$B302,'YTD Sales'!$M:$M,Brokerage!AC$4)+SUMIFS('YTD Purchases'!$H:$H,'YTD Purchases'!$C:$C,Brokerage!$B302,'YTD Purchases'!$G:$G,Brokerage!AC$4)</f>
        <v>0</v>
      </c>
      <c r="AD302" s="857">
        <f>+SUMIFS(PIB!AG:AG,PIB!AF:AF,Brokerage!AD$4,PIB!AA:AA,Brokerage!$B302)+SUMIFS('T-Bills'!AB:AB,'T-Bills'!AA:AA,Brokerage!AD$4,'T-Bills'!V:V,Brokerage!$B302)</f>
        <v>0</v>
      </c>
      <c r="AE302" s="857">
        <f>+SUMIFS(PIB!AH:AH,PIB!AG:AG,Brokerage!AE$4,PIB!AB:AB,Brokerage!$B302)+SUMIFS('T-Bills'!AC:AC,'T-Bills'!AB:AB,Brokerage!AE$4,'T-Bills'!W:W,Brokerage!$B302)</f>
        <v>0</v>
      </c>
      <c r="AF302" s="857">
        <f>+SUMIFS(PIB!AI:AI,PIB!AH:AH,Brokerage!AF$4,PIB!AC:AC,Brokerage!$B302)+SUMIFS('T-Bills'!AD:AD,'T-Bills'!AC:AC,Brokerage!AF$4,'T-Bills'!X:X,Brokerage!$B302)</f>
        <v>0</v>
      </c>
      <c r="AG302" s="857">
        <f t="shared" si="26"/>
        <v>0</v>
      </c>
      <c r="AH302" s="858">
        <f t="shared" si="28"/>
        <v>0</v>
      </c>
    </row>
    <row r="303" spans="2:34" x14ac:dyDescent="0.15">
      <c r="B303" s="661">
        <f t="shared" si="25"/>
        <v>44859</v>
      </c>
      <c r="C303" s="857">
        <f>SUMIFS('YTD Sales'!$N:$N,'YTD Sales'!$B:$B,Brokerage!$B303,'YTD Sales'!$M:$M,Brokerage!C$4)+SUMIFS('YTD Purchases'!$H:$H,'YTD Purchases'!$C:$C,Brokerage!$B303,'YTD Purchases'!$G:$G,Brokerage!C$4)</f>
        <v>0</v>
      </c>
      <c r="D303" s="857">
        <f>SUMIFS('YTD Sales'!$N:$N,'YTD Sales'!$B:$B,Brokerage!$B303,'YTD Sales'!$M:$M,Brokerage!D$4)+SUMIFS('YTD Purchases'!$H:$H,'YTD Purchases'!$C:$C,Brokerage!$B303,'YTD Purchases'!$G:$G,Brokerage!D$4)</f>
        <v>0</v>
      </c>
      <c r="E303" s="857">
        <f>SUMIFS('YTD Sales'!$N:$N,'YTD Sales'!$B:$B,Brokerage!$B303,'YTD Sales'!$M:$M,Brokerage!E$4)+SUMIFS('YTD Purchases'!$H:$H,'YTD Purchases'!$C:$C,Brokerage!$B303,'YTD Purchases'!$G:$G,Brokerage!E$4)</f>
        <v>0</v>
      </c>
      <c r="F303" s="857">
        <f>SUMIFS('YTD Sales'!$N:$N,'YTD Sales'!$B:$B,Brokerage!$B303,'YTD Sales'!$M:$M,Brokerage!F$4)+SUMIFS('YTD Purchases'!$H:$H,'YTD Purchases'!$C:$C,Brokerage!$B303,'YTD Purchases'!$G:$G,Brokerage!F$4)</f>
        <v>0</v>
      </c>
      <c r="G303" s="857">
        <f>SUMIFS('YTD Sales'!$N:$N,'YTD Sales'!$B:$B,Brokerage!$B303,'YTD Sales'!$M:$M,Brokerage!G$4)+SUMIFS('YTD Purchases'!$H:$H,'YTD Purchases'!$C:$C,Brokerage!$B303,'YTD Purchases'!$G:$G,Brokerage!G$4)</f>
        <v>0</v>
      </c>
      <c r="H303" s="857">
        <f>SUMIFS('YTD Sales'!$N:$N,'YTD Sales'!$B:$B,Brokerage!$B303,'YTD Sales'!$M:$M,Brokerage!H$4)+SUMIFS('YTD Purchases'!$H:$H,'YTD Purchases'!$C:$C,Brokerage!$B303,'YTD Purchases'!$G:$G,Brokerage!H$4)</f>
        <v>0</v>
      </c>
      <c r="I303" s="857">
        <f>SUMIFS('YTD Sales'!$N:$N,'YTD Sales'!$B:$B,Brokerage!$B303,'YTD Sales'!$M:$M,Brokerage!I$4)+SUMIFS('YTD Purchases'!$H:$H,'YTD Purchases'!$C:$C,Brokerage!$B303,'YTD Purchases'!$G:$G,Brokerage!I$4)</f>
        <v>0</v>
      </c>
      <c r="J303" s="857">
        <f>SUMIFS('YTD Sales'!$N:$N,'YTD Sales'!$B:$B,Brokerage!$B303,'YTD Sales'!$M:$M,Brokerage!J$4)+SUMIFS('YTD Purchases'!$H:$H,'YTD Purchases'!$C:$C,Brokerage!$B303,'YTD Purchases'!$G:$G,Brokerage!J$4)</f>
        <v>0</v>
      </c>
      <c r="K303" s="857">
        <f>SUMIFS('YTD Sales'!$N:$N,'YTD Sales'!$B:$B,Brokerage!$B303,'YTD Sales'!$M:$M,Brokerage!K$4)+SUMIFS('YTD Purchases'!$H:$H,'YTD Purchases'!$C:$C,Brokerage!$B303,'YTD Purchases'!$G:$G,Brokerage!K$4)</f>
        <v>0</v>
      </c>
      <c r="L303" s="857">
        <f>SUMIFS('YTD Sales'!$N:$N,'YTD Sales'!$B:$B,Brokerage!$B303,'YTD Sales'!$M:$M,Brokerage!L$4)+SUMIFS('YTD Purchases'!$H:$H,'YTD Purchases'!$C:$C,Brokerage!$B303,'YTD Purchases'!$G:$G,Brokerage!L$4)</f>
        <v>0</v>
      </c>
      <c r="M303" s="857">
        <f>SUMIFS('YTD Sales'!$N:$N,'YTD Sales'!$B:$B,Brokerage!$B303,'YTD Sales'!$M:$M,Brokerage!M$4)+SUMIFS('YTD Purchases'!$H:$H,'YTD Purchases'!$C:$C,Brokerage!$B303,'YTD Purchases'!$G:$G,Brokerage!M$4)</f>
        <v>0</v>
      </c>
      <c r="N303" s="857">
        <f>SUMIFS('YTD Sales'!$N:$N,'YTD Sales'!$B:$B,Brokerage!$B303,'YTD Sales'!$M:$M,Brokerage!N$4)+SUMIFS('YTD Purchases'!$H:$H,'YTD Purchases'!$C:$C,Brokerage!$B303,'YTD Purchases'!$G:$G,Brokerage!N$4)</f>
        <v>0</v>
      </c>
      <c r="O303" s="857">
        <f>SUMIFS('YTD Sales'!$N:$N,'YTD Sales'!$B:$B,Brokerage!$B303,'YTD Sales'!$M:$M,Brokerage!O$4)+SUMIFS('YTD Purchases'!$H:$H,'YTD Purchases'!$C:$C,Brokerage!$B303,'YTD Purchases'!$G:$G,Brokerage!O$4)</f>
        <v>0</v>
      </c>
      <c r="P303" s="857">
        <f>SUMIFS('YTD Sales'!$N:$N,'YTD Sales'!$B:$B,Brokerage!$B303,'YTD Sales'!$M:$M,Brokerage!P$4)+SUMIFS('YTD Purchases'!$H:$H,'YTD Purchases'!$C:$C,Brokerage!$B303,'YTD Purchases'!$G:$G,Brokerage!P$4)</f>
        <v>0</v>
      </c>
      <c r="Q303" s="857">
        <f>SUMIFS('YTD Sales'!$N:$N,'YTD Sales'!$B:$B,Brokerage!$B303,'YTD Sales'!$M:$M,Brokerage!Q$4)+SUMIFS('YTD Purchases'!$H:$H,'YTD Purchases'!$C:$C,Brokerage!$B303,'YTD Purchases'!$G:$G,Brokerage!Q$4)</f>
        <v>0</v>
      </c>
      <c r="R303" s="857">
        <f>SUMIFS('YTD Sales'!$N:$N,'YTD Sales'!$B:$B,Brokerage!$B303,'YTD Sales'!$M:$M,Brokerage!R$4)+SUMIFS('YTD Purchases'!$H:$H,'YTD Purchases'!$C:$C,Brokerage!$B303,'YTD Purchases'!$G:$G,Brokerage!R$4)</f>
        <v>0</v>
      </c>
      <c r="S303" s="857">
        <f>SUMIFS('YTD Sales'!$N:$N,'YTD Sales'!$B:$B,Brokerage!$B303,'YTD Sales'!$M:$M,Brokerage!S$4)+SUMIFS('YTD Purchases'!$H:$H,'YTD Purchases'!$C:$C,Brokerage!$B303,'YTD Purchases'!$G:$G,Brokerage!S$4)</f>
        <v>0</v>
      </c>
      <c r="T303" s="857">
        <f>SUMIFS('YTD Sales'!$N:$N,'YTD Sales'!$B:$B,Brokerage!$B303,'YTD Sales'!$M:$M,Brokerage!T$4)+SUMIFS('YTD Purchases'!$H:$H,'YTD Purchases'!$C:$C,Brokerage!$B303,'YTD Purchases'!$G:$G,Brokerage!T$4)</f>
        <v>0</v>
      </c>
      <c r="U303" s="857">
        <f>SUMIFS('YTD Sales'!$N:$N,'YTD Sales'!$B:$B,Brokerage!$B303,'YTD Sales'!$M:$M,Brokerage!U$4)+SUMIFS('YTD Purchases'!$H:$H,'YTD Purchases'!$C:$C,Brokerage!$B303,'YTD Purchases'!$G:$G,Brokerage!U$4)</f>
        <v>0</v>
      </c>
      <c r="V303" s="857">
        <f>SUMIFS('YTD Sales'!$N:$N,'YTD Sales'!$B:$B,Brokerage!$B303,'YTD Sales'!$M:$M,Brokerage!V$4)+SUMIFS('YTD Purchases'!$H:$H,'YTD Purchases'!$C:$C,Brokerage!$B303,'YTD Purchases'!$G:$G,Brokerage!V$4)</f>
        <v>0</v>
      </c>
      <c r="W303" s="857">
        <f>SUMIFS('YTD Sales'!$N:$N,'YTD Sales'!$B:$B,Brokerage!$B303,'YTD Sales'!$M:$M,Brokerage!W$4)+SUMIFS('YTD Purchases'!$H:$H,'YTD Purchases'!$C:$C,Brokerage!$B303,'YTD Purchases'!$G:$G,Brokerage!W$4)</f>
        <v>0</v>
      </c>
      <c r="X303" s="857">
        <f>SUMIFS('YTD Sales'!$N:$N,'YTD Sales'!$B:$B,Brokerage!$B303,'YTD Sales'!$M:$M,Brokerage!X$4)+SUMIFS('YTD Purchases'!$H:$H,'YTD Purchases'!$C:$C,Brokerage!$B303,'YTD Purchases'!$G:$G,Brokerage!X$4)</f>
        <v>0</v>
      </c>
      <c r="Y303" s="857">
        <f>SUMIFS('YTD Sales'!$N:$N,'YTD Sales'!$B:$B,Brokerage!$B303,'YTD Sales'!$M:$M,Brokerage!Y$4)+SUMIFS('YTD Purchases'!$H:$H,'YTD Purchases'!$C:$C,Brokerage!$B303,'YTD Purchases'!$G:$G,Brokerage!Y$4)</f>
        <v>0</v>
      </c>
      <c r="Z303" s="857">
        <f>SUMIFS('YTD Sales'!$N:$N,'YTD Sales'!$B:$B,Brokerage!$B303,'YTD Sales'!$M:$M,Brokerage!Z$4)+SUMIFS('YTD Purchases'!$H:$H,'YTD Purchases'!$C:$C,Brokerage!$B303,'YTD Purchases'!$G:$G,Brokerage!Z$4)</f>
        <v>0</v>
      </c>
      <c r="AA303" s="857">
        <f>SUMIFS('YTD Sales'!$N:$N,'YTD Sales'!$B:$B,Brokerage!$B303,'YTD Sales'!$M:$M,Brokerage!AA$4)+SUMIFS('YTD Purchases'!$H:$H,'YTD Purchases'!$C:$C,Brokerage!$B303,'YTD Purchases'!$G:$G,Brokerage!AA$4)</f>
        <v>0</v>
      </c>
      <c r="AB303" s="857">
        <f>SUMIFS('YTD Sales'!$N:$N,'YTD Sales'!$B:$B,Brokerage!$B303,'YTD Sales'!$M:$M,Brokerage!AB$4)+SUMIFS('YTD Purchases'!$H:$H,'YTD Purchases'!$C:$C,Brokerage!$B303,'YTD Purchases'!$G:$G,Brokerage!AB$4)</f>
        <v>0</v>
      </c>
      <c r="AC303" s="857">
        <f>SUMIFS('YTD Sales'!$N:$N,'YTD Sales'!$B:$B,Brokerage!$B303,'YTD Sales'!$M:$M,Brokerage!AC$4)+SUMIFS('YTD Purchases'!$H:$H,'YTD Purchases'!$C:$C,Brokerage!$B303,'YTD Purchases'!$G:$G,Brokerage!AC$4)</f>
        <v>0</v>
      </c>
      <c r="AD303" s="857">
        <f>+SUMIFS(PIB!AG:AG,PIB!AF:AF,Brokerage!AD$4,PIB!AA:AA,Brokerage!$B303)+SUMIFS('T-Bills'!AB:AB,'T-Bills'!AA:AA,Brokerage!AD$4,'T-Bills'!V:V,Brokerage!$B303)</f>
        <v>0</v>
      </c>
      <c r="AE303" s="857">
        <f>+SUMIFS(PIB!AH:AH,PIB!AG:AG,Brokerage!AE$4,PIB!AB:AB,Brokerage!$B303)+SUMIFS('T-Bills'!AC:AC,'T-Bills'!AB:AB,Brokerage!AE$4,'T-Bills'!W:W,Brokerage!$B303)</f>
        <v>0</v>
      </c>
      <c r="AF303" s="857">
        <f>+SUMIFS(PIB!AI:AI,PIB!AH:AH,Brokerage!AF$4,PIB!AC:AC,Brokerage!$B303)+SUMIFS('T-Bills'!AD:AD,'T-Bills'!AC:AC,Brokerage!AF$4,'T-Bills'!X:X,Brokerage!$B303)</f>
        <v>0</v>
      </c>
      <c r="AG303" s="857">
        <f t="shared" si="26"/>
        <v>0</v>
      </c>
      <c r="AH303" s="858">
        <f t="shared" si="28"/>
        <v>0</v>
      </c>
    </row>
    <row r="304" spans="2:34" x14ac:dyDescent="0.15">
      <c r="B304" s="661">
        <f t="shared" si="25"/>
        <v>44860</v>
      </c>
      <c r="C304" s="857">
        <f>SUMIFS('YTD Sales'!$N:$N,'YTD Sales'!$B:$B,Brokerage!$B304,'YTD Sales'!$M:$M,Brokerage!C$4)+SUMIFS('YTD Purchases'!$H:$H,'YTD Purchases'!$C:$C,Brokerage!$B304,'YTD Purchases'!$G:$G,Brokerage!C$4)</f>
        <v>0</v>
      </c>
      <c r="D304" s="857">
        <f>SUMIFS('YTD Sales'!$N:$N,'YTD Sales'!$B:$B,Brokerage!$B304,'YTD Sales'!$M:$M,Brokerage!D$4)+SUMIFS('YTD Purchases'!$H:$H,'YTD Purchases'!$C:$C,Brokerage!$B304,'YTD Purchases'!$G:$G,Brokerage!D$4)</f>
        <v>0</v>
      </c>
      <c r="E304" s="857">
        <f>SUMIFS('YTD Sales'!$N:$N,'YTD Sales'!$B:$B,Brokerage!$B304,'YTD Sales'!$M:$M,Brokerage!E$4)+SUMIFS('YTD Purchases'!$H:$H,'YTD Purchases'!$C:$C,Brokerage!$B304,'YTD Purchases'!$G:$G,Brokerage!E$4)</f>
        <v>0</v>
      </c>
      <c r="F304" s="857">
        <f>SUMIFS('YTD Sales'!$N:$N,'YTD Sales'!$B:$B,Brokerage!$B304,'YTD Sales'!$M:$M,Brokerage!F$4)+SUMIFS('YTD Purchases'!$H:$H,'YTD Purchases'!$C:$C,Brokerage!$B304,'YTD Purchases'!$G:$G,Brokerage!F$4)</f>
        <v>0</v>
      </c>
      <c r="G304" s="857">
        <f>SUMIFS('YTD Sales'!$N:$N,'YTD Sales'!$B:$B,Brokerage!$B304,'YTD Sales'!$M:$M,Brokerage!G$4)+SUMIFS('YTD Purchases'!$H:$H,'YTD Purchases'!$C:$C,Brokerage!$B304,'YTD Purchases'!$G:$G,Brokerage!G$4)</f>
        <v>0</v>
      </c>
      <c r="H304" s="857">
        <f>SUMIFS('YTD Sales'!$N:$N,'YTD Sales'!$B:$B,Brokerage!$B304,'YTD Sales'!$M:$M,Brokerage!H$4)+SUMIFS('YTD Purchases'!$H:$H,'YTD Purchases'!$C:$C,Brokerage!$B304,'YTD Purchases'!$G:$G,Brokerage!H$4)</f>
        <v>0</v>
      </c>
      <c r="I304" s="857">
        <f>SUMIFS('YTD Sales'!$N:$N,'YTD Sales'!$B:$B,Brokerage!$B304,'YTD Sales'!$M:$M,Brokerage!I$4)+SUMIFS('YTD Purchases'!$H:$H,'YTD Purchases'!$C:$C,Brokerage!$B304,'YTD Purchases'!$G:$G,Brokerage!I$4)</f>
        <v>0</v>
      </c>
      <c r="J304" s="857">
        <f>SUMIFS('YTD Sales'!$N:$N,'YTD Sales'!$B:$B,Brokerage!$B304,'YTD Sales'!$M:$M,Brokerage!J$4)+SUMIFS('YTD Purchases'!$H:$H,'YTD Purchases'!$C:$C,Brokerage!$B304,'YTD Purchases'!$G:$G,Brokerage!J$4)</f>
        <v>0</v>
      </c>
      <c r="K304" s="857">
        <f>SUMIFS('YTD Sales'!$N:$N,'YTD Sales'!$B:$B,Brokerage!$B304,'YTD Sales'!$M:$M,Brokerage!K$4)+SUMIFS('YTD Purchases'!$H:$H,'YTD Purchases'!$C:$C,Brokerage!$B304,'YTD Purchases'!$G:$G,Brokerage!K$4)</f>
        <v>0</v>
      </c>
      <c r="L304" s="857">
        <f>SUMIFS('YTD Sales'!$N:$N,'YTD Sales'!$B:$B,Brokerage!$B304,'YTD Sales'!$M:$M,Brokerage!L$4)+SUMIFS('YTD Purchases'!$H:$H,'YTD Purchases'!$C:$C,Brokerage!$B304,'YTD Purchases'!$G:$G,Brokerage!L$4)</f>
        <v>0</v>
      </c>
      <c r="M304" s="857">
        <f>SUMIFS('YTD Sales'!$N:$N,'YTD Sales'!$B:$B,Brokerage!$B304,'YTD Sales'!$M:$M,Brokerage!M$4)+SUMIFS('YTD Purchases'!$H:$H,'YTD Purchases'!$C:$C,Brokerage!$B304,'YTD Purchases'!$G:$G,Brokerage!M$4)</f>
        <v>0</v>
      </c>
      <c r="N304" s="857">
        <f>SUMIFS('YTD Sales'!$N:$N,'YTD Sales'!$B:$B,Brokerage!$B304,'YTD Sales'!$M:$M,Brokerage!N$4)+SUMIFS('YTD Purchases'!$H:$H,'YTD Purchases'!$C:$C,Brokerage!$B304,'YTD Purchases'!$G:$G,Brokerage!N$4)</f>
        <v>0</v>
      </c>
      <c r="O304" s="857">
        <f>SUMIFS('YTD Sales'!$N:$N,'YTD Sales'!$B:$B,Brokerage!$B304,'YTD Sales'!$M:$M,Brokerage!O$4)+SUMIFS('YTD Purchases'!$H:$H,'YTD Purchases'!$C:$C,Brokerage!$B304,'YTD Purchases'!$G:$G,Brokerage!O$4)</f>
        <v>0</v>
      </c>
      <c r="P304" s="857">
        <f>SUMIFS('YTD Sales'!$N:$N,'YTD Sales'!$B:$B,Brokerage!$B304,'YTD Sales'!$M:$M,Brokerage!P$4)+SUMIFS('YTD Purchases'!$H:$H,'YTD Purchases'!$C:$C,Brokerage!$B304,'YTD Purchases'!$G:$G,Brokerage!P$4)</f>
        <v>0</v>
      </c>
      <c r="Q304" s="857">
        <f>SUMIFS('YTD Sales'!$N:$N,'YTD Sales'!$B:$B,Brokerage!$B304,'YTD Sales'!$M:$M,Brokerage!Q$4)+SUMIFS('YTD Purchases'!$H:$H,'YTD Purchases'!$C:$C,Brokerage!$B304,'YTD Purchases'!$G:$G,Brokerage!Q$4)</f>
        <v>0</v>
      </c>
      <c r="R304" s="857">
        <f>SUMIFS('YTD Sales'!$N:$N,'YTD Sales'!$B:$B,Brokerage!$B304,'YTD Sales'!$M:$M,Brokerage!R$4)+SUMIFS('YTD Purchases'!$H:$H,'YTD Purchases'!$C:$C,Brokerage!$B304,'YTD Purchases'!$G:$G,Brokerage!R$4)</f>
        <v>0</v>
      </c>
      <c r="S304" s="857">
        <f>SUMIFS('YTD Sales'!$N:$N,'YTD Sales'!$B:$B,Brokerage!$B304,'YTD Sales'!$M:$M,Brokerage!S$4)+SUMIFS('YTD Purchases'!$H:$H,'YTD Purchases'!$C:$C,Brokerage!$B304,'YTD Purchases'!$G:$G,Brokerage!S$4)</f>
        <v>0</v>
      </c>
      <c r="T304" s="857">
        <f>SUMIFS('YTD Sales'!$N:$N,'YTD Sales'!$B:$B,Brokerage!$B304,'YTD Sales'!$M:$M,Brokerage!T$4)+SUMIFS('YTD Purchases'!$H:$H,'YTD Purchases'!$C:$C,Brokerage!$B304,'YTD Purchases'!$G:$G,Brokerage!T$4)</f>
        <v>0</v>
      </c>
      <c r="U304" s="857">
        <f>SUMIFS('YTD Sales'!$N:$N,'YTD Sales'!$B:$B,Brokerage!$B304,'YTD Sales'!$M:$M,Brokerage!U$4)+SUMIFS('YTD Purchases'!$H:$H,'YTD Purchases'!$C:$C,Brokerage!$B304,'YTD Purchases'!$G:$G,Brokerage!U$4)</f>
        <v>0</v>
      </c>
      <c r="V304" s="857">
        <f>SUMIFS('YTD Sales'!$N:$N,'YTD Sales'!$B:$B,Brokerage!$B304,'YTD Sales'!$M:$M,Brokerage!V$4)+SUMIFS('YTD Purchases'!$H:$H,'YTD Purchases'!$C:$C,Brokerage!$B304,'YTD Purchases'!$G:$G,Brokerage!V$4)</f>
        <v>0</v>
      </c>
      <c r="W304" s="857">
        <f>SUMIFS('YTD Sales'!$N:$N,'YTD Sales'!$B:$B,Brokerage!$B304,'YTD Sales'!$M:$M,Brokerage!W$4)+SUMIFS('YTD Purchases'!$H:$H,'YTD Purchases'!$C:$C,Brokerage!$B304,'YTD Purchases'!$G:$G,Brokerage!W$4)</f>
        <v>0</v>
      </c>
      <c r="X304" s="857">
        <f>SUMIFS('YTD Sales'!$N:$N,'YTD Sales'!$B:$B,Brokerage!$B304,'YTD Sales'!$M:$M,Brokerage!X$4)+SUMIFS('YTD Purchases'!$H:$H,'YTD Purchases'!$C:$C,Brokerage!$B304,'YTD Purchases'!$G:$G,Brokerage!X$4)</f>
        <v>0</v>
      </c>
      <c r="Y304" s="857">
        <f>SUMIFS('YTD Sales'!$N:$N,'YTD Sales'!$B:$B,Brokerage!$B304,'YTD Sales'!$M:$M,Brokerage!Y$4)+SUMIFS('YTD Purchases'!$H:$H,'YTD Purchases'!$C:$C,Brokerage!$B304,'YTD Purchases'!$G:$G,Brokerage!Y$4)</f>
        <v>0</v>
      </c>
      <c r="Z304" s="857">
        <f>SUMIFS('YTD Sales'!$N:$N,'YTD Sales'!$B:$B,Brokerage!$B304,'YTD Sales'!$M:$M,Brokerage!Z$4)+SUMIFS('YTD Purchases'!$H:$H,'YTD Purchases'!$C:$C,Brokerage!$B304,'YTD Purchases'!$G:$G,Brokerage!Z$4)</f>
        <v>0</v>
      </c>
      <c r="AA304" s="857">
        <f>SUMIFS('YTD Sales'!$N:$N,'YTD Sales'!$B:$B,Brokerage!$B304,'YTD Sales'!$M:$M,Brokerage!AA$4)+SUMIFS('YTD Purchases'!$H:$H,'YTD Purchases'!$C:$C,Brokerage!$B304,'YTD Purchases'!$G:$G,Brokerage!AA$4)</f>
        <v>0</v>
      </c>
      <c r="AB304" s="857">
        <f>SUMIFS('YTD Sales'!$N:$N,'YTD Sales'!$B:$B,Brokerage!$B304,'YTD Sales'!$M:$M,Brokerage!AB$4)+SUMIFS('YTD Purchases'!$H:$H,'YTD Purchases'!$C:$C,Brokerage!$B304,'YTD Purchases'!$G:$G,Brokerage!AB$4)</f>
        <v>0</v>
      </c>
      <c r="AC304" s="857">
        <f>SUMIFS('YTD Sales'!$N:$N,'YTD Sales'!$B:$B,Brokerage!$B304,'YTD Sales'!$M:$M,Brokerage!AC$4)+SUMIFS('YTD Purchases'!$H:$H,'YTD Purchases'!$C:$C,Brokerage!$B304,'YTD Purchases'!$G:$G,Brokerage!AC$4)</f>
        <v>0</v>
      </c>
      <c r="AD304" s="857">
        <f>+SUMIFS(PIB!AG:AG,PIB!AF:AF,Brokerage!AD$4,PIB!AA:AA,Brokerage!$B304)+SUMIFS('T-Bills'!AB:AB,'T-Bills'!AA:AA,Brokerage!AD$4,'T-Bills'!V:V,Brokerage!$B304)</f>
        <v>0</v>
      </c>
      <c r="AE304" s="857">
        <f>+SUMIFS(PIB!AH:AH,PIB!AG:AG,Brokerage!AE$4,PIB!AB:AB,Brokerage!$B304)+SUMIFS('T-Bills'!AC:AC,'T-Bills'!AB:AB,Brokerage!AE$4,'T-Bills'!W:W,Brokerage!$B304)</f>
        <v>0</v>
      </c>
      <c r="AF304" s="857">
        <f>+SUMIFS(PIB!AI:AI,PIB!AH:AH,Brokerage!AF$4,PIB!AC:AC,Brokerage!$B304)+SUMIFS('T-Bills'!AD:AD,'T-Bills'!AC:AC,Brokerage!AF$4,'T-Bills'!X:X,Brokerage!$B304)</f>
        <v>0</v>
      </c>
      <c r="AG304" s="857">
        <f t="shared" si="26"/>
        <v>0</v>
      </c>
      <c r="AH304" s="858">
        <f t="shared" si="28"/>
        <v>0</v>
      </c>
    </row>
    <row r="305" spans="2:34" x14ac:dyDescent="0.15">
      <c r="B305" s="661">
        <f t="shared" si="25"/>
        <v>44861</v>
      </c>
      <c r="C305" s="857">
        <f>SUMIFS('YTD Sales'!$N:$N,'YTD Sales'!$B:$B,Brokerage!$B305,'YTD Sales'!$M:$M,Brokerage!C$4)+SUMIFS('YTD Purchases'!$H:$H,'YTD Purchases'!$C:$C,Brokerage!$B305,'YTD Purchases'!$G:$G,Brokerage!C$4)</f>
        <v>0</v>
      </c>
      <c r="D305" s="857">
        <f>SUMIFS('YTD Sales'!$N:$N,'YTD Sales'!$B:$B,Brokerage!$B305,'YTD Sales'!$M:$M,Brokerage!D$4)+SUMIFS('YTD Purchases'!$H:$H,'YTD Purchases'!$C:$C,Brokerage!$B305,'YTD Purchases'!$G:$G,Brokerage!D$4)</f>
        <v>0</v>
      </c>
      <c r="E305" s="857">
        <f>SUMIFS('YTD Sales'!$N:$N,'YTD Sales'!$B:$B,Brokerage!$B305,'YTD Sales'!$M:$M,Brokerage!E$4)+SUMIFS('YTD Purchases'!$H:$H,'YTD Purchases'!$C:$C,Brokerage!$B305,'YTD Purchases'!$G:$G,Brokerage!E$4)</f>
        <v>0</v>
      </c>
      <c r="F305" s="857">
        <f>SUMIFS('YTD Sales'!$N:$N,'YTD Sales'!$B:$B,Brokerage!$B305,'YTD Sales'!$M:$M,Brokerage!F$4)+SUMIFS('YTD Purchases'!$H:$H,'YTD Purchases'!$C:$C,Brokerage!$B305,'YTD Purchases'!$G:$G,Brokerage!F$4)</f>
        <v>0</v>
      </c>
      <c r="G305" s="857">
        <f>SUMIFS('YTD Sales'!$N:$N,'YTD Sales'!$B:$B,Brokerage!$B305,'YTD Sales'!$M:$M,Brokerage!G$4)+SUMIFS('YTD Purchases'!$H:$H,'YTD Purchases'!$C:$C,Brokerage!$B305,'YTD Purchases'!$G:$G,Brokerage!G$4)</f>
        <v>0</v>
      </c>
      <c r="H305" s="857">
        <f>SUMIFS('YTD Sales'!$N:$N,'YTD Sales'!$B:$B,Brokerage!$B305,'YTD Sales'!$M:$M,Brokerage!H$4)+SUMIFS('YTD Purchases'!$H:$H,'YTD Purchases'!$C:$C,Brokerage!$B305,'YTD Purchases'!$G:$G,Brokerage!H$4)</f>
        <v>0</v>
      </c>
      <c r="I305" s="857">
        <f>SUMIFS('YTD Sales'!$N:$N,'YTD Sales'!$B:$B,Brokerage!$B305,'YTD Sales'!$M:$M,Brokerage!I$4)+SUMIFS('YTD Purchases'!$H:$H,'YTD Purchases'!$C:$C,Brokerage!$B305,'YTD Purchases'!$G:$G,Brokerage!I$4)</f>
        <v>0</v>
      </c>
      <c r="J305" s="857">
        <f>SUMIFS('YTD Sales'!$N:$N,'YTD Sales'!$B:$B,Brokerage!$B305,'YTD Sales'!$M:$M,Brokerage!J$4)+SUMIFS('YTD Purchases'!$H:$H,'YTD Purchases'!$C:$C,Brokerage!$B305,'YTD Purchases'!$G:$G,Brokerage!J$4)</f>
        <v>0</v>
      </c>
      <c r="K305" s="857">
        <f>SUMIFS('YTD Sales'!$N:$N,'YTD Sales'!$B:$B,Brokerage!$B305,'YTD Sales'!$M:$M,Brokerage!K$4)+SUMIFS('YTD Purchases'!$H:$H,'YTD Purchases'!$C:$C,Brokerage!$B305,'YTD Purchases'!$G:$G,Brokerage!K$4)</f>
        <v>0</v>
      </c>
      <c r="L305" s="857">
        <f>SUMIFS('YTD Sales'!$N:$N,'YTD Sales'!$B:$B,Brokerage!$B305,'YTD Sales'!$M:$M,Brokerage!L$4)+SUMIFS('YTD Purchases'!$H:$H,'YTD Purchases'!$C:$C,Brokerage!$B305,'YTD Purchases'!$G:$G,Brokerage!L$4)</f>
        <v>0</v>
      </c>
      <c r="M305" s="857">
        <f>SUMIFS('YTD Sales'!$N:$N,'YTD Sales'!$B:$B,Brokerage!$B305,'YTD Sales'!$M:$M,Brokerage!M$4)+SUMIFS('YTD Purchases'!$H:$H,'YTD Purchases'!$C:$C,Brokerage!$B305,'YTD Purchases'!$G:$G,Brokerage!M$4)</f>
        <v>0</v>
      </c>
      <c r="N305" s="857">
        <f>SUMIFS('YTD Sales'!$N:$N,'YTD Sales'!$B:$B,Brokerage!$B305,'YTD Sales'!$M:$M,Brokerage!N$4)+SUMIFS('YTD Purchases'!$H:$H,'YTD Purchases'!$C:$C,Brokerage!$B305,'YTD Purchases'!$G:$G,Brokerage!N$4)</f>
        <v>0</v>
      </c>
      <c r="O305" s="857">
        <f>SUMIFS('YTD Sales'!$N:$N,'YTD Sales'!$B:$B,Brokerage!$B305,'YTD Sales'!$M:$M,Brokerage!O$4)+SUMIFS('YTD Purchases'!$H:$H,'YTD Purchases'!$C:$C,Brokerage!$B305,'YTD Purchases'!$G:$G,Brokerage!O$4)</f>
        <v>0</v>
      </c>
      <c r="P305" s="857">
        <f>SUMIFS('YTD Sales'!$N:$N,'YTD Sales'!$B:$B,Brokerage!$B305,'YTD Sales'!$M:$M,Brokerage!P$4)+SUMIFS('YTD Purchases'!$H:$H,'YTD Purchases'!$C:$C,Brokerage!$B305,'YTD Purchases'!$G:$G,Brokerage!P$4)</f>
        <v>0</v>
      </c>
      <c r="Q305" s="857">
        <f>SUMIFS('YTD Sales'!$N:$N,'YTD Sales'!$B:$B,Brokerage!$B305,'YTD Sales'!$M:$M,Brokerage!Q$4)+SUMIFS('YTD Purchases'!$H:$H,'YTD Purchases'!$C:$C,Brokerage!$B305,'YTD Purchases'!$G:$G,Brokerage!Q$4)</f>
        <v>0</v>
      </c>
      <c r="R305" s="857">
        <f>SUMIFS('YTD Sales'!$N:$N,'YTD Sales'!$B:$B,Brokerage!$B305,'YTD Sales'!$M:$M,Brokerage!R$4)+SUMIFS('YTD Purchases'!$H:$H,'YTD Purchases'!$C:$C,Brokerage!$B305,'YTD Purchases'!$G:$G,Brokerage!R$4)</f>
        <v>0</v>
      </c>
      <c r="S305" s="857">
        <f>SUMIFS('YTD Sales'!$N:$N,'YTD Sales'!$B:$B,Brokerage!$B305,'YTD Sales'!$M:$M,Brokerage!S$4)+SUMIFS('YTD Purchases'!$H:$H,'YTD Purchases'!$C:$C,Brokerage!$B305,'YTD Purchases'!$G:$G,Brokerage!S$4)</f>
        <v>0</v>
      </c>
      <c r="T305" s="857">
        <f>SUMIFS('YTD Sales'!$N:$N,'YTD Sales'!$B:$B,Brokerage!$B305,'YTD Sales'!$M:$M,Brokerage!T$4)+SUMIFS('YTD Purchases'!$H:$H,'YTD Purchases'!$C:$C,Brokerage!$B305,'YTD Purchases'!$G:$G,Brokerage!T$4)</f>
        <v>0</v>
      </c>
      <c r="U305" s="857">
        <f>SUMIFS('YTD Sales'!$N:$N,'YTD Sales'!$B:$B,Brokerage!$B305,'YTD Sales'!$M:$M,Brokerage!U$4)+SUMIFS('YTD Purchases'!$H:$H,'YTD Purchases'!$C:$C,Brokerage!$B305,'YTD Purchases'!$G:$G,Brokerage!U$4)</f>
        <v>0</v>
      </c>
      <c r="V305" s="857">
        <f>SUMIFS('YTD Sales'!$N:$N,'YTD Sales'!$B:$B,Brokerage!$B305,'YTD Sales'!$M:$M,Brokerage!V$4)+SUMIFS('YTD Purchases'!$H:$H,'YTD Purchases'!$C:$C,Brokerage!$B305,'YTD Purchases'!$G:$G,Brokerage!V$4)</f>
        <v>0</v>
      </c>
      <c r="W305" s="857">
        <f>SUMIFS('YTD Sales'!$N:$N,'YTD Sales'!$B:$B,Brokerage!$B305,'YTD Sales'!$M:$M,Brokerage!W$4)+SUMIFS('YTD Purchases'!$H:$H,'YTD Purchases'!$C:$C,Brokerage!$B305,'YTD Purchases'!$G:$G,Brokerage!W$4)</f>
        <v>0</v>
      </c>
      <c r="X305" s="857">
        <f>SUMIFS('YTD Sales'!$N:$N,'YTD Sales'!$B:$B,Brokerage!$B305,'YTD Sales'!$M:$M,Brokerage!X$4)+SUMIFS('YTD Purchases'!$H:$H,'YTD Purchases'!$C:$C,Brokerage!$B305,'YTD Purchases'!$G:$G,Brokerage!X$4)</f>
        <v>0</v>
      </c>
      <c r="Y305" s="857">
        <f>SUMIFS('YTD Sales'!$N:$N,'YTD Sales'!$B:$B,Brokerage!$B305,'YTD Sales'!$M:$M,Brokerage!Y$4)+SUMIFS('YTD Purchases'!$H:$H,'YTD Purchases'!$C:$C,Brokerage!$B305,'YTD Purchases'!$G:$G,Brokerage!Y$4)</f>
        <v>0</v>
      </c>
      <c r="Z305" s="857">
        <f>SUMIFS('YTD Sales'!$N:$N,'YTD Sales'!$B:$B,Brokerage!$B305,'YTD Sales'!$M:$M,Brokerage!Z$4)+SUMIFS('YTD Purchases'!$H:$H,'YTD Purchases'!$C:$C,Brokerage!$B305,'YTD Purchases'!$G:$G,Brokerage!Z$4)</f>
        <v>0</v>
      </c>
      <c r="AA305" s="857">
        <f>SUMIFS('YTD Sales'!$N:$N,'YTD Sales'!$B:$B,Brokerage!$B305,'YTD Sales'!$M:$M,Brokerage!AA$4)+SUMIFS('YTD Purchases'!$H:$H,'YTD Purchases'!$C:$C,Brokerage!$B305,'YTD Purchases'!$G:$G,Brokerage!AA$4)</f>
        <v>0</v>
      </c>
      <c r="AB305" s="857">
        <f>SUMIFS('YTD Sales'!$N:$N,'YTD Sales'!$B:$B,Brokerage!$B305,'YTD Sales'!$M:$M,Brokerage!AB$4)+SUMIFS('YTD Purchases'!$H:$H,'YTD Purchases'!$C:$C,Brokerage!$B305,'YTD Purchases'!$G:$G,Brokerage!AB$4)</f>
        <v>0</v>
      </c>
      <c r="AC305" s="857">
        <f>SUMIFS('YTD Sales'!$N:$N,'YTD Sales'!$B:$B,Brokerage!$B305,'YTD Sales'!$M:$M,Brokerage!AC$4)+SUMIFS('YTD Purchases'!$H:$H,'YTD Purchases'!$C:$C,Brokerage!$B305,'YTD Purchases'!$G:$G,Brokerage!AC$4)</f>
        <v>0</v>
      </c>
      <c r="AD305" s="857">
        <f>+SUMIFS(PIB!AG:AG,PIB!AF:AF,Brokerage!AD$4,PIB!AA:AA,Brokerage!$B305)+SUMIFS('T-Bills'!AB:AB,'T-Bills'!AA:AA,Brokerage!AD$4,'T-Bills'!V:V,Brokerage!$B305)</f>
        <v>0</v>
      </c>
      <c r="AE305" s="857">
        <f>+SUMIFS(PIB!AH:AH,PIB!AG:AG,Brokerage!AE$4,PIB!AB:AB,Brokerage!$B305)+SUMIFS('T-Bills'!AC:AC,'T-Bills'!AB:AB,Brokerage!AE$4,'T-Bills'!W:W,Brokerage!$B305)</f>
        <v>0</v>
      </c>
      <c r="AF305" s="857">
        <f>+SUMIFS(PIB!AI:AI,PIB!AH:AH,Brokerage!AF$4,PIB!AC:AC,Brokerage!$B305)+SUMIFS('T-Bills'!AD:AD,'T-Bills'!AC:AC,Brokerage!AF$4,'T-Bills'!X:X,Brokerage!$B305)</f>
        <v>0</v>
      </c>
      <c r="AG305" s="857">
        <f t="shared" si="26"/>
        <v>0</v>
      </c>
      <c r="AH305" s="858">
        <f t="shared" si="28"/>
        <v>0</v>
      </c>
    </row>
    <row r="306" spans="2:34" x14ac:dyDescent="0.15">
      <c r="B306" s="661">
        <f t="shared" si="25"/>
        <v>44862</v>
      </c>
      <c r="C306" s="857">
        <f>SUMIFS('YTD Sales'!$N:$N,'YTD Sales'!$B:$B,Brokerage!$B306,'YTD Sales'!$M:$M,Brokerage!C$4)+SUMIFS('YTD Purchases'!$H:$H,'YTD Purchases'!$C:$C,Brokerage!$B306,'YTD Purchases'!$G:$G,Brokerage!C$4)</f>
        <v>0</v>
      </c>
      <c r="D306" s="857">
        <f>SUMIFS('YTD Sales'!$N:$N,'YTD Sales'!$B:$B,Brokerage!$B306,'YTD Sales'!$M:$M,Brokerage!D$4)+SUMIFS('YTD Purchases'!$H:$H,'YTD Purchases'!$C:$C,Brokerage!$B306,'YTD Purchases'!$G:$G,Brokerage!D$4)</f>
        <v>0</v>
      </c>
      <c r="E306" s="857">
        <f>SUMIFS('YTD Sales'!$N:$N,'YTD Sales'!$B:$B,Brokerage!$B306,'YTD Sales'!$M:$M,Brokerage!E$4)+SUMIFS('YTD Purchases'!$H:$H,'YTD Purchases'!$C:$C,Brokerage!$B306,'YTD Purchases'!$G:$G,Brokerage!E$4)</f>
        <v>0</v>
      </c>
      <c r="F306" s="857">
        <f>SUMIFS('YTD Sales'!$N:$N,'YTD Sales'!$B:$B,Brokerage!$B306,'YTD Sales'!$M:$M,Brokerage!F$4)+SUMIFS('YTD Purchases'!$H:$H,'YTD Purchases'!$C:$C,Brokerage!$B306,'YTD Purchases'!$G:$G,Brokerage!F$4)</f>
        <v>0</v>
      </c>
      <c r="G306" s="857">
        <f>SUMIFS('YTD Sales'!$N:$N,'YTD Sales'!$B:$B,Brokerage!$B306,'YTD Sales'!$M:$M,Brokerage!G$4)+SUMIFS('YTD Purchases'!$H:$H,'YTD Purchases'!$C:$C,Brokerage!$B306,'YTD Purchases'!$G:$G,Brokerage!G$4)</f>
        <v>0</v>
      </c>
      <c r="H306" s="857">
        <f>SUMIFS('YTD Sales'!$N:$N,'YTD Sales'!$B:$B,Brokerage!$B306,'YTD Sales'!$M:$M,Brokerage!H$4)+SUMIFS('YTD Purchases'!$H:$H,'YTD Purchases'!$C:$C,Brokerage!$B306,'YTD Purchases'!$G:$G,Brokerage!H$4)</f>
        <v>0</v>
      </c>
      <c r="I306" s="857">
        <f>SUMIFS('YTD Sales'!$N:$N,'YTD Sales'!$B:$B,Brokerage!$B306,'YTD Sales'!$M:$M,Brokerage!I$4)+SUMIFS('YTD Purchases'!$H:$H,'YTD Purchases'!$C:$C,Brokerage!$B306,'YTD Purchases'!$G:$G,Brokerage!I$4)</f>
        <v>0</v>
      </c>
      <c r="J306" s="857">
        <f>SUMIFS('YTD Sales'!$N:$N,'YTD Sales'!$B:$B,Brokerage!$B306,'YTD Sales'!$M:$M,Brokerage!J$4)+SUMIFS('YTD Purchases'!$H:$H,'YTD Purchases'!$C:$C,Brokerage!$B306,'YTD Purchases'!$G:$G,Brokerage!J$4)</f>
        <v>0</v>
      </c>
      <c r="K306" s="857">
        <f>SUMIFS('YTD Sales'!$N:$N,'YTD Sales'!$B:$B,Brokerage!$B306,'YTD Sales'!$M:$M,Brokerage!K$4)+SUMIFS('YTD Purchases'!$H:$H,'YTD Purchases'!$C:$C,Brokerage!$B306,'YTD Purchases'!$G:$G,Brokerage!K$4)</f>
        <v>0</v>
      </c>
      <c r="L306" s="857">
        <f>SUMIFS('YTD Sales'!$N:$N,'YTD Sales'!$B:$B,Brokerage!$B306,'YTD Sales'!$M:$M,Brokerage!L$4)+SUMIFS('YTD Purchases'!$H:$H,'YTD Purchases'!$C:$C,Brokerage!$B306,'YTD Purchases'!$G:$G,Brokerage!L$4)</f>
        <v>0</v>
      </c>
      <c r="M306" s="857">
        <f>SUMIFS('YTD Sales'!$N:$N,'YTD Sales'!$B:$B,Brokerage!$B306,'YTD Sales'!$M:$M,Brokerage!M$4)+SUMIFS('YTD Purchases'!$H:$H,'YTD Purchases'!$C:$C,Brokerage!$B306,'YTD Purchases'!$G:$G,Brokerage!M$4)</f>
        <v>0</v>
      </c>
      <c r="N306" s="857">
        <f>SUMIFS('YTD Sales'!$N:$N,'YTD Sales'!$B:$B,Brokerage!$B306,'YTD Sales'!$M:$M,Brokerage!N$4)+SUMIFS('YTD Purchases'!$H:$H,'YTD Purchases'!$C:$C,Brokerage!$B306,'YTD Purchases'!$G:$G,Brokerage!N$4)</f>
        <v>0</v>
      </c>
      <c r="O306" s="857">
        <f>SUMIFS('YTD Sales'!$N:$N,'YTD Sales'!$B:$B,Brokerage!$B306,'YTD Sales'!$M:$M,Brokerage!O$4)+SUMIFS('YTD Purchases'!$H:$H,'YTD Purchases'!$C:$C,Brokerage!$B306,'YTD Purchases'!$G:$G,Brokerage!O$4)</f>
        <v>0</v>
      </c>
      <c r="P306" s="857">
        <f>SUMIFS('YTD Sales'!$N:$N,'YTD Sales'!$B:$B,Brokerage!$B306,'YTD Sales'!$M:$M,Brokerage!P$4)+SUMIFS('YTD Purchases'!$H:$H,'YTD Purchases'!$C:$C,Brokerage!$B306,'YTD Purchases'!$G:$G,Brokerage!P$4)</f>
        <v>0</v>
      </c>
      <c r="Q306" s="857">
        <f>SUMIFS('YTD Sales'!$N:$N,'YTD Sales'!$B:$B,Brokerage!$B306,'YTD Sales'!$M:$M,Brokerage!Q$4)+SUMIFS('YTD Purchases'!$H:$H,'YTD Purchases'!$C:$C,Brokerage!$B306,'YTD Purchases'!$G:$G,Brokerage!Q$4)</f>
        <v>0</v>
      </c>
      <c r="R306" s="857">
        <f>SUMIFS('YTD Sales'!$N:$N,'YTD Sales'!$B:$B,Brokerage!$B306,'YTD Sales'!$M:$M,Brokerage!R$4)+SUMIFS('YTD Purchases'!$H:$H,'YTD Purchases'!$C:$C,Brokerage!$B306,'YTD Purchases'!$G:$G,Brokerage!R$4)</f>
        <v>0</v>
      </c>
      <c r="S306" s="857">
        <f>SUMIFS('YTD Sales'!$N:$N,'YTD Sales'!$B:$B,Brokerage!$B306,'YTD Sales'!$M:$M,Brokerage!S$4)+SUMIFS('YTD Purchases'!$H:$H,'YTD Purchases'!$C:$C,Brokerage!$B306,'YTD Purchases'!$G:$G,Brokerage!S$4)</f>
        <v>0</v>
      </c>
      <c r="T306" s="857">
        <f>SUMIFS('YTD Sales'!$N:$N,'YTD Sales'!$B:$B,Brokerage!$B306,'YTD Sales'!$M:$M,Brokerage!T$4)+SUMIFS('YTD Purchases'!$H:$H,'YTD Purchases'!$C:$C,Brokerage!$B306,'YTD Purchases'!$G:$G,Brokerage!T$4)</f>
        <v>0</v>
      </c>
      <c r="U306" s="857">
        <f>SUMIFS('YTD Sales'!$N:$N,'YTD Sales'!$B:$B,Brokerage!$B306,'YTD Sales'!$M:$M,Brokerage!U$4)+SUMIFS('YTD Purchases'!$H:$H,'YTD Purchases'!$C:$C,Brokerage!$B306,'YTD Purchases'!$G:$G,Brokerage!U$4)</f>
        <v>0</v>
      </c>
      <c r="V306" s="857">
        <f>SUMIFS('YTD Sales'!$N:$N,'YTD Sales'!$B:$B,Brokerage!$B306,'YTD Sales'!$M:$M,Brokerage!V$4)+SUMIFS('YTD Purchases'!$H:$H,'YTD Purchases'!$C:$C,Brokerage!$B306,'YTD Purchases'!$G:$G,Brokerage!V$4)</f>
        <v>0</v>
      </c>
      <c r="W306" s="857">
        <f>SUMIFS('YTD Sales'!$N:$N,'YTD Sales'!$B:$B,Brokerage!$B306,'YTD Sales'!$M:$M,Brokerage!W$4)+SUMIFS('YTD Purchases'!$H:$H,'YTD Purchases'!$C:$C,Brokerage!$B306,'YTD Purchases'!$G:$G,Brokerage!W$4)</f>
        <v>0</v>
      </c>
      <c r="X306" s="857">
        <f>SUMIFS('YTD Sales'!$N:$N,'YTD Sales'!$B:$B,Brokerage!$B306,'YTD Sales'!$M:$M,Brokerage!X$4)+SUMIFS('YTD Purchases'!$H:$H,'YTD Purchases'!$C:$C,Brokerage!$B306,'YTD Purchases'!$G:$G,Brokerage!X$4)</f>
        <v>0</v>
      </c>
      <c r="Y306" s="857">
        <f>SUMIFS('YTD Sales'!$N:$N,'YTD Sales'!$B:$B,Brokerage!$B306,'YTD Sales'!$M:$M,Brokerage!Y$4)+SUMIFS('YTD Purchases'!$H:$H,'YTD Purchases'!$C:$C,Brokerage!$B306,'YTD Purchases'!$G:$G,Brokerage!Y$4)</f>
        <v>0</v>
      </c>
      <c r="Z306" s="857">
        <f>SUMIFS('YTD Sales'!$N:$N,'YTD Sales'!$B:$B,Brokerage!$B306,'YTD Sales'!$M:$M,Brokerage!Z$4)+SUMIFS('YTD Purchases'!$H:$H,'YTD Purchases'!$C:$C,Brokerage!$B306,'YTD Purchases'!$G:$G,Brokerage!Z$4)</f>
        <v>0</v>
      </c>
      <c r="AA306" s="857">
        <f>SUMIFS('YTD Sales'!$N:$N,'YTD Sales'!$B:$B,Brokerage!$B306,'YTD Sales'!$M:$M,Brokerage!AA$4)+SUMIFS('YTD Purchases'!$H:$H,'YTD Purchases'!$C:$C,Brokerage!$B306,'YTD Purchases'!$G:$G,Brokerage!AA$4)</f>
        <v>0</v>
      </c>
      <c r="AB306" s="857">
        <f>SUMIFS('YTD Sales'!$N:$N,'YTD Sales'!$B:$B,Brokerage!$B306,'YTD Sales'!$M:$M,Brokerage!AB$4)+SUMIFS('YTD Purchases'!$H:$H,'YTD Purchases'!$C:$C,Brokerage!$B306,'YTD Purchases'!$G:$G,Brokerage!AB$4)</f>
        <v>0</v>
      </c>
      <c r="AC306" s="857">
        <f>SUMIFS('YTD Sales'!$N:$N,'YTD Sales'!$B:$B,Brokerage!$B306,'YTD Sales'!$M:$M,Brokerage!AC$4)+SUMIFS('YTD Purchases'!$H:$H,'YTD Purchases'!$C:$C,Brokerage!$B306,'YTD Purchases'!$G:$G,Brokerage!AC$4)</f>
        <v>0</v>
      </c>
      <c r="AD306" s="857">
        <f>+SUMIFS(PIB!AG:AG,PIB!AF:AF,Brokerage!AD$4,PIB!AA:AA,Brokerage!$B306)+SUMIFS('T-Bills'!AB:AB,'T-Bills'!AA:AA,Brokerage!AD$4,'T-Bills'!V:V,Brokerage!$B306)</f>
        <v>0</v>
      </c>
      <c r="AE306" s="857">
        <f>+SUMIFS(PIB!AH:AH,PIB!AG:AG,Brokerage!AE$4,PIB!AB:AB,Brokerage!$B306)+SUMIFS('T-Bills'!AC:AC,'T-Bills'!AB:AB,Brokerage!AE$4,'T-Bills'!W:W,Brokerage!$B306)</f>
        <v>0</v>
      </c>
      <c r="AF306" s="857">
        <f>+SUMIFS(PIB!AI:AI,PIB!AH:AH,Brokerage!AF$4,PIB!AC:AC,Brokerage!$B306)+SUMIFS('T-Bills'!AD:AD,'T-Bills'!AC:AC,Brokerage!AF$4,'T-Bills'!X:X,Brokerage!$B306)</f>
        <v>0</v>
      </c>
      <c r="AG306" s="857">
        <f t="shared" si="26"/>
        <v>0</v>
      </c>
      <c r="AH306" s="858">
        <f t="shared" si="28"/>
        <v>0</v>
      </c>
    </row>
    <row r="307" spans="2:34" x14ac:dyDescent="0.15">
      <c r="B307" s="661">
        <f t="shared" si="25"/>
        <v>44863</v>
      </c>
      <c r="C307" s="857">
        <f>SUMIFS('YTD Sales'!$N:$N,'YTD Sales'!$B:$B,Brokerage!$B307,'YTD Sales'!$M:$M,Brokerage!C$4)+SUMIFS('YTD Purchases'!$H:$H,'YTD Purchases'!$C:$C,Brokerage!$B307,'YTD Purchases'!$G:$G,Brokerage!C$4)</f>
        <v>0</v>
      </c>
      <c r="D307" s="857">
        <f>SUMIFS('YTD Sales'!$N:$N,'YTD Sales'!$B:$B,Brokerage!$B307,'YTD Sales'!$M:$M,Brokerage!D$4)+SUMIFS('YTD Purchases'!$H:$H,'YTD Purchases'!$C:$C,Brokerage!$B307,'YTD Purchases'!$G:$G,Brokerage!D$4)</f>
        <v>0</v>
      </c>
      <c r="E307" s="857">
        <f>SUMIFS('YTD Sales'!$N:$N,'YTD Sales'!$B:$B,Brokerage!$B307,'YTD Sales'!$M:$M,Brokerage!E$4)+SUMIFS('YTD Purchases'!$H:$H,'YTD Purchases'!$C:$C,Brokerage!$B307,'YTD Purchases'!$G:$G,Brokerage!E$4)</f>
        <v>0</v>
      </c>
      <c r="F307" s="857">
        <f>SUMIFS('YTD Sales'!$N:$N,'YTD Sales'!$B:$B,Brokerage!$B307,'YTD Sales'!$M:$M,Brokerage!F$4)+SUMIFS('YTD Purchases'!$H:$H,'YTD Purchases'!$C:$C,Brokerage!$B307,'YTD Purchases'!$G:$G,Brokerage!F$4)</f>
        <v>0</v>
      </c>
      <c r="G307" s="857">
        <f>SUMIFS('YTD Sales'!$N:$N,'YTD Sales'!$B:$B,Brokerage!$B307,'YTD Sales'!$M:$M,Brokerage!G$4)+SUMIFS('YTD Purchases'!$H:$H,'YTD Purchases'!$C:$C,Brokerage!$B307,'YTD Purchases'!$G:$G,Brokerage!G$4)</f>
        <v>0</v>
      </c>
      <c r="H307" s="857">
        <f>SUMIFS('YTD Sales'!$N:$N,'YTD Sales'!$B:$B,Brokerage!$B307,'YTD Sales'!$M:$M,Brokerage!H$4)+SUMIFS('YTD Purchases'!$H:$H,'YTD Purchases'!$C:$C,Brokerage!$B307,'YTD Purchases'!$G:$G,Brokerage!H$4)</f>
        <v>0</v>
      </c>
      <c r="I307" s="857">
        <f>SUMIFS('YTD Sales'!$N:$N,'YTD Sales'!$B:$B,Brokerage!$B307,'YTD Sales'!$M:$M,Brokerage!I$4)+SUMIFS('YTD Purchases'!$H:$H,'YTD Purchases'!$C:$C,Brokerage!$B307,'YTD Purchases'!$G:$G,Brokerage!I$4)</f>
        <v>0</v>
      </c>
      <c r="J307" s="857">
        <f>SUMIFS('YTD Sales'!$N:$N,'YTD Sales'!$B:$B,Brokerage!$B307,'YTD Sales'!$M:$M,Brokerage!J$4)+SUMIFS('YTD Purchases'!$H:$H,'YTD Purchases'!$C:$C,Brokerage!$B307,'YTD Purchases'!$G:$G,Brokerage!J$4)</f>
        <v>0</v>
      </c>
      <c r="K307" s="857">
        <f>SUMIFS('YTD Sales'!$N:$N,'YTD Sales'!$B:$B,Brokerage!$B307,'YTD Sales'!$M:$M,Brokerage!K$4)+SUMIFS('YTD Purchases'!$H:$H,'YTD Purchases'!$C:$C,Brokerage!$B307,'YTD Purchases'!$G:$G,Brokerage!K$4)</f>
        <v>0</v>
      </c>
      <c r="L307" s="857">
        <f>SUMIFS('YTD Sales'!$N:$N,'YTD Sales'!$B:$B,Brokerage!$B307,'YTD Sales'!$M:$M,Brokerage!L$4)+SUMIFS('YTD Purchases'!$H:$H,'YTD Purchases'!$C:$C,Brokerage!$B307,'YTD Purchases'!$G:$G,Brokerage!L$4)</f>
        <v>0</v>
      </c>
      <c r="M307" s="857">
        <f>SUMIFS('YTD Sales'!$N:$N,'YTD Sales'!$B:$B,Brokerage!$B307,'YTD Sales'!$M:$M,Brokerage!M$4)+SUMIFS('YTD Purchases'!$H:$H,'YTD Purchases'!$C:$C,Brokerage!$B307,'YTD Purchases'!$G:$G,Brokerage!M$4)</f>
        <v>0</v>
      </c>
      <c r="N307" s="857">
        <f>SUMIFS('YTD Sales'!$N:$N,'YTD Sales'!$B:$B,Brokerage!$B307,'YTD Sales'!$M:$M,Brokerage!N$4)+SUMIFS('YTD Purchases'!$H:$H,'YTD Purchases'!$C:$C,Brokerage!$B307,'YTD Purchases'!$G:$G,Brokerage!N$4)</f>
        <v>0</v>
      </c>
      <c r="O307" s="857">
        <f>SUMIFS('YTD Sales'!$N:$N,'YTD Sales'!$B:$B,Brokerage!$B307,'YTD Sales'!$M:$M,Brokerage!O$4)+SUMIFS('YTD Purchases'!$H:$H,'YTD Purchases'!$C:$C,Brokerage!$B307,'YTD Purchases'!$G:$G,Brokerage!O$4)</f>
        <v>0</v>
      </c>
      <c r="P307" s="857">
        <f>SUMIFS('YTD Sales'!$N:$N,'YTD Sales'!$B:$B,Brokerage!$B307,'YTD Sales'!$M:$M,Brokerage!P$4)+SUMIFS('YTD Purchases'!$H:$H,'YTD Purchases'!$C:$C,Brokerage!$B307,'YTD Purchases'!$G:$G,Brokerage!P$4)</f>
        <v>0</v>
      </c>
      <c r="Q307" s="857">
        <f>SUMIFS('YTD Sales'!$N:$N,'YTD Sales'!$B:$B,Brokerage!$B307,'YTD Sales'!$M:$M,Brokerage!Q$4)+SUMIFS('YTD Purchases'!$H:$H,'YTD Purchases'!$C:$C,Brokerage!$B307,'YTD Purchases'!$G:$G,Brokerage!Q$4)</f>
        <v>0</v>
      </c>
      <c r="R307" s="857">
        <f>SUMIFS('YTD Sales'!$N:$N,'YTD Sales'!$B:$B,Brokerage!$B307,'YTD Sales'!$M:$M,Brokerage!R$4)+SUMIFS('YTD Purchases'!$H:$H,'YTD Purchases'!$C:$C,Brokerage!$B307,'YTD Purchases'!$G:$G,Brokerage!R$4)</f>
        <v>0</v>
      </c>
      <c r="S307" s="857">
        <f>SUMIFS('YTD Sales'!$N:$N,'YTD Sales'!$B:$B,Brokerage!$B307,'YTD Sales'!$M:$M,Brokerage!S$4)+SUMIFS('YTD Purchases'!$H:$H,'YTD Purchases'!$C:$C,Brokerage!$B307,'YTD Purchases'!$G:$G,Brokerage!S$4)</f>
        <v>0</v>
      </c>
      <c r="T307" s="857">
        <f>SUMIFS('YTD Sales'!$N:$N,'YTD Sales'!$B:$B,Brokerage!$B307,'YTD Sales'!$M:$M,Brokerage!T$4)+SUMIFS('YTD Purchases'!$H:$H,'YTD Purchases'!$C:$C,Brokerage!$B307,'YTD Purchases'!$G:$G,Brokerage!T$4)</f>
        <v>0</v>
      </c>
      <c r="U307" s="857">
        <f>SUMIFS('YTD Sales'!$N:$N,'YTD Sales'!$B:$B,Brokerage!$B307,'YTD Sales'!$M:$M,Brokerage!U$4)+SUMIFS('YTD Purchases'!$H:$H,'YTD Purchases'!$C:$C,Brokerage!$B307,'YTD Purchases'!$G:$G,Brokerage!U$4)</f>
        <v>0</v>
      </c>
      <c r="V307" s="857">
        <f>SUMIFS('YTD Sales'!$N:$N,'YTD Sales'!$B:$B,Brokerage!$B307,'YTD Sales'!$M:$M,Brokerage!V$4)+SUMIFS('YTD Purchases'!$H:$H,'YTD Purchases'!$C:$C,Brokerage!$B307,'YTD Purchases'!$G:$G,Brokerage!V$4)</f>
        <v>0</v>
      </c>
      <c r="W307" s="857">
        <f>SUMIFS('YTD Sales'!$N:$N,'YTD Sales'!$B:$B,Brokerage!$B307,'YTD Sales'!$M:$M,Brokerage!W$4)+SUMIFS('YTD Purchases'!$H:$H,'YTD Purchases'!$C:$C,Brokerage!$B307,'YTD Purchases'!$G:$G,Brokerage!W$4)</f>
        <v>0</v>
      </c>
      <c r="X307" s="857">
        <f>SUMIFS('YTD Sales'!$N:$N,'YTD Sales'!$B:$B,Brokerage!$B307,'YTD Sales'!$M:$M,Brokerage!X$4)+SUMIFS('YTD Purchases'!$H:$H,'YTD Purchases'!$C:$C,Brokerage!$B307,'YTD Purchases'!$G:$G,Brokerage!X$4)</f>
        <v>0</v>
      </c>
      <c r="Y307" s="857">
        <f>SUMIFS('YTD Sales'!$N:$N,'YTD Sales'!$B:$B,Brokerage!$B307,'YTD Sales'!$M:$M,Brokerage!Y$4)+SUMIFS('YTD Purchases'!$H:$H,'YTD Purchases'!$C:$C,Brokerage!$B307,'YTD Purchases'!$G:$G,Brokerage!Y$4)</f>
        <v>0</v>
      </c>
      <c r="Z307" s="857">
        <f>SUMIFS('YTD Sales'!$N:$N,'YTD Sales'!$B:$B,Brokerage!$B307,'YTD Sales'!$M:$M,Brokerage!Z$4)+SUMIFS('YTD Purchases'!$H:$H,'YTD Purchases'!$C:$C,Brokerage!$B307,'YTD Purchases'!$G:$G,Brokerage!Z$4)</f>
        <v>0</v>
      </c>
      <c r="AA307" s="857">
        <f>SUMIFS('YTD Sales'!$N:$N,'YTD Sales'!$B:$B,Brokerage!$B307,'YTD Sales'!$M:$M,Brokerage!AA$4)+SUMIFS('YTD Purchases'!$H:$H,'YTD Purchases'!$C:$C,Brokerage!$B307,'YTD Purchases'!$G:$G,Brokerage!AA$4)</f>
        <v>0</v>
      </c>
      <c r="AB307" s="857">
        <f>SUMIFS('YTD Sales'!$N:$N,'YTD Sales'!$B:$B,Brokerage!$B307,'YTD Sales'!$M:$M,Brokerage!AB$4)+SUMIFS('YTD Purchases'!$H:$H,'YTD Purchases'!$C:$C,Brokerage!$B307,'YTD Purchases'!$G:$G,Brokerage!AB$4)</f>
        <v>0</v>
      </c>
      <c r="AC307" s="857">
        <f>SUMIFS('YTD Sales'!$N:$N,'YTD Sales'!$B:$B,Brokerage!$B307,'YTD Sales'!$M:$M,Brokerage!AC$4)+SUMIFS('YTD Purchases'!$H:$H,'YTD Purchases'!$C:$C,Brokerage!$B307,'YTD Purchases'!$G:$G,Brokerage!AC$4)</f>
        <v>0</v>
      </c>
      <c r="AD307" s="857">
        <f>+SUMIFS(PIB!AG:AG,PIB!AF:AF,Brokerage!AD$4,PIB!AA:AA,Brokerage!$B307)+SUMIFS('T-Bills'!AB:AB,'T-Bills'!AA:AA,Brokerage!AD$4,'T-Bills'!V:V,Brokerage!$B307)</f>
        <v>0</v>
      </c>
      <c r="AE307" s="857">
        <f>+SUMIFS(PIB!AH:AH,PIB!AG:AG,Brokerage!AE$4,PIB!AB:AB,Brokerage!$B307)+SUMIFS('T-Bills'!AC:AC,'T-Bills'!AB:AB,Brokerage!AE$4,'T-Bills'!W:W,Brokerage!$B307)</f>
        <v>0</v>
      </c>
      <c r="AF307" s="857">
        <f>+SUMIFS(PIB!AI:AI,PIB!AH:AH,Brokerage!AF$4,PIB!AC:AC,Brokerage!$B307)+SUMIFS('T-Bills'!AD:AD,'T-Bills'!AC:AC,Brokerage!AF$4,'T-Bills'!X:X,Brokerage!$B307)</f>
        <v>0</v>
      </c>
      <c r="AG307" s="857">
        <f t="shared" si="26"/>
        <v>0</v>
      </c>
      <c r="AH307" s="858">
        <f t="shared" si="28"/>
        <v>0</v>
      </c>
    </row>
    <row r="308" spans="2:34" x14ac:dyDescent="0.15">
      <c r="B308" s="661">
        <f t="shared" si="25"/>
        <v>44864</v>
      </c>
      <c r="C308" s="857">
        <f>SUMIFS('YTD Sales'!$N:$N,'YTD Sales'!$B:$B,Brokerage!$B308,'YTD Sales'!$M:$M,Brokerage!C$4)+SUMIFS('YTD Purchases'!$H:$H,'YTD Purchases'!$C:$C,Brokerage!$B308,'YTD Purchases'!$G:$G,Brokerage!C$4)</f>
        <v>0</v>
      </c>
      <c r="D308" s="857">
        <f>SUMIFS('YTD Sales'!$N:$N,'YTD Sales'!$B:$B,Brokerage!$B308,'YTD Sales'!$M:$M,Brokerage!D$4)+SUMIFS('YTD Purchases'!$H:$H,'YTD Purchases'!$C:$C,Brokerage!$B308,'YTD Purchases'!$G:$G,Brokerage!D$4)</f>
        <v>0</v>
      </c>
      <c r="E308" s="857">
        <f>SUMIFS('YTD Sales'!$N:$N,'YTD Sales'!$B:$B,Brokerage!$B308,'YTD Sales'!$M:$M,Brokerage!E$4)+SUMIFS('YTD Purchases'!$H:$H,'YTD Purchases'!$C:$C,Brokerage!$B308,'YTD Purchases'!$G:$G,Brokerage!E$4)</f>
        <v>0</v>
      </c>
      <c r="F308" s="857">
        <f>SUMIFS('YTD Sales'!$N:$N,'YTD Sales'!$B:$B,Brokerage!$B308,'YTD Sales'!$M:$M,Brokerage!F$4)+SUMIFS('YTD Purchases'!$H:$H,'YTD Purchases'!$C:$C,Brokerage!$B308,'YTD Purchases'!$G:$G,Brokerage!F$4)</f>
        <v>0</v>
      </c>
      <c r="G308" s="857">
        <f>SUMIFS('YTD Sales'!$N:$N,'YTD Sales'!$B:$B,Brokerage!$B308,'YTD Sales'!$M:$M,Brokerage!G$4)+SUMIFS('YTD Purchases'!$H:$H,'YTD Purchases'!$C:$C,Brokerage!$B308,'YTD Purchases'!$G:$G,Brokerage!G$4)</f>
        <v>0</v>
      </c>
      <c r="H308" s="857">
        <f>SUMIFS('YTD Sales'!$N:$N,'YTD Sales'!$B:$B,Brokerage!$B308,'YTD Sales'!$M:$M,Brokerage!H$4)+SUMIFS('YTD Purchases'!$H:$H,'YTD Purchases'!$C:$C,Brokerage!$B308,'YTD Purchases'!$G:$G,Brokerage!H$4)</f>
        <v>0</v>
      </c>
      <c r="I308" s="857">
        <f>SUMIFS('YTD Sales'!$N:$N,'YTD Sales'!$B:$B,Brokerage!$B308,'YTD Sales'!$M:$M,Brokerage!I$4)+SUMIFS('YTD Purchases'!$H:$H,'YTD Purchases'!$C:$C,Brokerage!$B308,'YTD Purchases'!$G:$G,Brokerage!I$4)</f>
        <v>0</v>
      </c>
      <c r="J308" s="857">
        <f>SUMIFS('YTD Sales'!$N:$N,'YTD Sales'!$B:$B,Brokerage!$B308,'YTD Sales'!$M:$M,Brokerage!J$4)+SUMIFS('YTD Purchases'!$H:$H,'YTD Purchases'!$C:$C,Brokerage!$B308,'YTD Purchases'!$G:$G,Brokerage!J$4)</f>
        <v>0</v>
      </c>
      <c r="K308" s="857">
        <f>SUMIFS('YTD Sales'!$N:$N,'YTD Sales'!$B:$B,Brokerage!$B308,'YTD Sales'!$M:$M,Brokerage!K$4)+SUMIFS('YTD Purchases'!$H:$H,'YTD Purchases'!$C:$C,Brokerage!$B308,'YTD Purchases'!$G:$G,Brokerage!K$4)</f>
        <v>0</v>
      </c>
      <c r="L308" s="857">
        <f>SUMIFS('YTD Sales'!$N:$N,'YTD Sales'!$B:$B,Brokerage!$B308,'YTD Sales'!$M:$M,Brokerage!L$4)+SUMIFS('YTD Purchases'!$H:$H,'YTD Purchases'!$C:$C,Brokerage!$B308,'YTD Purchases'!$G:$G,Brokerage!L$4)</f>
        <v>0</v>
      </c>
      <c r="M308" s="857">
        <f>SUMIFS('YTD Sales'!$N:$N,'YTD Sales'!$B:$B,Brokerage!$B308,'YTD Sales'!$M:$M,Brokerage!M$4)+SUMIFS('YTD Purchases'!$H:$H,'YTD Purchases'!$C:$C,Brokerage!$B308,'YTD Purchases'!$G:$G,Brokerage!M$4)</f>
        <v>0</v>
      </c>
      <c r="N308" s="857">
        <f>SUMIFS('YTD Sales'!$N:$N,'YTD Sales'!$B:$B,Brokerage!$B308,'YTD Sales'!$M:$M,Brokerage!N$4)+SUMIFS('YTD Purchases'!$H:$H,'YTD Purchases'!$C:$C,Brokerage!$B308,'YTD Purchases'!$G:$G,Brokerage!N$4)</f>
        <v>0</v>
      </c>
      <c r="O308" s="857">
        <f>SUMIFS('YTD Sales'!$N:$N,'YTD Sales'!$B:$B,Brokerage!$B308,'YTD Sales'!$M:$M,Brokerage!O$4)+SUMIFS('YTD Purchases'!$H:$H,'YTD Purchases'!$C:$C,Brokerage!$B308,'YTD Purchases'!$G:$G,Brokerage!O$4)</f>
        <v>0</v>
      </c>
      <c r="P308" s="857">
        <f>SUMIFS('YTD Sales'!$N:$N,'YTD Sales'!$B:$B,Brokerage!$B308,'YTD Sales'!$M:$M,Brokerage!P$4)+SUMIFS('YTD Purchases'!$H:$H,'YTD Purchases'!$C:$C,Brokerage!$B308,'YTD Purchases'!$G:$G,Brokerage!P$4)</f>
        <v>0</v>
      </c>
      <c r="Q308" s="857">
        <f>SUMIFS('YTD Sales'!$N:$N,'YTD Sales'!$B:$B,Brokerage!$B308,'YTD Sales'!$M:$M,Brokerage!Q$4)+SUMIFS('YTD Purchases'!$H:$H,'YTD Purchases'!$C:$C,Brokerage!$B308,'YTD Purchases'!$G:$G,Brokerage!Q$4)</f>
        <v>0</v>
      </c>
      <c r="R308" s="857">
        <f>SUMIFS('YTD Sales'!$N:$N,'YTD Sales'!$B:$B,Brokerage!$B308,'YTD Sales'!$M:$M,Brokerage!R$4)+SUMIFS('YTD Purchases'!$H:$H,'YTD Purchases'!$C:$C,Brokerage!$B308,'YTD Purchases'!$G:$G,Brokerage!R$4)</f>
        <v>0</v>
      </c>
      <c r="S308" s="857">
        <f>SUMIFS('YTD Sales'!$N:$N,'YTD Sales'!$B:$B,Brokerage!$B308,'YTD Sales'!$M:$M,Brokerage!S$4)+SUMIFS('YTD Purchases'!$H:$H,'YTD Purchases'!$C:$C,Brokerage!$B308,'YTD Purchases'!$G:$G,Brokerage!S$4)</f>
        <v>0</v>
      </c>
      <c r="T308" s="857">
        <f>SUMIFS('YTD Sales'!$N:$N,'YTD Sales'!$B:$B,Brokerage!$B308,'YTD Sales'!$M:$M,Brokerage!T$4)+SUMIFS('YTD Purchases'!$H:$H,'YTD Purchases'!$C:$C,Brokerage!$B308,'YTD Purchases'!$G:$G,Brokerage!T$4)</f>
        <v>0</v>
      </c>
      <c r="U308" s="857">
        <f>SUMIFS('YTD Sales'!$N:$N,'YTD Sales'!$B:$B,Brokerage!$B308,'YTD Sales'!$M:$M,Brokerage!U$4)+SUMIFS('YTD Purchases'!$H:$H,'YTD Purchases'!$C:$C,Brokerage!$B308,'YTD Purchases'!$G:$G,Brokerage!U$4)</f>
        <v>0</v>
      </c>
      <c r="V308" s="857">
        <f>SUMIFS('YTD Sales'!$N:$N,'YTD Sales'!$B:$B,Brokerage!$B308,'YTD Sales'!$M:$M,Brokerage!V$4)+SUMIFS('YTD Purchases'!$H:$H,'YTD Purchases'!$C:$C,Brokerage!$B308,'YTD Purchases'!$G:$G,Brokerage!V$4)</f>
        <v>0</v>
      </c>
      <c r="W308" s="857">
        <f>SUMIFS('YTD Sales'!$N:$N,'YTD Sales'!$B:$B,Brokerage!$B308,'YTD Sales'!$M:$M,Brokerage!W$4)+SUMIFS('YTD Purchases'!$H:$H,'YTD Purchases'!$C:$C,Brokerage!$B308,'YTD Purchases'!$G:$G,Brokerage!W$4)</f>
        <v>0</v>
      </c>
      <c r="X308" s="857">
        <f>SUMIFS('YTD Sales'!$N:$N,'YTD Sales'!$B:$B,Brokerage!$B308,'YTD Sales'!$M:$M,Brokerage!X$4)+SUMIFS('YTD Purchases'!$H:$H,'YTD Purchases'!$C:$C,Brokerage!$B308,'YTD Purchases'!$G:$G,Brokerage!X$4)</f>
        <v>0</v>
      </c>
      <c r="Y308" s="857">
        <f>SUMIFS('YTD Sales'!$N:$N,'YTD Sales'!$B:$B,Brokerage!$B308,'YTD Sales'!$M:$M,Brokerage!Y$4)+SUMIFS('YTD Purchases'!$H:$H,'YTD Purchases'!$C:$C,Brokerage!$B308,'YTD Purchases'!$G:$G,Brokerage!Y$4)</f>
        <v>0</v>
      </c>
      <c r="Z308" s="857">
        <f>SUMIFS('YTD Sales'!$N:$N,'YTD Sales'!$B:$B,Brokerage!$B308,'YTD Sales'!$M:$M,Brokerage!Z$4)+SUMIFS('YTD Purchases'!$H:$H,'YTD Purchases'!$C:$C,Brokerage!$B308,'YTD Purchases'!$G:$G,Brokerage!Z$4)</f>
        <v>0</v>
      </c>
      <c r="AA308" s="857">
        <f>SUMIFS('YTD Sales'!$N:$N,'YTD Sales'!$B:$B,Brokerage!$B308,'YTD Sales'!$M:$M,Brokerage!AA$4)+SUMIFS('YTD Purchases'!$H:$H,'YTD Purchases'!$C:$C,Brokerage!$B308,'YTD Purchases'!$G:$G,Brokerage!AA$4)</f>
        <v>0</v>
      </c>
      <c r="AB308" s="857">
        <f>SUMIFS('YTD Sales'!$N:$N,'YTD Sales'!$B:$B,Brokerage!$B308,'YTD Sales'!$M:$M,Brokerage!AB$4)+SUMIFS('YTD Purchases'!$H:$H,'YTD Purchases'!$C:$C,Brokerage!$B308,'YTD Purchases'!$G:$G,Brokerage!AB$4)</f>
        <v>0</v>
      </c>
      <c r="AC308" s="857">
        <f>SUMIFS('YTD Sales'!$N:$N,'YTD Sales'!$B:$B,Brokerage!$B308,'YTD Sales'!$M:$M,Brokerage!AC$4)+SUMIFS('YTD Purchases'!$H:$H,'YTD Purchases'!$C:$C,Brokerage!$B308,'YTD Purchases'!$G:$G,Brokerage!AC$4)</f>
        <v>0</v>
      </c>
      <c r="AD308" s="857">
        <f>+SUMIFS(PIB!AG:AG,PIB!AF:AF,Brokerage!AD$4,PIB!AA:AA,Brokerage!$B308)+SUMIFS('T-Bills'!AB:AB,'T-Bills'!AA:AA,Brokerage!AD$4,'T-Bills'!V:V,Brokerage!$B308)</f>
        <v>0</v>
      </c>
      <c r="AE308" s="857">
        <f>+SUMIFS(PIB!AH:AH,PIB!AG:AG,Brokerage!AE$4,PIB!AB:AB,Brokerage!$B308)+SUMIFS('T-Bills'!AC:AC,'T-Bills'!AB:AB,Brokerage!AE$4,'T-Bills'!W:W,Brokerage!$B308)</f>
        <v>0</v>
      </c>
      <c r="AF308" s="857">
        <f>+SUMIFS(PIB!AI:AI,PIB!AH:AH,Brokerage!AF$4,PIB!AC:AC,Brokerage!$B308)+SUMIFS('T-Bills'!AD:AD,'T-Bills'!AC:AC,Brokerage!AF$4,'T-Bills'!X:X,Brokerage!$B308)</f>
        <v>0</v>
      </c>
      <c r="AG308" s="857">
        <f t="shared" si="26"/>
        <v>0</v>
      </c>
      <c r="AH308" s="858">
        <f t="shared" si="28"/>
        <v>0</v>
      </c>
    </row>
    <row r="309" spans="2:34" x14ac:dyDescent="0.15">
      <c r="B309" s="661">
        <f t="shared" si="25"/>
        <v>44865</v>
      </c>
      <c r="C309" s="857">
        <f>SUMIFS('YTD Sales'!$N:$N,'YTD Sales'!$B:$B,Brokerage!$B309,'YTD Sales'!$M:$M,Brokerage!C$4)+SUMIFS('YTD Purchases'!$H:$H,'YTD Purchases'!$C:$C,Brokerage!$B309,'YTD Purchases'!$G:$G,Brokerage!C$4)</f>
        <v>0</v>
      </c>
      <c r="D309" s="857">
        <f>SUMIFS('YTD Sales'!$N:$N,'YTD Sales'!$B:$B,Brokerage!$B309,'YTD Sales'!$M:$M,Brokerage!D$4)+SUMIFS('YTD Purchases'!$H:$H,'YTD Purchases'!$C:$C,Brokerage!$B309,'YTD Purchases'!$G:$G,Brokerage!D$4)</f>
        <v>0</v>
      </c>
      <c r="E309" s="857">
        <f>SUMIFS('YTD Sales'!$N:$N,'YTD Sales'!$B:$B,Brokerage!$B309,'YTD Sales'!$M:$M,Brokerage!E$4)+SUMIFS('YTD Purchases'!$H:$H,'YTD Purchases'!$C:$C,Brokerage!$B309,'YTD Purchases'!$G:$G,Brokerage!E$4)</f>
        <v>0</v>
      </c>
      <c r="F309" s="857">
        <f>SUMIFS('YTD Sales'!$N:$N,'YTD Sales'!$B:$B,Brokerage!$B309,'YTD Sales'!$M:$M,Brokerage!F$4)+SUMIFS('YTD Purchases'!$H:$H,'YTD Purchases'!$C:$C,Brokerage!$B309,'YTD Purchases'!$G:$G,Brokerage!F$4)</f>
        <v>0</v>
      </c>
      <c r="G309" s="857">
        <f>SUMIFS('YTD Sales'!$N:$N,'YTD Sales'!$B:$B,Brokerage!$B309,'YTD Sales'!$M:$M,Brokerage!G$4)+SUMIFS('YTD Purchases'!$H:$H,'YTD Purchases'!$C:$C,Brokerage!$B309,'YTD Purchases'!$G:$G,Brokerage!G$4)</f>
        <v>0</v>
      </c>
      <c r="H309" s="857">
        <f>SUMIFS('YTD Sales'!$N:$N,'YTD Sales'!$B:$B,Brokerage!$B309,'YTD Sales'!$M:$M,Brokerage!H$4)+SUMIFS('YTD Purchases'!$H:$H,'YTD Purchases'!$C:$C,Brokerage!$B309,'YTD Purchases'!$G:$G,Brokerage!H$4)</f>
        <v>0</v>
      </c>
      <c r="I309" s="857">
        <f>SUMIFS('YTD Sales'!$N:$N,'YTD Sales'!$B:$B,Brokerage!$B309,'YTD Sales'!$M:$M,Brokerage!I$4)+SUMIFS('YTD Purchases'!$H:$H,'YTD Purchases'!$C:$C,Brokerage!$B309,'YTD Purchases'!$G:$G,Brokerage!I$4)</f>
        <v>0</v>
      </c>
      <c r="J309" s="857">
        <f>SUMIFS('YTD Sales'!$N:$N,'YTD Sales'!$B:$B,Brokerage!$B309,'YTD Sales'!$M:$M,Brokerage!J$4)+SUMIFS('YTD Purchases'!$H:$H,'YTD Purchases'!$C:$C,Brokerage!$B309,'YTD Purchases'!$G:$G,Brokerage!J$4)</f>
        <v>0</v>
      </c>
      <c r="K309" s="857">
        <f>SUMIFS('YTD Sales'!$N:$N,'YTD Sales'!$B:$B,Brokerage!$B309,'YTD Sales'!$M:$M,Brokerage!K$4)+SUMIFS('YTD Purchases'!$H:$H,'YTD Purchases'!$C:$C,Brokerage!$B309,'YTD Purchases'!$G:$G,Brokerage!K$4)</f>
        <v>0</v>
      </c>
      <c r="L309" s="857">
        <f>SUMIFS('YTD Sales'!$N:$N,'YTD Sales'!$B:$B,Brokerage!$B309,'YTD Sales'!$M:$M,Brokerage!L$4)+SUMIFS('YTD Purchases'!$H:$H,'YTD Purchases'!$C:$C,Brokerage!$B309,'YTD Purchases'!$G:$G,Brokerage!L$4)</f>
        <v>0</v>
      </c>
      <c r="M309" s="857">
        <f>SUMIFS('YTD Sales'!$N:$N,'YTD Sales'!$B:$B,Brokerage!$B309,'YTD Sales'!$M:$M,Brokerage!M$4)+SUMIFS('YTD Purchases'!$H:$H,'YTD Purchases'!$C:$C,Brokerage!$B309,'YTD Purchases'!$G:$G,Brokerage!M$4)</f>
        <v>0</v>
      </c>
      <c r="N309" s="857">
        <f>SUMIFS('YTD Sales'!$N:$N,'YTD Sales'!$B:$B,Brokerage!$B309,'YTD Sales'!$M:$M,Brokerage!N$4)+SUMIFS('YTD Purchases'!$H:$H,'YTD Purchases'!$C:$C,Brokerage!$B309,'YTD Purchases'!$G:$G,Brokerage!N$4)</f>
        <v>0</v>
      </c>
      <c r="O309" s="857">
        <f>SUMIFS('YTD Sales'!$N:$N,'YTD Sales'!$B:$B,Brokerage!$B309,'YTD Sales'!$M:$M,Brokerage!O$4)+SUMIFS('YTD Purchases'!$H:$H,'YTD Purchases'!$C:$C,Brokerage!$B309,'YTD Purchases'!$G:$G,Brokerage!O$4)</f>
        <v>0</v>
      </c>
      <c r="P309" s="857">
        <f>SUMIFS('YTD Sales'!$N:$N,'YTD Sales'!$B:$B,Brokerage!$B309,'YTD Sales'!$M:$M,Brokerage!P$4)+SUMIFS('YTD Purchases'!$H:$H,'YTD Purchases'!$C:$C,Brokerage!$B309,'YTD Purchases'!$G:$G,Brokerage!P$4)</f>
        <v>0</v>
      </c>
      <c r="Q309" s="857">
        <f>SUMIFS('YTD Sales'!$N:$N,'YTD Sales'!$B:$B,Brokerage!$B309,'YTD Sales'!$M:$M,Brokerage!Q$4)+SUMIFS('YTD Purchases'!$H:$H,'YTD Purchases'!$C:$C,Brokerage!$B309,'YTD Purchases'!$G:$G,Brokerage!Q$4)</f>
        <v>0</v>
      </c>
      <c r="R309" s="857">
        <f>SUMIFS('YTD Sales'!$N:$N,'YTD Sales'!$B:$B,Brokerage!$B309,'YTD Sales'!$M:$M,Brokerage!R$4)+SUMIFS('YTD Purchases'!$H:$H,'YTD Purchases'!$C:$C,Brokerage!$B309,'YTD Purchases'!$G:$G,Brokerage!R$4)</f>
        <v>0</v>
      </c>
      <c r="S309" s="857">
        <f>SUMIFS('YTD Sales'!$N:$N,'YTD Sales'!$B:$B,Brokerage!$B309,'YTD Sales'!$M:$M,Brokerage!S$4)+SUMIFS('YTD Purchases'!$H:$H,'YTD Purchases'!$C:$C,Brokerage!$B309,'YTD Purchases'!$G:$G,Brokerage!S$4)</f>
        <v>0</v>
      </c>
      <c r="T309" s="857">
        <f>SUMIFS('YTD Sales'!$N:$N,'YTD Sales'!$B:$B,Brokerage!$B309,'YTD Sales'!$M:$M,Brokerage!T$4)+SUMIFS('YTD Purchases'!$H:$H,'YTD Purchases'!$C:$C,Brokerage!$B309,'YTD Purchases'!$G:$G,Brokerage!T$4)</f>
        <v>0</v>
      </c>
      <c r="U309" s="857">
        <f>SUMIFS('YTD Sales'!$N:$N,'YTD Sales'!$B:$B,Brokerage!$B309,'YTD Sales'!$M:$M,Brokerage!U$4)+SUMIFS('YTD Purchases'!$H:$H,'YTD Purchases'!$C:$C,Brokerage!$B309,'YTD Purchases'!$G:$G,Brokerage!U$4)</f>
        <v>0</v>
      </c>
      <c r="V309" s="857">
        <f>SUMIFS('YTD Sales'!$N:$N,'YTD Sales'!$B:$B,Brokerage!$B309,'YTD Sales'!$M:$M,Brokerage!V$4)+SUMIFS('YTD Purchases'!$H:$H,'YTD Purchases'!$C:$C,Brokerage!$B309,'YTD Purchases'!$G:$G,Brokerage!V$4)</f>
        <v>0</v>
      </c>
      <c r="W309" s="857">
        <f>SUMIFS('YTD Sales'!$N:$N,'YTD Sales'!$B:$B,Brokerage!$B309,'YTD Sales'!$M:$M,Brokerage!W$4)+SUMIFS('YTD Purchases'!$H:$H,'YTD Purchases'!$C:$C,Brokerage!$B309,'YTD Purchases'!$G:$G,Brokerage!W$4)</f>
        <v>0</v>
      </c>
      <c r="X309" s="857">
        <f>SUMIFS('YTD Sales'!$N:$N,'YTD Sales'!$B:$B,Brokerage!$B309,'YTD Sales'!$M:$M,Brokerage!X$4)+SUMIFS('YTD Purchases'!$H:$H,'YTD Purchases'!$C:$C,Brokerage!$B309,'YTD Purchases'!$G:$G,Brokerage!X$4)</f>
        <v>0</v>
      </c>
      <c r="Y309" s="857">
        <f>SUMIFS('YTD Sales'!$N:$N,'YTD Sales'!$B:$B,Brokerage!$B309,'YTD Sales'!$M:$M,Brokerage!Y$4)+SUMIFS('YTD Purchases'!$H:$H,'YTD Purchases'!$C:$C,Brokerage!$B309,'YTD Purchases'!$G:$G,Brokerage!Y$4)</f>
        <v>0</v>
      </c>
      <c r="Z309" s="857">
        <f>SUMIFS('YTD Sales'!$N:$N,'YTD Sales'!$B:$B,Brokerage!$B309,'YTD Sales'!$M:$M,Brokerage!Z$4)+SUMIFS('YTD Purchases'!$H:$H,'YTD Purchases'!$C:$C,Brokerage!$B309,'YTD Purchases'!$G:$G,Brokerage!Z$4)</f>
        <v>0</v>
      </c>
      <c r="AA309" s="857">
        <f>SUMIFS('YTD Sales'!$N:$N,'YTD Sales'!$B:$B,Brokerage!$B309,'YTD Sales'!$M:$M,Brokerage!AA$4)+SUMIFS('YTD Purchases'!$H:$H,'YTD Purchases'!$C:$C,Brokerage!$B309,'YTD Purchases'!$G:$G,Brokerage!AA$4)</f>
        <v>0</v>
      </c>
      <c r="AB309" s="857">
        <f>SUMIFS('YTD Sales'!$N:$N,'YTD Sales'!$B:$B,Brokerage!$B309,'YTD Sales'!$M:$M,Brokerage!AB$4)+SUMIFS('YTD Purchases'!$H:$H,'YTD Purchases'!$C:$C,Brokerage!$B309,'YTD Purchases'!$G:$G,Brokerage!AB$4)</f>
        <v>0</v>
      </c>
      <c r="AC309" s="857">
        <f>SUMIFS('YTD Sales'!$N:$N,'YTD Sales'!$B:$B,Brokerage!$B309,'YTD Sales'!$M:$M,Brokerage!AC$4)+SUMIFS('YTD Purchases'!$H:$H,'YTD Purchases'!$C:$C,Brokerage!$B309,'YTD Purchases'!$G:$G,Brokerage!AC$4)</f>
        <v>0</v>
      </c>
      <c r="AD309" s="857">
        <f>+SUMIFS(PIB!AG:AG,PIB!AF:AF,Brokerage!AD$4,PIB!AA:AA,Brokerage!$B309)+SUMIFS('T-Bills'!AB:AB,'T-Bills'!AA:AA,Brokerage!AD$4,'T-Bills'!V:V,Brokerage!$B309)</f>
        <v>0</v>
      </c>
      <c r="AE309" s="857">
        <f>+SUMIFS(PIB!AH:AH,PIB!AG:AG,Brokerage!AE$4,PIB!AB:AB,Brokerage!$B309)+SUMIFS('T-Bills'!AC:AC,'T-Bills'!AB:AB,Brokerage!AE$4,'T-Bills'!W:W,Brokerage!$B309)</f>
        <v>0</v>
      </c>
      <c r="AF309" s="857">
        <f>+SUMIFS(PIB!AI:AI,PIB!AH:AH,Brokerage!AF$4,PIB!AC:AC,Brokerage!$B309)+SUMIFS('T-Bills'!AD:AD,'T-Bills'!AC:AC,Brokerage!AF$4,'T-Bills'!X:X,Brokerage!$B309)</f>
        <v>0</v>
      </c>
      <c r="AG309" s="857">
        <f t="shared" si="26"/>
        <v>0</v>
      </c>
      <c r="AH309" s="858">
        <f t="shared" si="28"/>
        <v>0</v>
      </c>
    </row>
    <row r="310" spans="2:34" x14ac:dyDescent="0.15">
      <c r="B310" s="661">
        <f t="shared" si="25"/>
        <v>44866</v>
      </c>
      <c r="C310" s="857">
        <f>SUMIFS('YTD Sales'!$N:$N,'YTD Sales'!$B:$B,Brokerage!$B310,'YTD Sales'!$M:$M,Brokerage!C$4)+SUMIFS('YTD Purchases'!$H:$H,'YTD Purchases'!$C:$C,Brokerage!$B310,'YTD Purchases'!$G:$G,Brokerage!C$4)</f>
        <v>0</v>
      </c>
      <c r="D310" s="857">
        <f>SUMIFS('YTD Sales'!$N:$N,'YTD Sales'!$B:$B,Brokerage!$B310,'YTD Sales'!$M:$M,Brokerage!D$4)+SUMIFS('YTD Purchases'!$H:$H,'YTD Purchases'!$C:$C,Brokerage!$B310,'YTD Purchases'!$G:$G,Brokerage!D$4)</f>
        <v>0</v>
      </c>
      <c r="E310" s="857">
        <f>SUMIFS('YTD Sales'!$N:$N,'YTD Sales'!$B:$B,Brokerage!$B310,'YTD Sales'!$M:$M,Brokerage!E$4)+SUMIFS('YTD Purchases'!$H:$H,'YTD Purchases'!$C:$C,Brokerage!$B310,'YTD Purchases'!$G:$G,Brokerage!E$4)</f>
        <v>0</v>
      </c>
      <c r="F310" s="857">
        <f>SUMIFS('YTD Sales'!$N:$N,'YTD Sales'!$B:$B,Brokerage!$B310,'YTD Sales'!$M:$M,Brokerage!F$4)+SUMIFS('YTD Purchases'!$H:$H,'YTD Purchases'!$C:$C,Brokerage!$B310,'YTD Purchases'!$G:$G,Brokerage!F$4)</f>
        <v>0</v>
      </c>
      <c r="G310" s="857">
        <f>SUMIFS('YTD Sales'!$N:$N,'YTD Sales'!$B:$B,Brokerage!$B310,'YTD Sales'!$M:$M,Brokerage!G$4)+SUMIFS('YTD Purchases'!$H:$H,'YTD Purchases'!$C:$C,Brokerage!$B310,'YTD Purchases'!$G:$G,Brokerage!G$4)</f>
        <v>0</v>
      </c>
      <c r="H310" s="857">
        <f>SUMIFS('YTD Sales'!$N:$N,'YTD Sales'!$B:$B,Brokerage!$B310,'YTD Sales'!$M:$M,Brokerage!H$4)+SUMIFS('YTD Purchases'!$H:$H,'YTD Purchases'!$C:$C,Brokerage!$B310,'YTD Purchases'!$G:$G,Brokerage!H$4)</f>
        <v>0</v>
      </c>
      <c r="I310" s="857">
        <f>SUMIFS('YTD Sales'!$N:$N,'YTD Sales'!$B:$B,Brokerage!$B310,'YTD Sales'!$M:$M,Brokerage!I$4)+SUMIFS('YTD Purchases'!$H:$H,'YTD Purchases'!$C:$C,Brokerage!$B310,'YTD Purchases'!$G:$G,Brokerage!I$4)</f>
        <v>0</v>
      </c>
      <c r="J310" s="857">
        <f>SUMIFS('YTD Sales'!$N:$N,'YTD Sales'!$B:$B,Brokerage!$B310,'YTD Sales'!$M:$M,Brokerage!J$4)+SUMIFS('YTD Purchases'!$H:$H,'YTD Purchases'!$C:$C,Brokerage!$B310,'YTD Purchases'!$G:$G,Brokerage!J$4)</f>
        <v>0</v>
      </c>
      <c r="K310" s="857">
        <f>SUMIFS('YTD Sales'!$N:$N,'YTD Sales'!$B:$B,Brokerage!$B310,'YTD Sales'!$M:$M,Brokerage!K$4)+SUMIFS('YTD Purchases'!$H:$H,'YTD Purchases'!$C:$C,Brokerage!$B310,'YTD Purchases'!$G:$G,Brokerage!K$4)</f>
        <v>0</v>
      </c>
      <c r="L310" s="857">
        <f>SUMIFS('YTD Sales'!$N:$N,'YTD Sales'!$B:$B,Brokerage!$B310,'YTD Sales'!$M:$M,Brokerage!L$4)+SUMIFS('YTD Purchases'!$H:$H,'YTD Purchases'!$C:$C,Brokerage!$B310,'YTD Purchases'!$G:$G,Brokerage!L$4)</f>
        <v>0</v>
      </c>
      <c r="M310" s="857">
        <f>SUMIFS('YTD Sales'!$N:$N,'YTD Sales'!$B:$B,Brokerage!$B310,'YTD Sales'!$M:$M,Brokerage!M$4)+SUMIFS('YTD Purchases'!$H:$H,'YTD Purchases'!$C:$C,Brokerage!$B310,'YTD Purchases'!$G:$G,Brokerage!M$4)</f>
        <v>0</v>
      </c>
      <c r="N310" s="857">
        <f>SUMIFS('YTD Sales'!$N:$N,'YTD Sales'!$B:$B,Brokerage!$B310,'YTD Sales'!$M:$M,Brokerage!N$4)+SUMIFS('YTD Purchases'!$H:$H,'YTD Purchases'!$C:$C,Brokerage!$B310,'YTD Purchases'!$G:$G,Brokerage!N$4)</f>
        <v>0</v>
      </c>
      <c r="O310" s="857">
        <f>SUMIFS('YTD Sales'!$N:$N,'YTD Sales'!$B:$B,Brokerage!$B310,'YTD Sales'!$M:$M,Brokerage!O$4)+SUMIFS('YTD Purchases'!$H:$H,'YTD Purchases'!$C:$C,Brokerage!$B310,'YTD Purchases'!$G:$G,Brokerage!O$4)</f>
        <v>0</v>
      </c>
      <c r="P310" s="857">
        <f>SUMIFS('YTD Sales'!$N:$N,'YTD Sales'!$B:$B,Brokerage!$B310,'YTD Sales'!$M:$M,Brokerage!P$4)+SUMIFS('YTD Purchases'!$H:$H,'YTD Purchases'!$C:$C,Brokerage!$B310,'YTD Purchases'!$G:$G,Brokerage!P$4)</f>
        <v>0</v>
      </c>
      <c r="Q310" s="857">
        <f>SUMIFS('YTD Sales'!$N:$N,'YTD Sales'!$B:$B,Brokerage!$B310,'YTD Sales'!$M:$M,Brokerage!Q$4)+SUMIFS('YTD Purchases'!$H:$H,'YTD Purchases'!$C:$C,Brokerage!$B310,'YTD Purchases'!$G:$G,Brokerage!Q$4)</f>
        <v>0</v>
      </c>
      <c r="R310" s="857">
        <f>SUMIFS('YTD Sales'!$N:$N,'YTD Sales'!$B:$B,Brokerage!$B310,'YTD Sales'!$M:$M,Brokerage!R$4)+SUMIFS('YTD Purchases'!$H:$H,'YTD Purchases'!$C:$C,Brokerage!$B310,'YTD Purchases'!$G:$G,Brokerage!R$4)</f>
        <v>0</v>
      </c>
      <c r="S310" s="857">
        <f>SUMIFS('YTD Sales'!$N:$N,'YTD Sales'!$B:$B,Brokerage!$B310,'YTD Sales'!$M:$M,Brokerage!S$4)+SUMIFS('YTD Purchases'!$H:$H,'YTD Purchases'!$C:$C,Brokerage!$B310,'YTD Purchases'!$G:$G,Brokerage!S$4)</f>
        <v>0</v>
      </c>
      <c r="T310" s="857">
        <f>SUMIFS('YTD Sales'!$N:$N,'YTD Sales'!$B:$B,Brokerage!$B310,'YTD Sales'!$M:$M,Brokerage!T$4)+SUMIFS('YTD Purchases'!$H:$H,'YTD Purchases'!$C:$C,Brokerage!$B310,'YTD Purchases'!$G:$G,Brokerage!T$4)</f>
        <v>0</v>
      </c>
      <c r="U310" s="857">
        <f>SUMIFS('YTD Sales'!$N:$N,'YTD Sales'!$B:$B,Brokerage!$B310,'YTD Sales'!$M:$M,Brokerage!U$4)+SUMIFS('YTD Purchases'!$H:$H,'YTD Purchases'!$C:$C,Brokerage!$B310,'YTD Purchases'!$G:$G,Brokerage!U$4)</f>
        <v>0</v>
      </c>
      <c r="V310" s="857">
        <f>SUMIFS('YTD Sales'!$N:$N,'YTD Sales'!$B:$B,Brokerage!$B310,'YTD Sales'!$M:$M,Brokerage!V$4)+SUMIFS('YTD Purchases'!$H:$H,'YTD Purchases'!$C:$C,Brokerage!$B310,'YTD Purchases'!$G:$G,Brokerage!V$4)</f>
        <v>0</v>
      </c>
      <c r="W310" s="857">
        <f>SUMIFS('YTD Sales'!$N:$N,'YTD Sales'!$B:$B,Brokerage!$B310,'YTD Sales'!$M:$M,Brokerage!W$4)+SUMIFS('YTD Purchases'!$H:$H,'YTD Purchases'!$C:$C,Brokerage!$B310,'YTD Purchases'!$G:$G,Brokerage!W$4)</f>
        <v>0</v>
      </c>
      <c r="X310" s="857">
        <f>SUMIFS('YTD Sales'!$N:$N,'YTD Sales'!$B:$B,Brokerage!$B310,'YTD Sales'!$M:$M,Brokerage!X$4)+SUMIFS('YTD Purchases'!$H:$H,'YTD Purchases'!$C:$C,Brokerage!$B310,'YTD Purchases'!$G:$G,Brokerage!X$4)</f>
        <v>0</v>
      </c>
      <c r="Y310" s="857">
        <f>SUMIFS('YTD Sales'!$N:$N,'YTD Sales'!$B:$B,Brokerage!$B310,'YTD Sales'!$M:$M,Brokerage!Y$4)+SUMIFS('YTD Purchases'!$H:$H,'YTD Purchases'!$C:$C,Brokerage!$B310,'YTD Purchases'!$G:$G,Brokerage!Y$4)</f>
        <v>0</v>
      </c>
      <c r="Z310" s="857">
        <f>SUMIFS('YTD Sales'!$N:$N,'YTD Sales'!$B:$B,Brokerage!$B310,'YTD Sales'!$M:$M,Brokerage!Z$4)+SUMIFS('YTD Purchases'!$H:$H,'YTD Purchases'!$C:$C,Brokerage!$B310,'YTD Purchases'!$G:$G,Brokerage!Z$4)</f>
        <v>0</v>
      </c>
      <c r="AA310" s="857">
        <f>SUMIFS('YTD Sales'!$N:$N,'YTD Sales'!$B:$B,Brokerage!$B310,'YTD Sales'!$M:$M,Brokerage!AA$4)+SUMIFS('YTD Purchases'!$H:$H,'YTD Purchases'!$C:$C,Brokerage!$B310,'YTD Purchases'!$G:$G,Brokerage!AA$4)</f>
        <v>0</v>
      </c>
      <c r="AB310" s="857">
        <f>SUMIFS('YTD Sales'!$N:$N,'YTD Sales'!$B:$B,Brokerage!$B310,'YTD Sales'!$M:$M,Brokerage!AB$4)+SUMIFS('YTD Purchases'!$H:$H,'YTD Purchases'!$C:$C,Brokerage!$B310,'YTD Purchases'!$G:$G,Brokerage!AB$4)</f>
        <v>0</v>
      </c>
      <c r="AC310" s="857">
        <f>SUMIFS('YTD Sales'!$N:$N,'YTD Sales'!$B:$B,Brokerage!$B310,'YTD Sales'!$M:$M,Brokerage!AC$4)+SUMIFS('YTD Purchases'!$H:$H,'YTD Purchases'!$C:$C,Brokerage!$B310,'YTD Purchases'!$G:$G,Brokerage!AC$4)</f>
        <v>0</v>
      </c>
      <c r="AD310" s="857">
        <f>+SUMIFS(PIB!AG:AG,PIB!AF:AF,Brokerage!AD$4,PIB!AA:AA,Brokerage!$B310)+SUMIFS('T-Bills'!AB:AB,'T-Bills'!AA:AA,Brokerage!AD$4,'T-Bills'!V:V,Brokerage!$B310)</f>
        <v>0</v>
      </c>
      <c r="AE310" s="857">
        <f>+SUMIFS(PIB!AH:AH,PIB!AG:AG,Brokerage!AE$4,PIB!AB:AB,Brokerage!$B310)+SUMIFS('T-Bills'!AC:AC,'T-Bills'!AB:AB,Brokerage!AE$4,'T-Bills'!W:W,Brokerage!$B310)</f>
        <v>0</v>
      </c>
      <c r="AF310" s="857">
        <f>+SUMIFS(PIB!AI:AI,PIB!AH:AH,Brokerage!AF$4,PIB!AC:AC,Brokerage!$B310)+SUMIFS('T-Bills'!AD:AD,'T-Bills'!AC:AC,Brokerage!AF$4,'T-Bills'!X:X,Brokerage!$B310)</f>
        <v>0</v>
      </c>
      <c r="AG310" s="857">
        <f t="shared" si="26"/>
        <v>0</v>
      </c>
      <c r="AH310" s="858">
        <f t="shared" si="28"/>
        <v>0</v>
      </c>
    </row>
    <row r="311" spans="2:34" x14ac:dyDescent="0.15">
      <c r="B311" s="661">
        <f t="shared" si="25"/>
        <v>44867</v>
      </c>
      <c r="C311" s="857">
        <f>SUMIFS('YTD Sales'!$N:$N,'YTD Sales'!$B:$B,Brokerage!$B311,'YTD Sales'!$M:$M,Brokerage!C$4)+SUMIFS('YTD Purchases'!$H:$H,'YTD Purchases'!$C:$C,Brokerage!$B311,'YTD Purchases'!$G:$G,Brokerage!C$4)</f>
        <v>0</v>
      </c>
      <c r="D311" s="857">
        <f>SUMIFS('YTD Sales'!$N:$N,'YTD Sales'!$B:$B,Brokerage!$B311,'YTD Sales'!$M:$M,Brokerage!D$4)+SUMIFS('YTD Purchases'!$H:$H,'YTD Purchases'!$C:$C,Brokerage!$B311,'YTD Purchases'!$G:$G,Brokerage!D$4)</f>
        <v>0</v>
      </c>
      <c r="E311" s="857">
        <f>SUMIFS('YTD Sales'!$N:$N,'YTD Sales'!$B:$B,Brokerage!$B311,'YTD Sales'!$M:$M,Brokerage!E$4)+SUMIFS('YTD Purchases'!$H:$H,'YTD Purchases'!$C:$C,Brokerage!$B311,'YTD Purchases'!$G:$G,Brokerage!E$4)</f>
        <v>0</v>
      </c>
      <c r="F311" s="857">
        <f>SUMIFS('YTD Sales'!$N:$N,'YTD Sales'!$B:$B,Brokerage!$B311,'YTD Sales'!$M:$M,Brokerage!F$4)+SUMIFS('YTD Purchases'!$H:$H,'YTD Purchases'!$C:$C,Brokerage!$B311,'YTD Purchases'!$G:$G,Brokerage!F$4)</f>
        <v>0</v>
      </c>
      <c r="G311" s="857">
        <f>SUMIFS('YTD Sales'!$N:$N,'YTD Sales'!$B:$B,Brokerage!$B311,'YTD Sales'!$M:$M,Brokerage!G$4)+SUMIFS('YTD Purchases'!$H:$H,'YTD Purchases'!$C:$C,Brokerage!$B311,'YTD Purchases'!$G:$G,Brokerage!G$4)</f>
        <v>0</v>
      </c>
      <c r="H311" s="857">
        <f>SUMIFS('YTD Sales'!$N:$N,'YTD Sales'!$B:$B,Brokerage!$B311,'YTD Sales'!$M:$M,Brokerage!H$4)+SUMIFS('YTD Purchases'!$H:$H,'YTD Purchases'!$C:$C,Brokerage!$B311,'YTD Purchases'!$G:$G,Brokerage!H$4)</f>
        <v>0</v>
      </c>
      <c r="I311" s="857">
        <f>SUMIFS('YTD Sales'!$N:$N,'YTD Sales'!$B:$B,Brokerage!$B311,'YTD Sales'!$M:$M,Brokerage!I$4)+SUMIFS('YTD Purchases'!$H:$H,'YTD Purchases'!$C:$C,Brokerage!$B311,'YTD Purchases'!$G:$G,Brokerage!I$4)</f>
        <v>0</v>
      </c>
      <c r="J311" s="857">
        <f>SUMIFS('YTD Sales'!$N:$N,'YTD Sales'!$B:$B,Brokerage!$B311,'YTD Sales'!$M:$M,Brokerage!J$4)+SUMIFS('YTD Purchases'!$H:$H,'YTD Purchases'!$C:$C,Brokerage!$B311,'YTD Purchases'!$G:$G,Brokerage!J$4)</f>
        <v>0</v>
      </c>
      <c r="K311" s="857">
        <f>SUMIFS('YTD Sales'!$N:$N,'YTD Sales'!$B:$B,Brokerage!$B311,'YTD Sales'!$M:$M,Brokerage!K$4)+SUMIFS('YTD Purchases'!$H:$H,'YTD Purchases'!$C:$C,Brokerage!$B311,'YTD Purchases'!$G:$G,Brokerage!K$4)</f>
        <v>0</v>
      </c>
      <c r="L311" s="857">
        <f>SUMIFS('YTD Sales'!$N:$N,'YTD Sales'!$B:$B,Brokerage!$B311,'YTD Sales'!$M:$M,Brokerage!L$4)+SUMIFS('YTD Purchases'!$H:$H,'YTD Purchases'!$C:$C,Brokerage!$B311,'YTD Purchases'!$G:$G,Brokerage!L$4)</f>
        <v>0</v>
      </c>
      <c r="M311" s="857">
        <f>SUMIFS('YTD Sales'!$N:$N,'YTD Sales'!$B:$B,Brokerage!$B311,'YTD Sales'!$M:$M,Brokerage!M$4)+SUMIFS('YTD Purchases'!$H:$H,'YTD Purchases'!$C:$C,Brokerage!$B311,'YTD Purchases'!$G:$G,Brokerage!M$4)</f>
        <v>0</v>
      </c>
      <c r="N311" s="857">
        <f>SUMIFS('YTD Sales'!$N:$N,'YTD Sales'!$B:$B,Brokerage!$B311,'YTD Sales'!$M:$M,Brokerage!N$4)+SUMIFS('YTD Purchases'!$H:$H,'YTD Purchases'!$C:$C,Brokerage!$B311,'YTD Purchases'!$G:$G,Brokerage!N$4)</f>
        <v>0</v>
      </c>
      <c r="O311" s="857">
        <f>SUMIFS('YTD Sales'!$N:$N,'YTD Sales'!$B:$B,Brokerage!$B311,'YTD Sales'!$M:$M,Brokerage!O$4)+SUMIFS('YTD Purchases'!$H:$H,'YTD Purchases'!$C:$C,Brokerage!$B311,'YTD Purchases'!$G:$G,Brokerage!O$4)</f>
        <v>0</v>
      </c>
      <c r="P311" s="857">
        <f>SUMIFS('YTD Sales'!$N:$N,'YTD Sales'!$B:$B,Brokerage!$B311,'YTD Sales'!$M:$M,Brokerage!P$4)+SUMIFS('YTD Purchases'!$H:$H,'YTD Purchases'!$C:$C,Brokerage!$B311,'YTD Purchases'!$G:$G,Brokerage!P$4)</f>
        <v>0</v>
      </c>
      <c r="Q311" s="857">
        <f>SUMIFS('YTD Sales'!$N:$N,'YTD Sales'!$B:$B,Brokerage!$B311,'YTD Sales'!$M:$M,Brokerage!Q$4)+SUMIFS('YTD Purchases'!$H:$H,'YTD Purchases'!$C:$C,Brokerage!$B311,'YTD Purchases'!$G:$G,Brokerage!Q$4)</f>
        <v>0</v>
      </c>
      <c r="R311" s="857">
        <f>SUMIFS('YTD Sales'!$N:$N,'YTD Sales'!$B:$B,Brokerage!$B311,'YTD Sales'!$M:$M,Brokerage!R$4)+SUMIFS('YTD Purchases'!$H:$H,'YTD Purchases'!$C:$C,Brokerage!$B311,'YTD Purchases'!$G:$G,Brokerage!R$4)</f>
        <v>0</v>
      </c>
      <c r="S311" s="857">
        <f>SUMIFS('YTD Sales'!$N:$N,'YTD Sales'!$B:$B,Brokerage!$B311,'YTD Sales'!$M:$M,Brokerage!S$4)+SUMIFS('YTD Purchases'!$H:$H,'YTD Purchases'!$C:$C,Brokerage!$B311,'YTD Purchases'!$G:$G,Brokerage!S$4)</f>
        <v>0</v>
      </c>
      <c r="T311" s="857">
        <f>SUMIFS('YTD Sales'!$N:$N,'YTD Sales'!$B:$B,Brokerage!$B311,'YTD Sales'!$M:$M,Brokerage!T$4)+SUMIFS('YTD Purchases'!$H:$H,'YTD Purchases'!$C:$C,Brokerage!$B311,'YTD Purchases'!$G:$G,Brokerage!T$4)</f>
        <v>0</v>
      </c>
      <c r="U311" s="857">
        <f>SUMIFS('YTD Sales'!$N:$N,'YTD Sales'!$B:$B,Brokerage!$B311,'YTD Sales'!$M:$M,Brokerage!U$4)+SUMIFS('YTD Purchases'!$H:$H,'YTD Purchases'!$C:$C,Brokerage!$B311,'YTD Purchases'!$G:$G,Brokerage!U$4)</f>
        <v>0</v>
      </c>
      <c r="V311" s="857">
        <f>SUMIFS('YTD Sales'!$N:$N,'YTD Sales'!$B:$B,Brokerage!$B311,'YTD Sales'!$M:$M,Brokerage!V$4)+SUMIFS('YTD Purchases'!$H:$H,'YTD Purchases'!$C:$C,Brokerage!$B311,'YTD Purchases'!$G:$G,Brokerage!V$4)</f>
        <v>0</v>
      </c>
      <c r="W311" s="857">
        <f>SUMIFS('YTD Sales'!$N:$N,'YTD Sales'!$B:$B,Brokerage!$B311,'YTD Sales'!$M:$M,Brokerage!W$4)+SUMIFS('YTD Purchases'!$H:$H,'YTD Purchases'!$C:$C,Brokerage!$B311,'YTD Purchases'!$G:$G,Brokerage!W$4)</f>
        <v>0</v>
      </c>
      <c r="X311" s="857">
        <f>SUMIFS('YTD Sales'!$N:$N,'YTD Sales'!$B:$B,Brokerage!$B311,'YTD Sales'!$M:$M,Brokerage!X$4)+SUMIFS('YTD Purchases'!$H:$H,'YTD Purchases'!$C:$C,Brokerage!$B311,'YTD Purchases'!$G:$G,Brokerage!X$4)</f>
        <v>0</v>
      </c>
      <c r="Y311" s="857">
        <f>SUMIFS('YTD Sales'!$N:$N,'YTD Sales'!$B:$B,Brokerage!$B311,'YTD Sales'!$M:$M,Brokerage!Y$4)+SUMIFS('YTD Purchases'!$H:$H,'YTD Purchases'!$C:$C,Brokerage!$B311,'YTD Purchases'!$G:$G,Brokerage!Y$4)</f>
        <v>0</v>
      </c>
      <c r="Z311" s="857">
        <f>SUMIFS('YTD Sales'!$N:$N,'YTD Sales'!$B:$B,Brokerage!$B311,'YTD Sales'!$M:$M,Brokerage!Z$4)+SUMIFS('YTD Purchases'!$H:$H,'YTD Purchases'!$C:$C,Brokerage!$B311,'YTD Purchases'!$G:$G,Brokerage!Z$4)</f>
        <v>0</v>
      </c>
      <c r="AA311" s="857">
        <f>SUMIFS('YTD Sales'!$N:$N,'YTD Sales'!$B:$B,Brokerage!$B311,'YTD Sales'!$M:$M,Brokerage!AA$4)+SUMIFS('YTD Purchases'!$H:$H,'YTD Purchases'!$C:$C,Brokerage!$B311,'YTD Purchases'!$G:$G,Brokerage!AA$4)</f>
        <v>0</v>
      </c>
      <c r="AB311" s="857">
        <f>SUMIFS('YTD Sales'!$N:$N,'YTD Sales'!$B:$B,Brokerage!$B311,'YTD Sales'!$M:$M,Brokerage!AB$4)+SUMIFS('YTD Purchases'!$H:$H,'YTD Purchases'!$C:$C,Brokerage!$B311,'YTD Purchases'!$G:$G,Brokerage!AB$4)</f>
        <v>0</v>
      </c>
      <c r="AC311" s="857">
        <f>SUMIFS('YTD Sales'!$N:$N,'YTD Sales'!$B:$B,Brokerage!$B311,'YTD Sales'!$M:$M,Brokerage!AC$4)+SUMIFS('YTD Purchases'!$H:$H,'YTD Purchases'!$C:$C,Brokerage!$B311,'YTD Purchases'!$G:$G,Brokerage!AC$4)</f>
        <v>0</v>
      </c>
      <c r="AD311" s="857">
        <f>+SUMIFS(PIB!AG:AG,PIB!AF:AF,Brokerage!AD$4,PIB!AA:AA,Brokerage!$B311)+SUMIFS('T-Bills'!AB:AB,'T-Bills'!AA:AA,Brokerage!AD$4,'T-Bills'!V:V,Brokerage!$B311)</f>
        <v>0</v>
      </c>
      <c r="AE311" s="857">
        <f>+SUMIFS(PIB!AH:AH,PIB!AG:AG,Brokerage!AE$4,PIB!AB:AB,Brokerage!$B311)+SUMIFS('T-Bills'!AC:AC,'T-Bills'!AB:AB,Brokerage!AE$4,'T-Bills'!W:W,Brokerage!$B311)</f>
        <v>0</v>
      </c>
      <c r="AF311" s="857">
        <f>+SUMIFS(PIB!AI:AI,PIB!AH:AH,Brokerage!AF$4,PIB!AC:AC,Brokerage!$B311)+SUMIFS('T-Bills'!AD:AD,'T-Bills'!AC:AC,Brokerage!AF$4,'T-Bills'!X:X,Brokerage!$B311)</f>
        <v>0</v>
      </c>
      <c r="AG311" s="857">
        <f t="shared" si="26"/>
        <v>0</v>
      </c>
      <c r="AH311" s="858">
        <f t="shared" si="28"/>
        <v>0</v>
      </c>
    </row>
    <row r="312" spans="2:34" x14ac:dyDescent="0.15">
      <c r="B312" s="661">
        <f t="shared" si="25"/>
        <v>44868</v>
      </c>
      <c r="C312" s="857">
        <f>SUMIFS('YTD Sales'!$N:$N,'YTD Sales'!$B:$B,Brokerage!$B312,'YTD Sales'!$M:$M,Brokerage!C$4)+SUMIFS('YTD Purchases'!$H:$H,'YTD Purchases'!$C:$C,Brokerage!$B312,'YTD Purchases'!$G:$G,Brokerage!C$4)</f>
        <v>0</v>
      </c>
      <c r="D312" s="857">
        <f>SUMIFS('YTD Sales'!$N:$N,'YTD Sales'!$B:$B,Brokerage!$B312,'YTD Sales'!$M:$M,Brokerage!D$4)+SUMIFS('YTD Purchases'!$H:$H,'YTD Purchases'!$C:$C,Brokerage!$B312,'YTD Purchases'!$G:$G,Brokerage!D$4)</f>
        <v>0</v>
      </c>
      <c r="E312" s="857">
        <f>SUMIFS('YTD Sales'!$N:$N,'YTD Sales'!$B:$B,Brokerage!$B312,'YTD Sales'!$M:$M,Brokerage!E$4)+SUMIFS('YTD Purchases'!$H:$H,'YTD Purchases'!$C:$C,Brokerage!$B312,'YTD Purchases'!$G:$G,Brokerage!E$4)</f>
        <v>0</v>
      </c>
      <c r="F312" s="857">
        <f>SUMIFS('YTD Sales'!$N:$N,'YTD Sales'!$B:$B,Brokerage!$B312,'YTD Sales'!$M:$M,Brokerage!F$4)+SUMIFS('YTD Purchases'!$H:$H,'YTD Purchases'!$C:$C,Brokerage!$B312,'YTD Purchases'!$G:$G,Brokerage!F$4)</f>
        <v>0</v>
      </c>
      <c r="G312" s="857">
        <f>SUMIFS('YTD Sales'!$N:$N,'YTD Sales'!$B:$B,Brokerage!$B312,'YTD Sales'!$M:$M,Brokerage!G$4)+SUMIFS('YTD Purchases'!$H:$H,'YTD Purchases'!$C:$C,Brokerage!$B312,'YTD Purchases'!$G:$G,Brokerage!G$4)</f>
        <v>0</v>
      </c>
      <c r="H312" s="857">
        <f>SUMIFS('YTD Sales'!$N:$N,'YTD Sales'!$B:$B,Brokerage!$B312,'YTD Sales'!$M:$M,Brokerage!H$4)+SUMIFS('YTD Purchases'!$H:$H,'YTD Purchases'!$C:$C,Brokerage!$B312,'YTD Purchases'!$G:$G,Brokerage!H$4)</f>
        <v>0</v>
      </c>
      <c r="I312" s="857">
        <f>SUMIFS('YTD Sales'!$N:$N,'YTD Sales'!$B:$B,Brokerage!$B312,'YTD Sales'!$M:$M,Brokerage!I$4)+SUMIFS('YTD Purchases'!$H:$H,'YTD Purchases'!$C:$C,Brokerage!$B312,'YTD Purchases'!$G:$G,Brokerage!I$4)</f>
        <v>0</v>
      </c>
      <c r="J312" s="857">
        <f>SUMIFS('YTD Sales'!$N:$N,'YTD Sales'!$B:$B,Brokerage!$B312,'YTD Sales'!$M:$M,Brokerage!J$4)+SUMIFS('YTD Purchases'!$H:$H,'YTD Purchases'!$C:$C,Brokerage!$B312,'YTD Purchases'!$G:$G,Brokerage!J$4)</f>
        <v>0</v>
      </c>
      <c r="K312" s="857">
        <f>SUMIFS('YTD Sales'!$N:$N,'YTD Sales'!$B:$B,Brokerage!$B312,'YTD Sales'!$M:$M,Brokerage!K$4)+SUMIFS('YTD Purchases'!$H:$H,'YTD Purchases'!$C:$C,Brokerage!$B312,'YTD Purchases'!$G:$G,Brokerage!K$4)</f>
        <v>0</v>
      </c>
      <c r="L312" s="857">
        <f>SUMIFS('YTD Sales'!$N:$N,'YTD Sales'!$B:$B,Brokerage!$B312,'YTD Sales'!$M:$M,Brokerage!L$4)+SUMIFS('YTD Purchases'!$H:$H,'YTD Purchases'!$C:$C,Brokerage!$B312,'YTD Purchases'!$G:$G,Brokerage!L$4)</f>
        <v>0</v>
      </c>
      <c r="M312" s="857">
        <f>SUMIFS('YTD Sales'!$N:$N,'YTD Sales'!$B:$B,Brokerage!$B312,'YTD Sales'!$M:$M,Brokerage!M$4)+SUMIFS('YTD Purchases'!$H:$H,'YTD Purchases'!$C:$C,Brokerage!$B312,'YTD Purchases'!$G:$G,Brokerage!M$4)</f>
        <v>0</v>
      </c>
      <c r="N312" s="857">
        <f>SUMIFS('YTD Sales'!$N:$N,'YTD Sales'!$B:$B,Brokerage!$B312,'YTD Sales'!$M:$M,Brokerage!N$4)+SUMIFS('YTD Purchases'!$H:$H,'YTD Purchases'!$C:$C,Brokerage!$B312,'YTD Purchases'!$G:$G,Brokerage!N$4)</f>
        <v>0</v>
      </c>
      <c r="O312" s="857">
        <f>SUMIFS('YTD Sales'!$N:$N,'YTD Sales'!$B:$B,Brokerage!$B312,'YTD Sales'!$M:$M,Brokerage!O$4)+SUMIFS('YTD Purchases'!$H:$H,'YTD Purchases'!$C:$C,Brokerage!$B312,'YTD Purchases'!$G:$G,Brokerage!O$4)</f>
        <v>0</v>
      </c>
      <c r="P312" s="857">
        <f>SUMIFS('YTD Sales'!$N:$N,'YTD Sales'!$B:$B,Brokerage!$B312,'YTD Sales'!$M:$M,Brokerage!P$4)+SUMIFS('YTD Purchases'!$H:$H,'YTD Purchases'!$C:$C,Brokerage!$B312,'YTD Purchases'!$G:$G,Brokerage!P$4)</f>
        <v>0</v>
      </c>
      <c r="Q312" s="857">
        <f>SUMIFS('YTD Sales'!$N:$N,'YTD Sales'!$B:$B,Brokerage!$B312,'YTD Sales'!$M:$M,Brokerage!Q$4)+SUMIFS('YTD Purchases'!$H:$H,'YTD Purchases'!$C:$C,Brokerage!$B312,'YTD Purchases'!$G:$G,Brokerage!Q$4)</f>
        <v>0</v>
      </c>
      <c r="R312" s="857">
        <f>SUMIFS('YTD Sales'!$N:$N,'YTD Sales'!$B:$B,Brokerage!$B312,'YTD Sales'!$M:$M,Brokerage!R$4)+SUMIFS('YTD Purchases'!$H:$H,'YTD Purchases'!$C:$C,Brokerage!$B312,'YTD Purchases'!$G:$G,Brokerage!R$4)</f>
        <v>0</v>
      </c>
      <c r="S312" s="857">
        <f>SUMIFS('YTD Sales'!$N:$N,'YTD Sales'!$B:$B,Brokerage!$B312,'YTD Sales'!$M:$M,Brokerage!S$4)+SUMIFS('YTD Purchases'!$H:$H,'YTD Purchases'!$C:$C,Brokerage!$B312,'YTD Purchases'!$G:$G,Brokerage!S$4)</f>
        <v>0</v>
      </c>
      <c r="T312" s="857">
        <f>SUMIFS('YTD Sales'!$N:$N,'YTD Sales'!$B:$B,Brokerage!$B312,'YTD Sales'!$M:$M,Brokerage!T$4)+SUMIFS('YTD Purchases'!$H:$H,'YTD Purchases'!$C:$C,Brokerage!$B312,'YTD Purchases'!$G:$G,Brokerage!T$4)</f>
        <v>0</v>
      </c>
      <c r="U312" s="857">
        <f>SUMIFS('YTD Sales'!$N:$N,'YTD Sales'!$B:$B,Brokerage!$B312,'YTD Sales'!$M:$M,Brokerage!U$4)+SUMIFS('YTD Purchases'!$H:$H,'YTD Purchases'!$C:$C,Brokerage!$B312,'YTD Purchases'!$G:$G,Brokerage!U$4)</f>
        <v>0</v>
      </c>
      <c r="V312" s="857">
        <f>SUMIFS('YTD Sales'!$N:$N,'YTD Sales'!$B:$B,Brokerage!$B312,'YTD Sales'!$M:$M,Brokerage!V$4)+SUMIFS('YTD Purchases'!$H:$H,'YTD Purchases'!$C:$C,Brokerage!$B312,'YTD Purchases'!$G:$G,Brokerage!V$4)</f>
        <v>0</v>
      </c>
      <c r="W312" s="857">
        <f>SUMIFS('YTD Sales'!$N:$N,'YTD Sales'!$B:$B,Brokerage!$B312,'YTD Sales'!$M:$M,Brokerage!W$4)+SUMIFS('YTD Purchases'!$H:$H,'YTD Purchases'!$C:$C,Brokerage!$B312,'YTD Purchases'!$G:$G,Brokerage!W$4)</f>
        <v>0</v>
      </c>
      <c r="X312" s="857">
        <f>SUMIFS('YTD Sales'!$N:$N,'YTD Sales'!$B:$B,Brokerage!$B312,'YTD Sales'!$M:$M,Brokerage!X$4)+SUMIFS('YTD Purchases'!$H:$H,'YTD Purchases'!$C:$C,Brokerage!$B312,'YTD Purchases'!$G:$G,Brokerage!X$4)</f>
        <v>0</v>
      </c>
      <c r="Y312" s="857">
        <f>SUMIFS('YTD Sales'!$N:$N,'YTD Sales'!$B:$B,Brokerage!$B312,'YTD Sales'!$M:$M,Brokerage!Y$4)+SUMIFS('YTD Purchases'!$H:$H,'YTD Purchases'!$C:$C,Brokerage!$B312,'YTD Purchases'!$G:$G,Brokerage!Y$4)</f>
        <v>0</v>
      </c>
      <c r="Z312" s="857">
        <f>SUMIFS('YTD Sales'!$N:$N,'YTD Sales'!$B:$B,Brokerage!$B312,'YTD Sales'!$M:$M,Brokerage!Z$4)+SUMIFS('YTD Purchases'!$H:$H,'YTD Purchases'!$C:$C,Brokerage!$B312,'YTD Purchases'!$G:$G,Brokerage!Z$4)</f>
        <v>0</v>
      </c>
      <c r="AA312" s="857">
        <f>SUMIFS('YTD Sales'!$N:$N,'YTD Sales'!$B:$B,Brokerage!$B312,'YTD Sales'!$M:$M,Brokerage!AA$4)+SUMIFS('YTD Purchases'!$H:$H,'YTD Purchases'!$C:$C,Brokerage!$B312,'YTD Purchases'!$G:$G,Brokerage!AA$4)</f>
        <v>0</v>
      </c>
      <c r="AB312" s="857">
        <f>SUMIFS('YTD Sales'!$N:$N,'YTD Sales'!$B:$B,Brokerage!$B312,'YTD Sales'!$M:$M,Brokerage!AB$4)+SUMIFS('YTD Purchases'!$H:$H,'YTD Purchases'!$C:$C,Brokerage!$B312,'YTD Purchases'!$G:$G,Brokerage!AB$4)</f>
        <v>0</v>
      </c>
      <c r="AC312" s="857">
        <f>SUMIFS('YTD Sales'!$N:$N,'YTD Sales'!$B:$B,Brokerage!$B312,'YTD Sales'!$M:$M,Brokerage!AC$4)+SUMIFS('YTD Purchases'!$H:$H,'YTD Purchases'!$C:$C,Brokerage!$B312,'YTD Purchases'!$G:$G,Brokerage!AC$4)</f>
        <v>0</v>
      </c>
      <c r="AD312" s="857">
        <f>+SUMIFS(PIB!AG:AG,PIB!AF:AF,Brokerage!AD$4,PIB!AA:AA,Brokerage!$B312)+SUMIFS('T-Bills'!AB:AB,'T-Bills'!AA:AA,Brokerage!AD$4,'T-Bills'!V:V,Brokerage!$B312)</f>
        <v>0</v>
      </c>
      <c r="AE312" s="857">
        <f>+SUMIFS(PIB!AH:AH,PIB!AG:AG,Brokerage!AE$4,PIB!AB:AB,Brokerage!$B312)+SUMIFS('T-Bills'!AC:AC,'T-Bills'!AB:AB,Brokerage!AE$4,'T-Bills'!W:W,Brokerage!$B312)</f>
        <v>0</v>
      </c>
      <c r="AF312" s="857">
        <f>+SUMIFS(PIB!AI:AI,PIB!AH:AH,Brokerage!AF$4,PIB!AC:AC,Brokerage!$B312)+SUMIFS('T-Bills'!AD:AD,'T-Bills'!AC:AC,Brokerage!AF$4,'T-Bills'!X:X,Brokerage!$B312)</f>
        <v>0</v>
      </c>
      <c r="AG312" s="857">
        <f t="shared" si="26"/>
        <v>0</v>
      </c>
      <c r="AH312" s="858">
        <f t="shared" si="28"/>
        <v>0</v>
      </c>
    </row>
    <row r="313" spans="2:34" x14ac:dyDescent="0.15">
      <c r="B313" s="661">
        <f t="shared" si="25"/>
        <v>44869</v>
      </c>
      <c r="C313" s="857">
        <f>SUMIFS('YTD Sales'!$N:$N,'YTD Sales'!$B:$B,Brokerage!$B313,'YTD Sales'!$M:$M,Brokerage!C$4)+SUMIFS('YTD Purchases'!$H:$H,'YTD Purchases'!$C:$C,Brokerage!$B313,'YTD Purchases'!$G:$G,Brokerage!C$4)</f>
        <v>0</v>
      </c>
      <c r="D313" s="857">
        <f>SUMIFS('YTD Sales'!$N:$N,'YTD Sales'!$B:$B,Brokerage!$B313,'YTD Sales'!$M:$M,Brokerage!D$4)+SUMIFS('YTD Purchases'!$H:$H,'YTD Purchases'!$C:$C,Brokerage!$B313,'YTD Purchases'!$G:$G,Brokerage!D$4)</f>
        <v>0</v>
      </c>
      <c r="E313" s="857">
        <f>SUMIFS('YTD Sales'!$N:$N,'YTD Sales'!$B:$B,Brokerage!$B313,'YTD Sales'!$M:$M,Brokerage!E$4)+SUMIFS('YTD Purchases'!$H:$H,'YTD Purchases'!$C:$C,Brokerage!$B313,'YTD Purchases'!$G:$G,Brokerage!E$4)</f>
        <v>0</v>
      </c>
      <c r="F313" s="857">
        <f>SUMIFS('YTD Sales'!$N:$N,'YTD Sales'!$B:$B,Brokerage!$B313,'YTD Sales'!$M:$M,Brokerage!F$4)+SUMIFS('YTD Purchases'!$H:$H,'YTD Purchases'!$C:$C,Brokerage!$B313,'YTD Purchases'!$G:$G,Brokerage!F$4)</f>
        <v>0</v>
      </c>
      <c r="G313" s="857">
        <f>SUMIFS('YTD Sales'!$N:$N,'YTD Sales'!$B:$B,Brokerage!$B313,'YTD Sales'!$M:$M,Brokerage!G$4)+SUMIFS('YTD Purchases'!$H:$H,'YTD Purchases'!$C:$C,Brokerage!$B313,'YTD Purchases'!$G:$G,Brokerage!G$4)</f>
        <v>0</v>
      </c>
      <c r="H313" s="857">
        <f>SUMIFS('YTD Sales'!$N:$N,'YTD Sales'!$B:$B,Brokerage!$B313,'YTD Sales'!$M:$M,Brokerage!H$4)+SUMIFS('YTD Purchases'!$H:$H,'YTD Purchases'!$C:$C,Brokerage!$B313,'YTD Purchases'!$G:$G,Brokerage!H$4)</f>
        <v>0</v>
      </c>
      <c r="I313" s="857">
        <f>SUMIFS('YTD Sales'!$N:$N,'YTD Sales'!$B:$B,Brokerage!$B313,'YTD Sales'!$M:$M,Brokerage!I$4)+SUMIFS('YTD Purchases'!$H:$H,'YTD Purchases'!$C:$C,Brokerage!$B313,'YTD Purchases'!$G:$G,Brokerage!I$4)</f>
        <v>0</v>
      </c>
      <c r="J313" s="857">
        <f>SUMIFS('YTD Sales'!$N:$N,'YTD Sales'!$B:$B,Brokerage!$B313,'YTD Sales'!$M:$M,Brokerage!J$4)+SUMIFS('YTD Purchases'!$H:$H,'YTD Purchases'!$C:$C,Brokerage!$B313,'YTD Purchases'!$G:$G,Brokerage!J$4)</f>
        <v>0</v>
      </c>
      <c r="K313" s="857">
        <f>SUMIFS('YTD Sales'!$N:$N,'YTD Sales'!$B:$B,Brokerage!$B313,'YTD Sales'!$M:$M,Brokerage!K$4)+SUMIFS('YTD Purchases'!$H:$H,'YTD Purchases'!$C:$C,Brokerage!$B313,'YTD Purchases'!$G:$G,Brokerage!K$4)</f>
        <v>0</v>
      </c>
      <c r="L313" s="857">
        <f>SUMIFS('YTD Sales'!$N:$N,'YTD Sales'!$B:$B,Brokerage!$B313,'YTD Sales'!$M:$M,Brokerage!L$4)+SUMIFS('YTD Purchases'!$H:$H,'YTD Purchases'!$C:$C,Brokerage!$B313,'YTD Purchases'!$G:$G,Brokerage!L$4)</f>
        <v>0</v>
      </c>
      <c r="M313" s="857">
        <f>SUMIFS('YTD Sales'!$N:$N,'YTD Sales'!$B:$B,Brokerage!$B313,'YTD Sales'!$M:$M,Brokerage!M$4)+SUMIFS('YTD Purchases'!$H:$H,'YTD Purchases'!$C:$C,Brokerage!$B313,'YTD Purchases'!$G:$G,Brokerage!M$4)</f>
        <v>0</v>
      </c>
      <c r="N313" s="857">
        <f>SUMIFS('YTD Sales'!$N:$N,'YTD Sales'!$B:$B,Brokerage!$B313,'YTD Sales'!$M:$M,Brokerage!N$4)+SUMIFS('YTD Purchases'!$H:$H,'YTD Purchases'!$C:$C,Brokerage!$B313,'YTD Purchases'!$G:$G,Brokerage!N$4)</f>
        <v>0</v>
      </c>
      <c r="O313" s="857">
        <f>SUMIFS('YTD Sales'!$N:$N,'YTD Sales'!$B:$B,Brokerage!$B313,'YTD Sales'!$M:$M,Brokerage!O$4)+SUMIFS('YTD Purchases'!$H:$H,'YTD Purchases'!$C:$C,Brokerage!$B313,'YTD Purchases'!$G:$G,Brokerage!O$4)</f>
        <v>0</v>
      </c>
      <c r="P313" s="857">
        <f>SUMIFS('YTD Sales'!$N:$N,'YTD Sales'!$B:$B,Brokerage!$B313,'YTD Sales'!$M:$M,Brokerage!P$4)+SUMIFS('YTD Purchases'!$H:$H,'YTD Purchases'!$C:$C,Brokerage!$B313,'YTD Purchases'!$G:$G,Brokerage!P$4)</f>
        <v>0</v>
      </c>
      <c r="Q313" s="857">
        <f>SUMIFS('YTD Sales'!$N:$N,'YTD Sales'!$B:$B,Brokerage!$B313,'YTD Sales'!$M:$M,Brokerage!Q$4)+SUMIFS('YTD Purchases'!$H:$H,'YTD Purchases'!$C:$C,Brokerage!$B313,'YTD Purchases'!$G:$G,Brokerage!Q$4)</f>
        <v>0</v>
      </c>
      <c r="R313" s="857">
        <f>SUMIFS('YTD Sales'!$N:$N,'YTD Sales'!$B:$B,Brokerage!$B313,'YTD Sales'!$M:$M,Brokerage!R$4)+SUMIFS('YTD Purchases'!$H:$H,'YTD Purchases'!$C:$C,Brokerage!$B313,'YTD Purchases'!$G:$G,Brokerage!R$4)</f>
        <v>0</v>
      </c>
      <c r="S313" s="857">
        <f>SUMIFS('YTD Sales'!$N:$N,'YTD Sales'!$B:$B,Brokerage!$B313,'YTD Sales'!$M:$M,Brokerage!S$4)+SUMIFS('YTD Purchases'!$H:$H,'YTD Purchases'!$C:$C,Brokerage!$B313,'YTD Purchases'!$G:$G,Brokerage!S$4)</f>
        <v>0</v>
      </c>
      <c r="T313" s="857">
        <f>SUMIFS('YTD Sales'!$N:$N,'YTD Sales'!$B:$B,Brokerage!$B313,'YTD Sales'!$M:$M,Brokerage!T$4)+SUMIFS('YTD Purchases'!$H:$H,'YTD Purchases'!$C:$C,Brokerage!$B313,'YTD Purchases'!$G:$G,Brokerage!T$4)</f>
        <v>0</v>
      </c>
      <c r="U313" s="857">
        <f>SUMIFS('YTD Sales'!$N:$N,'YTD Sales'!$B:$B,Brokerage!$B313,'YTD Sales'!$M:$M,Brokerage!U$4)+SUMIFS('YTD Purchases'!$H:$H,'YTD Purchases'!$C:$C,Brokerage!$B313,'YTD Purchases'!$G:$G,Brokerage!U$4)</f>
        <v>0</v>
      </c>
      <c r="V313" s="857">
        <f>SUMIFS('YTD Sales'!$N:$N,'YTD Sales'!$B:$B,Brokerage!$B313,'YTD Sales'!$M:$M,Brokerage!V$4)+SUMIFS('YTD Purchases'!$H:$H,'YTD Purchases'!$C:$C,Brokerage!$B313,'YTD Purchases'!$G:$G,Brokerage!V$4)</f>
        <v>0</v>
      </c>
      <c r="W313" s="857">
        <f>SUMIFS('YTD Sales'!$N:$N,'YTD Sales'!$B:$B,Brokerage!$B313,'YTD Sales'!$M:$M,Brokerage!W$4)+SUMIFS('YTD Purchases'!$H:$H,'YTD Purchases'!$C:$C,Brokerage!$B313,'YTD Purchases'!$G:$G,Brokerage!W$4)</f>
        <v>0</v>
      </c>
      <c r="X313" s="857">
        <f>SUMIFS('YTD Sales'!$N:$N,'YTD Sales'!$B:$B,Brokerage!$B313,'YTD Sales'!$M:$M,Brokerage!X$4)+SUMIFS('YTD Purchases'!$H:$H,'YTD Purchases'!$C:$C,Brokerage!$B313,'YTD Purchases'!$G:$G,Brokerage!X$4)</f>
        <v>0</v>
      </c>
      <c r="Y313" s="857">
        <f>SUMIFS('YTD Sales'!$N:$N,'YTD Sales'!$B:$B,Brokerage!$B313,'YTD Sales'!$M:$M,Brokerage!Y$4)+SUMIFS('YTD Purchases'!$H:$H,'YTD Purchases'!$C:$C,Brokerage!$B313,'YTD Purchases'!$G:$G,Brokerage!Y$4)</f>
        <v>0</v>
      </c>
      <c r="Z313" s="857">
        <f>SUMIFS('YTD Sales'!$N:$N,'YTD Sales'!$B:$B,Brokerage!$B313,'YTD Sales'!$M:$M,Brokerage!Z$4)+SUMIFS('YTD Purchases'!$H:$H,'YTD Purchases'!$C:$C,Brokerage!$B313,'YTD Purchases'!$G:$G,Brokerage!Z$4)</f>
        <v>0</v>
      </c>
      <c r="AA313" s="857">
        <f>SUMIFS('YTD Sales'!$N:$N,'YTD Sales'!$B:$B,Brokerage!$B313,'YTD Sales'!$M:$M,Brokerage!AA$4)+SUMIFS('YTD Purchases'!$H:$H,'YTD Purchases'!$C:$C,Brokerage!$B313,'YTD Purchases'!$G:$G,Brokerage!AA$4)</f>
        <v>0</v>
      </c>
      <c r="AB313" s="857">
        <f>SUMIFS('YTD Sales'!$N:$N,'YTD Sales'!$B:$B,Brokerage!$B313,'YTD Sales'!$M:$M,Brokerage!AB$4)+SUMIFS('YTD Purchases'!$H:$H,'YTD Purchases'!$C:$C,Brokerage!$B313,'YTD Purchases'!$G:$G,Brokerage!AB$4)</f>
        <v>0</v>
      </c>
      <c r="AC313" s="857">
        <f>SUMIFS('YTD Sales'!$N:$N,'YTD Sales'!$B:$B,Brokerage!$B313,'YTD Sales'!$M:$M,Brokerage!AC$4)+SUMIFS('YTD Purchases'!$H:$H,'YTD Purchases'!$C:$C,Brokerage!$B313,'YTD Purchases'!$G:$G,Brokerage!AC$4)</f>
        <v>0</v>
      </c>
      <c r="AD313" s="857">
        <f>+SUMIFS(PIB!AG:AG,PIB!AF:AF,Brokerage!AD$4,PIB!AA:AA,Brokerage!$B313)+SUMIFS('T-Bills'!AB:AB,'T-Bills'!AA:AA,Brokerage!AD$4,'T-Bills'!V:V,Brokerage!$B313)</f>
        <v>0</v>
      </c>
      <c r="AE313" s="857">
        <f>+SUMIFS(PIB!AH:AH,PIB!AG:AG,Brokerage!AE$4,PIB!AB:AB,Brokerage!$B313)+SUMIFS('T-Bills'!AC:AC,'T-Bills'!AB:AB,Brokerage!AE$4,'T-Bills'!W:W,Brokerage!$B313)</f>
        <v>0</v>
      </c>
      <c r="AF313" s="857">
        <f>+SUMIFS(PIB!AI:AI,PIB!AH:AH,Brokerage!AF$4,PIB!AC:AC,Brokerage!$B313)+SUMIFS('T-Bills'!AD:AD,'T-Bills'!AC:AC,Brokerage!AF$4,'T-Bills'!X:X,Brokerage!$B313)</f>
        <v>0</v>
      </c>
      <c r="AG313" s="857">
        <f t="shared" si="26"/>
        <v>0</v>
      </c>
      <c r="AH313" s="858">
        <f t="shared" si="28"/>
        <v>0</v>
      </c>
    </row>
    <row r="314" spans="2:34" x14ac:dyDescent="0.15">
      <c r="B314" s="661">
        <f t="shared" si="25"/>
        <v>44870</v>
      </c>
      <c r="C314" s="857">
        <f>SUMIFS('YTD Sales'!$N:$N,'YTD Sales'!$B:$B,Brokerage!$B314,'YTD Sales'!$M:$M,Brokerage!C$4)+SUMIFS('YTD Purchases'!$H:$H,'YTD Purchases'!$C:$C,Brokerage!$B314,'YTD Purchases'!$G:$G,Brokerage!C$4)</f>
        <v>0</v>
      </c>
      <c r="D314" s="857">
        <f>SUMIFS('YTD Sales'!$N:$N,'YTD Sales'!$B:$B,Brokerage!$B314,'YTD Sales'!$M:$M,Brokerage!D$4)+SUMIFS('YTD Purchases'!$H:$H,'YTD Purchases'!$C:$C,Brokerage!$B314,'YTD Purchases'!$G:$G,Brokerage!D$4)</f>
        <v>0</v>
      </c>
      <c r="E314" s="857">
        <f>SUMIFS('YTD Sales'!$N:$N,'YTD Sales'!$B:$B,Brokerage!$B314,'YTD Sales'!$M:$M,Brokerage!E$4)+SUMIFS('YTD Purchases'!$H:$H,'YTD Purchases'!$C:$C,Brokerage!$B314,'YTD Purchases'!$G:$G,Brokerage!E$4)</f>
        <v>0</v>
      </c>
      <c r="F314" s="857">
        <f>SUMIFS('YTD Sales'!$N:$N,'YTD Sales'!$B:$B,Brokerage!$B314,'YTD Sales'!$M:$M,Brokerage!F$4)+SUMIFS('YTD Purchases'!$H:$H,'YTD Purchases'!$C:$C,Brokerage!$B314,'YTD Purchases'!$G:$G,Brokerage!F$4)</f>
        <v>0</v>
      </c>
      <c r="G314" s="857">
        <f>SUMIFS('YTD Sales'!$N:$N,'YTD Sales'!$B:$B,Brokerage!$B314,'YTD Sales'!$M:$M,Brokerage!G$4)+SUMIFS('YTD Purchases'!$H:$H,'YTD Purchases'!$C:$C,Brokerage!$B314,'YTD Purchases'!$G:$G,Brokerage!G$4)</f>
        <v>0</v>
      </c>
      <c r="H314" s="857">
        <f>SUMIFS('YTD Sales'!$N:$N,'YTD Sales'!$B:$B,Brokerage!$B314,'YTD Sales'!$M:$M,Brokerage!H$4)+SUMIFS('YTD Purchases'!$H:$H,'YTD Purchases'!$C:$C,Brokerage!$B314,'YTD Purchases'!$G:$G,Brokerage!H$4)</f>
        <v>0</v>
      </c>
      <c r="I314" s="857">
        <f>SUMIFS('YTD Sales'!$N:$N,'YTD Sales'!$B:$B,Brokerage!$B314,'YTD Sales'!$M:$M,Brokerage!I$4)+SUMIFS('YTD Purchases'!$H:$H,'YTD Purchases'!$C:$C,Brokerage!$B314,'YTD Purchases'!$G:$G,Brokerage!I$4)</f>
        <v>0</v>
      </c>
      <c r="J314" s="857">
        <f>SUMIFS('YTD Sales'!$N:$N,'YTD Sales'!$B:$B,Brokerage!$B314,'YTD Sales'!$M:$M,Brokerage!J$4)+SUMIFS('YTD Purchases'!$H:$H,'YTD Purchases'!$C:$C,Brokerage!$B314,'YTD Purchases'!$G:$G,Brokerage!J$4)</f>
        <v>0</v>
      </c>
      <c r="K314" s="857">
        <f>SUMIFS('YTD Sales'!$N:$N,'YTD Sales'!$B:$B,Brokerage!$B314,'YTD Sales'!$M:$M,Brokerage!K$4)+SUMIFS('YTD Purchases'!$H:$H,'YTD Purchases'!$C:$C,Brokerage!$B314,'YTD Purchases'!$G:$G,Brokerage!K$4)</f>
        <v>0</v>
      </c>
      <c r="L314" s="857">
        <f>SUMIFS('YTD Sales'!$N:$N,'YTD Sales'!$B:$B,Brokerage!$B314,'YTD Sales'!$M:$M,Brokerage!L$4)+SUMIFS('YTD Purchases'!$H:$H,'YTD Purchases'!$C:$C,Brokerage!$B314,'YTD Purchases'!$G:$G,Brokerage!L$4)</f>
        <v>0</v>
      </c>
      <c r="M314" s="857">
        <f>SUMIFS('YTD Sales'!$N:$N,'YTD Sales'!$B:$B,Brokerage!$B314,'YTD Sales'!$M:$M,Brokerage!M$4)+SUMIFS('YTD Purchases'!$H:$H,'YTD Purchases'!$C:$C,Brokerage!$B314,'YTD Purchases'!$G:$G,Brokerage!M$4)</f>
        <v>0</v>
      </c>
      <c r="N314" s="857">
        <f>SUMIFS('YTD Sales'!$N:$N,'YTD Sales'!$B:$B,Brokerage!$B314,'YTD Sales'!$M:$M,Brokerage!N$4)+SUMIFS('YTD Purchases'!$H:$H,'YTD Purchases'!$C:$C,Brokerage!$B314,'YTD Purchases'!$G:$G,Brokerage!N$4)</f>
        <v>0</v>
      </c>
      <c r="O314" s="857">
        <f>SUMIFS('YTD Sales'!$N:$N,'YTD Sales'!$B:$B,Brokerage!$B314,'YTD Sales'!$M:$M,Brokerage!O$4)+SUMIFS('YTD Purchases'!$H:$H,'YTD Purchases'!$C:$C,Brokerage!$B314,'YTD Purchases'!$G:$G,Brokerage!O$4)</f>
        <v>0</v>
      </c>
      <c r="P314" s="857">
        <f>SUMIFS('YTD Sales'!$N:$N,'YTD Sales'!$B:$B,Brokerage!$B314,'YTD Sales'!$M:$M,Brokerage!P$4)+SUMIFS('YTD Purchases'!$H:$H,'YTD Purchases'!$C:$C,Brokerage!$B314,'YTD Purchases'!$G:$G,Brokerage!P$4)</f>
        <v>0</v>
      </c>
      <c r="Q314" s="857">
        <f>SUMIFS('YTD Sales'!$N:$N,'YTD Sales'!$B:$B,Brokerage!$B314,'YTD Sales'!$M:$M,Brokerage!Q$4)+SUMIFS('YTD Purchases'!$H:$H,'YTD Purchases'!$C:$C,Brokerage!$B314,'YTD Purchases'!$G:$G,Brokerage!Q$4)</f>
        <v>0</v>
      </c>
      <c r="R314" s="857">
        <f>SUMIFS('YTD Sales'!$N:$N,'YTD Sales'!$B:$B,Brokerage!$B314,'YTD Sales'!$M:$M,Brokerage!R$4)+SUMIFS('YTD Purchases'!$H:$H,'YTD Purchases'!$C:$C,Brokerage!$B314,'YTD Purchases'!$G:$G,Brokerage!R$4)</f>
        <v>0</v>
      </c>
      <c r="S314" s="857">
        <f>SUMIFS('YTD Sales'!$N:$N,'YTD Sales'!$B:$B,Brokerage!$B314,'YTD Sales'!$M:$M,Brokerage!S$4)+SUMIFS('YTD Purchases'!$H:$H,'YTD Purchases'!$C:$C,Brokerage!$B314,'YTD Purchases'!$G:$G,Brokerage!S$4)</f>
        <v>0</v>
      </c>
      <c r="T314" s="857">
        <f>SUMIFS('YTD Sales'!$N:$N,'YTD Sales'!$B:$B,Brokerage!$B314,'YTD Sales'!$M:$M,Brokerage!T$4)+SUMIFS('YTD Purchases'!$H:$H,'YTD Purchases'!$C:$C,Brokerage!$B314,'YTD Purchases'!$G:$G,Brokerage!T$4)</f>
        <v>0</v>
      </c>
      <c r="U314" s="857">
        <f>SUMIFS('YTD Sales'!$N:$N,'YTD Sales'!$B:$B,Brokerage!$B314,'YTD Sales'!$M:$M,Brokerage!U$4)+SUMIFS('YTD Purchases'!$H:$H,'YTD Purchases'!$C:$C,Brokerage!$B314,'YTD Purchases'!$G:$G,Brokerage!U$4)</f>
        <v>0</v>
      </c>
      <c r="V314" s="857">
        <f>SUMIFS('YTD Sales'!$N:$N,'YTD Sales'!$B:$B,Brokerage!$B314,'YTD Sales'!$M:$M,Brokerage!V$4)+SUMIFS('YTD Purchases'!$H:$H,'YTD Purchases'!$C:$C,Brokerage!$B314,'YTD Purchases'!$G:$G,Brokerage!V$4)</f>
        <v>0</v>
      </c>
      <c r="W314" s="857">
        <f>SUMIFS('YTD Sales'!$N:$N,'YTD Sales'!$B:$B,Brokerage!$B314,'YTD Sales'!$M:$M,Brokerage!W$4)+SUMIFS('YTD Purchases'!$H:$H,'YTD Purchases'!$C:$C,Brokerage!$B314,'YTD Purchases'!$G:$G,Brokerage!W$4)</f>
        <v>0</v>
      </c>
      <c r="X314" s="857">
        <f>SUMIFS('YTD Sales'!$N:$N,'YTD Sales'!$B:$B,Brokerage!$B314,'YTD Sales'!$M:$M,Brokerage!X$4)+SUMIFS('YTD Purchases'!$H:$H,'YTD Purchases'!$C:$C,Brokerage!$B314,'YTD Purchases'!$G:$G,Brokerage!X$4)</f>
        <v>0</v>
      </c>
      <c r="Y314" s="857">
        <f>SUMIFS('YTD Sales'!$N:$N,'YTD Sales'!$B:$B,Brokerage!$B314,'YTD Sales'!$M:$M,Brokerage!Y$4)+SUMIFS('YTD Purchases'!$H:$H,'YTD Purchases'!$C:$C,Brokerage!$B314,'YTD Purchases'!$G:$G,Brokerage!Y$4)</f>
        <v>0</v>
      </c>
      <c r="Z314" s="857">
        <f>SUMIFS('YTD Sales'!$N:$N,'YTD Sales'!$B:$B,Brokerage!$B314,'YTD Sales'!$M:$M,Brokerage!Z$4)+SUMIFS('YTD Purchases'!$H:$H,'YTD Purchases'!$C:$C,Brokerage!$B314,'YTD Purchases'!$G:$G,Brokerage!Z$4)</f>
        <v>0</v>
      </c>
      <c r="AA314" s="857">
        <f>SUMIFS('YTD Sales'!$N:$N,'YTD Sales'!$B:$B,Brokerage!$B314,'YTD Sales'!$M:$M,Brokerage!AA$4)+SUMIFS('YTD Purchases'!$H:$H,'YTD Purchases'!$C:$C,Brokerage!$B314,'YTD Purchases'!$G:$G,Brokerage!AA$4)</f>
        <v>0</v>
      </c>
      <c r="AB314" s="857">
        <f>SUMIFS('YTD Sales'!$N:$N,'YTD Sales'!$B:$B,Brokerage!$B314,'YTD Sales'!$M:$M,Brokerage!AB$4)+SUMIFS('YTD Purchases'!$H:$H,'YTD Purchases'!$C:$C,Brokerage!$B314,'YTD Purchases'!$G:$G,Brokerage!AB$4)</f>
        <v>0</v>
      </c>
      <c r="AC314" s="857">
        <f>SUMIFS('YTD Sales'!$N:$N,'YTD Sales'!$B:$B,Brokerage!$B314,'YTD Sales'!$M:$M,Brokerage!AC$4)+SUMIFS('YTD Purchases'!$H:$H,'YTD Purchases'!$C:$C,Brokerage!$B314,'YTD Purchases'!$G:$G,Brokerage!AC$4)</f>
        <v>0</v>
      </c>
      <c r="AD314" s="857">
        <f>+SUMIFS(PIB!AG:AG,PIB!AF:AF,Brokerage!AD$4,PIB!AA:AA,Brokerage!$B314)+SUMIFS('T-Bills'!AB:AB,'T-Bills'!AA:AA,Brokerage!AD$4,'T-Bills'!V:V,Brokerage!$B314)</f>
        <v>0</v>
      </c>
      <c r="AE314" s="857">
        <f>+SUMIFS(PIB!AH:AH,PIB!AG:AG,Brokerage!AE$4,PIB!AB:AB,Brokerage!$B314)+SUMIFS('T-Bills'!AC:AC,'T-Bills'!AB:AB,Brokerage!AE$4,'T-Bills'!W:W,Brokerage!$B314)</f>
        <v>0</v>
      </c>
      <c r="AF314" s="857">
        <f>+SUMIFS(PIB!AI:AI,PIB!AH:AH,Brokerage!AF$4,PIB!AC:AC,Brokerage!$B314)+SUMIFS('T-Bills'!AD:AD,'T-Bills'!AC:AC,Brokerage!AF$4,'T-Bills'!X:X,Brokerage!$B314)</f>
        <v>0</v>
      </c>
      <c r="AG314" s="857">
        <f t="shared" si="26"/>
        <v>0</v>
      </c>
      <c r="AH314" s="858">
        <f t="shared" si="28"/>
        <v>0</v>
      </c>
    </row>
    <row r="315" spans="2:34" x14ac:dyDescent="0.15">
      <c r="B315" s="661">
        <f t="shared" si="25"/>
        <v>44871</v>
      </c>
      <c r="C315" s="857">
        <f>SUMIFS('YTD Sales'!$N:$N,'YTD Sales'!$B:$B,Brokerage!$B315,'YTD Sales'!$M:$M,Brokerage!C$4)+SUMIFS('YTD Purchases'!$H:$H,'YTD Purchases'!$C:$C,Brokerage!$B315,'YTD Purchases'!$G:$G,Brokerage!C$4)</f>
        <v>0</v>
      </c>
      <c r="D315" s="857">
        <f>SUMIFS('YTD Sales'!$N:$N,'YTD Sales'!$B:$B,Brokerage!$B315,'YTD Sales'!$M:$M,Brokerage!D$4)+SUMIFS('YTD Purchases'!$H:$H,'YTD Purchases'!$C:$C,Brokerage!$B315,'YTD Purchases'!$G:$G,Brokerage!D$4)</f>
        <v>0</v>
      </c>
      <c r="E315" s="857">
        <f>SUMIFS('YTD Sales'!$N:$N,'YTD Sales'!$B:$B,Brokerage!$B315,'YTD Sales'!$M:$M,Brokerage!E$4)+SUMIFS('YTD Purchases'!$H:$H,'YTD Purchases'!$C:$C,Brokerage!$B315,'YTD Purchases'!$G:$G,Brokerage!E$4)</f>
        <v>0</v>
      </c>
      <c r="F315" s="857">
        <f>SUMIFS('YTD Sales'!$N:$N,'YTD Sales'!$B:$B,Brokerage!$B315,'YTD Sales'!$M:$M,Brokerage!F$4)+SUMIFS('YTD Purchases'!$H:$H,'YTD Purchases'!$C:$C,Brokerage!$B315,'YTD Purchases'!$G:$G,Brokerage!F$4)</f>
        <v>0</v>
      </c>
      <c r="G315" s="857">
        <f>SUMIFS('YTD Sales'!$N:$N,'YTD Sales'!$B:$B,Brokerage!$B315,'YTD Sales'!$M:$M,Brokerage!G$4)+SUMIFS('YTD Purchases'!$H:$H,'YTD Purchases'!$C:$C,Brokerage!$B315,'YTD Purchases'!$G:$G,Brokerage!G$4)</f>
        <v>0</v>
      </c>
      <c r="H315" s="857">
        <f>SUMIFS('YTD Sales'!$N:$N,'YTD Sales'!$B:$B,Brokerage!$B315,'YTD Sales'!$M:$M,Brokerage!H$4)+SUMIFS('YTD Purchases'!$H:$H,'YTD Purchases'!$C:$C,Brokerage!$B315,'YTD Purchases'!$G:$G,Brokerage!H$4)</f>
        <v>0</v>
      </c>
      <c r="I315" s="857">
        <f>SUMIFS('YTD Sales'!$N:$N,'YTD Sales'!$B:$B,Brokerage!$B315,'YTD Sales'!$M:$M,Brokerage!I$4)+SUMIFS('YTD Purchases'!$H:$H,'YTD Purchases'!$C:$C,Brokerage!$B315,'YTD Purchases'!$G:$G,Brokerage!I$4)</f>
        <v>0</v>
      </c>
      <c r="J315" s="857">
        <f>SUMIFS('YTD Sales'!$N:$N,'YTD Sales'!$B:$B,Brokerage!$B315,'YTD Sales'!$M:$M,Brokerage!J$4)+SUMIFS('YTD Purchases'!$H:$H,'YTD Purchases'!$C:$C,Brokerage!$B315,'YTD Purchases'!$G:$G,Brokerage!J$4)</f>
        <v>0</v>
      </c>
      <c r="K315" s="857">
        <f>SUMIFS('YTD Sales'!$N:$N,'YTD Sales'!$B:$B,Brokerage!$B315,'YTD Sales'!$M:$M,Brokerage!K$4)+SUMIFS('YTD Purchases'!$H:$H,'YTD Purchases'!$C:$C,Brokerage!$B315,'YTD Purchases'!$G:$G,Brokerage!K$4)</f>
        <v>0</v>
      </c>
      <c r="L315" s="857">
        <f>SUMIFS('YTD Sales'!$N:$N,'YTD Sales'!$B:$B,Brokerage!$B315,'YTD Sales'!$M:$M,Brokerage!L$4)+SUMIFS('YTD Purchases'!$H:$H,'YTD Purchases'!$C:$C,Brokerage!$B315,'YTD Purchases'!$G:$G,Brokerage!L$4)</f>
        <v>0</v>
      </c>
      <c r="M315" s="857">
        <f>SUMIFS('YTD Sales'!$N:$N,'YTD Sales'!$B:$B,Brokerage!$B315,'YTD Sales'!$M:$M,Brokerage!M$4)+SUMIFS('YTD Purchases'!$H:$H,'YTD Purchases'!$C:$C,Brokerage!$B315,'YTD Purchases'!$G:$G,Brokerage!M$4)</f>
        <v>0</v>
      </c>
      <c r="N315" s="857">
        <f>SUMIFS('YTD Sales'!$N:$N,'YTD Sales'!$B:$B,Brokerage!$B315,'YTD Sales'!$M:$M,Brokerage!N$4)+SUMIFS('YTD Purchases'!$H:$H,'YTD Purchases'!$C:$C,Brokerage!$B315,'YTD Purchases'!$G:$G,Brokerage!N$4)</f>
        <v>0</v>
      </c>
      <c r="O315" s="857">
        <f>SUMIFS('YTD Sales'!$N:$N,'YTD Sales'!$B:$B,Brokerage!$B315,'YTD Sales'!$M:$M,Brokerage!O$4)+SUMIFS('YTD Purchases'!$H:$H,'YTD Purchases'!$C:$C,Brokerage!$B315,'YTD Purchases'!$G:$G,Brokerage!O$4)</f>
        <v>0</v>
      </c>
      <c r="P315" s="857">
        <f>SUMIFS('YTD Sales'!$N:$N,'YTD Sales'!$B:$B,Brokerage!$B315,'YTD Sales'!$M:$M,Brokerage!P$4)+SUMIFS('YTD Purchases'!$H:$H,'YTD Purchases'!$C:$C,Brokerage!$B315,'YTD Purchases'!$G:$G,Brokerage!P$4)</f>
        <v>0</v>
      </c>
      <c r="Q315" s="857">
        <f>SUMIFS('YTD Sales'!$N:$N,'YTD Sales'!$B:$B,Brokerage!$B315,'YTD Sales'!$M:$M,Brokerage!Q$4)+SUMIFS('YTD Purchases'!$H:$H,'YTD Purchases'!$C:$C,Brokerage!$B315,'YTD Purchases'!$G:$G,Brokerage!Q$4)</f>
        <v>0</v>
      </c>
      <c r="R315" s="857">
        <f>SUMIFS('YTD Sales'!$N:$N,'YTD Sales'!$B:$B,Brokerage!$B315,'YTD Sales'!$M:$M,Brokerage!R$4)+SUMIFS('YTD Purchases'!$H:$H,'YTD Purchases'!$C:$C,Brokerage!$B315,'YTD Purchases'!$G:$G,Brokerage!R$4)</f>
        <v>0</v>
      </c>
      <c r="S315" s="857">
        <f>SUMIFS('YTD Sales'!$N:$N,'YTD Sales'!$B:$B,Brokerage!$B315,'YTD Sales'!$M:$M,Brokerage!S$4)+SUMIFS('YTD Purchases'!$H:$H,'YTD Purchases'!$C:$C,Brokerage!$B315,'YTD Purchases'!$G:$G,Brokerage!S$4)</f>
        <v>0</v>
      </c>
      <c r="T315" s="857">
        <f>SUMIFS('YTD Sales'!$N:$N,'YTD Sales'!$B:$B,Brokerage!$B315,'YTD Sales'!$M:$M,Brokerage!T$4)+SUMIFS('YTD Purchases'!$H:$H,'YTD Purchases'!$C:$C,Brokerage!$B315,'YTD Purchases'!$G:$G,Brokerage!T$4)</f>
        <v>0</v>
      </c>
      <c r="U315" s="857">
        <f>SUMIFS('YTD Sales'!$N:$N,'YTD Sales'!$B:$B,Brokerage!$B315,'YTD Sales'!$M:$M,Brokerage!U$4)+SUMIFS('YTD Purchases'!$H:$H,'YTD Purchases'!$C:$C,Brokerage!$B315,'YTD Purchases'!$G:$G,Brokerage!U$4)</f>
        <v>0</v>
      </c>
      <c r="V315" s="857">
        <f>SUMIFS('YTD Sales'!$N:$N,'YTD Sales'!$B:$B,Brokerage!$B315,'YTD Sales'!$M:$M,Brokerage!V$4)+SUMIFS('YTD Purchases'!$H:$H,'YTD Purchases'!$C:$C,Brokerage!$B315,'YTD Purchases'!$G:$G,Brokerage!V$4)</f>
        <v>0</v>
      </c>
      <c r="W315" s="857">
        <f>SUMIFS('YTD Sales'!$N:$N,'YTD Sales'!$B:$B,Brokerage!$B315,'YTD Sales'!$M:$M,Brokerage!W$4)+SUMIFS('YTD Purchases'!$H:$H,'YTD Purchases'!$C:$C,Brokerage!$B315,'YTD Purchases'!$G:$G,Brokerage!W$4)</f>
        <v>0</v>
      </c>
      <c r="X315" s="857">
        <f>SUMIFS('YTD Sales'!$N:$N,'YTD Sales'!$B:$B,Brokerage!$B315,'YTD Sales'!$M:$M,Brokerage!X$4)+SUMIFS('YTD Purchases'!$H:$H,'YTD Purchases'!$C:$C,Brokerage!$B315,'YTD Purchases'!$G:$G,Brokerage!X$4)</f>
        <v>0</v>
      </c>
      <c r="Y315" s="857">
        <f>SUMIFS('YTD Sales'!$N:$N,'YTD Sales'!$B:$B,Brokerage!$B315,'YTD Sales'!$M:$M,Brokerage!Y$4)+SUMIFS('YTD Purchases'!$H:$H,'YTD Purchases'!$C:$C,Brokerage!$B315,'YTD Purchases'!$G:$G,Brokerage!Y$4)</f>
        <v>0</v>
      </c>
      <c r="Z315" s="857">
        <f>SUMIFS('YTD Sales'!$N:$N,'YTD Sales'!$B:$B,Brokerage!$B315,'YTD Sales'!$M:$M,Brokerage!Z$4)+SUMIFS('YTD Purchases'!$H:$H,'YTD Purchases'!$C:$C,Brokerage!$B315,'YTD Purchases'!$G:$G,Brokerage!Z$4)</f>
        <v>0</v>
      </c>
      <c r="AA315" s="857">
        <f>SUMIFS('YTD Sales'!$N:$N,'YTD Sales'!$B:$B,Brokerage!$B315,'YTD Sales'!$M:$M,Brokerage!AA$4)+SUMIFS('YTD Purchases'!$H:$H,'YTD Purchases'!$C:$C,Brokerage!$B315,'YTD Purchases'!$G:$G,Brokerage!AA$4)</f>
        <v>0</v>
      </c>
      <c r="AB315" s="857">
        <f>SUMIFS('YTD Sales'!$N:$N,'YTD Sales'!$B:$B,Brokerage!$B315,'YTD Sales'!$M:$M,Brokerage!AB$4)+SUMIFS('YTD Purchases'!$H:$H,'YTD Purchases'!$C:$C,Brokerage!$B315,'YTD Purchases'!$G:$G,Brokerage!AB$4)</f>
        <v>0</v>
      </c>
      <c r="AC315" s="857">
        <f>SUMIFS('YTD Sales'!$N:$N,'YTD Sales'!$B:$B,Brokerage!$B315,'YTD Sales'!$M:$M,Brokerage!AC$4)+SUMIFS('YTD Purchases'!$H:$H,'YTD Purchases'!$C:$C,Brokerage!$B315,'YTD Purchases'!$G:$G,Brokerage!AC$4)</f>
        <v>0</v>
      </c>
      <c r="AD315" s="857">
        <f>+SUMIFS(PIB!AG:AG,PIB!AF:AF,Brokerage!AD$4,PIB!AA:AA,Brokerage!$B315)+SUMIFS('T-Bills'!AB:AB,'T-Bills'!AA:AA,Brokerage!AD$4,'T-Bills'!V:V,Brokerage!$B315)</f>
        <v>0</v>
      </c>
      <c r="AE315" s="857">
        <f>+SUMIFS(PIB!AH:AH,PIB!AG:AG,Brokerage!AE$4,PIB!AB:AB,Brokerage!$B315)+SUMIFS('T-Bills'!AC:AC,'T-Bills'!AB:AB,Brokerage!AE$4,'T-Bills'!W:W,Brokerage!$B315)</f>
        <v>0</v>
      </c>
      <c r="AF315" s="857">
        <f>+SUMIFS(PIB!AI:AI,PIB!AH:AH,Brokerage!AF$4,PIB!AC:AC,Brokerage!$B315)+SUMIFS('T-Bills'!AD:AD,'T-Bills'!AC:AC,Brokerage!AF$4,'T-Bills'!X:X,Brokerage!$B315)</f>
        <v>0</v>
      </c>
      <c r="AG315" s="857">
        <f t="shared" si="26"/>
        <v>0</v>
      </c>
      <c r="AH315" s="858">
        <f t="shared" si="28"/>
        <v>0</v>
      </c>
    </row>
    <row r="316" spans="2:34" x14ac:dyDescent="0.15">
      <c r="B316" s="661">
        <f t="shared" si="25"/>
        <v>44872</v>
      </c>
      <c r="C316" s="857">
        <f>SUMIFS('YTD Sales'!$N:$N,'YTD Sales'!$B:$B,Brokerage!$B316,'YTD Sales'!$M:$M,Brokerage!C$4)+SUMIFS('YTD Purchases'!$H:$H,'YTD Purchases'!$C:$C,Brokerage!$B316,'YTD Purchases'!$G:$G,Brokerage!C$4)</f>
        <v>0</v>
      </c>
      <c r="D316" s="857">
        <f>SUMIFS('YTD Sales'!$N:$N,'YTD Sales'!$B:$B,Brokerage!$B316,'YTD Sales'!$M:$M,Brokerage!D$4)+SUMIFS('YTD Purchases'!$H:$H,'YTD Purchases'!$C:$C,Brokerage!$B316,'YTD Purchases'!$G:$G,Brokerage!D$4)</f>
        <v>0</v>
      </c>
      <c r="E316" s="857">
        <f>SUMIFS('YTD Sales'!$N:$N,'YTD Sales'!$B:$B,Brokerage!$B316,'YTD Sales'!$M:$M,Brokerage!E$4)+SUMIFS('YTD Purchases'!$H:$H,'YTD Purchases'!$C:$C,Brokerage!$B316,'YTD Purchases'!$G:$G,Brokerage!E$4)</f>
        <v>0</v>
      </c>
      <c r="F316" s="857">
        <f>SUMIFS('YTD Sales'!$N:$N,'YTD Sales'!$B:$B,Brokerage!$B316,'YTD Sales'!$M:$M,Brokerage!F$4)+SUMIFS('YTD Purchases'!$H:$H,'YTD Purchases'!$C:$C,Brokerage!$B316,'YTD Purchases'!$G:$G,Brokerage!F$4)</f>
        <v>0</v>
      </c>
      <c r="G316" s="857">
        <f>SUMIFS('YTD Sales'!$N:$N,'YTD Sales'!$B:$B,Brokerage!$B316,'YTD Sales'!$M:$M,Brokerage!G$4)+SUMIFS('YTD Purchases'!$H:$H,'YTD Purchases'!$C:$C,Brokerage!$B316,'YTD Purchases'!$G:$G,Brokerage!G$4)</f>
        <v>0</v>
      </c>
      <c r="H316" s="857">
        <f>SUMIFS('YTD Sales'!$N:$N,'YTD Sales'!$B:$B,Brokerage!$B316,'YTD Sales'!$M:$M,Brokerage!H$4)+SUMIFS('YTD Purchases'!$H:$H,'YTD Purchases'!$C:$C,Brokerage!$B316,'YTD Purchases'!$G:$G,Brokerage!H$4)</f>
        <v>0</v>
      </c>
      <c r="I316" s="857">
        <f>SUMIFS('YTD Sales'!$N:$N,'YTD Sales'!$B:$B,Brokerage!$B316,'YTD Sales'!$M:$M,Brokerage!I$4)+SUMIFS('YTD Purchases'!$H:$H,'YTD Purchases'!$C:$C,Brokerage!$B316,'YTD Purchases'!$G:$G,Brokerage!I$4)</f>
        <v>0</v>
      </c>
      <c r="J316" s="857">
        <f>SUMIFS('YTD Sales'!$N:$N,'YTD Sales'!$B:$B,Brokerage!$B316,'YTD Sales'!$M:$M,Brokerage!J$4)+SUMIFS('YTD Purchases'!$H:$H,'YTD Purchases'!$C:$C,Brokerage!$B316,'YTD Purchases'!$G:$G,Brokerage!J$4)</f>
        <v>0</v>
      </c>
      <c r="K316" s="857">
        <f>SUMIFS('YTD Sales'!$N:$N,'YTD Sales'!$B:$B,Brokerage!$B316,'YTD Sales'!$M:$M,Brokerage!K$4)+SUMIFS('YTD Purchases'!$H:$H,'YTD Purchases'!$C:$C,Brokerage!$B316,'YTD Purchases'!$G:$G,Brokerage!K$4)</f>
        <v>0</v>
      </c>
      <c r="L316" s="857">
        <f>SUMIFS('YTD Sales'!$N:$N,'YTD Sales'!$B:$B,Brokerage!$B316,'YTD Sales'!$M:$M,Brokerage!L$4)+SUMIFS('YTD Purchases'!$H:$H,'YTD Purchases'!$C:$C,Brokerage!$B316,'YTD Purchases'!$G:$G,Brokerage!L$4)</f>
        <v>0</v>
      </c>
      <c r="M316" s="857">
        <f>SUMIFS('YTD Sales'!$N:$N,'YTD Sales'!$B:$B,Brokerage!$B316,'YTD Sales'!$M:$M,Brokerage!M$4)+SUMIFS('YTD Purchases'!$H:$H,'YTD Purchases'!$C:$C,Brokerage!$B316,'YTD Purchases'!$G:$G,Brokerage!M$4)</f>
        <v>0</v>
      </c>
      <c r="N316" s="857">
        <f>SUMIFS('YTD Sales'!$N:$N,'YTD Sales'!$B:$B,Brokerage!$B316,'YTD Sales'!$M:$M,Brokerage!N$4)+SUMIFS('YTD Purchases'!$H:$H,'YTD Purchases'!$C:$C,Brokerage!$B316,'YTD Purchases'!$G:$G,Brokerage!N$4)</f>
        <v>0</v>
      </c>
      <c r="O316" s="857">
        <f>SUMIFS('YTD Sales'!$N:$N,'YTD Sales'!$B:$B,Brokerage!$B316,'YTD Sales'!$M:$M,Brokerage!O$4)+SUMIFS('YTD Purchases'!$H:$H,'YTD Purchases'!$C:$C,Brokerage!$B316,'YTD Purchases'!$G:$G,Brokerage!O$4)</f>
        <v>0</v>
      </c>
      <c r="P316" s="857">
        <f>SUMIFS('YTD Sales'!$N:$N,'YTD Sales'!$B:$B,Brokerage!$B316,'YTD Sales'!$M:$M,Brokerage!P$4)+SUMIFS('YTD Purchases'!$H:$H,'YTD Purchases'!$C:$C,Brokerage!$B316,'YTD Purchases'!$G:$G,Brokerage!P$4)</f>
        <v>0</v>
      </c>
      <c r="Q316" s="857">
        <f>SUMIFS('YTD Sales'!$N:$N,'YTD Sales'!$B:$B,Brokerage!$B316,'YTD Sales'!$M:$M,Brokerage!Q$4)+SUMIFS('YTD Purchases'!$H:$H,'YTD Purchases'!$C:$C,Brokerage!$B316,'YTD Purchases'!$G:$G,Brokerage!Q$4)</f>
        <v>0</v>
      </c>
      <c r="R316" s="857">
        <f>SUMIFS('YTD Sales'!$N:$N,'YTD Sales'!$B:$B,Brokerage!$B316,'YTD Sales'!$M:$M,Brokerage!R$4)+SUMIFS('YTD Purchases'!$H:$H,'YTD Purchases'!$C:$C,Brokerage!$B316,'YTD Purchases'!$G:$G,Brokerage!R$4)</f>
        <v>0</v>
      </c>
      <c r="S316" s="857">
        <f>SUMIFS('YTD Sales'!$N:$N,'YTD Sales'!$B:$B,Brokerage!$B316,'YTD Sales'!$M:$M,Brokerage!S$4)+SUMIFS('YTD Purchases'!$H:$H,'YTD Purchases'!$C:$C,Brokerage!$B316,'YTD Purchases'!$G:$G,Brokerage!S$4)</f>
        <v>0</v>
      </c>
      <c r="T316" s="857">
        <f>SUMIFS('YTD Sales'!$N:$N,'YTD Sales'!$B:$B,Brokerage!$B316,'YTD Sales'!$M:$M,Brokerage!T$4)+SUMIFS('YTD Purchases'!$H:$H,'YTD Purchases'!$C:$C,Brokerage!$B316,'YTD Purchases'!$G:$G,Brokerage!T$4)</f>
        <v>0</v>
      </c>
      <c r="U316" s="857">
        <f>SUMIFS('YTD Sales'!$N:$N,'YTD Sales'!$B:$B,Brokerage!$B316,'YTD Sales'!$M:$M,Brokerage!U$4)+SUMIFS('YTD Purchases'!$H:$H,'YTD Purchases'!$C:$C,Brokerage!$B316,'YTD Purchases'!$G:$G,Brokerage!U$4)</f>
        <v>0</v>
      </c>
      <c r="V316" s="857">
        <f>SUMIFS('YTD Sales'!$N:$N,'YTD Sales'!$B:$B,Brokerage!$B316,'YTD Sales'!$M:$M,Brokerage!V$4)+SUMIFS('YTD Purchases'!$H:$H,'YTD Purchases'!$C:$C,Brokerage!$B316,'YTD Purchases'!$G:$G,Brokerage!V$4)</f>
        <v>0</v>
      </c>
      <c r="W316" s="857">
        <f>SUMIFS('YTD Sales'!$N:$N,'YTD Sales'!$B:$B,Brokerage!$B316,'YTD Sales'!$M:$M,Brokerage!W$4)+SUMIFS('YTD Purchases'!$H:$H,'YTD Purchases'!$C:$C,Brokerage!$B316,'YTD Purchases'!$G:$G,Brokerage!W$4)</f>
        <v>0</v>
      </c>
      <c r="X316" s="857">
        <f>SUMIFS('YTD Sales'!$N:$N,'YTD Sales'!$B:$B,Brokerage!$B316,'YTD Sales'!$M:$M,Brokerage!X$4)+SUMIFS('YTD Purchases'!$H:$H,'YTD Purchases'!$C:$C,Brokerage!$B316,'YTD Purchases'!$G:$G,Brokerage!X$4)</f>
        <v>0</v>
      </c>
      <c r="Y316" s="857">
        <f>SUMIFS('YTD Sales'!$N:$N,'YTD Sales'!$B:$B,Brokerage!$B316,'YTD Sales'!$M:$M,Brokerage!Y$4)+SUMIFS('YTD Purchases'!$H:$H,'YTD Purchases'!$C:$C,Brokerage!$B316,'YTD Purchases'!$G:$G,Brokerage!Y$4)</f>
        <v>0</v>
      </c>
      <c r="Z316" s="857">
        <f>SUMIFS('YTD Sales'!$N:$N,'YTD Sales'!$B:$B,Brokerage!$B316,'YTD Sales'!$M:$M,Brokerage!Z$4)+SUMIFS('YTD Purchases'!$H:$H,'YTD Purchases'!$C:$C,Brokerage!$B316,'YTD Purchases'!$G:$G,Brokerage!Z$4)</f>
        <v>0</v>
      </c>
      <c r="AA316" s="857">
        <f>SUMIFS('YTD Sales'!$N:$N,'YTD Sales'!$B:$B,Brokerage!$B316,'YTD Sales'!$M:$M,Brokerage!AA$4)+SUMIFS('YTD Purchases'!$H:$H,'YTD Purchases'!$C:$C,Brokerage!$B316,'YTD Purchases'!$G:$G,Brokerage!AA$4)</f>
        <v>0</v>
      </c>
      <c r="AB316" s="857">
        <f>SUMIFS('YTD Sales'!$N:$N,'YTD Sales'!$B:$B,Brokerage!$B316,'YTD Sales'!$M:$M,Brokerage!AB$4)+SUMIFS('YTD Purchases'!$H:$H,'YTD Purchases'!$C:$C,Brokerage!$B316,'YTD Purchases'!$G:$G,Brokerage!AB$4)</f>
        <v>0</v>
      </c>
      <c r="AC316" s="857">
        <f>SUMIFS('YTD Sales'!$N:$N,'YTD Sales'!$B:$B,Brokerage!$B316,'YTD Sales'!$M:$M,Brokerage!AC$4)+SUMIFS('YTD Purchases'!$H:$H,'YTD Purchases'!$C:$C,Brokerage!$B316,'YTD Purchases'!$G:$G,Brokerage!AC$4)</f>
        <v>0</v>
      </c>
      <c r="AD316" s="857">
        <f>+SUMIFS(PIB!AG:AG,PIB!AF:AF,Brokerage!AD$4,PIB!AA:AA,Brokerage!$B316)+SUMIFS('T-Bills'!AB:AB,'T-Bills'!AA:AA,Brokerage!AD$4,'T-Bills'!V:V,Brokerage!$B316)</f>
        <v>0</v>
      </c>
      <c r="AE316" s="857">
        <f>+SUMIFS(PIB!AH:AH,PIB!AG:AG,Brokerage!AE$4,PIB!AB:AB,Brokerage!$B316)+SUMIFS('T-Bills'!AC:AC,'T-Bills'!AB:AB,Brokerage!AE$4,'T-Bills'!W:W,Brokerage!$B316)</f>
        <v>0</v>
      </c>
      <c r="AF316" s="857">
        <f>+SUMIFS(PIB!AI:AI,PIB!AH:AH,Brokerage!AF$4,PIB!AC:AC,Brokerage!$B316)+SUMIFS('T-Bills'!AD:AD,'T-Bills'!AC:AC,Brokerage!AF$4,'T-Bills'!X:X,Brokerage!$B316)</f>
        <v>0</v>
      </c>
      <c r="AG316" s="857">
        <f t="shared" si="26"/>
        <v>0</v>
      </c>
      <c r="AH316" s="858">
        <f t="shared" si="28"/>
        <v>0</v>
      </c>
    </row>
    <row r="317" spans="2:34" x14ac:dyDescent="0.15">
      <c r="B317" s="661">
        <f t="shared" si="25"/>
        <v>44873</v>
      </c>
      <c r="C317" s="857">
        <f>SUMIFS('YTD Sales'!$N:$N,'YTD Sales'!$B:$B,Brokerage!$B317,'YTD Sales'!$M:$M,Brokerage!C$4)+SUMIFS('YTD Purchases'!$H:$H,'YTD Purchases'!$C:$C,Brokerage!$B317,'YTD Purchases'!$G:$G,Brokerage!C$4)</f>
        <v>0</v>
      </c>
      <c r="D317" s="857">
        <f>SUMIFS('YTD Sales'!$N:$N,'YTD Sales'!$B:$B,Brokerage!$B317,'YTD Sales'!$M:$M,Brokerage!D$4)+SUMIFS('YTD Purchases'!$H:$H,'YTD Purchases'!$C:$C,Brokerage!$B317,'YTD Purchases'!$G:$G,Brokerage!D$4)</f>
        <v>0</v>
      </c>
      <c r="E317" s="857">
        <f>SUMIFS('YTD Sales'!$N:$N,'YTD Sales'!$B:$B,Brokerage!$B317,'YTD Sales'!$M:$M,Brokerage!E$4)+SUMIFS('YTD Purchases'!$H:$H,'YTD Purchases'!$C:$C,Brokerage!$B317,'YTD Purchases'!$G:$G,Brokerage!E$4)</f>
        <v>0</v>
      </c>
      <c r="F317" s="857">
        <f>SUMIFS('YTD Sales'!$N:$N,'YTD Sales'!$B:$B,Brokerage!$B317,'YTD Sales'!$M:$M,Brokerage!F$4)+SUMIFS('YTD Purchases'!$H:$H,'YTD Purchases'!$C:$C,Brokerage!$B317,'YTD Purchases'!$G:$G,Brokerage!F$4)</f>
        <v>0</v>
      </c>
      <c r="G317" s="857">
        <f>SUMIFS('YTD Sales'!$N:$N,'YTD Sales'!$B:$B,Brokerage!$B317,'YTD Sales'!$M:$M,Brokerage!G$4)+SUMIFS('YTD Purchases'!$H:$H,'YTD Purchases'!$C:$C,Brokerage!$B317,'YTD Purchases'!$G:$G,Brokerage!G$4)</f>
        <v>0</v>
      </c>
      <c r="H317" s="857">
        <f>SUMIFS('YTD Sales'!$N:$N,'YTD Sales'!$B:$B,Brokerage!$B317,'YTD Sales'!$M:$M,Brokerage!H$4)+SUMIFS('YTD Purchases'!$H:$H,'YTD Purchases'!$C:$C,Brokerage!$B317,'YTD Purchases'!$G:$G,Brokerage!H$4)</f>
        <v>0</v>
      </c>
      <c r="I317" s="857">
        <f>SUMIFS('YTD Sales'!$N:$N,'YTD Sales'!$B:$B,Brokerage!$B317,'YTD Sales'!$M:$M,Brokerage!I$4)+SUMIFS('YTD Purchases'!$H:$H,'YTD Purchases'!$C:$C,Brokerage!$B317,'YTD Purchases'!$G:$G,Brokerage!I$4)</f>
        <v>0</v>
      </c>
      <c r="J317" s="857">
        <f>SUMIFS('YTD Sales'!$N:$N,'YTD Sales'!$B:$B,Brokerage!$B317,'YTD Sales'!$M:$M,Brokerage!J$4)+SUMIFS('YTD Purchases'!$H:$H,'YTD Purchases'!$C:$C,Brokerage!$B317,'YTD Purchases'!$G:$G,Brokerage!J$4)</f>
        <v>0</v>
      </c>
      <c r="K317" s="857">
        <f>SUMIFS('YTD Sales'!$N:$N,'YTD Sales'!$B:$B,Brokerage!$B317,'YTD Sales'!$M:$M,Brokerage!K$4)+SUMIFS('YTD Purchases'!$H:$H,'YTD Purchases'!$C:$C,Brokerage!$B317,'YTD Purchases'!$G:$G,Brokerage!K$4)</f>
        <v>0</v>
      </c>
      <c r="L317" s="857">
        <f>SUMIFS('YTD Sales'!$N:$N,'YTD Sales'!$B:$B,Brokerage!$B317,'YTD Sales'!$M:$M,Brokerage!L$4)+SUMIFS('YTD Purchases'!$H:$H,'YTD Purchases'!$C:$C,Brokerage!$B317,'YTD Purchases'!$G:$G,Brokerage!L$4)</f>
        <v>0</v>
      </c>
      <c r="M317" s="857">
        <f>SUMIFS('YTD Sales'!$N:$N,'YTD Sales'!$B:$B,Brokerage!$B317,'YTD Sales'!$M:$M,Brokerage!M$4)+SUMIFS('YTD Purchases'!$H:$H,'YTD Purchases'!$C:$C,Brokerage!$B317,'YTD Purchases'!$G:$G,Brokerage!M$4)</f>
        <v>0</v>
      </c>
      <c r="N317" s="857">
        <f>SUMIFS('YTD Sales'!$N:$N,'YTD Sales'!$B:$B,Brokerage!$B317,'YTD Sales'!$M:$M,Brokerage!N$4)+SUMIFS('YTD Purchases'!$H:$H,'YTD Purchases'!$C:$C,Brokerage!$B317,'YTD Purchases'!$G:$G,Brokerage!N$4)</f>
        <v>0</v>
      </c>
      <c r="O317" s="857">
        <f>SUMIFS('YTD Sales'!$N:$N,'YTD Sales'!$B:$B,Brokerage!$B317,'YTD Sales'!$M:$M,Brokerage!O$4)+SUMIFS('YTD Purchases'!$H:$H,'YTD Purchases'!$C:$C,Brokerage!$B317,'YTD Purchases'!$G:$G,Brokerage!O$4)</f>
        <v>0</v>
      </c>
      <c r="P317" s="857">
        <f>SUMIFS('YTD Sales'!$N:$N,'YTD Sales'!$B:$B,Brokerage!$B317,'YTD Sales'!$M:$M,Brokerage!P$4)+SUMIFS('YTD Purchases'!$H:$H,'YTD Purchases'!$C:$C,Brokerage!$B317,'YTD Purchases'!$G:$G,Brokerage!P$4)</f>
        <v>0</v>
      </c>
      <c r="Q317" s="857">
        <f>SUMIFS('YTD Sales'!$N:$N,'YTD Sales'!$B:$B,Brokerage!$B317,'YTD Sales'!$M:$M,Brokerage!Q$4)+SUMIFS('YTD Purchases'!$H:$H,'YTD Purchases'!$C:$C,Brokerage!$B317,'YTD Purchases'!$G:$G,Brokerage!Q$4)</f>
        <v>0</v>
      </c>
      <c r="R317" s="857">
        <f>SUMIFS('YTD Sales'!$N:$N,'YTD Sales'!$B:$B,Brokerage!$B317,'YTD Sales'!$M:$M,Brokerage!R$4)+SUMIFS('YTD Purchases'!$H:$H,'YTD Purchases'!$C:$C,Brokerage!$B317,'YTD Purchases'!$G:$G,Brokerage!R$4)</f>
        <v>0</v>
      </c>
      <c r="S317" s="857">
        <f>SUMIFS('YTD Sales'!$N:$N,'YTD Sales'!$B:$B,Brokerage!$B317,'YTD Sales'!$M:$M,Brokerage!S$4)+SUMIFS('YTD Purchases'!$H:$H,'YTD Purchases'!$C:$C,Brokerage!$B317,'YTD Purchases'!$G:$G,Brokerage!S$4)</f>
        <v>0</v>
      </c>
      <c r="T317" s="857">
        <f>SUMIFS('YTD Sales'!$N:$N,'YTD Sales'!$B:$B,Brokerage!$B317,'YTD Sales'!$M:$M,Brokerage!T$4)+SUMIFS('YTD Purchases'!$H:$H,'YTD Purchases'!$C:$C,Brokerage!$B317,'YTD Purchases'!$G:$G,Brokerage!T$4)</f>
        <v>0</v>
      </c>
      <c r="U317" s="857">
        <f>SUMIFS('YTD Sales'!$N:$N,'YTD Sales'!$B:$B,Brokerage!$B317,'YTD Sales'!$M:$M,Brokerage!U$4)+SUMIFS('YTD Purchases'!$H:$H,'YTD Purchases'!$C:$C,Brokerage!$B317,'YTD Purchases'!$G:$G,Brokerage!U$4)</f>
        <v>0</v>
      </c>
      <c r="V317" s="857">
        <f>SUMIFS('YTD Sales'!$N:$N,'YTD Sales'!$B:$B,Brokerage!$B317,'YTD Sales'!$M:$M,Brokerage!V$4)+SUMIFS('YTD Purchases'!$H:$H,'YTD Purchases'!$C:$C,Brokerage!$B317,'YTD Purchases'!$G:$G,Brokerage!V$4)</f>
        <v>0</v>
      </c>
      <c r="W317" s="857">
        <f>SUMIFS('YTD Sales'!$N:$N,'YTD Sales'!$B:$B,Brokerage!$B317,'YTD Sales'!$M:$M,Brokerage!W$4)+SUMIFS('YTD Purchases'!$H:$H,'YTD Purchases'!$C:$C,Brokerage!$B317,'YTD Purchases'!$G:$G,Brokerage!W$4)</f>
        <v>0</v>
      </c>
      <c r="X317" s="857">
        <f>SUMIFS('YTD Sales'!$N:$N,'YTD Sales'!$B:$B,Brokerage!$B317,'YTD Sales'!$M:$M,Brokerage!X$4)+SUMIFS('YTD Purchases'!$H:$H,'YTD Purchases'!$C:$C,Brokerage!$B317,'YTD Purchases'!$G:$G,Brokerage!X$4)</f>
        <v>0</v>
      </c>
      <c r="Y317" s="857">
        <f>SUMIFS('YTD Sales'!$N:$N,'YTD Sales'!$B:$B,Brokerage!$B317,'YTD Sales'!$M:$M,Brokerage!Y$4)+SUMIFS('YTD Purchases'!$H:$H,'YTD Purchases'!$C:$C,Brokerage!$B317,'YTD Purchases'!$G:$G,Brokerage!Y$4)</f>
        <v>0</v>
      </c>
      <c r="Z317" s="857">
        <f>SUMIFS('YTD Sales'!$N:$N,'YTD Sales'!$B:$B,Brokerage!$B317,'YTD Sales'!$M:$M,Brokerage!Z$4)+SUMIFS('YTD Purchases'!$H:$H,'YTD Purchases'!$C:$C,Brokerage!$B317,'YTD Purchases'!$G:$G,Brokerage!Z$4)</f>
        <v>0</v>
      </c>
      <c r="AA317" s="857">
        <f>SUMIFS('YTD Sales'!$N:$N,'YTD Sales'!$B:$B,Brokerage!$B317,'YTD Sales'!$M:$M,Brokerage!AA$4)+SUMIFS('YTD Purchases'!$H:$H,'YTD Purchases'!$C:$C,Brokerage!$B317,'YTD Purchases'!$G:$G,Brokerage!AA$4)</f>
        <v>0</v>
      </c>
      <c r="AB317" s="857">
        <f>SUMIFS('YTD Sales'!$N:$N,'YTD Sales'!$B:$B,Brokerage!$B317,'YTD Sales'!$M:$M,Brokerage!AB$4)+SUMIFS('YTD Purchases'!$H:$H,'YTD Purchases'!$C:$C,Brokerage!$B317,'YTD Purchases'!$G:$G,Brokerage!AB$4)</f>
        <v>0</v>
      </c>
      <c r="AC317" s="857">
        <f>SUMIFS('YTD Sales'!$N:$N,'YTD Sales'!$B:$B,Brokerage!$B317,'YTD Sales'!$M:$M,Brokerage!AC$4)+SUMIFS('YTD Purchases'!$H:$H,'YTD Purchases'!$C:$C,Brokerage!$B317,'YTD Purchases'!$G:$G,Brokerage!AC$4)</f>
        <v>0</v>
      </c>
      <c r="AD317" s="857">
        <f>+SUMIFS(PIB!AG:AG,PIB!AF:AF,Brokerage!AD$4,PIB!AA:AA,Brokerage!$B317)+SUMIFS('T-Bills'!AB:AB,'T-Bills'!AA:AA,Brokerage!AD$4,'T-Bills'!V:V,Brokerage!$B317)</f>
        <v>0</v>
      </c>
      <c r="AE317" s="857">
        <f>+SUMIFS(PIB!AH:AH,PIB!AG:AG,Brokerage!AE$4,PIB!AB:AB,Brokerage!$B317)+SUMIFS('T-Bills'!AC:AC,'T-Bills'!AB:AB,Brokerage!AE$4,'T-Bills'!W:W,Brokerage!$B317)</f>
        <v>0</v>
      </c>
      <c r="AF317" s="857">
        <f>+SUMIFS(PIB!AI:AI,PIB!AH:AH,Brokerage!AF$4,PIB!AC:AC,Brokerage!$B317)+SUMIFS('T-Bills'!AD:AD,'T-Bills'!AC:AC,Brokerage!AF$4,'T-Bills'!X:X,Brokerage!$B317)</f>
        <v>0</v>
      </c>
      <c r="AG317" s="857">
        <f t="shared" si="26"/>
        <v>0</v>
      </c>
      <c r="AH317" s="858">
        <f t="shared" si="28"/>
        <v>0</v>
      </c>
    </row>
    <row r="318" spans="2:34" x14ac:dyDescent="0.15">
      <c r="B318" s="661">
        <f t="shared" si="25"/>
        <v>44874</v>
      </c>
      <c r="C318" s="857">
        <f>SUMIFS('YTD Sales'!$N:$N,'YTD Sales'!$B:$B,Brokerage!$B318,'YTD Sales'!$M:$M,Brokerage!C$4)+SUMIFS('YTD Purchases'!$H:$H,'YTD Purchases'!$C:$C,Brokerage!$B318,'YTD Purchases'!$G:$G,Brokerage!C$4)</f>
        <v>0</v>
      </c>
      <c r="D318" s="857">
        <f>SUMIFS('YTD Sales'!$N:$N,'YTD Sales'!$B:$B,Brokerage!$B318,'YTD Sales'!$M:$M,Brokerage!D$4)+SUMIFS('YTD Purchases'!$H:$H,'YTD Purchases'!$C:$C,Brokerage!$B318,'YTD Purchases'!$G:$G,Brokerage!D$4)</f>
        <v>0</v>
      </c>
      <c r="E318" s="857">
        <f>SUMIFS('YTD Sales'!$N:$N,'YTD Sales'!$B:$B,Brokerage!$B318,'YTD Sales'!$M:$M,Brokerage!E$4)+SUMIFS('YTD Purchases'!$H:$H,'YTD Purchases'!$C:$C,Brokerage!$B318,'YTD Purchases'!$G:$G,Brokerage!E$4)</f>
        <v>0</v>
      </c>
      <c r="F318" s="857">
        <f>SUMIFS('YTD Sales'!$N:$N,'YTD Sales'!$B:$B,Brokerage!$B318,'YTD Sales'!$M:$M,Brokerage!F$4)+SUMIFS('YTD Purchases'!$H:$H,'YTD Purchases'!$C:$C,Brokerage!$B318,'YTD Purchases'!$G:$G,Brokerage!F$4)</f>
        <v>0</v>
      </c>
      <c r="G318" s="857">
        <f>SUMIFS('YTD Sales'!$N:$N,'YTD Sales'!$B:$B,Brokerage!$B318,'YTD Sales'!$M:$M,Brokerage!G$4)+SUMIFS('YTD Purchases'!$H:$H,'YTD Purchases'!$C:$C,Brokerage!$B318,'YTD Purchases'!$G:$G,Brokerage!G$4)</f>
        <v>0</v>
      </c>
      <c r="H318" s="857">
        <f>SUMIFS('YTD Sales'!$N:$N,'YTD Sales'!$B:$B,Brokerage!$B318,'YTD Sales'!$M:$M,Brokerage!H$4)+SUMIFS('YTD Purchases'!$H:$H,'YTD Purchases'!$C:$C,Brokerage!$B318,'YTD Purchases'!$G:$G,Brokerage!H$4)</f>
        <v>0</v>
      </c>
      <c r="I318" s="857">
        <f>SUMIFS('YTD Sales'!$N:$N,'YTD Sales'!$B:$B,Brokerage!$B318,'YTD Sales'!$M:$M,Brokerage!I$4)+SUMIFS('YTD Purchases'!$H:$H,'YTD Purchases'!$C:$C,Brokerage!$B318,'YTD Purchases'!$G:$G,Brokerage!I$4)</f>
        <v>0</v>
      </c>
      <c r="J318" s="857">
        <f>SUMIFS('YTD Sales'!$N:$N,'YTD Sales'!$B:$B,Brokerage!$B318,'YTD Sales'!$M:$M,Brokerage!J$4)+SUMIFS('YTD Purchases'!$H:$H,'YTD Purchases'!$C:$C,Brokerage!$B318,'YTD Purchases'!$G:$G,Brokerage!J$4)</f>
        <v>0</v>
      </c>
      <c r="K318" s="857">
        <f>SUMIFS('YTD Sales'!$N:$N,'YTD Sales'!$B:$B,Brokerage!$B318,'YTD Sales'!$M:$M,Brokerage!K$4)+SUMIFS('YTD Purchases'!$H:$H,'YTD Purchases'!$C:$C,Brokerage!$B318,'YTD Purchases'!$G:$G,Brokerage!K$4)</f>
        <v>0</v>
      </c>
      <c r="L318" s="857">
        <f>SUMIFS('YTD Sales'!$N:$N,'YTD Sales'!$B:$B,Brokerage!$B318,'YTD Sales'!$M:$M,Brokerage!L$4)+SUMIFS('YTD Purchases'!$H:$H,'YTD Purchases'!$C:$C,Brokerage!$B318,'YTD Purchases'!$G:$G,Brokerage!L$4)</f>
        <v>0</v>
      </c>
      <c r="M318" s="857">
        <f>SUMIFS('YTD Sales'!$N:$N,'YTD Sales'!$B:$B,Brokerage!$B318,'YTD Sales'!$M:$M,Brokerage!M$4)+SUMIFS('YTD Purchases'!$H:$H,'YTD Purchases'!$C:$C,Brokerage!$B318,'YTD Purchases'!$G:$G,Brokerage!M$4)</f>
        <v>0</v>
      </c>
      <c r="N318" s="857">
        <f>SUMIFS('YTD Sales'!$N:$N,'YTD Sales'!$B:$B,Brokerage!$B318,'YTD Sales'!$M:$M,Brokerage!N$4)+SUMIFS('YTD Purchases'!$H:$H,'YTD Purchases'!$C:$C,Brokerage!$B318,'YTD Purchases'!$G:$G,Brokerage!N$4)</f>
        <v>0</v>
      </c>
      <c r="O318" s="857">
        <f>SUMIFS('YTD Sales'!$N:$N,'YTD Sales'!$B:$B,Brokerage!$B318,'YTD Sales'!$M:$M,Brokerage!O$4)+SUMIFS('YTD Purchases'!$H:$H,'YTD Purchases'!$C:$C,Brokerage!$B318,'YTD Purchases'!$G:$G,Brokerage!O$4)</f>
        <v>0</v>
      </c>
      <c r="P318" s="857">
        <f>SUMIFS('YTD Sales'!$N:$N,'YTD Sales'!$B:$B,Brokerage!$B318,'YTD Sales'!$M:$M,Brokerage!P$4)+SUMIFS('YTD Purchases'!$H:$H,'YTD Purchases'!$C:$C,Brokerage!$B318,'YTD Purchases'!$G:$G,Brokerage!P$4)</f>
        <v>0</v>
      </c>
      <c r="Q318" s="857">
        <f>SUMIFS('YTD Sales'!$N:$N,'YTD Sales'!$B:$B,Brokerage!$B318,'YTD Sales'!$M:$M,Brokerage!Q$4)+SUMIFS('YTD Purchases'!$H:$H,'YTD Purchases'!$C:$C,Brokerage!$B318,'YTD Purchases'!$G:$G,Brokerage!Q$4)</f>
        <v>0</v>
      </c>
      <c r="R318" s="857">
        <f>SUMIFS('YTD Sales'!$N:$N,'YTD Sales'!$B:$B,Brokerage!$B318,'YTD Sales'!$M:$M,Brokerage!R$4)+SUMIFS('YTD Purchases'!$H:$H,'YTD Purchases'!$C:$C,Brokerage!$B318,'YTD Purchases'!$G:$G,Brokerage!R$4)</f>
        <v>0</v>
      </c>
      <c r="S318" s="857">
        <f>SUMIFS('YTD Sales'!$N:$N,'YTD Sales'!$B:$B,Brokerage!$B318,'YTD Sales'!$M:$M,Brokerage!S$4)+SUMIFS('YTD Purchases'!$H:$H,'YTD Purchases'!$C:$C,Brokerage!$B318,'YTD Purchases'!$G:$G,Brokerage!S$4)</f>
        <v>0</v>
      </c>
      <c r="T318" s="857">
        <f>SUMIFS('YTD Sales'!$N:$N,'YTD Sales'!$B:$B,Brokerage!$B318,'YTD Sales'!$M:$M,Brokerage!T$4)+SUMIFS('YTD Purchases'!$H:$H,'YTD Purchases'!$C:$C,Brokerage!$B318,'YTD Purchases'!$G:$G,Brokerage!T$4)</f>
        <v>0</v>
      </c>
      <c r="U318" s="857">
        <f>SUMIFS('YTD Sales'!$N:$N,'YTD Sales'!$B:$B,Brokerage!$B318,'YTD Sales'!$M:$M,Brokerage!U$4)+SUMIFS('YTD Purchases'!$H:$H,'YTD Purchases'!$C:$C,Brokerage!$B318,'YTD Purchases'!$G:$G,Brokerage!U$4)</f>
        <v>0</v>
      </c>
      <c r="V318" s="857">
        <f>SUMIFS('YTD Sales'!$N:$N,'YTD Sales'!$B:$B,Brokerage!$B318,'YTD Sales'!$M:$M,Brokerage!V$4)+SUMIFS('YTD Purchases'!$H:$H,'YTD Purchases'!$C:$C,Brokerage!$B318,'YTD Purchases'!$G:$G,Brokerage!V$4)</f>
        <v>0</v>
      </c>
      <c r="W318" s="857">
        <f>SUMIFS('YTD Sales'!$N:$N,'YTD Sales'!$B:$B,Brokerage!$B318,'YTD Sales'!$M:$M,Brokerage!W$4)+SUMIFS('YTD Purchases'!$H:$H,'YTD Purchases'!$C:$C,Brokerage!$B318,'YTD Purchases'!$G:$G,Brokerage!W$4)</f>
        <v>0</v>
      </c>
      <c r="X318" s="857">
        <f>SUMIFS('YTD Sales'!$N:$N,'YTD Sales'!$B:$B,Brokerage!$B318,'YTD Sales'!$M:$M,Brokerage!X$4)+SUMIFS('YTD Purchases'!$H:$H,'YTD Purchases'!$C:$C,Brokerage!$B318,'YTD Purchases'!$G:$G,Brokerage!X$4)</f>
        <v>0</v>
      </c>
      <c r="Y318" s="857">
        <f>SUMIFS('YTD Sales'!$N:$N,'YTD Sales'!$B:$B,Brokerage!$B318,'YTD Sales'!$M:$M,Brokerage!Y$4)+SUMIFS('YTD Purchases'!$H:$H,'YTD Purchases'!$C:$C,Brokerage!$B318,'YTD Purchases'!$G:$G,Brokerage!Y$4)</f>
        <v>0</v>
      </c>
      <c r="Z318" s="857">
        <f>SUMIFS('YTD Sales'!$N:$N,'YTD Sales'!$B:$B,Brokerage!$B318,'YTD Sales'!$M:$M,Brokerage!Z$4)+SUMIFS('YTD Purchases'!$H:$H,'YTD Purchases'!$C:$C,Brokerage!$B318,'YTD Purchases'!$G:$G,Brokerage!Z$4)</f>
        <v>0</v>
      </c>
      <c r="AA318" s="857">
        <f>SUMIFS('YTD Sales'!$N:$N,'YTD Sales'!$B:$B,Brokerage!$B318,'YTD Sales'!$M:$M,Brokerage!AA$4)+SUMIFS('YTD Purchases'!$H:$H,'YTD Purchases'!$C:$C,Brokerage!$B318,'YTD Purchases'!$G:$G,Brokerage!AA$4)</f>
        <v>0</v>
      </c>
      <c r="AB318" s="857">
        <f>SUMIFS('YTD Sales'!$N:$N,'YTD Sales'!$B:$B,Brokerage!$B318,'YTD Sales'!$M:$M,Brokerage!AB$4)+SUMIFS('YTD Purchases'!$H:$H,'YTD Purchases'!$C:$C,Brokerage!$B318,'YTD Purchases'!$G:$G,Brokerage!AB$4)</f>
        <v>0</v>
      </c>
      <c r="AC318" s="857">
        <f>SUMIFS('YTD Sales'!$N:$N,'YTD Sales'!$B:$B,Brokerage!$B318,'YTD Sales'!$M:$M,Brokerage!AC$4)+SUMIFS('YTD Purchases'!$H:$H,'YTD Purchases'!$C:$C,Brokerage!$B318,'YTD Purchases'!$G:$G,Brokerage!AC$4)</f>
        <v>0</v>
      </c>
      <c r="AD318" s="857">
        <f>+SUMIFS(PIB!AG:AG,PIB!AF:AF,Brokerage!AD$4,PIB!AA:AA,Brokerage!$B318)+SUMIFS('T-Bills'!AB:AB,'T-Bills'!AA:AA,Brokerage!AD$4,'T-Bills'!V:V,Brokerage!$B318)</f>
        <v>0</v>
      </c>
      <c r="AE318" s="857">
        <f>+SUMIFS(PIB!AH:AH,PIB!AG:AG,Brokerage!AE$4,PIB!AB:AB,Brokerage!$B318)+SUMIFS('T-Bills'!AC:AC,'T-Bills'!AB:AB,Brokerage!AE$4,'T-Bills'!W:W,Brokerage!$B318)</f>
        <v>0</v>
      </c>
      <c r="AF318" s="857">
        <f>+SUMIFS(PIB!AI:AI,PIB!AH:AH,Brokerage!AF$4,PIB!AC:AC,Brokerage!$B318)+SUMIFS('T-Bills'!AD:AD,'T-Bills'!AC:AC,Brokerage!AF$4,'T-Bills'!X:X,Brokerage!$B318)</f>
        <v>0</v>
      </c>
      <c r="AG318" s="857">
        <f t="shared" si="26"/>
        <v>0</v>
      </c>
      <c r="AH318" s="858">
        <f t="shared" si="28"/>
        <v>0</v>
      </c>
    </row>
    <row r="319" spans="2:34" x14ac:dyDescent="0.15">
      <c r="B319" s="661">
        <f t="shared" si="25"/>
        <v>44875</v>
      </c>
      <c r="C319" s="857">
        <f>SUMIFS('YTD Sales'!$N:$N,'YTD Sales'!$B:$B,Brokerage!$B319,'YTD Sales'!$M:$M,Brokerage!C$4)+SUMIFS('YTD Purchases'!$H:$H,'YTD Purchases'!$C:$C,Brokerage!$B319,'YTD Purchases'!$G:$G,Brokerage!C$4)</f>
        <v>0</v>
      </c>
      <c r="D319" s="857">
        <f>SUMIFS('YTD Sales'!$N:$N,'YTD Sales'!$B:$B,Brokerage!$B319,'YTD Sales'!$M:$M,Brokerage!D$4)+SUMIFS('YTD Purchases'!$H:$H,'YTD Purchases'!$C:$C,Brokerage!$B319,'YTD Purchases'!$G:$G,Brokerage!D$4)</f>
        <v>0</v>
      </c>
      <c r="E319" s="857">
        <f>SUMIFS('YTD Sales'!$N:$N,'YTD Sales'!$B:$B,Brokerage!$B319,'YTD Sales'!$M:$M,Brokerage!E$4)+SUMIFS('YTD Purchases'!$H:$H,'YTD Purchases'!$C:$C,Brokerage!$B319,'YTD Purchases'!$G:$G,Brokerage!E$4)</f>
        <v>0</v>
      </c>
      <c r="F319" s="857">
        <f>SUMIFS('YTD Sales'!$N:$N,'YTD Sales'!$B:$B,Brokerage!$B319,'YTD Sales'!$M:$M,Brokerage!F$4)+SUMIFS('YTD Purchases'!$H:$H,'YTD Purchases'!$C:$C,Brokerage!$B319,'YTD Purchases'!$G:$G,Brokerage!F$4)</f>
        <v>0</v>
      </c>
      <c r="G319" s="857">
        <f>SUMIFS('YTD Sales'!$N:$N,'YTD Sales'!$B:$B,Brokerage!$B319,'YTD Sales'!$M:$M,Brokerage!G$4)+SUMIFS('YTD Purchases'!$H:$H,'YTD Purchases'!$C:$C,Brokerage!$B319,'YTD Purchases'!$G:$G,Brokerage!G$4)</f>
        <v>0</v>
      </c>
      <c r="H319" s="857">
        <f>SUMIFS('YTD Sales'!$N:$N,'YTD Sales'!$B:$B,Brokerage!$B319,'YTD Sales'!$M:$M,Brokerage!H$4)+SUMIFS('YTD Purchases'!$H:$H,'YTD Purchases'!$C:$C,Brokerage!$B319,'YTD Purchases'!$G:$G,Brokerage!H$4)</f>
        <v>0</v>
      </c>
      <c r="I319" s="857">
        <f>SUMIFS('YTD Sales'!$N:$N,'YTD Sales'!$B:$B,Brokerage!$B319,'YTD Sales'!$M:$M,Brokerage!I$4)+SUMIFS('YTD Purchases'!$H:$H,'YTD Purchases'!$C:$C,Brokerage!$B319,'YTD Purchases'!$G:$G,Brokerage!I$4)</f>
        <v>0</v>
      </c>
      <c r="J319" s="857">
        <f>SUMIFS('YTD Sales'!$N:$N,'YTD Sales'!$B:$B,Brokerage!$B319,'YTD Sales'!$M:$M,Brokerage!J$4)+SUMIFS('YTD Purchases'!$H:$H,'YTD Purchases'!$C:$C,Brokerage!$B319,'YTD Purchases'!$G:$G,Brokerage!J$4)</f>
        <v>0</v>
      </c>
      <c r="K319" s="857">
        <f>SUMIFS('YTD Sales'!$N:$N,'YTD Sales'!$B:$B,Brokerage!$B319,'YTD Sales'!$M:$M,Brokerage!K$4)+SUMIFS('YTD Purchases'!$H:$H,'YTD Purchases'!$C:$C,Brokerage!$B319,'YTD Purchases'!$G:$G,Brokerage!K$4)</f>
        <v>0</v>
      </c>
      <c r="L319" s="857">
        <f>SUMIFS('YTD Sales'!$N:$N,'YTD Sales'!$B:$B,Brokerage!$B319,'YTD Sales'!$M:$M,Brokerage!L$4)+SUMIFS('YTD Purchases'!$H:$H,'YTD Purchases'!$C:$C,Brokerage!$B319,'YTD Purchases'!$G:$G,Brokerage!L$4)</f>
        <v>0</v>
      </c>
      <c r="M319" s="857">
        <f>SUMIFS('YTD Sales'!$N:$N,'YTD Sales'!$B:$B,Brokerage!$B319,'YTD Sales'!$M:$M,Brokerage!M$4)+SUMIFS('YTD Purchases'!$H:$H,'YTD Purchases'!$C:$C,Brokerage!$B319,'YTD Purchases'!$G:$G,Brokerage!M$4)</f>
        <v>0</v>
      </c>
      <c r="N319" s="857">
        <f>SUMIFS('YTD Sales'!$N:$N,'YTD Sales'!$B:$B,Brokerage!$B319,'YTD Sales'!$M:$M,Brokerage!N$4)+SUMIFS('YTD Purchases'!$H:$H,'YTD Purchases'!$C:$C,Brokerage!$B319,'YTD Purchases'!$G:$G,Brokerage!N$4)</f>
        <v>0</v>
      </c>
      <c r="O319" s="857">
        <f>SUMIFS('YTD Sales'!$N:$N,'YTD Sales'!$B:$B,Brokerage!$B319,'YTD Sales'!$M:$M,Brokerage!O$4)+SUMIFS('YTD Purchases'!$H:$H,'YTD Purchases'!$C:$C,Brokerage!$B319,'YTD Purchases'!$G:$G,Brokerage!O$4)</f>
        <v>0</v>
      </c>
      <c r="P319" s="857">
        <f>SUMIFS('YTD Sales'!$N:$N,'YTD Sales'!$B:$B,Brokerage!$B319,'YTD Sales'!$M:$M,Brokerage!P$4)+SUMIFS('YTD Purchases'!$H:$H,'YTD Purchases'!$C:$C,Brokerage!$B319,'YTD Purchases'!$G:$G,Brokerage!P$4)</f>
        <v>0</v>
      </c>
      <c r="Q319" s="857">
        <f>SUMIFS('YTD Sales'!$N:$N,'YTD Sales'!$B:$B,Brokerage!$B319,'YTD Sales'!$M:$M,Brokerage!Q$4)+SUMIFS('YTD Purchases'!$H:$H,'YTD Purchases'!$C:$C,Brokerage!$B319,'YTD Purchases'!$G:$G,Brokerage!Q$4)</f>
        <v>0</v>
      </c>
      <c r="R319" s="857">
        <f>SUMIFS('YTD Sales'!$N:$N,'YTD Sales'!$B:$B,Brokerage!$B319,'YTD Sales'!$M:$M,Brokerage!R$4)+SUMIFS('YTD Purchases'!$H:$H,'YTD Purchases'!$C:$C,Brokerage!$B319,'YTD Purchases'!$G:$G,Brokerage!R$4)</f>
        <v>0</v>
      </c>
      <c r="S319" s="857">
        <f>SUMIFS('YTD Sales'!$N:$N,'YTD Sales'!$B:$B,Brokerage!$B319,'YTD Sales'!$M:$M,Brokerage!S$4)+SUMIFS('YTD Purchases'!$H:$H,'YTD Purchases'!$C:$C,Brokerage!$B319,'YTD Purchases'!$G:$G,Brokerage!S$4)</f>
        <v>0</v>
      </c>
      <c r="T319" s="857">
        <f>SUMIFS('YTD Sales'!$N:$N,'YTD Sales'!$B:$B,Brokerage!$B319,'YTD Sales'!$M:$M,Brokerage!T$4)+SUMIFS('YTD Purchases'!$H:$H,'YTD Purchases'!$C:$C,Brokerage!$B319,'YTD Purchases'!$G:$G,Brokerage!T$4)</f>
        <v>0</v>
      </c>
      <c r="U319" s="857">
        <f>SUMIFS('YTD Sales'!$N:$N,'YTD Sales'!$B:$B,Brokerage!$B319,'YTD Sales'!$M:$M,Brokerage!U$4)+SUMIFS('YTD Purchases'!$H:$H,'YTD Purchases'!$C:$C,Brokerage!$B319,'YTD Purchases'!$G:$G,Brokerage!U$4)</f>
        <v>0</v>
      </c>
      <c r="V319" s="857">
        <f>SUMIFS('YTD Sales'!$N:$N,'YTD Sales'!$B:$B,Brokerage!$B319,'YTD Sales'!$M:$M,Brokerage!V$4)+SUMIFS('YTD Purchases'!$H:$H,'YTD Purchases'!$C:$C,Brokerage!$B319,'YTD Purchases'!$G:$G,Brokerage!V$4)</f>
        <v>0</v>
      </c>
      <c r="W319" s="857">
        <f>SUMIFS('YTD Sales'!$N:$N,'YTD Sales'!$B:$B,Brokerage!$B319,'YTD Sales'!$M:$M,Brokerage!W$4)+SUMIFS('YTD Purchases'!$H:$H,'YTD Purchases'!$C:$C,Brokerage!$B319,'YTD Purchases'!$G:$G,Brokerage!W$4)</f>
        <v>0</v>
      </c>
      <c r="X319" s="857">
        <f>SUMIFS('YTD Sales'!$N:$N,'YTD Sales'!$B:$B,Brokerage!$B319,'YTD Sales'!$M:$M,Brokerage!X$4)+SUMIFS('YTD Purchases'!$H:$H,'YTD Purchases'!$C:$C,Brokerage!$B319,'YTD Purchases'!$G:$G,Brokerage!X$4)</f>
        <v>0</v>
      </c>
      <c r="Y319" s="857">
        <f>SUMIFS('YTD Sales'!$N:$N,'YTD Sales'!$B:$B,Brokerage!$B319,'YTD Sales'!$M:$M,Brokerage!Y$4)+SUMIFS('YTD Purchases'!$H:$H,'YTD Purchases'!$C:$C,Brokerage!$B319,'YTD Purchases'!$G:$G,Brokerage!Y$4)</f>
        <v>0</v>
      </c>
      <c r="Z319" s="857">
        <f>SUMIFS('YTD Sales'!$N:$N,'YTD Sales'!$B:$B,Brokerage!$B319,'YTD Sales'!$M:$M,Brokerage!Z$4)+SUMIFS('YTD Purchases'!$H:$H,'YTD Purchases'!$C:$C,Brokerage!$B319,'YTD Purchases'!$G:$G,Brokerage!Z$4)</f>
        <v>0</v>
      </c>
      <c r="AA319" s="857">
        <f>SUMIFS('YTD Sales'!$N:$N,'YTD Sales'!$B:$B,Brokerage!$B319,'YTD Sales'!$M:$M,Brokerage!AA$4)+SUMIFS('YTD Purchases'!$H:$H,'YTD Purchases'!$C:$C,Brokerage!$B319,'YTD Purchases'!$G:$G,Brokerage!AA$4)</f>
        <v>0</v>
      </c>
      <c r="AB319" s="857">
        <f>SUMIFS('YTD Sales'!$N:$N,'YTD Sales'!$B:$B,Brokerage!$B319,'YTD Sales'!$M:$M,Brokerage!AB$4)+SUMIFS('YTD Purchases'!$H:$H,'YTD Purchases'!$C:$C,Brokerage!$B319,'YTD Purchases'!$G:$G,Brokerage!AB$4)</f>
        <v>0</v>
      </c>
      <c r="AC319" s="857">
        <f>SUMIFS('YTD Sales'!$N:$N,'YTD Sales'!$B:$B,Brokerage!$B319,'YTD Sales'!$M:$M,Brokerage!AC$4)+SUMIFS('YTD Purchases'!$H:$H,'YTD Purchases'!$C:$C,Brokerage!$B319,'YTD Purchases'!$G:$G,Brokerage!AC$4)</f>
        <v>0</v>
      </c>
      <c r="AD319" s="857">
        <f>+SUMIFS(PIB!AG:AG,PIB!AF:AF,Brokerage!AD$4,PIB!AA:AA,Brokerage!$B319)+SUMIFS('T-Bills'!AB:AB,'T-Bills'!AA:AA,Brokerage!AD$4,'T-Bills'!V:V,Brokerage!$B319)</f>
        <v>0</v>
      </c>
      <c r="AE319" s="857">
        <f>+SUMIFS(PIB!AH:AH,PIB!AG:AG,Brokerage!AE$4,PIB!AB:AB,Brokerage!$B319)+SUMIFS('T-Bills'!AC:AC,'T-Bills'!AB:AB,Brokerage!AE$4,'T-Bills'!W:W,Brokerage!$B319)</f>
        <v>0</v>
      </c>
      <c r="AF319" s="857">
        <f>+SUMIFS(PIB!AI:AI,PIB!AH:AH,Brokerage!AF$4,PIB!AC:AC,Brokerage!$B319)+SUMIFS('T-Bills'!AD:AD,'T-Bills'!AC:AC,Brokerage!AF$4,'T-Bills'!X:X,Brokerage!$B319)</f>
        <v>0</v>
      </c>
      <c r="AG319" s="857">
        <f t="shared" si="26"/>
        <v>0</v>
      </c>
      <c r="AH319" s="858">
        <f t="shared" si="28"/>
        <v>0</v>
      </c>
    </row>
    <row r="320" spans="2:34" x14ac:dyDescent="0.15">
      <c r="B320" s="661">
        <f t="shared" si="25"/>
        <v>44876</v>
      </c>
      <c r="C320" s="857">
        <f>SUMIFS('YTD Sales'!$N:$N,'YTD Sales'!$B:$B,Brokerage!$B320,'YTD Sales'!$M:$M,Brokerage!C$4)+SUMIFS('YTD Purchases'!$H:$H,'YTD Purchases'!$C:$C,Brokerage!$B320,'YTD Purchases'!$G:$G,Brokerage!C$4)</f>
        <v>0</v>
      </c>
      <c r="D320" s="857">
        <f>SUMIFS('YTD Sales'!$N:$N,'YTD Sales'!$B:$B,Brokerage!$B320,'YTD Sales'!$M:$M,Brokerage!D$4)+SUMIFS('YTD Purchases'!$H:$H,'YTD Purchases'!$C:$C,Brokerage!$B320,'YTD Purchases'!$G:$G,Brokerage!D$4)</f>
        <v>0</v>
      </c>
      <c r="E320" s="857">
        <f>SUMIFS('YTD Sales'!$N:$N,'YTD Sales'!$B:$B,Brokerage!$B320,'YTD Sales'!$M:$M,Brokerage!E$4)+SUMIFS('YTD Purchases'!$H:$H,'YTD Purchases'!$C:$C,Brokerage!$B320,'YTD Purchases'!$G:$G,Brokerage!E$4)</f>
        <v>0</v>
      </c>
      <c r="F320" s="857">
        <f>SUMIFS('YTD Sales'!$N:$N,'YTD Sales'!$B:$B,Brokerage!$B320,'YTD Sales'!$M:$M,Brokerage!F$4)+SUMIFS('YTD Purchases'!$H:$H,'YTD Purchases'!$C:$C,Brokerage!$B320,'YTD Purchases'!$G:$G,Brokerage!F$4)</f>
        <v>0</v>
      </c>
      <c r="G320" s="857">
        <f>SUMIFS('YTD Sales'!$N:$N,'YTD Sales'!$B:$B,Brokerage!$B320,'YTD Sales'!$M:$M,Brokerage!G$4)+SUMIFS('YTD Purchases'!$H:$H,'YTD Purchases'!$C:$C,Brokerage!$B320,'YTD Purchases'!$G:$G,Brokerage!G$4)</f>
        <v>0</v>
      </c>
      <c r="H320" s="857">
        <f>SUMIFS('YTD Sales'!$N:$N,'YTD Sales'!$B:$B,Brokerage!$B320,'YTD Sales'!$M:$M,Brokerage!H$4)+SUMIFS('YTD Purchases'!$H:$H,'YTD Purchases'!$C:$C,Brokerage!$B320,'YTD Purchases'!$G:$G,Brokerage!H$4)</f>
        <v>0</v>
      </c>
      <c r="I320" s="857">
        <f>SUMIFS('YTD Sales'!$N:$N,'YTD Sales'!$B:$B,Brokerage!$B320,'YTD Sales'!$M:$M,Brokerage!I$4)+SUMIFS('YTD Purchases'!$H:$H,'YTD Purchases'!$C:$C,Brokerage!$B320,'YTD Purchases'!$G:$G,Brokerage!I$4)</f>
        <v>0</v>
      </c>
      <c r="J320" s="857">
        <f>SUMIFS('YTD Sales'!$N:$N,'YTD Sales'!$B:$B,Brokerage!$B320,'YTD Sales'!$M:$M,Brokerage!J$4)+SUMIFS('YTD Purchases'!$H:$H,'YTD Purchases'!$C:$C,Brokerage!$B320,'YTD Purchases'!$G:$G,Brokerage!J$4)</f>
        <v>0</v>
      </c>
      <c r="K320" s="857">
        <f>SUMIFS('YTD Sales'!$N:$N,'YTD Sales'!$B:$B,Brokerage!$B320,'YTD Sales'!$M:$M,Brokerage!K$4)+SUMIFS('YTD Purchases'!$H:$H,'YTD Purchases'!$C:$C,Brokerage!$B320,'YTD Purchases'!$G:$G,Brokerage!K$4)</f>
        <v>0</v>
      </c>
      <c r="L320" s="857">
        <f>SUMIFS('YTD Sales'!$N:$N,'YTD Sales'!$B:$B,Brokerage!$B320,'YTD Sales'!$M:$M,Brokerage!L$4)+SUMIFS('YTD Purchases'!$H:$H,'YTD Purchases'!$C:$C,Brokerage!$B320,'YTD Purchases'!$G:$G,Brokerage!L$4)</f>
        <v>0</v>
      </c>
      <c r="M320" s="857">
        <f>SUMIFS('YTD Sales'!$N:$N,'YTD Sales'!$B:$B,Brokerage!$B320,'YTD Sales'!$M:$M,Brokerage!M$4)+SUMIFS('YTD Purchases'!$H:$H,'YTD Purchases'!$C:$C,Brokerage!$B320,'YTD Purchases'!$G:$G,Brokerage!M$4)</f>
        <v>0</v>
      </c>
      <c r="N320" s="857">
        <f>SUMIFS('YTD Sales'!$N:$N,'YTD Sales'!$B:$B,Brokerage!$B320,'YTD Sales'!$M:$M,Brokerage!N$4)+SUMIFS('YTD Purchases'!$H:$H,'YTD Purchases'!$C:$C,Brokerage!$B320,'YTD Purchases'!$G:$G,Brokerage!N$4)</f>
        <v>0</v>
      </c>
      <c r="O320" s="857">
        <f>SUMIFS('YTD Sales'!$N:$N,'YTD Sales'!$B:$B,Brokerage!$B320,'YTD Sales'!$M:$M,Brokerage!O$4)+SUMIFS('YTD Purchases'!$H:$H,'YTD Purchases'!$C:$C,Brokerage!$B320,'YTD Purchases'!$G:$G,Brokerage!O$4)</f>
        <v>0</v>
      </c>
      <c r="P320" s="857">
        <f>SUMIFS('YTD Sales'!$N:$N,'YTD Sales'!$B:$B,Brokerage!$B320,'YTD Sales'!$M:$M,Brokerage!P$4)+SUMIFS('YTD Purchases'!$H:$H,'YTD Purchases'!$C:$C,Brokerage!$B320,'YTD Purchases'!$G:$G,Brokerage!P$4)</f>
        <v>0</v>
      </c>
      <c r="Q320" s="857">
        <f>SUMIFS('YTD Sales'!$N:$N,'YTD Sales'!$B:$B,Brokerage!$B320,'YTD Sales'!$M:$M,Brokerage!Q$4)+SUMIFS('YTD Purchases'!$H:$H,'YTD Purchases'!$C:$C,Brokerage!$B320,'YTD Purchases'!$G:$G,Brokerage!Q$4)</f>
        <v>0</v>
      </c>
      <c r="R320" s="857">
        <f>SUMIFS('YTD Sales'!$N:$N,'YTD Sales'!$B:$B,Brokerage!$B320,'YTD Sales'!$M:$M,Brokerage!R$4)+SUMIFS('YTD Purchases'!$H:$H,'YTD Purchases'!$C:$C,Brokerage!$B320,'YTD Purchases'!$G:$G,Brokerage!R$4)</f>
        <v>0</v>
      </c>
      <c r="S320" s="857">
        <f>SUMIFS('YTD Sales'!$N:$N,'YTD Sales'!$B:$B,Brokerage!$B320,'YTD Sales'!$M:$M,Brokerage!S$4)+SUMIFS('YTD Purchases'!$H:$H,'YTD Purchases'!$C:$C,Brokerage!$B320,'YTD Purchases'!$G:$G,Brokerage!S$4)</f>
        <v>0</v>
      </c>
      <c r="T320" s="857">
        <f>SUMIFS('YTD Sales'!$N:$N,'YTD Sales'!$B:$B,Brokerage!$B320,'YTD Sales'!$M:$M,Brokerage!T$4)+SUMIFS('YTD Purchases'!$H:$H,'YTD Purchases'!$C:$C,Brokerage!$B320,'YTD Purchases'!$G:$G,Brokerage!T$4)</f>
        <v>0</v>
      </c>
      <c r="U320" s="857">
        <f>SUMIFS('YTD Sales'!$N:$N,'YTD Sales'!$B:$B,Brokerage!$B320,'YTD Sales'!$M:$M,Brokerage!U$4)+SUMIFS('YTD Purchases'!$H:$H,'YTD Purchases'!$C:$C,Brokerage!$B320,'YTD Purchases'!$G:$G,Brokerage!U$4)</f>
        <v>0</v>
      </c>
      <c r="V320" s="857">
        <f>SUMIFS('YTD Sales'!$N:$N,'YTD Sales'!$B:$B,Brokerage!$B320,'YTD Sales'!$M:$M,Brokerage!V$4)+SUMIFS('YTD Purchases'!$H:$H,'YTD Purchases'!$C:$C,Brokerage!$B320,'YTD Purchases'!$G:$G,Brokerage!V$4)</f>
        <v>0</v>
      </c>
      <c r="W320" s="857">
        <f>SUMIFS('YTD Sales'!$N:$N,'YTD Sales'!$B:$B,Brokerage!$B320,'YTD Sales'!$M:$M,Brokerage!W$4)+SUMIFS('YTD Purchases'!$H:$H,'YTD Purchases'!$C:$C,Brokerage!$B320,'YTD Purchases'!$G:$G,Brokerage!W$4)</f>
        <v>0</v>
      </c>
      <c r="X320" s="857">
        <f>SUMIFS('YTD Sales'!$N:$N,'YTD Sales'!$B:$B,Brokerage!$B320,'YTD Sales'!$M:$M,Brokerage!X$4)+SUMIFS('YTD Purchases'!$H:$H,'YTD Purchases'!$C:$C,Brokerage!$B320,'YTD Purchases'!$G:$G,Brokerage!X$4)</f>
        <v>0</v>
      </c>
      <c r="Y320" s="857">
        <f>SUMIFS('YTD Sales'!$N:$N,'YTD Sales'!$B:$B,Brokerage!$B320,'YTD Sales'!$M:$M,Brokerage!Y$4)+SUMIFS('YTD Purchases'!$H:$H,'YTD Purchases'!$C:$C,Brokerage!$B320,'YTD Purchases'!$G:$G,Brokerage!Y$4)</f>
        <v>0</v>
      </c>
      <c r="Z320" s="857">
        <f>SUMIFS('YTD Sales'!$N:$N,'YTD Sales'!$B:$B,Brokerage!$B320,'YTD Sales'!$M:$M,Brokerage!Z$4)+SUMIFS('YTD Purchases'!$H:$H,'YTD Purchases'!$C:$C,Brokerage!$B320,'YTD Purchases'!$G:$G,Brokerage!Z$4)</f>
        <v>0</v>
      </c>
      <c r="AA320" s="857">
        <f>SUMIFS('YTD Sales'!$N:$N,'YTD Sales'!$B:$B,Brokerage!$B320,'YTD Sales'!$M:$M,Brokerage!AA$4)+SUMIFS('YTD Purchases'!$H:$H,'YTD Purchases'!$C:$C,Brokerage!$B320,'YTD Purchases'!$G:$G,Brokerage!AA$4)</f>
        <v>0</v>
      </c>
      <c r="AB320" s="857">
        <f>SUMIFS('YTD Sales'!$N:$N,'YTD Sales'!$B:$B,Brokerage!$B320,'YTD Sales'!$M:$M,Brokerage!AB$4)+SUMIFS('YTD Purchases'!$H:$H,'YTD Purchases'!$C:$C,Brokerage!$B320,'YTD Purchases'!$G:$G,Brokerage!AB$4)</f>
        <v>0</v>
      </c>
      <c r="AC320" s="857">
        <f>SUMIFS('YTD Sales'!$N:$N,'YTD Sales'!$B:$B,Brokerage!$B320,'YTD Sales'!$M:$M,Brokerage!AC$4)+SUMIFS('YTD Purchases'!$H:$H,'YTD Purchases'!$C:$C,Brokerage!$B320,'YTD Purchases'!$G:$G,Brokerage!AC$4)</f>
        <v>0</v>
      </c>
      <c r="AD320" s="857">
        <f>+SUMIFS(PIB!AG:AG,PIB!AF:AF,Brokerage!AD$4,PIB!AA:AA,Brokerage!$B320)+SUMIFS('T-Bills'!AB:AB,'T-Bills'!AA:AA,Brokerage!AD$4,'T-Bills'!V:V,Brokerage!$B320)</f>
        <v>0</v>
      </c>
      <c r="AE320" s="857">
        <f>+SUMIFS(PIB!AH:AH,PIB!AG:AG,Brokerage!AE$4,PIB!AB:AB,Brokerage!$B320)+SUMIFS('T-Bills'!AC:AC,'T-Bills'!AB:AB,Brokerage!AE$4,'T-Bills'!W:W,Brokerage!$B320)</f>
        <v>0</v>
      </c>
      <c r="AF320" s="857">
        <f>+SUMIFS(PIB!AI:AI,PIB!AH:AH,Brokerage!AF$4,PIB!AC:AC,Brokerage!$B320)+SUMIFS('T-Bills'!AD:AD,'T-Bills'!AC:AC,Brokerage!AF$4,'T-Bills'!X:X,Brokerage!$B320)</f>
        <v>0</v>
      </c>
      <c r="AG320" s="857">
        <f t="shared" si="26"/>
        <v>0</v>
      </c>
      <c r="AH320" s="858">
        <f t="shared" si="28"/>
        <v>0</v>
      </c>
    </row>
    <row r="321" spans="2:34" x14ac:dyDescent="0.15">
      <c r="B321" s="661">
        <f t="shared" si="25"/>
        <v>44877</v>
      </c>
      <c r="C321" s="857">
        <f>SUMIFS('YTD Sales'!$N:$N,'YTD Sales'!$B:$B,Brokerage!$B321,'YTD Sales'!$M:$M,Brokerage!C$4)+SUMIFS('YTD Purchases'!$H:$H,'YTD Purchases'!$C:$C,Brokerage!$B321,'YTD Purchases'!$G:$G,Brokerage!C$4)</f>
        <v>0</v>
      </c>
      <c r="D321" s="857">
        <f>SUMIFS('YTD Sales'!$N:$N,'YTD Sales'!$B:$B,Brokerage!$B321,'YTD Sales'!$M:$M,Brokerage!D$4)+SUMIFS('YTD Purchases'!$H:$H,'YTD Purchases'!$C:$C,Brokerage!$B321,'YTD Purchases'!$G:$G,Brokerage!D$4)</f>
        <v>0</v>
      </c>
      <c r="E321" s="857">
        <f>SUMIFS('YTD Sales'!$N:$N,'YTD Sales'!$B:$B,Brokerage!$B321,'YTD Sales'!$M:$M,Brokerage!E$4)+SUMIFS('YTD Purchases'!$H:$H,'YTD Purchases'!$C:$C,Brokerage!$B321,'YTD Purchases'!$G:$G,Brokerage!E$4)</f>
        <v>0</v>
      </c>
      <c r="F321" s="857">
        <f>SUMIFS('YTD Sales'!$N:$N,'YTD Sales'!$B:$B,Brokerage!$B321,'YTD Sales'!$M:$M,Brokerage!F$4)+SUMIFS('YTD Purchases'!$H:$H,'YTD Purchases'!$C:$C,Brokerage!$B321,'YTD Purchases'!$G:$G,Brokerage!F$4)</f>
        <v>0</v>
      </c>
      <c r="G321" s="857">
        <f>SUMIFS('YTD Sales'!$N:$N,'YTD Sales'!$B:$B,Brokerage!$B321,'YTD Sales'!$M:$M,Brokerage!G$4)+SUMIFS('YTD Purchases'!$H:$H,'YTD Purchases'!$C:$C,Brokerage!$B321,'YTD Purchases'!$G:$G,Brokerage!G$4)</f>
        <v>0</v>
      </c>
      <c r="H321" s="857">
        <f>SUMIFS('YTD Sales'!$N:$N,'YTD Sales'!$B:$B,Brokerage!$B321,'YTD Sales'!$M:$M,Brokerage!H$4)+SUMIFS('YTD Purchases'!$H:$H,'YTD Purchases'!$C:$C,Brokerage!$B321,'YTD Purchases'!$G:$G,Brokerage!H$4)</f>
        <v>0</v>
      </c>
      <c r="I321" s="857">
        <f>SUMIFS('YTD Sales'!$N:$N,'YTD Sales'!$B:$B,Brokerage!$B321,'YTD Sales'!$M:$M,Brokerage!I$4)+SUMIFS('YTD Purchases'!$H:$H,'YTD Purchases'!$C:$C,Brokerage!$B321,'YTD Purchases'!$G:$G,Brokerage!I$4)</f>
        <v>0</v>
      </c>
      <c r="J321" s="857">
        <f>SUMIFS('YTD Sales'!$N:$N,'YTD Sales'!$B:$B,Brokerage!$B321,'YTD Sales'!$M:$M,Brokerage!J$4)+SUMIFS('YTD Purchases'!$H:$H,'YTD Purchases'!$C:$C,Brokerage!$B321,'YTD Purchases'!$G:$G,Brokerage!J$4)</f>
        <v>0</v>
      </c>
      <c r="K321" s="857">
        <f>SUMIFS('YTD Sales'!$N:$N,'YTD Sales'!$B:$B,Brokerage!$B321,'YTD Sales'!$M:$M,Brokerage!K$4)+SUMIFS('YTD Purchases'!$H:$H,'YTD Purchases'!$C:$C,Brokerage!$B321,'YTD Purchases'!$G:$G,Brokerage!K$4)</f>
        <v>0</v>
      </c>
      <c r="L321" s="857">
        <f>SUMIFS('YTD Sales'!$N:$N,'YTD Sales'!$B:$B,Brokerage!$B321,'YTD Sales'!$M:$M,Brokerage!L$4)+SUMIFS('YTD Purchases'!$H:$H,'YTD Purchases'!$C:$C,Brokerage!$B321,'YTD Purchases'!$G:$G,Brokerage!L$4)</f>
        <v>0</v>
      </c>
      <c r="M321" s="857">
        <f>SUMIFS('YTD Sales'!$N:$N,'YTD Sales'!$B:$B,Brokerage!$B321,'YTD Sales'!$M:$M,Brokerage!M$4)+SUMIFS('YTD Purchases'!$H:$H,'YTD Purchases'!$C:$C,Brokerage!$B321,'YTD Purchases'!$G:$G,Brokerage!M$4)</f>
        <v>0</v>
      </c>
      <c r="N321" s="857">
        <f>SUMIFS('YTD Sales'!$N:$N,'YTD Sales'!$B:$B,Brokerage!$B321,'YTD Sales'!$M:$M,Brokerage!N$4)+SUMIFS('YTD Purchases'!$H:$H,'YTD Purchases'!$C:$C,Brokerage!$B321,'YTD Purchases'!$G:$G,Brokerage!N$4)</f>
        <v>0</v>
      </c>
      <c r="O321" s="857">
        <f>SUMIFS('YTD Sales'!$N:$N,'YTD Sales'!$B:$B,Brokerage!$B321,'YTD Sales'!$M:$M,Brokerage!O$4)+SUMIFS('YTD Purchases'!$H:$H,'YTD Purchases'!$C:$C,Brokerage!$B321,'YTD Purchases'!$G:$G,Brokerage!O$4)</f>
        <v>0</v>
      </c>
      <c r="P321" s="857">
        <f>SUMIFS('YTD Sales'!$N:$N,'YTD Sales'!$B:$B,Brokerage!$B321,'YTD Sales'!$M:$M,Brokerage!P$4)+SUMIFS('YTD Purchases'!$H:$H,'YTD Purchases'!$C:$C,Brokerage!$B321,'YTD Purchases'!$G:$G,Brokerage!P$4)</f>
        <v>0</v>
      </c>
      <c r="Q321" s="857">
        <f>SUMIFS('YTD Sales'!$N:$N,'YTD Sales'!$B:$B,Brokerage!$B321,'YTD Sales'!$M:$M,Brokerage!Q$4)+SUMIFS('YTD Purchases'!$H:$H,'YTD Purchases'!$C:$C,Brokerage!$B321,'YTD Purchases'!$G:$G,Brokerage!Q$4)</f>
        <v>0</v>
      </c>
      <c r="R321" s="857">
        <f>SUMIFS('YTD Sales'!$N:$N,'YTD Sales'!$B:$B,Brokerage!$B321,'YTD Sales'!$M:$M,Brokerage!R$4)+SUMIFS('YTD Purchases'!$H:$H,'YTD Purchases'!$C:$C,Brokerage!$B321,'YTD Purchases'!$G:$G,Brokerage!R$4)</f>
        <v>0</v>
      </c>
      <c r="S321" s="857">
        <f>SUMIFS('YTD Sales'!$N:$N,'YTD Sales'!$B:$B,Brokerage!$B321,'YTD Sales'!$M:$M,Brokerage!S$4)+SUMIFS('YTD Purchases'!$H:$H,'YTD Purchases'!$C:$C,Brokerage!$B321,'YTD Purchases'!$G:$G,Brokerage!S$4)</f>
        <v>0</v>
      </c>
      <c r="T321" s="857">
        <f>SUMIFS('YTD Sales'!$N:$N,'YTD Sales'!$B:$B,Brokerage!$B321,'YTD Sales'!$M:$M,Brokerage!T$4)+SUMIFS('YTD Purchases'!$H:$H,'YTD Purchases'!$C:$C,Brokerage!$B321,'YTD Purchases'!$G:$G,Brokerage!T$4)</f>
        <v>0</v>
      </c>
      <c r="U321" s="857">
        <f>SUMIFS('YTD Sales'!$N:$N,'YTD Sales'!$B:$B,Brokerage!$B321,'YTD Sales'!$M:$M,Brokerage!U$4)+SUMIFS('YTD Purchases'!$H:$H,'YTD Purchases'!$C:$C,Brokerage!$B321,'YTD Purchases'!$G:$G,Brokerage!U$4)</f>
        <v>0</v>
      </c>
      <c r="V321" s="857">
        <f>SUMIFS('YTD Sales'!$N:$N,'YTD Sales'!$B:$B,Brokerage!$B321,'YTD Sales'!$M:$M,Brokerage!V$4)+SUMIFS('YTD Purchases'!$H:$H,'YTD Purchases'!$C:$C,Brokerage!$B321,'YTD Purchases'!$G:$G,Brokerage!V$4)</f>
        <v>0</v>
      </c>
      <c r="W321" s="857">
        <f>SUMIFS('YTD Sales'!$N:$N,'YTD Sales'!$B:$B,Brokerage!$B321,'YTD Sales'!$M:$M,Brokerage!W$4)+SUMIFS('YTD Purchases'!$H:$H,'YTD Purchases'!$C:$C,Brokerage!$B321,'YTD Purchases'!$G:$G,Brokerage!W$4)</f>
        <v>0</v>
      </c>
      <c r="X321" s="857">
        <f>SUMIFS('YTD Sales'!$N:$N,'YTD Sales'!$B:$B,Brokerage!$B321,'YTD Sales'!$M:$M,Brokerage!X$4)+SUMIFS('YTD Purchases'!$H:$H,'YTD Purchases'!$C:$C,Brokerage!$B321,'YTD Purchases'!$G:$G,Brokerage!X$4)</f>
        <v>0</v>
      </c>
      <c r="Y321" s="857">
        <f>SUMIFS('YTD Sales'!$N:$N,'YTD Sales'!$B:$B,Brokerage!$B321,'YTD Sales'!$M:$M,Brokerage!Y$4)+SUMIFS('YTD Purchases'!$H:$H,'YTD Purchases'!$C:$C,Brokerage!$B321,'YTD Purchases'!$G:$G,Brokerage!Y$4)</f>
        <v>0</v>
      </c>
      <c r="Z321" s="857">
        <f>SUMIFS('YTD Sales'!$N:$N,'YTD Sales'!$B:$B,Brokerage!$B321,'YTD Sales'!$M:$M,Brokerage!Z$4)+SUMIFS('YTD Purchases'!$H:$H,'YTD Purchases'!$C:$C,Brokerage!$B321,'YTD Purchases'!$G:$G,Brokerage!Z$4)</f>
        <v>0</v>
      </c>
      <c r="AA321" s="857">
        <f>SUMIFS('YTD Sales'!$N:$N,'YTD Sales'!$B:$B,Brokerage!$B321,'YTD Sales'!$M:$M,Brokerage!AA$4)+SUMIFS('YTD Purchases'!$H:$H,'YTD Purchases'!$C:$C,Brokerage!$B321,'YTD Purchases'!$G:$G,Brokerage!AA$4)</f>
        <v>0</v>
      </c>
      <c r="AB321" s="857">
        <f>SUMIFS('YTD Sales'!$N:$N,'YTD Sales'!$B:$B,Brokerage!$B321,'YTD Sales'!$M:$M,Brokerage!AB$4)+SUMIFS('YTD Purchases'!$H:$H,'YTD Purchases'!$C:$C,Brokerage!$B321,'YTD Purchases'!$G:$G,Brokerage!AB$4)</f>
        <v>0</v>
      </c>
      <c r="AC321" s="857">
        <f>SUMIFS('YTD Sales'!$N:$N,'YTD Sales'!$B:$B,Brokerage!$B321,'YTD Sales'!$M:$M,Brokerage!AC$4)+SUMIFS('YTD Purchases'!$H:$H,'YTD Purchases'!$C:$C,Brokerage!$B321,'YTD Purchases'!$G:$G,Brokerage!AC$4)</f>
        <v>0</v>
      </c>
      <c r="AD321" s="857">
        <f>+SUMIFS(PIB!AG:AG,PIB!AF:AF,Brokerage!AD$4,PIB!AA:AA,Brokerage!$B321)+SUMIFS('T-Bills'!AB:AB,'T-Bills'!AA:AA,Brokerage!AD$4,'T-Bills'!V:V,Brokerage!$B321)</f>
        <v>0</v>
      </c>
      <c r="AE321" s="857">
        <f>+SUMIFS(PIB!AH:AH,PIB!AG:AG,Brokerage!AE$4,PIB!AB:AB,Brokerage!$B321)+SUMIFS('T-Bills'!AC:AC,'T-Bills'!AB:AB,Brokerage!AE$4,'T-Bills'!W:W,Brokerage!$B321)</f>
        <v>0</v>
      </c>
      <c r="AF321" s="857">
        <f>+SUMIFS(PIB!AI:AI,PIB!AH:AH,Brokerage!AF$4,PIB!AC:AC,Brokerage!$B321)+SUMIFS('T-Bills'!AD:AD,'T-Bills'!AC:AC,Brokerage!AF$4,'T-Bills'!X:X,Brokerage!$B321)</f>
        <v>0</v>
      </c>
      <c r="AG321" s="857">
        <f t="shared" si="26"/>
        <v>0</v>
      </c>
      <c r="AH321" s="858">
        <f t="shared" si="28"/>
        <v>0</v>
      </c>
    </row>
    <row r="322" spans="2:34" x14ac:dyDescent="0.15">
      <c r="B322" s="661">
        <f t="shared" si="25"/>
        <v>44878</v>
      </c>
      <c r="C322" s="857">
        <f>SUMIFS('YTD Sales'!$N:$N,'YTD Sales'!$B:$B,Brokerage!$B322,'YTD Sales'!$M:$M,Brokerage!C$4)+SUMIFS('YTD Purchases'!$H:$H,'YTD Purchases'!$C:$C,Brokerage!$B322,'YTD Purchases'!$G:$G,Brokerage!C$4)</f>
        <v>0</v>
      </c>
      <c r="D322" s="857">
        <f>SUMIFS('YTD Sales'!$N:$N,'YTD Sales'!$B:$B,Brokerage!$B322,'YTD Sales'!$M:$M,Brokerage!D$4)+SUMIFS('YTD Purchases'!$H:$H,'YTD Purchases'!$C:$C,Brokerage!$B322,'YTD Purchases'!$G:$G,Brokerage!D$4)</f>
        <v>0</v>
      </c>
      <c r="E322" s="857">
        <f>SUMIFS('YTD Sales'!$N:$N,'YTD Sales'!$B:$B,Brokerage!$B322,'YTD Sales'!$M:$M,Brokerage!E$4)+SUMIFS('YTD Purchases'!$H:$H,'YTD Purchases'!$C:$C,Brokerage!$B322,'YTD Purchases'!$G:$G,Brokerage!E$4)</f>
        <v>0</v>
      </c>
      <c r="F322" s="857">
        <f>SUMIFS('YTD Sales'!$N:$N,'YTD Sales'!$B:$B,Brokerage!$B322,'YTD Sales'!$M:$M,Brokerage!F$4)+SUMIFS('YTD Purchases'!$H:$H,'YTD Purchases'!$C:$C,Brokerage!$B322,'YTD Purchases'!$G:$G,Brokerage!F$4)</f>
        <v>0</v>
      </c>
      <c r="G322" s="857">
        <f>SUMIFS('YTD Sales'!$N:$N,'YTD Sales'!$B:$B,Brokerage!$B322,'YTD Sales'!$M:$M,Brokerage!G$4)+SUMIFS('YTD Purchases'!$H:$H,'YTD Purchases'!$C:$C,Brokerage!$B322,'YTD Purchases'!$G:$G,Brokerage!G$4)</f>
        <v>0</v>
      </c>
      <c r="H322" s="857">
        <f>SUMIFS('YTD Sales'!$N:$N,'YTD Sales'!$B:$B,Brokerage!$B322,'YTD Sales'!$M:$M,Brokerage!H$4)+SUMIFS('YTD Purchases'!$H:$H,'YTD Purchases'!$C:$C,Brokerage!$B322,'YTD Purchases'!$G:$G,Brokerage!H$4)</f>
        <v>0</v>
      </c>
      <c r="I322" s="857">
        <f>SUMIFS('YTD Sales'!$N:$N,'YTD Sales'!$B:$B,Brokerage!$B322,'YTD Sales'!$M:$M,Brokerage!I$4)+SUMIFS('YTD Purchases'!$H:$H,'YTD Purchases'!$C:$C,Brokerage!$B322,'YTD Purchases'!$G:$G,Brokerage!I$4)</f>
        <v>0</v>
      </c>
      <c r="J322" s="857">
        <f>SUMIFS('YTD Sales'!$N:$N,'YTD Sales'!$B:$B,Brokerage!$B322,'YTD Sales'!$M:$M,Brokerage!J$4)+SUMIFS('YTD Purchases'!$H:$H,'YTD Purchases'!$C:$C,Brokerage!$B322,'YTD Purchases'!$G:$G,Brokerage!J$4)</f>
        <v>0</v>
      </c>
      <c r="K322" s="857">
        <f>SUMIFS('YTD Sales'!$N:$N,'YTD Sales'!$B:$B,Brokerage!$B322,'YTD Sales'!$M:$M,Brokerage!K$4)+SUMIFS('YTD Purchases'!$H:$H,'YTD Purchases'!$C:$C,Brokerage!$B322,'YTD Purchases'!$G:$G,Brokerage!K$4)</f>
        <v>0</v>
      </c>
      <c r="L322" s="857">
        <f>SUMIFS('YTD Sales'!$N:$N,'YTD Sales'!$B:$B,Brokerage!$B322,'YTD Sales'!$M:$M,Brokerage!L$4)+SUMIFS('YTD Purchases'!$H:$H,'YTD Purchases'!$C:$C,Brokerage!$B322,'YTD Purchases'!$G:$G,Brokerage!L$4)</f>
        <v>0</v>
      </c>
      <c r="M322" s="857">
        <f>SUMIFS('YTD Sales'!$N:$N,'YTD Sales'!$B:$B,Brokerage!$B322,'YTD Sales'!$M:$M,Brokerage!M$4)+SUMIFS('YTD Purchases'!$H:$H,'YTD Purchases'!$C:$C,Brokerage!$B322,'YTD Purchases'!$G:$G,Brokerage!M$4)</f>
        <v>0</v>
      </c>
      <c r="N322" s="857">
        <f>SUMIFS('YTD Sales'!$N:$N,'YTD Sales'!$B:$B,Brokerage!$B322,'YTD Sales'!$M:$M,Brokerage!N$4)+SUMIFS('YTD Purchases'!$H:$H,'YTD Purchases'!$C:$C,Brokerage!$B322,'YTD Purchases'!$G:$G,Brokerage!N$4)</f>
        <v>0</v>
      </c>
      <c r="O322" s="857">
        <f>SUMIFS('YTD Sales'!$N:$N,'YTD Sales'!$B:$B,Brokerage!$B322,'YTD Sales'!$M:$M,Brokerage!O$4)+SUMIFS('YTD Purchases'!$H:$H,'YTD Purchases'!$C:$C,Brokerage!$B322,'YTD Purchases'!$G:$G,Brokerage!O$4)</f>
        <v>0</v>
      </c>
      <c r="P322" s="857">
        <f>SUMIFS('YTD Sales'!$N:$N,'YTD Sales'!$B:$B,Brokerage!$B322,'YTD Sales'!$M:$M,Brokerage!P$4)+SUMIFS('YTD Purchases'!$H:$H,'YTD Purchases'!$C:$C,Brokerage!$B322,'YTD Purchases'!$G:$G,Brokerage!P$4)</f>
        <v>0</v>
      </c>
      <c r="Q322" s="857">
        <f>SUMIFS('YTD Sales'!$N:$N,'YTD Sales'!$B:$B,Brokerage!$B322,'YTD Sales'!$M:$M,Brokerage!Q$4)+SUMIFS('YTD Purchases'!$H:$H,'YTD Purchases'!$C:$C,Brokerage!$B322,'YTD Purchases'!$G:$G,Brokerage!Q$4)</f>
        <v>0</v>
      </c>
      <c r="R322" s="857">
        <f>SUMIFS('YTD Sales'!$N:$N,'YTD Sales'!$B:$B,Brokerage!$B322,'YTD Sales'!$M:$M,Brokerage!R$4)+SUMIFS('YTD Purchases'!$H:$H,'YTD Purchases'!$C:$C,Brokerage!$B322,'YTD Purchases'!$G:$G,Brokerage!R$4)</f>
        <v>0</v>
      </c>
      <c r="S322" s="857">
        <f>SUMIFS('YTD Sales'!$N:$N,'YTD Sales'!$B:$B,Brokerage!$B322,'YTD Sales'!$M:$M,Brokerage!S$4)+SUMIFS('YTD Purchases'!$H:$H,'YTD Purchases'!$C:$C,Brokerage!$B322,'YTD Purchases'!$G:$G,Brokerage!S$4)</f>
        <v>0</v>
      </c>
      <c r="T322" s="857">
        <f>SUMIFS('YTD Sales'!$N:$N,'YTD Sales'!$B:$B,Brokerage!$B322,'YTD Sales'!$M:$M,Brokerage!T$4)+SUMIFS('YTD Purchases'!$H:$H,'YTD Purchases'!$C:$C,Brokerage!$B322,'YTD Purchases'!$G:$G,Brokerage!T$4)</f>
        <v>0</v>
      </c>
      <c r="U322" s="857">
        <f>SUMIFS('YTD Sales'!$N:$N,'YTD Sales'!$B:$B,Brokerage!$B322,'YTD Sales'!$M:$M,Brokerage!U$4)+SUMIFS('YTD Purchases'!$H:$H,'YTD Purchases'!$C:$C,Brokerage!$B322,'YTD Purchases'!$G:$G,Brokerage!U$4)</f>
        <v>0</v>
      </c>
      <c r="V322" s="857">
        <f>SUMIFS('YTD Sales'!$N:$N,'YTD Sales'!$B:$B,Brokerage!$B322,'YTD Sales'!$M:$M,Brokerage!V$4)+SUMIFS('YTD Purchases'!$H:$H,'YTD Purchases'!$C:$C,Brokerage!$B322,'YTD Purchases'!$G:$G,Brokerage!V$4)</f>
        <v>0</v>
      </c>
      <c r="W322" s="857">
        <f>SUMIFS('YTD Sales'!$N:$N,'YTD Sales'!$B:$B,Brokerage!$B322,'YTD Sales'!$M:$M,Brokerage!W$4)+SUMIFS('YTD Purchases'!$H:$H,'YTD Purchases'!$C:$C,Brokerage!$B322,'YTD Purchases'!$G:$G,Brokerage!W$4)</f>
        <v>0</v>
      </c>
      <c r="X322" s="857">
        <f>SUMIFS('YTD Sales'!$N:$N,'YTD Sales'!$B:$B,Brokerage!$B322,'YTD Sales'!$M:$M,Brokerage!X$4)+SUMIFS('YTD Purchases'!$H:$H,'YTD Purchases'!$C:$C,Brokerage!$B322,'YTD Purchases'!$G:$G,Brokerage!X$4)</f>
        <v>0</v>
      </c>
      <c r="Y322" s="857">
        <f>SUMIFS('YTD Sales'!$N:$N,'YTD Sales'!$B:$B,Brokerage!$B322,'YTD Sales'!$M:$M,Brokerage!Y$4)+SUMIFS('YTD Purchases'!$H:$H,'YTD Purchases'!$C:$C,Brokerage!$B322,'YTD Purchases'!$G:$G,Brokerage!Y$4)</f>
        <v>0</v>
      </c>
      <c r="Z322" s="857">
        <f>SUMIFS('YTD Sales'!$N:$N,'YTD Sales'!$B:$B,Brokerage!$B322,'YTD Sales'!$M:$M,Brokerage!Z$4)+SUMIFS('YTD Purchases'!$H:$H,'YTD Purchases'!$C:$C,Brokerage!$B322,'YTD Purchases'!$G:$G,Brokerage!Z$4)</f>
        <v>0</v>
      </c>
      <c r="AA322" s="857">
        <f>SUMIFS('YTD Sales'!$N:$N,'YTD Sales'!$B:$B,Brokerage!$B322,'YTD Sales'!$M:$M,Brokerage!AA$4)+SUMIFS('YTD Purchases'!$H:$H,'YTD Purchases'!$C:$C,Brokerage!$B322,'YTD Purchases'!$G:$G,Brokerage!AA$4)</f>
        <v>0</v>
      </c>
      <c r="AB322" s="857">
        <f>SUMIFS('YTD Sales'!$N:$N,'YTD Sales'!$B:$B,Brokerage!$B322,'YTD Sales'!$M:$M,Brokerage!AB$4)+SUMIFS('YTD Purchases'!$H:$H,'YTD Purchases'!$C:$C,Brokerage!$B322,'YTD Purchases'!$G:$G,Brokerage!AB$4)</f>
        <v>0</v>
      </c>
      <c r="AC322" s="857">
        <f>SUMIFS('YTD Sales'!$N:$N,'YTD Sales'!$B:$B,Brokerage!$B322,'YTD Sales'!$M:$M,Brokerage!AC$4)+SUMIFS('YTD Purchases'!$H:$H,'YTD Purchases'!$C:$C,Brokerage!$B322,'YTD Purchases'!$G:$G,Brokerage!AC$4)</f>
        <v>0</v>
      </c>
      <c r="AD322" s="857">
        <f>+SUMIFS(PIB!AG:AG,PIB!AF:AF,Brokerage!AD$4,PIB!AA:AA,Brokerage!$B322)+SUMIFS('T-Bills'!AB:AB,'T-Bills'!AA:AA,Brokerage!AD$4,'T-Bills'!V:V,Brokerage!$B322)</f>
        <v>0</v>
      </c>
      <c r="AE322" s="857">
        <f>+SUMIFS(PIB!AH:AH,PIB!AG:AG,Brokerage!AE$4,PIB!AB:AB,Brokerage!$B322)+SUMIFS('T-Bills'!AC:AC,'T-Bills'!AB:AB,Brokerage!AE$4,'T-Bills'!W:W,Brokerage!$B322)</f>
        <v>0</v>
      </c>
      <c r="AF322" s="857">
        <f>+SUMIFS(PIB!AI:AI,PIB!AH:AH,Brokerage!AF$4,PIB!AC:AC,Brokerage!$B322)+SUMIFS('T-Bills'!AD:AD,'T-Bills'!AC:AC,Brokerage!AF$4,'T-Bills'!X:X,Brokerage!$B322)</f>
        <v>0</v>
      </c>
      <c r="AG322" s="857">
        <f t="shared" si="26"/>
        <v>0</v>
      </c>
      <c r="AH322" s="858">
        <f t="shared" si="28"/>
        <v>0</v>
      </c>
    </row>
    <row r="323" spans="2:34" x14ac:dyDescent="0.15">
      <c r="B323" s="661">
        <f t="shared" si="25"/>
        <v>44879</v>
      </c>
      <c r="C323" s="857">
        <f>SUMIFS('YTD Sales'!$N:$N,'YTD Sales'!$B:$B,Brokerage!$B323,'YTD Sales'!$M:$M,Brokerage!C$4)+SUMIFS('YTD Purchases'!$H:$H,'YTD Purchases'!$C:$C,Brokerage!$B323,'YTD Purchases'!$G:$G,Brokerage!C$4)</f>
        <v>0</v>
      </c>
      <c r="D323" s="857">
        <f>SUMIFS('YTD Sales'!$N:$N,'YTD Sales'!$B:$B,Brokerage!$B323,'YTD Sales'!$M:$M,Brokerage!D$4)+SUMIFS('YTD Purchases'!$H:$H,'YTD Purchases'!$C:$C,Brokerage!$B323,'YTD Purchases'!$G:$G,Brokerage!D$4)</f>
        <v>0</v>
      </c>
      <c r="E323" s="857">
        <f>SUMIFS('YTD Sales'!$N:$N,'YTD Sales'!$B:$B,Brokerage!$B323,'YTD Sales'!$M:$M,Brokerage!E$4)+SUMIFS('YTD Purchases'!$H:$H,'YTD Purchases'!$C:$C,Brokerage!$B323,'YTD Purchases'!$G:$G,Brokerage!E$4)</f>
        <v>0</v>
      </c>
      <c r="F323" s="857">
        <f>SUMIFS('YTD Sales'!$N:$N,'YTD Sales'!$B:$B,Brokerage!$B323,'YTD Sales'!$M:$M,Brokerage!F$4)+SUMIFS('YTD Purchases'!$H:$H,'YTD Purchases'!$C:$C,Brokerage!$B323,'YTD Purchases'!$G:$G,Brokerage!F$4)</f>
        <v>0</v>
      </c>
      <c r="G323" s="857">
        <f>SUMIFS('YTD Sales'!$N:$N,'YTD Sales'!$B:$B,Brokerage!$B323,'YTD Sales'!$M:$M,Brokerage!G$4)+SUMIFS('YTD Purchases'!$H:$H,'YTD Purchases'!$C:$C,Brokerage!$B323,'YTD Purchases'!$G:$G,Brokerage!G$4)</f>
        <v>0</v>
      </c>
      <c r="H323" s="857">
        <f>SUMIFS('YTD Sales'!$N:$N,'YTD Sales'!$B:$B,Brokerage!$B323,'YTD Sales'!$M:$M,Brokerage!H$4)+SUMIFS('YTD Purchases'!$H:$H,'YTD Purchases'!$C:$C,Brokerage!$B323,'YTD Purchases'!$G:$G,Brokerage!H$4)</f>
        <v>0</v>
      </c>
      <c r="I323" s="857">
        <f>SUMIFS('YTD Sales'!$N:$N,'YTD Sales'!$B:$B,Brokerage!$B323,'YTD Sales'!$M:$M,Brokerage!I$4)+SUMIFS('YTD Purchases'!$H:$H,'YTD Purchases'!$C:$C,Brokerage!$B323,'YTD Purchases'!$G:$G,Brokerage!I$4)</f>
        <v>0</v>
      </c>
      <c r="J323" s="857">
        <f>SUMIFS('YTD Sales'!$N:$N,'YTD Sales'!$B:$B,Brokerage!$B323,'YTD Sales'!$M:$M,Brokerage!J$4)+SUMIFS('YTD Purchases'!$H:$H,'YTD Purchases'!$C:$C,Brokerage!$B323,'YTD Purchases'!$G:$G,Brokerage!J$4)</f>
        <v>0</v>
      </c>
      <c r="K323" s="857">
        <f>SUMIFS('YTD Sales'!$N:$N,'YTD Sales'!$B:$B,Brokerage!$B323,'YTD Sales'!$M:$M,Brokerage!K$4)+SUMIFS('YTD Purchases'!$H:$H,'YTD Purchases'!$C:$C,Brokerage!$B323,'YTD Purchases'!$G:$G,Brokerage!K$4)</f>
        <v>0</v>
      </c>
      <c r="L323" s="857">
        <f>SUMIFS('YTD Sales'!$N:$N,'YTD Sales'!$B:$B,Brokerage!$B323,'YTD Sales'!$M:$M,Brokerage!L$4)+SUMIFS('YTD Purchases'!$H:$H,'YTD Purchases'!$C:$C,Brokerage!$B323,'YTD Purchases'!$G:$G,Brokerage!L$4)</f>
        <v>0</v>
      </c>
      <c r="M323" s="857">
        <f>SUMIFS('YTD Sales'!$N:$N,'YTD Sales'!$B:$B,Brokerage!$B323,'YTD Sales'!$M:$M,Brokerage!M$4)+SUMIFS('YTD Purchases'!$H:$H,'YTD Purchases'!$C:$C,Brokerage!$B323,'YTD Purchases'!$G:$G,Brokerage!M$4)</f>
        <v>0</v>
      </c>
      <c r="N323" s="857">
        <f>SUMIFS('YTD Sales'!$N:$N,'YTD Sales'!$B:$B,Brokerage!$B323,'YTD Sales'!$M:$M,Brokerage!N$4)+SUMIFS('YTD Purchases'!$H:$H,'YTD Purchases'!$C:$C,Brokerage!$B323,'YTD Purchases'!$G:$G,Brokerage!N$4)</f>
        <v>0</v>
      </c>
      <c r="O323" s="857">
        <f>SUMIFS('YTD Sales'!$N:$N,'YTD Sales'!$B:$B,Brokerage!$B323,'YTD Sales'!$M:$M,Brokerage!O$4)+SUMIFS('YTD Purchases'!$H:$H,'YTD Purchases'!$C:$C,Brokerage!$B323,'YTD Purchases'!$G:$G,Brokerage!O$4)</f>
        <v>0</v>
      </c>
      <c r="P323" s="857">
        <f>SUMIFS('YTD Sales'!$N:$N,'YTD Sales'!$B:$B,Brokerage!$B323,'YTD Sales'!$M:$M,Brokerage!P$4)+SUMIFS('YTD Purchases'!$H:$H,'YTD Purchases'!$C:$C,Brokerage!$B323,'YTD Purchases'!$G:$G,Brokerage!P$4)</f>
        <v>0</v>
      </c>
      <c r="Q323" s="857">
        <f>SUMIFS('YTD Sales'!$N:$N,'YTD Sales'!$B:$B,Brokerage!$B323,'YTD Sales'!$M:$M,Brokerage!Q$4)+SUMIFS('YTD Purchases'!$H:$H,'YTD Purchases'!$C:$C,Brokerage!$B323,'YTD Purchases'!$G:$G,Brokerage!Q$4)</f>
        <v>0</v>
      </c>
      <c r="R323" s="857">
        <f>SUMIFS('YTD Sales'!$N:$N,'YTD Sales'!$B:$B,Brokerage!$B323,'YTD Sales'!$M:$M,Brokerage!R$4)+SUMIFS('YTD Purchases'!$H:$H,'YTD Purchases'!$C:$C,Brokerage!$B323,'YTD Purchases'!$G:$G,Brokerage!R$4)</f>
        <v>0</v>
      </c>
      <c r="S323" s="857">
        <f>SUMIFS('YTD Sales'!$N:$N,'YTD Sales'!$B:$B,Brokerage!$B323,'YTD Sales'!$M:$M,Brokerage!S$4)+SUMIFS('YTD Purchases'!$H:$H,'YTD Purchases'!$C:$C,Brokerage!$B323,'YTD Purchases'!$G:$G,Brokerage!S$4)</f>
        <v>0</v>
      </c>
      <c r="T323" s="857">
        <f>SUMIFS('YTD Sales'!$N:$N,'YTD Sales'!$B:$B,Brokerage!$B323,'YTD Sales'!$M:$M,Brokerage!T$4)+SUMIFS('YTD Purchases'!$H:$H,'YTD Purchases'!$C:$C,Brokerage!$B323,'YTD Purchases'!$G:$G,Brokerage!T$4)</f>
        <v>0</v>
      </c>
      <c r="U323" s="857">
        <f>SUMIFS('YTD Sales'!$N:$N,'YTD Sales'!$B:$B,Brokerage!$B323,'YTD Sales'!$M:$M,Brokerage!U$4)+SUMIFS('YTD Purchases'!$H:$H,'YTD Purchases'!$C:$C,Brokerage!$B323,'YTD Purchases'!$G:$G,Brokerage!U$4)</f>
        <v>0</v>
      </c>
      <c r="V323" s="857">
        <f>SUMIFS('YTD Sales'!$N:$N,'YTD Sales'!$B:$B,Brokerage!$B323,'YTD Sales'!$M:$M,Brokerage!V$4)+SUMIFS('YTD Purchases'!$H:$H,'YTD Purchases'!$C:$C,Brokerage!$B323,'YTD Purchases'!$G:$G,Brokerage!V$4)</f>
        <v>0</v>
      </c>
      <c r="W323" s="857">
        <f>SUMIFS('YTD Sales'!$N:$N,'YTD Sales'!$B:$B,Brokerage!$B323,'YTD Sales'!$M:$M,Brokerage!W$4)+SUMIFS('YTD Purchases'!$H:$H,'YTD Purchases'!$C:$C,Brokerage!$B323,'YTD Purchases'!$G:$G,Brokerage!W$4)</f>
        <v>0</v>
      </c>
      <c r="X323" s="857">
        <f>SUMIFS('YTD Sales'!$N:$N,'YTD Sales'!$B:$B,Brokerage!$B323,'YTD Sales'!$M:$M,Brokerage!X$4)+SUMIFS('YTD Purchases'!$H:$H,'YTD Purchases'!$C:$C,Brokerage!$B323,'YTD Purchases'!$G:$G,Brokerage!X$4)</f>
        <v>0</v>
      </c>
      <c r="Y323" s="857">
        <f>SUMIFS('YTD Sales'!$N:$N,'YTD Sales'!$B:$B,Brokerage!$B323,'YTD Sales'!$M:$M,Brokerage!Y$4)+SUMIFS('YTD Purchases'!$H:$H,'YTD Purchases'!$C:$C,Brokerage!$B323,'YTD Purchases'!$G:$G,Brokerage!Y$4)</f>
        <v>0</v>
      </c>
      <c r="Z323" s="857">
        <f>SUMIFS('YTD Sales'!$N:$N,'YTD Sales'!$B:$B,Brokerage!$B323,'YTD Sales'!$M:$M,Brokerage!Z$4)+SUMIFS('YTD Purchases'!$H:$H,'YTD Purchases'!$C:$C,Brokerage!$B323,'YTD Purchases'!$G:$G,Brokerage!Z$4)</f>
        <v>0</v>
      </c>
      <c r="AA323" s="857">
        <f>SUMIFS('YTD Sales'!$N:$N,'YTD Sales'!$B:$B,Brokerage!$B323,'YTD Sales'!$M:$M,Brokerage!AA$4)+SUMIFS('YTD Purchases'!$H:$H,'YTD Purchases'!$C:$C,Brokerage!$B323,'YTD Purchases'!$G:$G,Brokerage!AA$4)</f>
        <v>0</v>
      </c>
      <c r="AB323" s="857">
        <f>SUMIFS('YTD Sales'!$N:$N,'YTD Sales'!$B:$B,Brokerage!$B323,'YTD Sales'!$M:$M,Brokerage!AB$4)+SUMIFS('YTD Purchases'!$H:$H,'YTD Purchases'!$C:$C,Brokerage!$B323,'YTD Purchases'!$G:$G,Brokerage!AB$4)</f>
        <v>0</v>
      </c>
      <c r="AC323" s="857">
        <f>SUMIFS('YTD Sales'!$N:$N,'YTD Sales'!$B:$B,Brokerage!$B323,'YTD Sales'!$M:$M,Brokerage!AC$4)+SUMIFS('YTD Purchases'!$H:$H,'YTD Purchases'!$C:$C,Brokerage!$B323,'YTD Purchases'!$G:$G,Brokerage!AC$4)</f>
        <v>0</v>
      </c>
      <c r="AD323" s="857">
        <f>+SUMIFS(PIB!AG:AG,PIB!AF:AF,Brokerage!AD$4,PIB!AA:AA,Brokerage!$B323)+SUMIFS('T-Bills'!AB:AB,'T-Bills'!AA:AA,Brokerage!AD$4,'T-Bills'!V:V,Brokerage!$B323)</f>
        <v>0</v>
      </c>
      <c r="AE323" s="857">
        <f>+SUMIFS(PIB!AH:AH,PIB!AG:AG,Brokerage!AE$4,PIB!AB:AB,Brokerage!$B323)+SUMIFS('T-Bills'!AC:AC,'T-Bills'!AB:AB,Brokerage!AE$4,'T-Bills'!W:W,Brokerage!$B323)</f>
        <v>0</v>
      </c>
      <c r="AF323" s="857">
        <f>+SUMIFS(PIB!AI:AI,PIB!AH:AH,Brokerage!AF$4,PIB!AC:AC,Brokerage!$B323)+SUMIFS('T-Bills'!AD:AD,'T-Bills'!AC:AC,Brokerage!AF$4,'T-Bills'!X:X,Brokerage!$B323)</f>
        <v>0</v>
      </c>
      <c r="AG323" s="857">
        <f t="shared" si="26"/>
        <v>0</v>
      </c>
      <c r="AH323" s="858">
        <f t="shared" si="28"/>
        <v>0</v>
      </c>
    </row>
    <row r="324" spans="2:34" x14ac:dyDescent="0.15">
      <c r="B324" s="661">
        <f t="shared" si="25"/>
        <v>44880</v>
      </c>
      <c r="C324" s="857">
        <f>SUMIFS('YTD Sales'!$N:$N,'YTD Sales'!$B:$B,Brokerage!$B324,'YTD Sales'!$M:$M,Brokerage!C$4)+SUMIFS('YTD Purchases'!$H:$H,'YTD Purchases'!$C:$C,Brokerage!$B324,'YTD Purchases'!$G:$G,Brokerage!C$4)</f>
        <v>0</v>
      </c>
      <c r="D324" s="857">
        <f>SUMIFS('YTD Sales'!$N:$N,'YTD Sales'!$B:$B,Brokerage!$B324,'YTD Sales'!$M:$M,Brokerage!D$4)+SUMIFS('YTD Purchases'!$H:$H,'YTD Purchases'!$C:$C,Brokerage!$B324,'YTD Purchases'!$G:$G,Brokerage!D$4)</f>
        <v>0</v>
      </c>
      <c r="E324" s="857">
        <f>SUMIFS('YTD Sales'!$N:$N,'YTD Sales'!$B:$B,Brokerage!$B324,'YTD Sales'!$M:$M,Brokerage!E$4)+SUMIFS('YTD Purchases'!$H:$H,'YTD Purchases'!$C:$C,Brokerage!$B324,'YTD Purchases'!$G:$G,Brokerage!E$4)</f>
        <v>0</v>
      </c>
      <c r="F324" s="857">
        <f>SUMIFS('YTD Sales'!$N:$N,'YTD Sales'!$B:$B,Brokerage!$B324,'YTD Sales'!$M:$M,Brokerage!F$4)+SUMIFS('YTD Purchases'!$H:$H,'YTD Purchases'!$C:$C,Brokerage!$B324,'YTD Purchases'!$G:$G,Brokerage!F$4)</f>
        <v>0</v>
      </c>
      <c r="G324" s="857">
        <f>SUMIFS('YTD Sales'!$N:$N,'YTD Sales'!$B:$B,Brokerage!$B324,'YTD Sales'!$M:$M,Brokerage!G$4)+SUMIFS('YTD Purchases'!$H:$H,'YTD Purchases'!$C:$C,Brokerage!$B324,'YTD Purchases'!$G:$G,Brokerage!G$4)</f>
        <v>0</v>
      </c>
      <c r="H324" s="857">
        <f>SUMIFS('YTD Sales'!$N:$N,'YTD Sales'!$B:$B,Brokerage!$B324,'YTD Sales'!$M:$M,Brokerage!H$4)+SUMIFS('YTD Purchases'!$H:$H,'YTD Purchases'!$C:$C,Brokerage!$B324,'YTD Purchases'!$G:$G,Brokerage!H$4)</f>
        <v>0</v>
      </c>
      <c r="I324" s="857">
        <f>SUMIFS('YTD Sales'!$N:$N,'YTD Sales'!$B:$B,Brokerage!$B324,'YTD Sales'!$M:$M,Brokerage!I$4)+SUMIFS('YTD Purchases'!$H:$H,'YTD Purchases'!$C:$C,Brokerage!$B324,'YTD Purchases'!$G:$G,Brokerage!I$4)</f>
        <v>0</v>
      </c>
      <c r="J324" s="857">
        <f>SUMIFS('YTD Sales'!$N:$N,'YTD Sales'!$B:$B,Brokerage!$B324,'YTD Sales'!$M:$M,Brokerage!J$4)+SUMIFS('YTD Purchases'!$H:$H,'YTD Purchases'!$C:$C,Brokerage!$B324,'YTD Purchases'!$G:$G,Brokerage!J$4)</f>
        <v>0</v>
      </c>
      <c r="K324" s="857">
        <f>SUMIFS('YTD Sales'!$N:$N,'YTD Sales'!$B:$B,Brokerage!$B324,'YTD Sales'!$M:$M,Brokerage!K$4)+SUMIFS('YTD Purchases'!$H:$H,'YTD Purchases'!$C:$C,Brokerage!$B324,'YTD Purchases'!$G:$G,Brokerage!K$4)</f>
        <v>0</v>
      </c>
      <c r="L324" s="857">
        <f>SUMIFS('YTD Sales'!$N:$N,'YTD Sales'!$B:$B,Brokerage!$B324,'YTD Sales'!$M:$M,Brokerage!L$4)+SUMIFS('YTD Purchases'!$H:$H,'YTD Purchases'!$C:$C,Brokerage!$B324,'YTD Purchases'!$G:$G,Brokerage!L$4)</f>
        <v>0</v>
      </c>
      <c r="M324" s="857">
        <f>SUMIFS('YTD Sales'!$N:$N,'YTD Sales'!$B:$B,Brokerage!$B324,'YTD Sales'!$M:$M,Brokerage!M$4)+SUMIFS('YTD Purchases'!$H:$H,'YTD Purchases'!$C:$C,Brokerage!$B324,'YTD Purchases'!$G:$G,Brokerage!M$4)</f>
        <v>0</v>
      </c>
      <c r="N324" s="857">
        <f>SUMIFS('YTD Sales'!$N:$N,'YTD Sales'!$B:$B,Brokerage!$B324,'YTD Sales'!$M:$M,Brokerage!N$4)+SUMIFS('YTD Purchases'!$H:$H,'YTD Purchases'!$C:$C,Brokerage!$B324,'YTD Purchases'!$G:$G,Brokerage!N$4)</f>
        <v>0</v>
      </c>
      <c r="O324" s="857">
        <f>SUMIFS('YTD Sales'!$N:$N,'YTD Sales'!$B:$B,Brokerage!$B324,'YTD Sales'!$M:$M,Brokerage!O$4)+SUMIFS('YTD Purchases'!$H:$H,'YTD Purchases'!$C:$C,Brokerage!$B324,'YTD Purchases'!$G:$G,Brokerage!O$4)</f>
        <v>0</v>
      </c>
      <c r="P324" s="857">
        <f>SUMIFS('YTD Sales'!$N:$N,'YTD Sales'!$B:$B,Brokerage!$B324,'YTD Sales'!$M:$M,Brokerage!P$4)+SUMIFS('YTD Purchases'!$H:$H,'YTD Purchases'!$C:$C,Brokerage!$B324,'YTD Purchases'!$G:$G,Brokerage!P$4)</f>
        <v>0</v>
      </c>
      <c r="Q324" s="857">
        <f>SUMIFS('YTD Sales'!$N:$N,'YTD Sales'!$B:$B,Brokerage!$B324,'YTD Sales'!$M:$M,Brokerage!Q$4)+SUMIFS('YTD Purchases'!$H:$H,'YTD Purchases'!$C:$C,Brokerage!$B324,'YTD Purchases'!$G:$G,Brokerage!Q$4)</f>
        <v>0</v>
      </c>
      <c r="R324" s="857">
        <f>SUMIFS('YTD Sales'!$N:$N,'YTD Sales'!$B:$B,Brokerage!$B324,'YTD Sales'!$M:$M,Brokerage!R$4)+SUMIFS('YTD Purchases'!$H:$H,'YTD Purchases'!$C:$C,Brokerage!$B324,'YTD Purchases'!$G:$G,Brokerage!R$4)</f>
        <v>0</v>
      </c>
      <c r="S324" s="857">
        <f>SUMIFS('YTD Sales'!$N:$N,'YTD Sales'!$B:$B,Brokerage!$B324,'YTD Sales'!$M:$M,Brokerage!S$4)+SUMIFS('YTD Purchases'!$H:$H,'YTD Purchases'!$C:$C,Brokerage!$B324,'YTD Purchases'!$G:$G,Brokerage!S$4)</f>
        <v>0</v>
      </c>
      <c r="T324" s="857">
        <f>SUMIFS('YTD Sales'!$N:$N,'YTD Sales'!$B:$B,Brokerage!$B324,'YTD Sales'!$M:$M,Brokerage!T$4)+SUMIFS('YTD Purchases'!$H:$H,'YTD Purchases'!$C:$C,Brokerage!$B324,'YTD Purchases'!$G:$G,Brokerage!T$4)</f>
        <v>0</v>
      </c>
      <c r="U324" s="857">
        <f>SUMIFS('YTD Sales'!$N:$N,'YTD Sales'!$B:$B,Brokerage!$B324,'YTD Sales'!$M:$M,Brokerage!U$4)+SUMIFS('YTD Purchases'!$H:$H,'YTD Purchases'!$C:$C,Brokerage!$B324,'YTD Purchases'!$G:$G,Brokerage!U$4)</f>
        <v>0</v>
      </c>
      <c r="V324" s="857">
        <f>SUMIFS('YTD Sales'!$N:$N,'YTD Sales'!$B:$B,Brokerage!$B324,'YTD Sales'!$M:$M,Brokerage!V$4)+SUMIFS('YTD Purchases'!$H:$H,'YTD Purchases'!$C:$C,Brokerage!$B324,'YTD Purchases'!$G:$G,Brokerage!V$4)</f>
        <v>0</v>
      </c>
      <c r="W324" s="857">
        <f>SUMIFS('YTD Sales'!$N:$N,'YTD Sales'!$B:$B,Brokerage!$B324,'YTD Sales'!$M:$M,Brokerage!W$4)+SUMIFS('YTD Purchases'!$H:$H,'YTD Purchases'!$C:$C,Brokerage!$B324,'YTD Purchases'!$G:$G,Brokerage!W$4)</f>
        <v>0</v>
      </c>
      <c r="X324" s="857">
        <f>SUMIFS('YTD Sales'!$N:$N,'YTD Sales'!$B:$B,Brokerage!$B324,'YTD Sales'!$M:$M,Brokerage!X$4)+SUMIFS('YTD Purchases'!$H:$H,'YTD Purchases'!$C:$C,Brokerage!$B324,'YTD Purchases'!$G:$G,Brokerage!X$4)</f>
        <v>0</v>
      </c>
      <c r="Y324" s="857">
        <f>SUMIFS('YTD Sales'!$N:$N,'YTD Sales'!$B:$B,Brokerage!$B324,'YTD Sales'!$M:$M,Brokerage!Y$4)+SUMIFS('YTD Purchases'!$H:$H,'YTD Purchases'!$C:$C,Brokerage!$B324,'YTD Purchases'!$G:$G,Brokerage!Y$4)</f>
        <v>0</v>
      </c>
      <c r="Z324" s="857">
        <f>SUMIFS('YTD Sales'!$N:$N,'YTD Sales'!$B:$B,Brokerage!$B324,'YTD Sales'!$M:$M,Brokerage!Z$4)+SUMIFS('YTD Purchases'!$H:$H,'YTD Purchases'!$C:$C,Brokerage!$B324,'YTD Purchases'!$G:$G,Brokerage!Z$4)</f>
        <v>0</v>
      </c>
      <c r="AA324" s="857">
        <f>SUMIFS('YTD Sales'!$N:$N,'YTD Sales'!$B:$B,Brokerage!$B324,'YTD Sales'!$M:$M,Brokerage!AA$4)+SUMIFS('YTD Purchases'!$H:$H,'YTD Purchases'!$C:$C,Brokerage!$B324,'YTD Purchases'!$G:$G,Brokerage!AA$4)</f>
        <v>0</v>
      </c>
      <c r="AB324" s="857">
        <f>SUMIFS('YTD Sales'!$N:$N,'YTD Sales'!$B:$B,Brokerage!$B324,'YTD Sales'!$M:$M,Brokerage!AB$4)+SUMIFS('YTD Purchases'!$H:$H,'YTD Purchases'!$C:$C,Brokerage!$B324,'YTD Purchases'!$G:$G,Brokerage!AB$4)</f>
        <v>0</v>
      </c>
      <c r="AC324" s="857">
        <f>SUMIFS('YTD Sales'!$N:$N,'YTD Sales'!$B:$B,Brokerage!$B324,'YTD Sales'!$M:$M,Brokerage!AC$4)+SUMIFS('YTD Purchases'!$H:$H,'YTD Purchases'!$C:$C,Brokerage!$B324,'YTD Purchases'!$G:$G,Brokerage!AC$4)</f>
        <v>0</v>
      </c>
      <c r="AD324" s="857">
        <f>+SUMIFS(PIB!AG:AG,PIB!AF:AF,Brokerage!AD$4,PIB!AA:AA,Brokerage!$B324)+SUMIFS('T-Bills'!AB:AB,'T-Bills'!AA:AA,Brokerage!AD$4,'T-Bills'!V:V,Brokerage!$B324)</f>
        <v>0</v>
      </c>
      <c r="AE324" s="857">
        <f>+SUMIFS(PIB!AH:AH,PIB!AG:AG,Brokerage!AE$4,PIB!AB:AB,Brokerage!$B324)+SUMIFS('T-Bills'!AC:AC,'T-Bills'!AB:AB,Brokerage!AE$4,'T-Bills'!W:W,Brokerage!$B324)</f>
        <v>0</v>
      </c>
      <c r="AF324" s="857">
        <f>+SUMIFS(PIB!AI:AI,PIB!AH:AH,Brokerage!AF$4,PIB!AC:AC,Brokerage!$B324)+SUMIFS('T-Bills'!AD:AD,'T-Bills'!AC:AC,Brokerage!AF$4,'T-Bills'!X:X,Brokerage!$B324)</f>
        <v>0</v>
      </c>
      <c r="AG324" s="857">
        <f t="shared" si="26"/>
        <v>0</v>
      </c>
      <c r="AH324" s="858">
        <f t="shared" si="28"/>
        <v>0</v>
      </c>
    </row>
    <row r="325" spans="2:34" x14ac:dyDescent="0.15">
      <c r="B325" s="661">
        <f t="shared" si="25"/>
        <v>44881</v>
      </c>
      <c r="C325" s="857">
        <f>SUMIFS('YTD Sales'!$N:$N,'YTD Sales'!$B:$B,Brokerage!$B325,'YTD Sales'!$M:$M,Brokerage!C$4)+SUMIFS('YTD Purchases'!$H:$H,'YTD Purchases'!$C:$C,Brokerage!$B325,'YTD Purchases'!$G:$G,Brokerage!C$4)</f>
        <v>0</v>
      </c>
      <c r="D325" s="857">
        <f>SUMIFS('YTD Sales'!$N:$N,'YTD Sales'!$B:$B,Brokerage!$B325,'YTD Sales'!$M:$M,Brokerage!D$4)+SUMIFS('YTD Purchases'!$H:$H,'YTD Purchases'!$C:$C,Brokerage!$B325,'YTD Purchases'!$G:$G,Brokerage!D$4)</f>
        <v>0</v>
      </c>
      <c r="E325" s="857">
        <f>SUMIFS('YTD Sales'!$N:$N,'YTD Sales'!$B:$B,Brokerage!$B325,'YTD Sales'!$M:$M,Brokerage!E$4)+SUMIFS('YTD Purchases'!$H:$H,'YTD Purchases'!$C:$C,Brokerage!$B325,'YTD Purchases'!$G:$G,Brokerage!E$4)</f>
        <v>0</v>
      </c>
      <c r="F325" s="857">
        <f>SUMIFS('YTD Sales'!$N:$N,'YTD Sales'!$B:$B,Brokerage!$B325,'YTD Sales'!$M:$M,Brokerage!F$4)+SUMIFS('YTD Purchases'!$H:$H,'YTD Purchases'!$C:$C,Brokerage!$B325,'YTD Purchases'!$G:$G,Brokerage!F$4)</f>
        <v>0</v>
      </c>
      <c r="G325" s="857">
        <f>SUMIFS('YTD Sales'!$N:$N,'YTD Sales'!$B:$B,Brokerage!$B325,'YTD Sales'!$M:$M,Brokerage!G$4)+SUMIFS('YTD Purchases'!$H:$H,'YTD Purchases'!$C:$C,Brokerage!$B325,'YTD Purchases'!$G:$G,Brokerage!G$4)</f>
        <v>0</v>
      </c>
      <c r="H325" s="857">
        <f>SUMIFS('YTD Sales'!$N:$N,'YTD Sales'!$B:$B,Brokerage!$B325,'YTD Sales'!$M:$M,Brokerage!H$4)+SUMIFS('YTD Purchases'!$H:$H,'YTD Purchases'!$C:$C,Brokerage!$B325,'YTD Purchases'!$G:$G,Brokerage!H$4)</f>
        <v>0</v>
      </c>
      <c r="I325" s="857">
        <f>SUMIFS('YTD Sales'!$N:$N,'YTD Sales'!$B:$B,Brokerage!$B325,'YTD Sales'!$M:$M,Brokerage!I$4)+SUMIFS('YTD Purchases'!$H:$H,'YTD Purchases'!$C:$C,Brokerage!$B325,'YTD Purchases'!$G:$G,Brokerage!I$4)</f>
        <v>0</v>
      </c>
      <c r="J325" s="857">
        <f>SUMIFS('YTD Sales'!$N:$N,'YTD Sales'!$B:$B,Brokerage!$B325,'YTD Sales'!$M:$M,Brokerage!J$4)+SUMIFS('YTD Purchases'!$H:$H,'YTD Purchases'!$C:$C,Brokerage!$B325,'YTD Purchases'!$G:$G,Brokerage!J$4)</f>
        <v>0</v>
      </c>
      <c r="K325" s="857">
        <f>SUMIFS('YTD Sales'!$N:$N,'YTD Sales'!$B:$B,Brokerage!$B325,'YTD Sales'!$M:$M,Brokerage!K$4)+SUMIFS('YTD Purchases'!$H:$H,'YTD Purchases'!$C:$C,Brokerage!$B325,'YTD Purchases'!$G:$G,Brokerage!K$4)</f>
        <v>0</v>
      </c>
      <c r="L325" s="857">
        <f>SUMIFS('YTD Sales'!$N:$N,'YTD Sales'!$B:$B,Brokerage!$B325,'YTD Sales'!$M:$M,Brokerage!L$4)+SUMIFS('YTD Purchases'!$H:$H,'YTD Purchases'!$C:$C,Brokerage!$B325,'YTD Purchases'!$G:$G,Brokerage!L$4)</f>
        <v>0</v>
      </c>
      <c r="M325" s="857">
        <f>SUMIFS('YTD Sales'!$N:$N,'YTD Sales'!$B:$B,Brokerage!$B325,'YTD Sales'!$M:$M,Brokerage!M$4)+SUMIFS('YTD Purchases'!$H:$H,'YTD Purchases'!$C:$C,Brokerage!$B325,'YTD Purchases'!$G:$G,Brokerage!M$4)</f>
        <v>0</v>
      </c>
      <c r="N325" s="857">
        <f>SUMIFS('YTD Sales'!$N:$N,'YTD Sales'!$B:$B,Brokerage!$B325,'YTD Sales'!$M:$M,Brokerage!N$4)+SUMIFS('YTD Purchases'!$H:$H,'YTD Purchases'!$C:$C,Brokerage!$B325,'YTD Purchases'!$G:$G,Brokerage!N$4)</f>
        <v>0</v>
      </c>
      <c r="O325" s="857">
        <f>SUMIFS('YTD Sales'!$N:$N,'YTD Sales'!$B:$B,Brokerage!$B325,'YTD Sales'!$M:$M,Brokerage!O$4)+SUMIFS('YTD Purchases'!$H:$H,'YTD Purchases'!$C:$C,Brokerage!$B325,'YTD Purchases'!$G:$G,Brokerage!O$4)</f>
        <v>0</v>
      </c>
      <c r="P325" s="857">
        <f>SUMIFS('YTD Sales'!$N:$N,'YTD Sales'!$B:$B,Brokerage!$B325,'YTD Sales'!$M:$M,Brokerage!P$4)+SUMIFS('YTD Purchases'!$H:$H,'YTD Purchases'!$C:$C,Brokerage!$B325,'YTD Purchases'!$G:$G,Brokerage!P$4)</f>
        <v>0</v>
      </c>
      <c r="Q325" s="857">
        <f>SUMIFS('YTD Sales'!$N:$N,'YTD Sales'!$B:$B,Brokerage!$B325,'YTD Sales'!$M:$M,Brokerage!Q$4)+SUMIFS('YTD Purchases'!$H:$H,'YTD Purchases'!$C:$C,Brokerage!$B325,'YTD Purchases'!$G:$G,Brokerage!Q$4)</f>
        <v>0</v>
      </c>
      <c r="R325" s="857">
        <f>SUMIFS('YTD Sales'!$N:$N,'YTD Sales'!$B:$B,Brokerage!$B325,'YTD Sales'!$M:$M,Brokerage!R$4)+SUMIFS('YTD Purchases'!$H:$H,'YTD Purchases'!$C:$C,Brokerage!$B325,'YTD Purchases'!$G:$G,Brokerage!R$4)</f>
        <v>0</v>
      </c>
      <c r="S325" s="857">
        <f>SUMIFS('YTD Sales'!$N:$N,'YTD Sales'!$B:$B,Brokerage!$B325,'YTD Sales'!$M:$M,Brokerage!S$4)+SUMIFS('YTD Purchases'!$H:$H,'YTD Purchases'!$C:$C,Brokerage!$B325,'YTD Purchases'!$G:$G,Brokerage!S$4)</f>
        <v>0</v>
      </c>
      <c r="T325" s="857">
        <f>SUMIFS('YTD Sales'!$N:$N,'YTD Sales'!$B:$B,Brokerage!$B325,'YTD Sales'!$M:$M,Brokerage!T$4)+SUMIFS('YTD Purchases'!$H:$H,'YTD Purchases'!$C:$C,Brokerage!$B325,'YTD Purchases'!$G:$G,Brokerage!T$4)</f>
        <v>0</v>
      </c>
      <c r="U325" s="857">
        <f>SUMIFS('YTD Sales'!$N:$N,'YTD Sales'!$B:$B,Brokerage!$B325,'YTD Sales'!$M:$M,Brokerage!U$4)+SUMIFS('YTD Purchases'!$H:$H,'YTD Purchases'!$C:$C,Brokerage!$B325,'YTD Purchases'!$G:$G,Brokerage!U$4)</f>
        <v>0</v>
      </c>
      <c r="V325" s="857">
        <f>SUMIFS('YTD Sales'!$N:$N,'YTD Sales'!$B:$B,Brokerage!$B325,'YTD Sales'!$M:$M,Brokerage!V$4)+SUMIFS('YTD Purchases'!$H:$H,'YTD Purchases'!$C:$C,Brokerage!$B325,'YTD Purchases'!$G:$G,Brokerage!V$4)</f>
        <v>0</v>
      </c>
      <c r="W325" s="857">
        <f>SUMIFS('YTD Sales'!$N:$N,'YTD Sales'!$B:$B,Brokerage!$B325,'YTD Sales'!$M:$M,Brokerage!W$4)+SUMIFS('YTD Purchases'!$H:$H,'YTD Purchases'!$C:$C,Brokerage!$B325,'YTD Purchases'!$G:$G,Brokerage!W$4)</f>
        <v>0</v>
      </c>
      <c r="X325" s="857">
        <f>SUMIFS('YTD Sales'!$N:$N,'YTD Sales'!$B:$B,Brokerage!$B325,'YTD Sales'!$M:$M,Brokerage!X$4)+SUMIFS('YTD Purchases'!$H:$H,'YTD Purchases'!$C:$C,Brokerage!$B325,'YTD Purchases'!$G:$G,Brokerage!X$4)</f>
        <v>0</v>
      </c>
      <c r="Y325" s="857">
        <f>SUMIFS('YTD Sales'!$N:$N,'YTD Sales'!$B:$B,Brokerage!$B325,'YTD Sales'!$M:$M,Brokerage!Y$4)+SUMIFS('YTD Purchases'!$H:$H,'YTD Purchases'!$C:$C,Brokerage!$B325,'YTD Purchases'!$G:$G,Brokerage!Y$4)</f>
        <v>0</v>
      </c>
      <c r="Z325" s="857">
        <f>SUMIFS('YTD Sales'!$N:$N,'YTD Sales'!$B:$B,Brokerage!$B325,'YTD Sales'!$M:$M,Brokerage!Z$4)+SUMIFS('YTD Purchases'!$H:$H,'YTD Purchases'!$C:$C,Brokerage!$B325,'YTD Purchases'!$G:$G,Brokerage!Z$4)</f>
        <v>0</v>
      </c>
      <c r="AA325" s="857">
        <f>SUMIFS('YTD Sales'!$N:$N,'YTD Sales'!$B:$B,Brokerage!$B325,'YTD Sales'!$M:$M,Brokerage!AA$4)+SUMIFS('YTD Purchases'!$H:$H,'YTD Purchases'!$C:$C,Brokerage!$B325,'YTD Purchases'!$G:$G,Brokerage!AA$4)</f>
        <v>0</v>
      </c>
      <c r="AB325" s="857">
        <f>SUMIFS('YTD Sales'!$N:$N,'YTD Sales'!$B:$B,Brokerage!$B325,'YTD Sales'!$M:$M,Brokerage!AB$4)+SUMIFS('YTD Purchases'!$H:$H,'YTD Purchases'!$C:$C,Brokerage!$B325,'YTD Purchases'!$G:$G,Brokerage!AB$4)</f>
        <v>0</v>
      </c>
      <c r="AC325" s="857">
        <f>SUMIFS('YTD Sales'!$N:$N,'YTD Sales'!$B:$B,Brokerage!$B325,'YTD Sales'!$M:$M,Brokerage!AC$4)+SUMIFS('YTD Purchases'!$H:$H,'YTD Purchases'!$C:$C,Brokerage!$B325,'YTD Purchases'!$G:$G,Brokerage!AC$4)</f>
        <v>0</v>
      </c>
      <c r="AD325" s="857">
        <f>+SUMIFS(PIB!AG:AG,PIB!AF:AF,Brokerage!AD$4,PIB!AA:AA,Brokerage!$B325)+SUMIFS('T-Bills'!AB:AB,'T-Bills'!AA:AA,Brokerage!AD$4,'T-Bills'!V:V,Brokerage!$B325)</f>
        <v>0</v>
      </c>
      <c r="AE325" s="857">
        <f>+SUMIFS(PIB!AH:AH,PIB!AG:AG,Brokerage!AE$4,PIB!AB:AB,Brokerage!$B325)+SUMIFS('T-Bills'!AC:AC,'T-Bills'!AB:AB,Brokerage!AE$4,'T-Bills'!W:W,Brokerage!$B325)</f>
        <v>0</v>
      </c>
      <c r="AF325" s="857">
        <f>+SUMIFS(PIB!AI:AI,PIB!AH:AH,Brokerage!AF$4,PIB!AC:AC,Brokerage!$B325)+SUMIFS('T-Bills'!AD:AD,'T-Bills'!AC:AC,Brokerage!AF$4,'T-Bills'!X:X,Brokerage!$B325)</f>
        <v>0</v>
      </c>
      <c r="AG325" s="857">
        <f t="shared" si="26"/>
        <v>0</v>
      </c>
      <c r="AH325" s="858">
        <f t="shared" si="28"/>
        <v>0</v>
      </c>
    </row>
    <row r="326" spans="2:34" x14ac:dyDescent="0.15">
      <c r="B326" s="661">
        <f t="shared" si="25"/>
        <v>44882</v>
      </c>
      <c r="C326" s="857">
        <f>SUMIFS('YTD Sales'!$N:$N,'YTD Sales'!$B:$B,Brokerage!$B326,'YTD Sales'!$M:$M,Brokerage!C$4)+SUMIFS('YTD Purchases'!$H:$H,'YTD Purchases'!$C:$C,Brokerage!$B326,'YTD Purchases'!$G:$G,Brokerage!C$4)</f>
        <v>0</v>
      </c>
      <c r="D326" s="857">
        <f>SUMIFS('YTD Sales'!$N:$N,'YTD Sales'!$B:$B,Brokerage!$B326,'YTD Sales'!$M:$M,Brokerage!D$4)+SUMIFS('YTD Purchases'!$H:$H,'YTD Purchases'!$C:$C,Brokerage!$B326,'YTD Purchases'!$G:$G,Brokerage!D$4)</f>
        <v>0</v>
      </c>
      <c r="E326" s="857">
        <f>SUMIFS('YTD Sales'!$N:$N,'YTD Sales'!$B:$B,Brokerage!$B326,'YTD Sales'!$M:$M,Brokerage!E$4)+SUMIFS('YTD Purchases'!$H:$H,'YTD Purchases'!$C:$C,Brokerage!$B326,'YTD Purchases'!$G:$G,Brokerage!E$4)</f>
        <v>0</v>
      </c>
      <c r="F326" s="857">
        <f>SUMIFS('YTD Sales'!$N:$N,'YTD Sales'!$B:$B,Brokerage!$B326,'YTD Sales'!$M:$M,Brokerage!F$4)+SUMIFS('YTD Purchases'!$H:$H,'YTD Purchases'!$C:$C,Brokerage!$B326,'YTD Purchases'!$G:$G,Brokerage!F$4)</f>
        <v>0</v>
      </c>
      <c r="G326" s="857">
        <f>SUMIFS('YTD Sales'!$N:$N,'YTD Sales'!$B:$B,Brokerage!$B326,'YTD Sales'!$M:$M,Brokerage!G$4)+SUMIFS('YTD Purchases'!$H:$H,'YTD Purchases'!$C:$C,Brokerage!$B326,'YTD Purchases'!$G:$G,Brokerage!G$4)</f>
        <v>0</v>
      </c>
      <c r="H326" s="857">
        <f>SUMIFS('YTD Sales'!$N:$N,'YTD Sales'!$B:$B,Brokerage!$B326,'YTD Sales'!$M:$M,Brokerage!H$4)+SUMIFS('YTD Purchases'!$H:$H,'YTD Purchases'!$C:$C,Brokerage!$B326,'YTD Purchases'!$G:$G,Brokerage!H$4)</f>
        <v>0</v>
      </c>
      <c r="I326" s="857">
        <f>SUMIFS('YTD Sales'!$N:$N,'YTD Sales'!$B:$B,Brokerage!$B326,'YTD Sales'!$M:$M,Brokerage!I$4)+SUMIFS('YTD Purchases'!$H:$H,'YTD Purchases'!$C:$C,Brokerage!$B326,'YTD Purchases'!$G:$G,Brokerage!I$4)</f>
        <v>0</v>
      </c>
      <c r="J326" s="857">
        <f>SUMIFS('YTD Sales'!$N:$N,'YTD Sales'!$B:$B,Brokerage!$B326,'YTD Sales'!$M:$M,Brokerage!J$4)+SUMIFS('YTD Purchases'!$H:$H,'YTD Purchases'!$C:$C,Brokerage!$B326,'YTD Purchases'!$G:$G,Brokerage!J$4)</f>
        <v>0</v>
      </c>
      <c r="K326" s="857">
        <f>SUMIFS('YTD Sales'!$N:$N,'YTD Sales'!$B:$B,Brokerage!$B326,'YTD Sales'!$M:$M,Brokerage!K$4)+SUMIFS('YTD Purchases'!$H:$H,'YTD Purchases'!$C:$C,Brokerage!$B326,'YTD Purchases'!$G:$G,Brokerage!K$4)</f>
        <v>0</v>
      </c>
      <c r="L326" s="857">
        <f>SUMIFS('YTD Sales'!$N:$N,'YTD Sales'!$B:$B,Brokerage!$B326,'YTD Sales'!$M:$M,Brokerage!L$4)+SUMIFS('YTD Purchases'!$H:$H,'YTD Purchases'!$C:$C,Brokerage!$B326,'YTD Purchases'!$G:$G,Brokerage!L$4)</f>
        <v>0</v>
      </c>
      <c r="M326" s="857">
        <f>SUMIFS('YTD Sales'!$N:$N,'YTD Sales'!$B:$B,Brokerage!$B326,'YTD Sales'!$M:$M,Brokerage!M$4)+SUMIFS('YTD Purchases'!$H:$H,'YTD Purchases'!$C:$C,Brokerage!$B326,'YTD Purchases'!$G:$G,Brokerage!M$4)</f>
        <v>0</v>
      </c>
      <c r="N326" s="857">
        <f>SUMIFS('YTD Sales'!$N:$N,'YTD Sales'!$B:$B,Brokerage!$B326,'YTD Sales'!$M:$M,Brokerage!N$4)+SUMIFS('YTD Purchases'!$H:$H,'YTD Purchases'!$C:$C,Brokerage!$B326,'YTD Purchases'!$G:$G,Brokerage!N$4)</f>
        <v>0</v>
      </c>
      <c r="O326" s="857">
        <f>SUMIFS('YTD Sales'!$N:$N,'YTD Sales'!$B:$B,Brokerage!$B326,'YTD Sales'!$M:$M,Brokerage!O$4)+SUMIFS('YTD Purchases'!$H:$H,'YTD Purchases'!$C:$C,Brokerage!$B326,'YTD Purchases'!$G:$G,Brokerage!O$4)</f>
        <v>0</v>
      </c>
      <c r="P326" s="857">
        <f>SUMIFS('YTD Sales'!$N:$N,'YTD Sales'!$B:$B,Brokerage!$B326,'YTD Sales'!$M:$M,Brokerage!P$4)+SUMIFS('YTD Purchases'!$H:$H,'YTD Purchases'!$C:$C,Brokerage!$B326,'YTD Purchases'!$G:$G,Brokerage!P$4)</f>
        <v>0</v>
      </c>
      <c r="Q326" s="857">
        <f>SUMIFS('YTD Sales'!$N:$N,'YTD Sales'!$B:$B,Brokerage!$B326,'YTD Sales'!$M:$M,Brokerage!Q$4)+SUMIFS('YTD Purchases'!$H:$H,'YTD Purchases'!$C:$C,Brokerage!$B326,'YTD Purchases'!$G:$G,Brokerage!Q$4)</f>
        <v>0</v>
      </c>
      <c r="R326" s="857">
        <f>SUMIFS('YTD Sales'!$N:$N,'YTD Sales'!$B:$B,Brokerage!$B326,'YTD Sales'!$M:$M,Brokerage!R$4)+SUMIFS('YTD Purchases'!$H:$H,'YTD Purchases'!$C:$C,Brokerage!$B326,'YTD Purchases'!$G:$G,Brokerage!R$4)</f>
        <v>0</v>
      </c>
      <c r="S326" s="857">
        <f>SUMIFS('YTD Sales'!$N:$N,'YTD Sales'!$B:$B,Brokerage!$B326,'YTD Sales'!$M:$M,Brokerage!S$4)+SUMIFS('YTD Purchases'!$H:$H,'YTD Purchases'!$C:$C,Brokerage!$B326,'YTD Purchases'!$G:$G,Brokerage!S$4)</f>
        <v>0</v>
      </c>
      <c r="T326" s="857">
        <f>SUMIFS('YTD Sales'!$N:$N,'YTD Sales'!$B:$B,Brokerage!$B326,'YTD Sales'!$M:$M,Brokerage!T$4)+SUMIFS('YTD Purchases'!$H:$H,'YTD Purchases'!$C:$C,Brokerage!$B326,'YTD Purchases'!$G:$G,Brokerage!T$4)</f>
        <v>0</v>
      </c>
      <c r="U326" s="857">
        <f>SUMIFS('YTD Sales'!$N:$N,'YTD Sales'!$B:$B,Brokerage!$B326,'YTD Sales'!$M:$M,Brokerage!U$4)+SUMIFS('YTD Purchases'!$H:$H,'YTD Purchases'!$C:$C,Brokerage!$B326,'YTD Purchases'!$G:$G,Brokerage!U$4)</f>
        <v>0</v>
      </c>
      <c r="V326" s="857">
        <f>SUMIFS('YTD Sales'!$N:$N,'YTD Sales'!$B:$B,Brokerage!$B326,'YTD Sales'!$M:$M,Brokerage!V$4)+SUMIFS('YTD Purchases'!$H:$H,'YTD Purchases'!$C:$C,Brokerage!$B326,'YTD Purchases'!$G:$G,Brokerage!V$4)</f>
        <v>0</v>
      </c>
      <c r="W326" s="857">
        <f>SUMIFS('YTD Sales'!$N:$N,'YTD Sales'!$B:$B,Brokerage!$B326,'YTD Sales'!$M:$M,Brokerage!W$4)+SUMIFS('YTD Purchases'!$H:$H,'YTD Purchases'!$C:$C,Brokerage!$B326,'YTD Purchases'!$G:$G,Brokerage!W$4)</f>
        <v>0</v>
      </c>
      <c r="X326" s="857">
        <f>SUMIFS('YTD Sales'!$N:$N,'YTD Sales'!$B:$B,Brokerage!$B326,'YTD Sales'!$M:$M,Brokerage!X$4)+SUMIFS('YTD Purchases'!$H:$H,'YTD Purchases'!$C:$C,Brokerage!$B326,'YTD Purchases'!$G:$G,Brokerage!X$4)</f>
        <v>0</v>
      </c>
      <c r="Y326" s="857">
        <f>SUMIFS('YTD Sales'!$N:$N,'YTD Sales'!$B:$B,Brokerage!$B326,'YTD Sales'!$M:$M,Brokerage!Y$4)+SUMIFS('YTD Purchases'!$H:$H,'YTD Purchases'!$C:$C,Brokerage!$B326,'YTD Purchases'!$G:$G,Brokerage!Y$4)</f>
        <v>0</v>
      </c>
      <c r="Z326" s="857">
        <f>SUMIFS('YTD Sales'!$N:$N,'YTD Sales'!$B:$B,Brokerage!$B326,'YTD Sales'!$M:$M,Brokerage!Z$4)+SUMIFS('YTD Purchases'!$H:$H,'YTD Purchases'!$C:$C,Brokerage!$B326,'YTD Purchases'!$G:$G,Brokerage!Z$4)</f>
        <v>0</v>
      </c>
      <c r="AA326" s="857">
        <f>SUMIFS('YTD Sales'!$N:$N,'YTD Sales'!$B:$B,Brokerage!$B326,'YTD Sales'!$M:$M,Brokerage!AA$4)+SUMIFS('YTD Purchases'!$H:$H,'YTD Purchases'!$C:$C,Brokerage!$B326,'YTD Purchases'!$G:$G,Brokerage!AA$4)</f>
        <v>0</v>
      </c>
      <c r="AB326" s="857">
        <f>SUMIFS('YTD Sales'!$N:$N,'YTD Sales'!$B:$B,Brokerage!$B326,'YTD Sales'!$M:$M,Brokerage!AB$4)+SUMIFS('YTD Purchases'!$H:$H,'YTD Purchases'!$C:$C,Brokerage!$B326,'YTD Purchases'!$G:$G,Brokerage!AB$4)</f>
        <v>0</v>
      </c>
      <c r="AC326" s="857">
        <f>SUMIFS('YTD Sales'!$N:$N,'YTD Sales'!$B:$B,Brokerage!$B326,'YTD Sales'!$M:$M,Brokerage!AC$4)+SUMIFS('YTD Purchases'!$H:$H,'YTD Purchases'!$C:$C,Brokerage!$B326,'YTD Purchases'!$G:$G,Brokerage!AC$4)</f>
        <v>0</v>
      </c>
      <c r="AD326" s="857">
        <f>+SUMIFS(PIB!AG:AG,PIB!AF:AF,Brokerage!AD$4,PIB!AA:AA,Brokerage!$B326)+SUMIFS('T-Bills'!AB:AB,'T-Bills'!AA:AA,Brokerage!AD$4,'T-Bills'!V:V,Brokerage!$B326)</f>
        <v>0</v>
      </c>
      <c r="AE326" s="857">
        <f>+SUMIFS(PIB!AH:AH,PIB!AG:AG,Brokerage!AE$4,PIB!AB:AB,Brokerage!$B326)+SUMIFS('T-Bills'!AC:AC,'T-Bills'!AB:AB,Brokerage!AE$4,'T-Bills'!W:W,Brokerage!$B326)</f>
        <v>0</v>
      </c>
      <c r="AF326" s="857">
        <f>+SUMIFS(PIB!AI:AI,PIB!AH:AH,Brokerage!AF$4,PIB!AC:AC,Brokerage!$B326)+SUMIFS('T-Bills'!AD:AD,'T-Bills'!AC:AC,Brokerage!AF$4,'T-Bills'!X:X,Brokerage!$B326)</f>
        <v>0</v>
      </c>
      <c r="AG326" s="857">
        <f t="shared" si="26"/>
        <v>0</v>
      </c>
      <c r="AH326" s="858">
        <f t="shared" si="28"/>
        <v>0</v>
      </c>
    </row>
    <row r="327" spans="2:34" x14ac:dyDescent="0.15">
      <c r="B327" s="661">
        <f t="shared" si="25"/>
        <v>44883</v>
      </c>
      <c r="C327" s="857">
        <f>SUMIFS('YTD Sales'!$N:$N,'YTD Sales'!$B:$B,Brokerage!$B327,'YTD Sales'!$M:$M,Brokerage!C$4)+SUMIFS('YTD Purchases'!$H:$H,'YTD Purchases'!$C:$C,Brokerage!$B327,'YTD Purchases'!$G:$G,Brokerage!C$4)</f>
        <v>0</v>
      </c>
      <c r="D327" s="857">
        <f>SUMIFS('YTD Sales'!$N:$N,'YTD Sales'!$B:$B,Brokerage!$B327,'YTD Sales'!$M:$M,Brokerage!D$4)+SUMIFS('YTD Purchases'!$H:$H,'YTD Purchases'!$C:$C,Brokerage!$B327,'YTD Purchases'!$G:$G,Brokerage!D$4)</f>
        <v>0</v>
      </c>
      <c r="E327" s="857">
        <f>SUMIFS('YTD Sales'!$N:$N,'YTD Sales'!$B:$B,Brokerage!$B327,'YTD Sales'!$M:$M,Brokerage!E$4)+SUMIFS('YTD Purchases'!$H:$H,'YTD Purchases'!$C:$C,Brokerage!$B327,'YTD Purchases'!$G:$G,Brokerage!E$4)</f>
        <v>0</v>
      </c>
      <c r="F327" s="857">
        <f>SUMIFS('YTD Sales'!$N:$N,'YTD Sales'!$B:$B,Brokerage!$B327,'YTD Sales'!$M:$M,Brokerage!F$4)+SUMIFS('YTD Purchases'!$H:$H,'YTD Purchases'!$C:$C,Brokerage!$B327,'YTD Purchases'!$G:$G,Brokerage!F$4)</f>
        <v>0</v>
      </c>
      <c r="G327" s="857">
        <f>SUMIFS('YTD Sales'!$N:$N,'YTD Sales'!$B:$B,Brokerage!$B327,'YTD Sales'!$M:$M,Brokerage!G$4)+SUMIFS('YTD Purchases'!$H:$H,'YTD Purchases'!$C:$C,Brokerage!$B327,'YTD Purchases'!$G:$G,Brokerage!G$4)</f>
        <v>0</v>
      </c>
      <c r="H327" s="857">
        <f>SUMIFS('YTD Sales'!$N:$N,'YTD Sales'!$B:$B,Brokerage!$B327,'YTD Sales'!$M:$M,Brokerage!H$4)+SUMIFS('YTD Purchases'!$H:$H,'YTD Purchases'!$C:$C,Brokerage!$B327,'YTD Purchases'!$G:$G,Brokerage!H$4)</f>
        <v>0</v>
      </c>
      <c r="I327" s="857">
        <f>SUMIFS('YTD Sales'!$N:$N,'YTD Sales'!$B:$B,Brokerage!$B327,'YTD Sales'!$M:$M,Brokerage!I$4)+SUMIFS('YTD Purchases'!$H:$H,'YTD Purchases'!$C:$C,Brokerage!$B327,'YTD Purchases'!$G:$G,Brokerage!I$4)</f>
        <v>0</v>
      </c>
      <c r="J327" s="857">
        <f>SUMIFS('YTD Sales'!$N:$N,'YTD Sales'!$B:$B,Brokerage!$B327,'YTD Sales'!$M:$M,Brokerage!J$4)+SUMIFS('YTD Purchases'!$H:$H,'YTD Purchases'!$C:$C,Brokerage!$B327,'YTD Purchases'!$G:$G,Brokerage!J$4)</f>
        <v>0</v>
      </c>
      <c r="K327" s="857">
        <f>SUMIFS('YTD Sales'!$N:$N,'YTD Sales'!$B:$B,Brokerage!$B327,'YTD Sales'!$M:$M,Brokerage!K$4)+SUMIFS('YTD Purchases'!$H:$H,'YTD Purchases'!$C:$C,Brokerage!$B327,'YTD Purchases'!$G:$G,Brokerage!K$4)</f>
        <v>0</v>
      </c>
      <c r="L327" s="857">
        <f>SUMIFS('YTD Sales'!$N:$N,'YTD Sales'!$B:$B,Brokerage!$B327,'YTD Sales'!$M:$M,Brokerage!L$4)+SUMIFS('YTD Purchases'!$H:$H,'YTD Purchases'!$C:$C,Brokerage!$B327,'YTD Purchases'!$G:$G,Brokerage!L$4)</f>
        <v>0</v>
      </c>
      <c r="M327" s="857">
        <f>SUMIFS('YTD Sales'!$N:$N,'YTD Sales'!$B:$B,Brokerage!$B327,'YTD Sales'!$M:$M,Brokerage!M$4)+SUMIFS('YTD Purchases'!$H:$H,'YTD Purchases'!$C:$C,Brokerage!$B327,'YTD Purchases'!$G:$G,Brokerage!M$4)</f>
        <v>0</v>
      </c>
      <c r="N327" s="857">
        <f>SUMIFS('YTD Sales'!$N:$N,'YTD Sales'!$B:$B,Brokerage!$B327,'YTD Sales'!$M:$M,Brokerage!N$4)+SUMIFS('YTD Purchases'!$H:$H,'YTD Purchases'!$C:$C,Brokerage!$B327,'YTD Purchases'!$G:$G,Brokerage!N$4)</f>
        <v>0</v>
      </c>
      <c r="O327" s="857">
        <f>SUMIFS('YTD Sales'!$N:$N,'YTD Sales'!$B:$B,Brokerage!$B327,'YTD Sales'!$M:$M,Brokerage!O$4)+SUMIFS('YTD Purchases'!$H:$H,'YTD Purchases'!$C:$C,Brokerage!$B327,'YTD Purchases'!$G:$G,Brokerage!O$4)</f>
        <v>0</v>
      </c>
      <c r="P327" s="857">
        <f>SUMIFS('YTD Sales'!$N:$N,'YTD Sales'!$B:$B,Brokerage!$B327,'YTD Sales'!$M:$M,Brokerage!P$4)+SUMIFS('YTD Purchases'!$H:$H,'YTD Purchases'!$C:$C,Brokerage!$B327,'YTD Purchases'!$G:$G,Brokerage!P$4)</f>
        <v>0</v>
      </c>
      <c r="Q327" s="857">
        <f>SUMIFS('YTD Sales'!$N:$N,'YTD Sales'!$B:$B,Brokerage!$B327,'YTD Sales'!$M:$M,Brokerage!Q$4)+SUMIFS('YTD Purchases'!$H:$H,'YTD Purchases'!$C:$C,Brokerage!$B327,'YTD Purchases'!$G:$G,Brokerage!Q$4)</f>
        <v>0</v>
      </c>
      <c r="R327" s="857">
        <f>SUMIFS('YTD Sales'!$N:$N,'YTD Sales'!$B:$B,Brokerage!$B327,'YTD Sales'!$M:$M,Brokerage!R$4)+SUMIFS('YTD Purchases'!$H:$H,'YTD Purchases'!$C:$C,Brokerage!$B327,'YTD Purchases'!$G:$G,Brokerage!R$4)</f>
        <v>0</v>
      </c>
      <c r="S327" s="857">
        <f>SUMIFS('YTD Sales'!$N:$N,'YTD Sales'!$B:$B,Brokerage!$B327,'YTD Sales'!$M:$M,Brokerage!S$4)+SUMIFS('YTD Purchases'!$H:$H,'YTD Purchases'!$C:$C,Brokerage!$B327,'YTD Purchases'!$G:$G,Brokerage!S$4)</f>
        <v>0</v>
      </c>
      <c r="T327" s="857">
        <f>SUMIFS('YTD Sales'!$N:$N,'YTD Sales'!$B:$B,Brokerage!$B327,'YTD Sales'!$M:$M,Brokerage!T$4)+SUMIFS('YTD Purchases'!$H:$H,'YTD Purchases'!$C:$C,Brokerage!$B327,'YTD Purchases'!$G:$G,Brokerage!T$4)</f>
        <v>0</v>
      </c>
      <c r="U327" s="857">
        <f>SUMIFS('YTD Sales'!$N:$N,'YTD Sales'!$B:$B,Brokerage!$B327,'YTD Sales'!$M:$M,Brokerage!U$4)+SUMIFS('YTD Purchases'!$H:$H,'YTD Purchases'!$C:$C,Brokerage!$B327,'YTD Purchases'!$G:$G,Brokerage!U$4)</f>
        <v>0</v>
      </c>
      <c r="V327" s="857">
        <f>SUMIFS('YTD Sales'!$N:$N,'YTD Sales'!$B:$B,Brokerage!$B327,'YTD Sales'!$M:$M,Brokerage!V$4)+SUMIFS('YTD Purchases'!$H:$H,'YTD Purchases'!$C:$C,Brokerage!$B327,'YTD Purchases'!$G:$G,Brokerage!V$4)</f>
        <v>0</v>
      </c>
      <c r="W327" s="857">
        <f>SUMIFS('YTD Sales'!$N:$N,'YTD Sales'!$B:$B,Brokerage!$B327,'YTD Sales'!$M:$M,Brokerage!W$4)+SUMIFS('YTD Purchases'!$H:$H,'YTD Purchases'!$C:$C,Brokerage!$B327,'YTD Purchases'!$G:$G,Brokerage!W$4)</f>
        <v>0</v>
      </c>
      <c r="X327" s="857">
        <f>SUMIFS('YTD Sales'!$N:$N,'YTD Sales'!$B:$B,Brokerage!$B327,'YTD Sales'!$M:$M,Brokerage!X$4)+SUMIFS('YTD Purchases'!$H:$H,'YTD Purchases'!$C:$C,Brokerage!$B327,'YTD Purchases'!$G:$G,Brokerage!X$4)</f>
        <v>0</v>
      </c>
      <c r="Y327" s="857">
        <f>SUMIFS('YTD Sales'!$N:$N,'YTD Sales'!$B:$B,Brokerage!$B327,'YTD Sales'!$M:$M,Brokerage!Y$4)+SUMIFS('YTD Purchases'!$H:$H,'YTD Purchases'!$C:$C,Brokerage!$B327,'YTD Purchases'!$G:$G,Brokerage!Y$4)</f>
        <v>0</v>
      </c>
      <c r="Z327" s="857">
        <f>SUMIFS('YTD Sales'!$N:$N,'YTD Sales'!$B:$B,Brokerage!$B327,'YTD Sales'!$M:$M,Brokerage!Z$4)+SUMIFS('YTD Purchases'!$H:$H,'YTD Purchases'!$C:$C,Brokerage!$B327,'YTD Purchases'!$G:$G,Brokerage!Z$4)</f>
        <v>0</v>
      </c>
      <c r="AA327" s="857">
        <f>SUMIFS('YTD Sales'!$N:$N,'YTD Sales'!$B:$B,Brokerage!$B327,'YTD Sales'!$M:$M,Brokerage!AA$4)+SUMIFS('YTD Purchases'!$H:$H,'YTD Purchases'!$C:$C,Brokerage!$B327,'YTD Purchases'!$G:$G,Brokerage!AA$4)</f>
        <v>0</v>
      </c>
      <c r="AB327" s="857">
        <f>SUMIFS('YTD Sales'!$N:$N,'YTD Sales'!$B:$B,Brokerage!$B327,'YTD Sales'!$M:$M,Brokerage!AB$4)+SUMIFS('YTD Purchases'!$H:$H,'YTD Purchases'!$C:$C,Brokerage!$B327,'YTD Purchases'!$G:$G,Brokerage!AB$4)</f>
        <v>0</v>
      </c>
      <c r="AC327" s="857">
        <f>SUMIFS('YTD Sales'!$N:$N,'YTD Sales'!$B:$B,Brokerage!$B327,'YTD Sales'!$M:$M,Brokerage!AC$4)+SUMIFS('YTD Purchases'!$H:$H,'YTD Purchases'!$C:$C,Brokerage!$B327,'YTD Purchases'!$G:$G,Brokerage!AC$4)</f>
        <v>0</v>
      </c>
      <c r="AD327" s="857">
        <f>+SUMIFS(PIB!AG:AG,PIB!AF:AF,Brokerage!AD$4,PIB!AA:AA,Brokerage!$B327)+SUMIFS('T-Bills'!AB:AB,'T-Bills'!AA:AA,Brokerage!AD$4,'T-Bills'!V:V,Brokerage!$B327)</f>
        <v>0</v>
      </c>
      <c r="AE327" s="857">
        <f>+SUMIFS(PIB!AH:AH,PIB!AG:AG,Brokerage!AE$4,PIB!AB:AB,Brokerage!$B327)+SUMIFS('T-Bills'!AC:AC,'T-Bills'!AB:AB,Brokerage!AE$4,'T-Bills'!W:W,Brokerage!$B327)</f>
        <v>0</v>
      </c>
      <c r="AF327" s="857">
        <f>+SUMIFS(PIB!AI:AI,PIB!AH:AH,Brokerage!AF$4,PIB!AC:AC,Brokerage!$B327)+SUMIFS('T-Bills'!AD:AD,'T-Bills'!AC:AC,Brokerage!AF$4,'T-Bills'!X:X,Brokerage!$B327)</f>
        <v>0</v>
      </c>
      <c r="AG327" s="857">
        <f t="shared" si="26"/>
        <v>0</v>
      </c>
      <c r="AH327" s="858">
        <f t="shared" si="28"/>
        <v>0</v>
      </c>
    </row>
    <row r="328" spans="2:34" x14ac:dyDescent="0.15">
      <c r="B328" s="661">
        <f t="shared" si="25"/>
        <v>44884</v>
      </c>
      <c r="C328" s="857">
        <f>SUMIFS('YTD Sales'!$N:$N,'YTD Sales'!$B:$B,Brokerage!$B328,'YTD Sales'!$M:$M,Brokerage!C$4)+SUMIFS('YTD Purchases'!$H:$H,'YTD Purchases'!$C:$C,Brokerage!$B328,'YTD Purchases'!$G:$G,Brokerage!C$4)</f>
        <v>0</v>
      </c>
      <c r="D328" s="857">
        <f>SUMIFS('YTD Sales'!$N:$N,'YTD Sales'!$B:$B,Brokerage!$B328,'YTD Sales'!$M:$M,Brokerage!D$4)+SUMIFS('YTD Purchases'!$H:$H,'YTD Purchases'!$C:$C,Brokerage!$B328,'YTD Purchases'!$G:$G,Brokerage!D$4)</f>
        <v>0</v>
      </c>
      <c r="E328" s="857">
        <f>SUMIFS('YTD Sales'!$N:$N,'YTD Sales'!$B:$B,Brokerage!$B328,'YTD Sales'!$M:$M,Brokerage!E$4)+SUMIFS('YTD Purchases'!$H:$H,'YTD Purchases'!$C:$C,Brokerage!$B328,'YTD Purchases'!$G:$G,Brokerage!E$4)</f>
        <v>0</v>
      </c>
      <c r="F328" s="857">
        <f>SUMIFS('YTD Sales'!$N:$N,'YTD Sales'!$B:$B,Brokerage!$B328,'YTD Sales'!$M:$M,Brokerage!F$4)+SUMIFS('YTD Purchases'!$H:$H,'YTD Purchases'!$C:$C,Brokerage!$B328,'YTD Purchases'!$G:$G,Brokerage!F$4)</f>
        <v>0</v>
      </c>
      <c r="G328" s="857">
        <f>SUMIFS('YTD Sales'!$N:$N,'YTD Sales'!$B:$B,Brokerage!$B328,'YTD Sales'!$M:$M,Brokerage!G$4)+SUMIFS('YTD Purchases'!$H:$H,'YTD Purchases'!$C:$C,Brokerage!$B328,'YTD Purchases'!$G:$G,Brokerage!G$4)</f>
        <v>0</v>
      </c>
      <c r="H328" s="857">
        <f>SUMIFS('YTD Sales'!$N:$N,'YTD Sales'!$B:$B,Brokerage!$B328,'YTD Sales'!$M:$M,Brokerage!H$4)+SUMIFS('YTD Purchases'!$H:$H,'YTD Purchases'!$C:$C,Brokerage!$B328,'YTD Purchases'!$G:$G,Brokerage!H$4)</f>
        <v>0</v>
      </c>
      <c r="I328" s="857">
        <f>SUMIFS('YTD Sales'!$N:$N,'YTD Sales'!$B:$B,Brokerage!$B328,'YTD Sales'!$M:$M,Brokerage!I$4)+SUMIFS('YTD Purchases'!$H:$H,'YTD Purchases'!$C:$C,Brokerage!$B328,'YTD Purchases'!$G:$G,Brokerage!I$4)</f>
        <v>0</v>
      </c>
      <c r="J328" s="857">
        <f>SUMIFS('YTD Sales'!$N:$N,'YTD Sales'!$B:$B,Brokerage!$B328,'YTD Sales'!$M:$M,Brokerage!J$4)+SUMIFS('YTD Purchases'!$H:$H,'YTD Purchases'!$C:$C,Brokerage!$B328,'YTD Purchases'!$G:$G,Brokerage!J$4)</f>
        <v>0</v>
      </c>
      <c r="K328" s="857">
        <f>SUMIFS('YTD Sales'!$N:$N,'YTD Sales'!$B:$B,Brokerage!$B328,'YTD Sales'!$M:$M,Brokerage!K$4)+SUMIFS('YTD Purchases'!$H:$H,'YTD Purchases'!$C:$C,Brokerage!$B328,'YTD Purchases'!$G:$G,Brokerage!K$4)</f>
        <v>0</v>
      </c>
      <c r="L328" s="857">
        <f>SUMIFS('YTD Sales'!$N:$N,'YTD Sales'!$B:$B,Brokerage!$B328,'YTD Sales'!$M:$M,Brokerage!L$4)+SUMIFS('YTD Purchases'!$H:$H,'YTD Purchases'!$C:$C,Brokerage!$B328,'YTD Purchases'!$G:$G,Brokerage!L$4)</f>
        <v>0</v>
      </c>
      <c r="M328" s="857">
        <f>SUMIFS('YTD Sales'!$N:$N,'YTD Sales'!$B:$B,Brokerage!$B328,'YTD Sales'!$M:$M,Brokerage!M$4)+SUMIFS('YTD Purchases'!$H:$H,'YTD Purchases'!$C:$C,Brokerage!$B328,'YTD Purchases'!$G:$G,Brokerage!M$4)</f>
        <v>0</v>
      </c>
      <c r="N328" s="857">
        <f>SUMIFS('YTD Sales'!$N:$N,'YTD Sales'!$B:$B,Brokerage!$B328,'YTD Sales'!$M:$M,Brokerage!N$4)+SUMIFS('YTD Purchases'!$H:$H,'YTD Purchases'!$C:$C,Brokerage!$B328,'YTD Purchases'!$G:$G,Brokerage!N$4)</f>
        <v>0</v>
      </c>
      <c r="O328" s="857">
        <f>SUMIFS('YTD Sales'!$N:$N,'YTD Sales'!$B:$B,Brokerage!$B328,'YTD Sales'!$M:$M,Brokerage!O$4)+SUMIFS('YTD Purchases'!$H:$H,'YTD Purchases'!$C:$C,Brokerage!$B328,'YTD Purchases'!$G:$G,Brokerage!O$4)</f>
        <v>0</v>
      </c>
      <c r="P328" s="857">
        <f>SUMIFS('YTD Sales'!$N:$N,'YTD Sales'!$B:$B,Brokerage!$B328,'YTD Sales'!$M:$M,Brokerage!P$4)+SUMIFS('YTD Purchases'!$H:$H,'YTD Purchases'!$C:$C,Brokerage!$B328,'YTD Purchases'!$G:$G,Brokerage!P$4)</f>
        <v>0</v>
      </c>
      <c r="Q328" s="857">
        <f>SUMIFS('YTD Sales'!$N:$N,'YTD Sales'!$B:$B,Brokerage!$B328,'YTD Sales'!$M:$M,Brokerage!Q$4)+SUMIFS('YTD Purchases'!$H:$H,'YTD Purchases'!$C:$C,Brokerage!$B328,'YTD Purchases'!$G:$G,Brokerage!Q$4)</f>
        <v>0</v>
      </c>
      <c r="R328" s="857">
        <f>SUMIFS('YTD Sales'!$N:$N,'YTD Sales'!$B:$B,Brokerage!$B328,'YTD Sales'!$M:$M,Brokerage!R$4)+SUMIFS('YTD Purchases'!$H:$H,'YTD Purchases'!$C:$C,Brokerage!$B328,'YTD Purchases'!$G:$G,Brokerage!R$4)</f>
        <v>0</v>
      </c>
      <c r="S328" s="857">
        <f>SUMIFS('YTD Sales'!$N:$N,'YTD Sales'!$B:$B,Brokerage!$B328,'YTD Sales'!$M:$M,Brokerage!S$4)+SUMIFS('YTD Purchases'!$H:$H,'YTD Purchases'!$C:$C,Brokerage!$B328,'YTD Purchases'!$G:$G,Brokerage!S$4)</f>
        <v>0</v>
      </c>
      <c r="T328" s="857">
        <f>SUMIFS('YTD Sales'!$N:$N,'YTD Sales'!$B:$B,Brokerage!$B328,'YTD Sales'!$M:$M,Brokerage!T$4)+SUMIFS('YTD Purchases'!$H:$H,'YTD Purchases'!$C:$C,Brokerage!$B328,'YTD Purchases'!$G:$G,Brokerage!T$4)</f>
        <v>0</v>
      </c>
      <c r="U328" s="857">
        <f>SUMIFS('YTD Sales'!$N:$N,'YTD Sales'!$B:$B,Brokerage!$B328,'YTD Sales'!$M:$M,Brokerage!U$4)+SUMIFS('YTD Purchases'!$H:$H,'YTD Purchases'!$C:$C,Brokerage!$B328,'YTD Purchases'!$G:$G,Brokerage!U$4)</f>
        <v>0</v>
      </c>
      <c r="V328" s="857">
        <f>SUMIFS('YTD Sales'!$N:$N,'YTD Sales'!$B:$B,Brokerage!$B328,'YTD Sales'!$M:$M,Brokerage!V$4)+SUMIFS('YTD Purchases'!$H:$H,'YTD Purchases'!$C:$C,Brokerage!$B328,'YTD Purchases'!$G:$G,Brokerage!V$4)</f>
        <v>0</v>
      </c>
      <c r="W328" s="857">
        <f>SUMIFS('YTD Sales'!$N:$N,'YTD Sales'!$B:$B,Brokerage!$B328,'YTD Sales'!$M:$M,Brokerage!W$4)+SUMIFS('YTD Purchases'!$H:$H,'YTD Purchases'!$C:$C,Brokerage!$B328,'YTD Purchases'!$G:$G,Brokerage!W$4)</f>
        <v>0</v>
      </c>
      <c r="X328" s="857">
        <f>SUMIFS('YTD Sales'!$N:$N,'YTD Sales'!$B:$B,Brokerage!$B328,'YTD Sales'!$M:$M,Brokerage!X$4)+SUMIFS('YTD Purchases'!$H:$H,'YTD Purchases'!$C:$C,Brokerage!$B328,'YTD Purchases'!$G:$G,Brokerage!X$4)</f>
        <v>0</v>
      </c>
      <c r="Y328" s="857">
        <f>SUMIFS('YTD Sales'!$N:$N,'YTD Sales'!$B:$B,Brokerage!$B328,'YTD Sales'!$M:$M,Brokerage!Y$4)+SUMIFS('YTD Purchases'!$H:$H,'YTD Purchases'!$C:$C,Brokerage!$B328,'YTD Purchases'!$G:$G,Brokerage!Y$4)</f>
        <v>0</v>
      </c>
      <c r="Z328" s="857">
        <f>SUMIFS('YTD Sales'!$N:$N,'YTD Sales'!$B:$B,Brokerage!$B328,'YTD Sales'!$M:$M,Brokerage!Z$4)+SUMIFS('YTD Purchases'!$H:$H,'YTD Purchases'!$C:$C,Brokerage!$B328,'YTD Purchases'!$G:$G,Brokerage!Z$4)</f>
        <v>0</v>
      </c>
      <c r="AA328" s="857">
        <f>SUMIFS('YTD Sales'!$N:$N,'YTD Sales'!$B:$B,Brokerage!$B328,'YTD Sales'!$M:$M,Brokerage!AA$4)+SUMIFS('YTD Purchases'!$H:$H,'YTD Purchases'!$C:$C,Brokerage!$B328,'YTD Purchases'!$G:$G,Brokerage!AA$4)</f>
        <v>0</v>
      </c>
      <c r="AB328" s="857">
        <f>SUMIFS('YTD Sales'!$N:$N,'YTD Sales'!$B:$B,Brokerage!$B328,'YTD Sales'!$M:$M,Brokerage!AB$4)+SUMIFS('YTD Purchases'!$H:$H,'YTD Purchases'!$C:$C,Brokerage!$B328,'YTD Purchases'!$G:$G,Brokerage!AB$4)</f>
        <v>0</v>
      </c>
      <c r="AC328" s="857">
        <f>SUMIFS('YTD Sales'!$N:$N,'YTD Sales'!$B:$B,Brokerage!$B328,'YTD Sales'!$M:$M,Brokerage!AC$4)+SUMIFS('YTD Purchases'!$H:$H,'YTD Purchases'!$C:$C,Brokerage!$B328,'YTD Purchases'!$G:$G,Brokerage!AC$4)</f>
        <v>0</v>
      </c>
      <c r="AD328" s="857">
        <f>+SUMIFS(PIB!AG:AG,PIB!AF:AF,Brokerage!AD$4,PIB!AA:AA,Brokerage!$B328)+SUMIFS('T-Bills'!AB:AB,'T-Bills'!AA:AA,Brokerage!AD$4,'T-Bills'!V:V,Brokerage!$B328)</f>
        <v>0</v>
      </c>
      <c r="AE328" s="857">
        <f>+SUMIFS(PIB!AH:AH,PIB!AG:AG,Brokerage!AE$4,PIB!AB:AB,Brokerage!$B328)+SUMIFS('T-Bills'!AC:AC,'T-Bills'!AB:AB,Brokerage!AE$4,'T-Bills'!W:W,Brokerage!$B328)</f>
        <v>0</v>
      </c>
      <c r="AF328" s="857">
        <f>+SUMIFS(PIB!AI:AI,PIB!AH:AH,Brokerage!AF$4,PIB!AC:AC,Brokerage!$B328)+SUMIFS('T-Bills'!AD:AD,'T-Bills'!AC:AC,Brokerage!AF$4,'T-Bills'!X:X,Brokerage!$B328)</f>
        <v>0</v>
      </c>
      <c r="AG328" s="857">
        <f t="shared" si="26"/>
        <v>0</v>
      </c>
      <c r="AH328" s="858">
        <f t="shared" si="28"/>
        <v>0</v>
      </c>
    </row>
    <row r="329" spans="2:34" x14ac:dyDescent="0.15">
      <c r="B329" s="661">
        <f t="shared" ref="B329:B370" si="29">+B328+1</f>
        <v>44885</v>
      </c>
      <c r="C329" s="857">
        <f>SUMIFS('YTD Sales'!$N:$N,'YTD Sales'!$B:$B,Brokerage!$B329,'YTD Sales'!$M:$M,Brokerage!C$4)+SUMIFS('YTD Purchases'!$H:$H,'YTD Purchases'!$C:$C,Brokerage!$B329,'YTD Purchases'!$G:$G,Brokerage!C$4)</f>
        <v>0</v>
      </c>
      <c r="D329" s="857">
        <f>SUMIFS('YTD Sales'!$N:$N,'YTD Sales'!$B:$B,Brokerage!$B329,'YTD Sales'!$M:$M,Brokerage!D$4)+SUMIFS('YTD Purchases'!$H:$H,'YTD Purchases'!$C:$C,Brokerage!$B329,'YTD Purchases'!$G:$G,Brokerage!D$4)</f>
        <v>0</v>
      </c>
      <c r="E329" s="857">
        <f>SUMIFS('YTD Sales'!$N:$N,'YTD Sales'!$B:$B,Brokerage!$B329,'YTD Sales'!$M:$M,Brokerage!E$4)+SUMIFS('YTD Purchases'!$H:$H,'YTD Purchases'!$C:$C,Brokerage!$B329,'YTD Purchases'!$G:$G,Brokerage!E$4)</f>
        <v>0</v>
      </c>
      <c r="F329" s="857">
        <f>SUMIFS('YTD Sales'!$N:$N,'YTD Sales'!$B:$B,Brokerage!$B329,'YTD Sales'!$M:$M,Brokerage!F$4)+SUMIFS('YTD Purchases'!$H:$H,'YTD Purchases'!$C:$C,Brokerage!$B329,'YTD Purchases'!$G:$G,Brokerage!F$4)</f>
        <v>0</v>
      </c>
      <c r="G329" s="857">
        <f>SUMIFS('YTD Sales'!$N:$N,'YTD Sales'!$B:$B,Brokerage!$B329,'YTD Sales'!$M:$M,Brokerage!G$4)+SUMIFS('YTD Purchases'!$H:$H,'YTD Purchases'!$C:$C,Brokerage!$B329,'YTD Purchases'!$G:$G,Brokerage!G$4)</f>
        <v>0</v>
      </c>
      <c r="H329" s="857">
        <f>SUMIFS('YTD Sales'!$N:$N,'YTD Sales'!$B:$B,Brokerage!$B329,'YTD Sales'!$M:$M,Brokerage!H$4)+SUMIFS('YTD Purchases'!$H:$H,'YTD Purchases'!$C:$C,Brokerage!$B329,'YTD Purchases'!$G:$G,Brokerage!H$4)</f>
        <v>0</v>
      </c>
      <c r="I329" s="857">
        <f>SUMIFS('YTD Sales'!$N:$N,'YTD Sales'!$B:$B,Brokerage!$B329,'YTD Sales'!$M:$M,Brokerage!I$4)+SUMIFS('YTD Purchases'!$H:$H,'YTD Purchases'!$C:$C,Brokerage!$B329,'YTD Purchases'!$G:$G,Brokerage!I$4)</f>
        <v>0</v>
      </c>
      <c r="J329" s="857">
        <f>SUMIFS('YTD Sales'!$N:$N,'YTD Sales'!$B:$B,Brokerage!$B329,'YTD Sales'!$M:$M,Brokerage!J$4)+SUMIFS('YTD Purchases'!$H:$H,'YTD Purchases'!$C:$C,Brokerage!$B329,'YTD Purchases'!$G:$G,Brokerage!J$4)</f>
        <v>0</v>
      </c>
      <c r="K329" s="857">
        <f>SUMIFS('YTD Sales'!$N:$N,'YTD Sales'!$B:$B,Brokerage!$B329,'YTD Sales'!$M:$M,Brokerage!K$4)+SUMIFS('YTD Purchases'!$H:$H,'YTD Purchases'!$C:$C,Brokerage!$B329,'YTD Purchases'!$G:$G,Brokerage!K$4)</f>
        <v>0</v>
      </c>
      <c r="L329" s="857">
        <f>SUMIFS('YTD Sales'!$N:$N,'YTD Sales'!$B:$B,Brokerage!$B329,'YTD Sales'!$M:$M,Brokerage!L$4)+SUMIFS('YTD Purchases'!$H:$H,'YTD Purchases'!$C:$C,Brokerage!$B329,'YTD Purchases'!$G:$G,Brokerage!L$4)</f>
        <v>0</v>
      </c>
      <c r="M329" s="857">
        <f>SUMIFS('YTD Sales'!$N:$N,'YTD Sales'!$B:$B,Brokerage!$B329,'YTD Sales'!$M:$M,Brokerage!M$4)+SUMIFS('YTD Purchases'!$H:$H,'YTD Purchases'!$C:$C,Brokerage!$B329,'YTD Purchases'!$G:$G,Brokerage!M$4)</f>
        <v>0</v>
      </c>
      <c r="N329" s="857">
        <f>SUMIFS('YTD Sales'!$N:$N,'YTD Sales'!$B:$B,Brokerage!$B329,'YTD Sales'!$M:$M,Brokerage!N$4)+SUMIFS('YTD Purchases'!$H:$H,'YTD Purchases'!$C:$C,Brokerage!$B329,'YTD Purchases'!$G:$G,Brokerage!N$4)</f>
        <v>0</v>
      </c>
      <c r="O329" s="857">
        <f>SUMIFS('YTD Sales'!$N:$N,'YTD Sales'!$B:$B,Brokerage!$B329,'YTD Sales'!$M:$M,Brokerage!O$4)+SUMIFS('YTD Purchases'!$H:$H,'YTD Purchases'!$C:$C,Brokerage!$B329,'YTD Purchases'!$G:$G,Brokerage!O$4)</f>
        <v>0</v>
      </c>
      <c r="P329" s="857">
        <f>SUMIFS('YTD Sales'!$N:$N,'YTD Sales'!$B:$B,Brokerage!$B329,'YTD Sales'!$M:$M,Brokerage!P$4)+SUMIFS('YTD Purchases'!$H:$H,'YTD Purchases'!$C:$C,Brokerage!$B329,'YTD Purchases'!$G:$G,Brokerage!P$4)</f>
        <v>0</v>
      </c>
      <c r="Q329" s="857">
        <f>SUMIFS('YTD Sales'!$N:$N,'YTD Sales'!$B:$B,Brokerage!$B329,'YTD Sales'!$M:$M,Brokerage!Q$4)+SUMIFS('YTD Purchases'!$H:$H,'YTD Purchases'!$C:$C,Brokerage!$B329,'YTD Purchases'!$G:$G,Brokerage!Q$4)</f>
        <v>0</v>
      </c>
      <c r="R329" s="857">
        <f>SUMIFS('YTD Sales'!$N:$N,'YTD Sales'!$B:$B,Brokerage!$B329,'YTD Sales'!$M:$M,Brokerage!R$4)+SUMIFS('YTD Purchases'!$H:$H,'YTD Purchases'!$C:$C,Brokerage!$B329,'YTD Purchases'!$G:$G,Brokerage!R$4)</f>
        <v>0</v>
      </c>
      <c r="S329" s="857">
        <f>SUMIFS('YTD Sales'!$N:$N,'YTD Sales'!$B:$B,Brokerage!$B329,'YTD Sales'!$M:$M,Brokerage!S$4)+SUMIFS('YTD Purchases'!$H:$H,'YTD Purchases'!$C:$C,Brokerage!$B329,'YTD Purchases'!$G:$G,Brokerage!S$4)</f>
        <v>0</v>
      </c>
      <c r="T329" s="857">
        <f>SUMIFS('YTD Sales'!$N:$N,'YTD Sales'!$B:$B,Brokerage!$B329,'YTD Sales'!$M:$M,Brokerage!T$4)+SUMIFS('YTD Purchases'!$H:$H,'YTD Purchases'!$C:$C,Brokerage!$B329,'YTD Purchases'!$G:$G,Brokerage!T$4)</f>
        <v>0</v>
      </c>
      <c r="U329" s="857">
        <f>SUMIFS('YTD Sales'!$N:$N,'YTD Sales'!$B:$B,Brokerage!$B329,'YTD Sales'!$M:$M,Brokerage!U$4)+SUMIFS('YTD Purchases'!$H:$H,'YTD Purchases'!$C:$C,Brokerage!$B329,'YTD Purchases'!$G:$G,Brokerage!U$4)</f>
        <v>0</v>
      </c>
      <c r="V329" s="857">
        <f>SUMIFS('YTD Sales'!$N:$N,'YTD Sales'!$B:$B,Brokerage!$B329,'YTD Sales'!$M:$M,Brokerage!V$4)+SUMIFS('YTD Purchases'!$H:$H,'YTD Purchases'!$C:$C,Brokerage!$B329,'YTD Purchases'!$G:$G,Brokerage!V$4)</f>
        <v>0</v>
      </c>
      <c r="W329" s="857">
        <f>SUMIFS('YTD Sales'!$N:$N,'YTD Sales'!$B:$B,Brokerage!$B329,'YTD Sales'!$M:$M,Brokerage!W$4)+SUMIFS('YTD Purchases'!$H:$H,'YTD Purchases'!$C:$C,Brokerage!$B329,'YTD Purchases'!$G:$G,Brokerage!W$4)</f>
        <v>0</v>
      </c>
      <c r="X329" s="857">
        <f>SUMIFS('YTD Sales'!$N:$N,'YTD Sales'!$B:$B,Brokerage!$B329,'YTD Sales'!$M:$M,Brokerage!X$4)+SUMIFS('YTD Purchases'!$H:$H,'YTD Purchases'!$C:$C,Brokerage!$B329,'YTD Purchases'!$G:$G,Brokerage!X$4)</f>
        <v>0</v>
      </c>
      <c r="Y329" s="857">
        <f>SUMIFS('YTD Sales'!$N:$N,'YTD Sales'!$B:$B,Brokerage!$B329,'YTD Sales'!$M:$M,Brokerage!Y$4)+SUMIFS('YTD Purchases'!$H:$H,'YTD Purchases'!$C:$C,Brokerage!$B329,'YTD Purchases'!$G:$G,Brokerage!Y$4)</f>
        <v>0</v>
      </c>
      <c r="Z329" s="857">
        <f>SUMIFS('YTD Sales'!$N:$N,'YTD Sales'!$B:$B,Brokerage!$B329,'YTD Sales'!$M:$M,Brokerage!Z$4)+SUMIFS('YTD Purchases'!$H:$H,'YTD Purchases'!$C:$C,Brokerage!$B329,'YTD Purchases'!$G:$G,Brokerage!Z$4)</f>
        <v>0</v>
      </c>
      <c r="AA329" s="857">
        <f>SUMIFS('YTD Sales'!$N:$N,'YTD Sales'!$B:$B,Brokerage!$B329,'YTD Sales'!$M:$M,Brokerage!AA$4)+SUMIFS('YTD Purchases'!$H:$H,'YTD Purchases'!$C:$C,Brokerage!$B329,'YTD Purchases'!$G:$G,Brokerage!AA$4)</f>
        <v>0</v>
      </c>
      <c r="AB329" s="857">
        <f>SUMIFS('YTD Sales'!$N:$N,'YTD Sales'!$B:$B,Brokerage!$B329,'YTD Sales'!$M:$M,Brokerage!AB$4)+SUMIFS('YTD Purchases'!$H:$H,'YTD Purchases'!$C:$C,Brokerage!$B329,'YTD Purchases'!$G:$G,Brokerage!AB$4)</f>
        <v>0</v>
      </c>
      <c r="AC329" s="857">
        <f>SUMIFS('YTD Sales'!$N:$N,'YTD Sales'!$B:$B,Brokerage!$B329,'YTD Sales'!$M:$M,Brokerage!AC$4)+SUMIFS('YTD Purchases'!$H:$H,'YTD Purchases'!$C:$C,Brokerage!$B329,'YTD Purchases'!$G:$G,Brokerage!AC$4)</f>
        <v>0</v>
      </c>
      <c r="AD329" s="857">
        <f>+SUMIFS(PIB!AG:AG,PIB!AF:AF,Brokerage!AD$4,PIB!AA:AA,Brokerage!$B329)+SUMIFS('T-Bills'!AB:AB,'T-Bills'!AA:AA,Brokerage!AD$4,'T-Bills'!V:V,Brokerage!$B329)</f>
        <v>0</v>
      </c>
      <c r="AE329" s="857">
        <f>+SUMIFS(PIB!AH:AH,PIB!AG:AG,Brokerage!AE$4,PIB!AB:AB,Brokerage!$B329)+SUMIFS('T-Bills'!AC:AC,'T-Bills'!AB:AB,Brokerage!AE$4,'T-Bills'!W:W,Brokerage!$B329)</f>
        <v>0</v>
      </c>
      <c r="AF329" s="857">
        <f>+SUMIFS(PIB!AI:AI,PIB!AH:AH,Brokerage!AF$4,PIB!AC:AC,Brokerage!$B329)+SUMIFS('T-Bills'!AD:AD,'T-Bills'!AC:AC,Brokerage!AF$4,'T-Bills'!X:X,Brokerage!$B329)</f>
        <v>0</v>
      </c>
      <c r="AG329" s="857">
        <f t="shared" ref="AG329:AG370" si="30">SUM(C329:AF329)</f>
        <v>0</v>
      </c>
      <c r="AH329" s="858">
        <f t="shared" si="28"/>
        <v>0</v>
      </c>
    </row>
    <row r="330" spans="2:34" x14ac:dyDescent="0.15">
      <c r="B330" s="661">
        <f t="shared" si="29"/>
        <v>44886</v>
      </c>
      <c r="C330" s="857">
        <f>SUMIFS('YTD Sales'!$N:$N,'YTD Sales'!$B:$B,Brokerage!$B330,'YTD Sales'!$M:$M,Brokerage!C$4)+SUMIFS('YTD Purchases'!$H:$H,'YTD Purchases'!$C:$C,Brokerage!$B330,'YTD Purchases'!$G:$G,Brokerage!C$4)</f>
        <v>0</v>
      </c>
      <c r="D330" s="857">
        <f>SUMIFS('YTD Sales'!$N:$N,'YTD Sales'!$B:$B,Brokerage!$B330,'YTD Sales'!$M:$M,Brokerage!D$4)+SUMIFS('YTD Purchases'!$H:$H,'YTD Purchases'!$C:$C,Brokerage!$B330,'YTD Purchases'!$G:$G,Brokerage!D$4)</f>
        <v>0</v>
      </c>
      <c r="E330" s="857">
        <f>SUMIFS('YTD Sales'!$N:$N,'YTD Sales'!$B:$B,Brokerage!$B330,'YTD Sales'!$M:$M,Brokerage!E$4)+SUMIFS('YTD Purchases'!$H:$H,'YTD Purchases'!$C:$C,Brokerage!$B330,'YTD Purchases'!$G:$G,Brokerage!E$4)</f>
        <v>0</v>
      </c>
      <c r="F330" s="857">
        <f>SUMIFS('YTD Sales'!$N:$N,'YTD Sales'!$B:$B,Brokerage!$B330,'YTD Sales'!$M:$M,Brokerage!F$4)+SUMIFS('YTD Purchases'!$H:$H,'YTD Purchases'!$C:$C,Brokerage!$B330,'YTD Purchases'!$G:$G,Brokerage!F$4)</f>
        <v>0</v>
      </c>
      <c r="G330" s="857">
        <f>SUMIFS('YTD Sales'!$N:$N,'YTD Sales'!$B:$B,Brokerage!$B330,'YTD Sales'!$M:$M,Brokerage!G$4)+SUMIFS('YTD Purchases'!$H:$H,'YTD Purchases'!$C:$C,Brokerage!$B330,'YTD Purchases'!$G:$G,Brokerage!G$4)</f>
        <v>0</v>
      </c>
      <c r="H330" s="857">
        <f>SUMIFS('YTD Sales'!$N:$N,'YTD Sales'!$B:$B,Brokerage!$B330,'YTD Sales'!$M:$M,Brokerage!H$4)+SUMIFS('YTD Purchases'!$H:$H,'YTD Purchases'!$C:$C,Brokerage!$B330,'YTD Purchases'!$G:$G,Brokerage!H$4)</f>
        <v>0</v>
      </c>
      <c r="I330" s="857">
        <f>SUMIFS('YTD Sales'!$N:$N,'YTD Sales'!$B:$B,Brokerage!$B330,'YTD Sales'!$M:$M,Brokerage!I$4)+SUMIFS('YTD Purchases'!$H:$H,'YTD Purchases'!$C:$C,Brokerage!$B330,'YTD Purchases'!$G:$G,Brokerage!I$4)</f>
        <v>0</v>
      </c>
      <c r="J330" s="857">
        <f>SUMIFS('YTD Sales'!$N:$N,'YTD Sales'!$B:$B,Brokerage!$B330,'YTD Sales'!$M:$M,Brokerage!J$4)+SUMIFS('YTD Purchases'!$H:$H,'YTD Purchases'!$C:$C,Brokerage!$B330,'YTD Purchases'!$G:$G,Brokerage!J$4)</f>
        <v>0</v>
      </c>
      <c r="K330" s="857">
        <f>SUMIFS('YTD Sales'!$N:$N,'YTD Sales'!$B:$B,Brokerage!$B330,'YTD Sales'!$M:$M,Brokerage!K$4)+SUMIFS('YTD Purchases'!$H:$H,'YTD Purchases'!$C:$C,Brokerage!$B330,'YTD Purchases'!$G:$G,Brokerage!K$4)</f>
        <v>0</v>
      </c>
      <c r="L330" s="857">
        <f>SUMIFS('YTD Sales'!$N:$N,'YTD Sales'!$B:$B,Brokerage!$B330,'YTD Sales'!$M:$M,Brokerage!L$4)+SUMIFS('YTD Purchases'!$H:$H,'YTD Purchases'!$C:$C,Brokerage!$B330,'YTD Purchases'!$G:$G,Brokerage!L$4)</f>
        <v>0</v>
      </c>
      <c r="M330" s="857">
        <f>SUMIFS('YTD Sales'!$N:$N,'YTD Sales'!$B:$B,Brokerage!$B330,'YTD Sales'!$M:$M,Brokerage!M$4)+SUMIFS('YTD Purchases'!$H:$H,'YTD Purchases'!$C:$C,Brokerage!$B330,'YTD Purchases'!$G:$G,Brokerage!M$4)</f>
        <v>0</v>
      </c>
      <c r="N330" s="857">
        <f>SUMIFS('YTD Sales'!$N:$N,'YTD Sales'!$B:$B,Brokerage!$B330,'YTD Sales'!$M:$M,Brokerage!N$4)+SUMIFS('YTD Purchases'!$H:$H,'YTD Purchases'!$C:$C,Brokerage!$B330,'YTD Purchases'!$G:$G,Brokerage!N$4)</f>
        <v>0</v>
      </c>
      <c r="O330" s="857">
        <f>SUMIFS('YTD Sales'!$N:$N,'YTD Sales'!$B:$B,Brokerage!$B330,'YTD Sales'!$M:$M,Brokerage!O$4)+SUMIFS('YTD Purchases'!$H:$H,'YTD Purchases'!$C:$C,Brokerage!$B330,'YTD Purchases'!$G:$G,Brokerage!O$4)</f>
        <v>0</v>
      </c>
      <c r="P330" s="857">
        <f>SUMIFS('YTD Sales'!$N:$N,'YTD Sales'!$B:$B,Brokerage!$B330,'YTD Sales'!$M:$M,Brokerage!P$4)+SUMIFS('YTD Purchases'!$H:$H,'YTD Purchases'!$C:$C,Brokerage!$B330,'YTD Purchases'!$G:$G,Brokerage!P$4)</f>
        <v>0</v>
      </c>
      <c r="Q330" s="857">
        <f>SUMIFS('YTD Sales'!$N:$N,'YTD Sales'!$B:$B,Brokerage!$B330,'YTD Sales'!$M:$M,Brokerage!Q$4)+SUMIFS('YTD Purchases'!$H:$H,'YTD Purchases'!$C:$C,Brokerage!$B330,'YTD Purchases'!$G:$G,Brokerage!Q$4)</f>
        <v>0</v>
      </c>
      <c r="R330" s="857">
        <f>SUMIFS('YTD Sales'!$N:$N,'YTD Sales'!$B:$B,Brokerage!$B330,'YTD Sales'!$M:$M,Brokerage!R$4)+SUMIFS('YTD Purchases'!$H:$H,'YTD Purchases'!$C:$C,Brokerage!$B330,'YTD Purchases'!$G:$G,Brokerage!R$4)</f>
        <v>0</v>
      </c>
      <c r="S330" s="857">
        <f>SUMIFS('YTD Sales'!$N:$N,'YTD Sales'!$B:$B,Brokerage!$B330,'YTD Sales'!$M:$M,Brokerage!S$4)+SUMIFS('YTD Purchases'!$H:$H,'YTD Purchases'!$C:$C,Brokerage!$B330,'YTD Purchases'!$G:$G,Brokerage!S$4)</f>
        <v>0</v>
      </c>
      <c r="T330" s="857">
        <f>SUMIFS('YTD Sales'!$N:$N,'YTD Sales'!$B:$B,Brokerage!$B330,'YTD Sales'!$M:$M,Brokerage!T$4)+SUMIFS('YTD Purchases'!$H:$H,'YTD Purchases'!$C:$C,Brokerage!$B330,'YTD Purchases'!$G:$G,Brokerage!T$4)</f>
        <v>0</v>
      </c>
      <c r="U330" s="857">
        <f>SUMIFS('YTD Sales'!$N:$N,'YTD Sales'!$B:$B,Brokerage!$B330,'YTD Sales'!$M:$M,Brokerage!U$4)+SUMIFS('YTD Purchases'!$H:$H,'YTD Purchases'!$C:$C,Brokerage!$B330,'YTD Purchases'!$G:$G,Brokerage!U$4)</f>
        <v>0</v>
      </c>
      <c r="V330" s="857">
        <f>SUMIFS('YTD Sales'!$N:$N,'YTD Sales'!$B:$B,Brokerage!$B330,'YTD Sales'!$M:$M,Brokerage!V$4)+SUMIFS('YTD Purchases'!$H:$H,'YTD Purchases'!$C:$C,Brokerage!$B330,'YTD Purchases'!$G:$G,Brokerage!V$4)</f>
        <v>0</v>
      </c>
      <c r="W330" s="857">
        <f>SUMIFS('YTD Sales'!$N:$N,'YTD Sales'!$B:$B,Brokerage!$B330,'YTD Sales'!$M:$M,Brokerage!W$4)+SUMIFS('YTD Purchases'!$H:$H,'YTD Purchases'!$C:$C,Brokerage!$B330,'YTD Purchases'!$G:$G,Brokerage!W$4)</f>
        <v>0</v>
      </c>
      <c r="X330" s="857">
        <f>SUMIFS('YTD Sales'!$N:$N,'YTD Sales'!$B:$B,Brokerage!$B330,'YTD Sales'!$M:$M,Brokerage!X$4)+SUMIFS('YTD Purchases'!$H:$H,'YTD Purchases'!$C:$C,Brokerage!$B330,'YTD Purchases'!$G:$G,Brokerage!X$4)</f>
        <v>0</v>
      </c>
      <c r="Y330" s="857">
        <f>SUMIFS('YTD Sales'!$N:$N,'YTD Sales'!$B:$B,Brokerage!$B330,'YTD Sales'!$M:$M,Brokerage!Y$4)+SUMIFS('YTD Purchases'!$H:$H,'YTD Purchases'!$C:$C,Brokerage!$B330,'YTD Purchases'!$G:$G,Brokerage!Y$4)</f>
        <v>0</v>
      </c>
      <c r="Z330" s="857">
        <f>SUMIFS('YTD Sales'!$N:$N,'YTD Sales'!$B:$B,Brokerage!$B330,'YTD Sales'!$M:$M,Brokerage!Z$4)+SUMIFS('YTD Purchases'!$H:$H,'YTD Purchases'!$C:$C,Brokerage!$B330,'YTD Purchases'!$G:$G,Brokerage!Z$4)</f>
        <v>0</v>
      </c>
      <c r="AA330" s="857">
        <f>SUMIFS('YTD Sales'!$N:$N,'YTD Sales'!$B:$B,Brokerage!$B330,'YTD Sales'!$M:$M,Brokerage!AA$4)+SUMIFS('YTD Purchases'!$H:$H,'YTD Purchases'!$C:$C,Brokerage!$B330,'YTD Purchases'!$G:$G,Brokerage!AA$4)</f>
        <v>0</v>
      </c>
      <c r="AB330" s="857">
        <f>SUMIFS('YTD Sales'!$N:$N,'YTD Sales'!$B:$B,Brokerage!$B330,'YTD Sales'!$M:$M,Brokerage!AB$4)+SUMIFS('YTD Purchases'!$H:$H,'YTD Purchases'!$C:$C,Brokerage!$B330,'YTD Purchases'!$G:$G,Brokerage!AB$4)</f>
        <v>0</v>
      </c>
      <c r="AC330" s="857">
        <f>SUMIFS('YTD Sales'!$N:$N,'YTD Sales'!$B:$B,Brokerage!$B330,'YTD Sales'!$M:$M,Brokerage!AC$4)+SUMIFS('YTD Purchases'!$H:$H,'YTD Purchases'!$C:$C,Brokerage!$B330,'YTD Purchases'!$G:$G,Brokerage!AC$4)</f>
        <v>0</v>
      </c>
      <c r="AD330" s="857">
        <f>+SUMIFS(PIB!AG:AG,PIB!AF:AF,Brokerage!AD$4,PIB!AA:AA,Brokerage!$B330)+SUMIFS('T-Bills'!AB:AB,'T-Bills'!AA:AA,Brokerage!AD$4,'T-Bills'!V:V,Brokerage!$B330)</f>
        <v>0</v>
      </c>
      <c r="AE330" s="857">
        <f>+SUMIFS(PIB!AH:AH,PIB!AG:AG,Brokerage!AE$4,PIB!AB:AB,Brokerage!$B330)+SUMIFS('T-Bills'!AC:AC,'T-Bills'!AB:AB,Brokerage!AE$4,'T-Bills'!W:W,Brokerage!$B330)</f>
        <v>0</v>
      </c>
      <c r="AF330" s="857">
        <f>+SUMIFS(PIB!AI:AI,PIB!AH:AH,Brokerage!AF$4,PIB!AC:AC,Brokerage!$B330)+SUMIFS('T-Bills'!AD:AD,'T-Bills'!AC:AC,Brokerage!AF$4,'T-Bills'!X:X,Brokerage!$B330)</f>
        <v>0</v>
      </c>
      <c r="AG330" s="857">
        <f t="shared" si="30"/>
        <v>0</v>
      </c>
      <c r="AH330" s="858">
        <f t="shared" si="28"/>
        <v>0</v>
      </c>
    </row>
    <row r="331" spans="2:34" x14ac:dyDescent="0.15">
      <c r="B331" s="661">
        <f t="shared" si="29"/>
        <v>44887</v>
      </c>
      <c r="C331" s="857">
        <f>SUMIFS('YTD Sales'!$N:$N,'YTD Sales'!$B:$B,Brokerage!$B331,'YTD Sales'!$M:$M,Brokerage!C$4)+SUMIFS('YTD Purchases'!$H:$H,'YTD Purchases'!$C:$C,Brokerage!$B331,'YTD Purchases'!$G:$G,Brokerage!C$4)</f>
        <v>0</v>
      </c>
      <c r="D331" s="857">
        <f>SUMIFS('YTD Sales'!$N:$N,'YTD Sales'!$B:$B,Brokerage!$B331,'YTD Sales'!$M:$M,Brokerage!D$4)+SUMIFS('YTD Purchases'!$H:$H,'YTD Purchases'!$C:$C,Brokerage!$B331,'YTD Purchases'!$G:$G,Brokerage!D$4)</f>
        <v>0</v>
      </c>
      <c r="E331" s="857">
        <f>SUMIFS('YTD Sales'!$N:$N,'YTD Sales'!$B:$B,Brokerage!$B331,'YTD Sales'!$M:$M,Brokerage!E$4)+SUMIFS('YTD Purchases'!$H:$H,'YTD Purchases'!$C:$C,Brokerage!$B331,'YTD Purchases'!$G:$G,Brokerage!E$4)</f>
        <v>0</v>
      </c>
      <c r="F331" s="857">
        <f>SUMIFS('YTD Sales'!$N:$N,'YTD Sales'!$B:$B,Brokerage!$B331,'YTD Sales'!$M:$M,Brokerage!F$4)+SUMIFS('YTD Purchases'!$H:$H,'YTD Purchases'!$C:$C,Brokerage!$B331,'YTD Purchases'!$G:$G,Brokerage!F$4)</f>
        <v>0</v>
      </c>
      <c r="G331" s="857">
        <f>SUMIFS('YTD Sales'!$N:$N,'YTD Sales'!$B:$B,Brokerage!$B331,'YTD Sales'!$M:$M,Brokerage!G$4)+SUMIFS('YTD Purchases'!$H:$H,'YTD Purchases'!$C:$C,Brokerage!$B331,'YTD Purchases'!$G:$G,Brokerage!G$4)</f>
        <v>0</v>
      </c>
      <c r="H331" s="857">
        <f>SUMIFS('YTD Sales'!$N:$N,'YTD Sales'!$B:$B,Brokerage!$B331,'YTD Sales'!$M:$M,Brokerage!H$4)+SUMIFS('YTD Purchases'!$H:$H,'YTD Purchases'!$C:$C,Brokerage!$B331,'YTD Purchases'!$G:$G,Brokerage!H$4)</f>
        <v>0</v>
      </c>
      <c r="I331" s="857">
        <f>SUMIFS('YTD Sales'!$N:$N,'YTD Sales'!$B:$B,Brokerage!$B331,'YTD Sales'!$M:$M,Brokerage!I$4)+SUMIFS('YTD Purchases'!$H:$H,'YTD Purchases'!$C:$C,Brokerage!$B331,'YTD Purchases'!$G:$G,Brokerage!I$4)</f>
        <v>0</v>
      </c>
      <c r="J331" s="857">
        <f>SUMIFS('YTD Sales'!$N:$N,'YTD Sales'!$B:$B,Brokerage!$B331,'YTD Sales'!$M:$M,Brokerage!J$4)+SUMIFS('YTD Purchases'!$H:$H,'YTD Purchases'!$C:$C,Brokerage!$B331,'YTD Purchases'!$G:$G,Brokerage!J$4)</f>
        <v>0</v>
      </c>
      <c r="K331" s="857">
        <f>SUMIFS('YTD Sales'!$N:$N,'YTD Sales'!$B:$B,Brokerage!$B331,'YTD Sales'!$M:$M,Brokerage!K$4)+SUMIFS('YTD Purchases'!$H:$H,'YTD Purchases'!$C:$C,Brokerage!$B331,'YTD Purchases'!$G:$G,Brokerage!K$4)</f>
        <v>0</v>
      </c>
      <c r="L331" s="857">
        <f>SUMIFS('YTD Sales'!$N:$N,'YTD Sales'!$B:$B,Brokerage!$B331,'YTD Sales'!$M:$M,Brokerage!L$4)+SUMIFS('YTD Purchases'!$H:$H,'YTD Purchases'!$C:$C,Brokerage!$B331,'YTD Purchases'!$G:$G,Brokerage!L$4)</f>
        <v>0</v>
      </c>
      <c r="M331" s="857">
        <f>SUMIFS('YTD Sales'!$N:$N,'YTD Sales'!$B:$B,Brokerage!$B331,'YTD Sales'!$M:$M,Brokerage!M$4)+SUMIFS('YTD Purchases'!$H:$H,'YTD Purchases'!$C:$C,Brokerage!$B331,'YTD Purchases'!$G:$G,Brokerage!M$4)</f>
        <v>0</v>
      </c>
      <c r="N331" s="857">
        <f>SUMIFS('YTD Sales'!$N:$N,'YTD Sales'!$B:$B,Brokerage!$B331,'YTD Sales'!$M:$M,Brokerage!N$4)+SUMIFS('YTD Purchases'!$H:$H,'YTD Purchases'!$C:$C,Brokerage!$B331,'YTD Purchases'!$G:$G,Brokerage!N$4)</f>
        <v>0</v>
      </c>
      <c r="O331" s="857">
        <f>SUMIFS('YTD Sales'!$N:$N,'YTD Sales'!$B:$B,Brokerage!$B331,'YTD Sales'!$M:$M,Brokerage!O$4)+SUMIFS('YTD Purchases'!$H:$H,'YTD Purchases'!$C:$C,Brokerage!$B331,'YTD Purchases'!$G:$G,Brokerage!O$4)</f>
        <v>0</v>
      </c>
      <c r="P331" s="857">
        <f>SUMIFS('YTD Sales'!$N:$N,'YTD Sales'!$B:$B,Brokerage!$B331,'YTD Sales'!$M:$M,Brokerage!P$4)+SUMIFS('YTD Purchases'!$H:$H,'YTD Purchases'!$C:$C,Brokerage!$B331,'YTD Purchases'!$G:$G,Brokerage!P$4)</f>
        <v>0</v>
      </c>
      <c r="Q331" s="857">
        <f>SUMIFS('YTD Sales'!$N:$N,'YTD Sales'!$B:$B,Brokerage!$B331,'YTD Sales'!$M:$M,Brokerage!Q$4)+SUMIFS('YTD Purchases'!$H:$H,'YTD Purchases'!$C:$C,Brokerage!$B331,'YTD Purchases'!$G:$G,Brokerage!Q$4)</f>
        <v>0</v>
      </c>
      <c r="R331" s="857">
        <f>SUMIFS('YTD Sales'!$N:$N,'YTD Sales'!$B:$B,Brokerage!$B331,'YTD Sales'!$M:$M,Brokerage!R$4)+SUMIFS('YTD Purchases'!$H:$H,'YTD Purchases'!$C:$C,Brokerage!$B331,'YTD Purchases'!$G:$G,Brokerage!R$4)</f>
        <v>0</v>
      </c>
      <c r="S331" s="857">
        <f>SUMIFS('YTD Sales'!$N:$N,'YTD Sales'!$B:$B,Brokerage!$B331,'YTD Sales'!$M:$M,Brokerage!S$4)+SUMIFS('YTD Purchases'!$H:$H,'YTD Purchases'!$C:$C,Brokerage!$B331,'YTD Purchases'!$G:$G,Brokerage!S$4)</f>
        <v>0</v>
      </c>
      <c r="T331" s="857">
        <f>SUMIFS('YTD Sales'!$N:$N,'YTD Sales'!$B:$B,Brokerage!$B331,'YTD Sales'!$M:$M,Brokerage!T$4)+SUMIFS('YTD Purchases'!$H:$H,'YTD Purchases'!$C:$C,Brokerage!$B331,'YTD Purchases'!$G:$G,Brokerage!T$4)</f>
        <v>0</v>
      </c>
      <c r="U331" s="857">
        <f>SUMIFS('YTD Sales'!$N:$N,'YTD Sales'!$B:$B,Brokerage!$B331,'YTD Sales'!$M:$M,Brokerage!U$4)+SUMIFS('YTD Purchases'!$H:$H,'YTD Purchases'!$C:$C,Brokerage!$B331,'YTD Purchases'!$G:$G,Brokerage!U$4)</f>
        <v>0</v>
      </c>
      <c r="V331" s="857">
        <f>SUMIFS('YTD Sales'!$N:$N,'YTD Sales'!$B:$B,Brokerage!$B331,'YTD Sales'!$M:$M,Brokerage!V$4)+SUMIFS('YTD Purchases'!$H:$H,'YTD Purchases'!$C:$C,Brokerage!$B331,'YTD Purchases'!$G:$G,Brokerage!V$4)</f>
        <v>0</v>
      </c>
      <c r="W331" s="857">
        <f>SUMIFS('YTD Sales'!$N:$N,'YTD Sales'!$B:$B,Brokerage!$B331,'YTD Sales'!$M:$M,Brokerage!W$4)+SUMIFS('YTD Purchases'!$H:$H,'YTD Purchases'!$C:$C,Brokerage!$B331,'YTD Purchases'!$G:$G,Brokerage!W$4)</f>
        <v>0</v>
      </c>
      <c r="X331" s="857">
        <f>SUMIFS('YTD Sales'!$N:$N,'YTD Sales'!$B:$B,Brokerage!$B331,'YTD Sales'!$M:$M,Brokerage!X$4)+SUMIFS('YTD Purchases'!$H:$H,'YTD Purchases'!$C:$C,Brokerage!$B331,'YTD Purchases'!$G:$G,Brokerage!X$4)</f>
        <v>0</v>
      </c>
      <c r="Y331" s="857">
        <f>SUMIFS('YTD Sales'!$N:$N,'YTD Sales'!$B:$B,Brokerage!$B331,'YTD Sales'!$M:$M,Brokerage!Y$4)+SUMIFS('YTD Purchases'!$H:$H,'YTD Purchases'!$C:$C,Brokerage!$B331,'YTD Purchases'!$G:$G,Brokerage!Y$4)</f>
        <v>0</v>
      </c>
      <c r="Z331" s="857">
        <f>SUMIFS('YTD Sales'!$N:$N,'YTD Sales'!$B:$B,Brokerage!$B331,'YTD Sales'!$M:$M,Brokerage!Z$4)+SUMIFS('YTD Purchases'!$H:$H,'YTD Purchases'!$C:$C,Brokerage!$B331,'YTD Purchases'!$G:$G,Brokerage!Z$4)</f>
        <v>0</v>
      </c>
      <c r="AA331" s="857">
        <f>SUMIFS('YTD Sales'!$N:$N,'YTD Sales'!$B:$B,Brokerage!$B331,'YTD Sales'!$M:$M,Brokerage!AA$4)+SUMIFS('YTD Purchases'!$H:$H,'YTD Purchases'!$C:$C,Brokerage!$B331,'YTD Purchases'!$G:$G,Brokerage!AA$4)</f>
        <v>0</v>
      </c>
      <c r="AB331" s="857">
        <f>SUMIFS('YTD Sales'!$N:$N,'YTD Sales'!$B:$B,Brokerage!$B331,'YTD Sales'!$M:$M,Brokerage!AB$4)+SUMIFS('YTD Purchases'!$H:$H,'YTD Purchases'!$C:$C,Brokerage!$B331,'YTD Purchases'!$G:$G,Brokerage!AB$4)</f>
        <v>0</v>
      </c>
      <c r="AC331" s="857">
        <f>SUMIFS('YTD Sales'!$N:$N,'YTD Sales'!$B:$B,Brokerage!$B331,'YTD Sales'!$M:$M,Brokerage!AC$4)+SUMIFS('YTD Purchases'!$H:$H,'YTD Purchases'!$C:$C,Brokerage!$B331,'YTD Purchases'!$G:$G,Brokerage!AC$4)</f>
        <v>0</v>
      </c>
      <c r="AD331" s="857">
        <f>+SUMIFS(PIB!AG:AG,PIB!AF:AF,Brokerage!AD$4,PIB!AA:AA,Brokerage!$B331)+SUMIFS('T-Bills'!AB:AB,'T-Bills'!AA:AA,Brokerage!AD$4,'T-Bills'!V:V,Brokerage!$B331)</f>
        <v>0</v>
      </c>
      <c r="AE331" s="857">
        <f>+SUMIFS(PIB!AH:AH,PIB!AG:AG,Brokerage!AE$4,PIB!AB:AB,Brokerage!$B331)+SUMIFS('T-Bills'!AC:AC,'T-Bills'!AB:AB,Brokerage!AE$4,'T-Bills'!W:W,Brokerage!$B331)</f>
        <v>0</v>
      </c>
      <c r="AF331" s="857">
        <f>+SUMIFS(PIB!AI:AI,PIB!AH:AH,Brokerage!AF$4,PIB!AC:AC,Brokerage!$B331)+SUMIFS('T-Bills'!AD:AD,'T-Bills'!AC:AC,Brokerage!AF$4,'T-Bills'!X:X,Brokerage!$B331)</f>
        <v>0</v>
      </c>
      <c r="AG331" s="857">
        <f t="shared" si="30"/>
        <v>0</v>
      </c>
      <c r="AH331" s="858">
        <f t="shared" si="28"/>
        <v>0</v>
      </c>
    </row>
    <row r="332" spans="2:34" x14ac:dyDescent="0.15">
      <c r="B332" s="661">
        <f t="shared" si="29"/>
        <v>44888</v>
      </c>
      <c r="C332" s="857">
        <f>SUMIFS('YTD Sales'!$N:$N,'YTD Sales'!$B:$B,Brokerage!$B332,'YTD Sales'!$M:$M,Brokerage!C$4)+SUMIFS('YTD Purchases'!$H:$H,'YTD Purchases'!$C:$C,Brokerage!$B332,'YTD Purchases'!$G:$G,Brokerage!C$4)</f>
        <v>0</v>
      </c>
      <c r="D332" s="857">
        <f>SUMIFS('YTD Sales'!$N:$N,'YTD Sales'!$B:$B,Brokerage!$B332,'YTD Sales'!$M:$M,Brokerage!D$4)+SUMIFS('YTD Purchases'!$H:$H,'YTD Purchases'!$C:$C,Brokerage!$B332,'YTD Purchases'!$G:$G,Brokerage!D$4)</f>
        <v>0</v>
      </c>
      <c r="E332" s="857">
        <f>SUMIFS('YTD Sales'!$N:$N,'YTD Sales'!$B:$B,Brokerage!$B332,'YTD Sales'!$M:$M,Brokerage!E$4)+SUMIFS('YTD Purchases'!$H:$H,'YTD Purchases'!$C:$C,Brokerage!$B332,'YTD Purchases'!$G:$G,Brokerage!E$4)</f>
        <v>0</v>
      </c>
      <c r="F332" s="857">
        <f>SUMIFS('YTD Sales'!$N:$N,'YTD Sales'!$B:$B,Brokerage!$B332,'YTD Sales'!$M:$M,Brokerage!F$4)+SUMIFS('YTD Purchases'!$H:$H,'YTD Purchases'!$C:$C,Brokerage!$B332,'YTD Purchases'!$G:$G,Brokerage!F$4)</f>
        <v>0</v>
      </c>
      <c r="G332" s="857">
        <f>SUMIFS('YTD Sales'!$N:$N,'YTD Sales'!$B:$B,Brokerage!$B332,'YTD Sales'!$M:$M,Brokerage!G$4)+SUMIFS('YTD Purchases'!$H:$H,'YTD Purchases'!$C:$C,Brokerage!$B332,'YTD Purchases'!$G:$G,Brokerage!G$4)</f>
        <v>0</v>
      </c>
      <c r="H332" s="857">
        <f>SUMIFS('YTD Sales'!$N:$N,'YTD Sales'!$B:$B,Brokerage!$B332,'YTD Sales'!$M:$M,Brokerage!H$4)+SUMIFS('YTD Purchases'!$H:$H,'YTD Purchases'!$C:$C,Brokerage!$B332,'YTD Purchases'!$G:$G,Brokerage!H$4)</f>
        <v>0</v>
      </c>
      <c r="I332" s="857">
        <f>SUMIFS('YTD Sales'!$N:$N,'YTD Sales'!$B:$B,Brokerage!$B332,'YTD Sales'!$M:$M,Brokerage!I$4)+SUMIFS('YTD Purchases'!$H:$H,'YTD Purchases'!$C:$C,Brokerage!$B332,'YTD Purchases'!$G:$G,Brokerage!I$4)</f>
        <v>0</v>
      </c>
      <c r="J332" s="857">
        <f>SUMIFS('YTD Sales'!$N:$N,'YTD Sales'!$B:$B,Brokerage!$B332,'YTD Sales'!$M:$M,Brokerage!J$4)+SUMIFS('YTD Purchases'!$H:$H,'YTD Purchases'!$C:$C,Brokerage!$B332,'YTD Purchases'!$G:$G,Brokerage!J$4)</f>
        <v>0</v>
      </c>
      <c r="K332" s="857">
        <f>SUMIFS('YTD Sales'!$N:$N,'YTD Sales'!$B:$B,Brokerage!$B332,'YTD Sales'!$M:$M,Brokerage!K$4)+SUMIFS('YTD Purchases'!$H:$H,'YTD Purchases'!$C:$C,Brokerage!$B332,'YTD Purchases'!$G:$G,Brokerage!K$4)</f>
        <v>0</v>
      </c>
      <c r="L332" s="857">
        <f>SUMIFS('YTD Sales'!$N:$N,'YTD Sales'!$B:$B,Brokerage!$B332,'YTD Sales'!$M:$M,Brokerage!L$4)+SUMIFS('YTD Purchases'!$H:$H,'YTD Purchases'!$C:$C,Brokerage!$B332,'YTD Purchases'!$G:$G,Brokerage!L$4)</f>
        <v>0</v>
      </c>
      <c r="M332" s="857">
        <f>SUMIFS('YTD Sales'!$N:$N,'YTD Sales'!$B:$B,Brokerage!$B332,'YTD Sales'!$M:$M,Brokerage!M$4)+SUMIFS('YTD Purchases'!$H:$H,'YTD Purchases'!$C:$C,Brokerage!$B332,'YTD Purchases'!$G:$G,Brokerage!M$4)</f>
        <v>0</v>
      </c>
      <c r="N332" s="857">
        <f>SUMIFS('YTD Sales'!$N:$N,'YTD Sales'!$B:$B,Brokerage!$B332,'YTD Sales'!$M:$M,Brokerage!N$4)+SUMIFS('YTD Purchases'!$H:$H,'YTD Purchases'!$C:$C,Brokerage!$B332,'YTD Purchases'!$G:$G,Brokerage!N$4)</f>
        <v>0</v>
      </c>
      <c r="O332" s="857">
        <f>SUMIFS('YTD Sales'!$N:$N,'YTD Sales'!$B:$B,Brokerage!$B332,'YTD Sales'!$M:$M,Brokerage!O$4)+SUMIFS('YTD Purchases'!$H:$H,'YTD Purchases'!$C:$C,Brokerage!$B332,'YTD Purchases'!$G:$G,Brokerage!O$4)</f>
        <v>0</v>
      </c>
      <c r="P332" s="857">
        <f>SUMIFS('YTD Sales'!$N:$N,'YTD Sales'!$B:$B,Brokerage!$B332,'YTD Sales'!$M:$M,Brokerage!P$4)+SUMIFS('YTD Purchases'!$H:$H,'YTD Purchases'!$C:$C,Brokerage!$B332,'YTD Purchases'!$G:$G,Brokerage!P$4)</f>
        <v>0</v>
      </c>
      <c r="Q332" s="857">
        <f>SUMIFS('YTD Sales'!$N:$N,'YTD Sales'!$B:$B,Brokerage!$B332,'YTD Sales'!$M:$M,Brokerage!Q$4)+SUMIFS('YTD Purchases'!$H:$H,'YTD Purchases'!$C:$C,Brokerage!$B332,'YTD Purchases'!$G:$G,Brokerage!Q$4)</f>
        <v>0</v>
      </c>
      <c r="R332" s="857">
        <f>SUMIFS('YTD Sales'!$N:$N,'YTD Sales'!$B:$B,Brokerage!$B332,'YTD Sales'!$M:$M,Brokerage!R$4)+SUMIFS('YTD Purchases'!$H:$H,'YTD Purchases'!$C:$C,Brokerage!$B332,'YTD Purchases'!$G:$G,Brokerage!R$4)</f>
        <v>0</v>
      </c>
      <c r="S332" s="857">
        <f>SUMIFS('YTD Sales'!$N:$N,'YTD Sales'!$B:$B,Brokerage!$B332,'YTD Sales'!$M:$M,Brokerage!S$4)+SUMIFS('YTD Purchases'!$H:$H,'YTD Purchases'!$C:$C,Brokerage!$B332,'YTD Purchases'!$G:$G,Brokerage!S$4)</f>
        <v>0</v>
      </c>
      <c r="T332" s="857">
        <f>SUMIFS('YTD Sales'!$N:$N,'YTD Sales'!$B:$B,Brokerage!$B332,'YTD Sales'!$M:$M,Brokerage!T$4)+SUMIFS('YTD Purchases'!$H:$H,'YTD Purchases'!$C:$C,Brokerage!$B332,'YTD Purchases'!$G:$G,Brokerage!T$4)</f>
        <v>0</v>
      </c>
      <c r="U332" s="857">
        <f>SUMIFS('YTD Sales'!$N:$N,'YTD Sales'!$B:$B,Brokerage!$B332,'YTD Sales'!$M:$M,Brokerage!U$4)+SUMIFS('YTD Purchases'!$H:$H,'YTD Purchases'!$C:$C,Brokerage!$B332,'YTD Purchases'!$G:$G,Brokerage!U$4)</f>
        <v>0</v>
      </c>
      <c r="V332" s="857">
        <f>SUMIFS('YTD Sales'!$N:$N,'YTD Sales'!$B:$B,Brokerage!$B332,'YTD Sales'!$M:$M,Brokerage!V$4)+SUMIFS('YTD Purchases'!$H:$H,'YTD Purchases'!$C:$C,Brokerage!$B332,'YTD Purchases'!$G:$G,Brokerage!V$4)</f>
        <v>0</v>
      </c>
      <c r="W332" s="857">
        <f>SUMIFS('YTD Sales'!$N:$N,'YTD Sales'!$B:$B,Brokerage!$B332,'YTD Sales'!$M:$M,Brokerage!W$4)+SUMIFS('YTD Purchases'!$H:$H,'YTD Purchases'!$C:$C,Brokerage!$B332,'YTD Purchases'!$G:$G,Brokerage!W$4)</f>
        <v>0</v>
      </c>
      <c r="X332" s="857">
        <f>SUMIFS('YTD Sales'!$N:$N,'YTD Sales'!$B:$B,Brokerage!$B332,'YTD Sales'!$M:$M,Brokerage!X$4)+SUMIFS('YTD Purchases'!$H:$H,'YTD Purchases'!$C:$C,Brokerage!$B332,'YTD Purchases'!$G:$G,Brokerage!X$4)</f>
        <v>0</v>
      </c>
      <c r="Y332" s="857">
        <f>SUMIFS('YTD Sales'!$N:$N,'YTD Sales'!$B:$B,Brokerage!$B332,'YTD Sales'!$M:$M,Brokerage!Y$4)+SUMIFS('YTD Purchases'!$H:$H,'YTD Purchases'!$C:$C,Brokerage!$B332,'YTD Purchases'!$G:$G,Brokerage!Y$4)</f>
        <v>0</v>
      </c>
      <c r="Z332" s="857">
        <f>SUMIFS('YTD Sales'!$N:$N,'YTD Sales'!$B:$B,Brokerage!$B332,'YTD Sales'!$M:$M,Brokerage!Z$4)+SUMIFS('YTD Purchases'!$H:$H,'YTD Purchases'!$C:$C,Brokerage!$B332,'YTD Purchases'!$G:$G,Brokerage!Z$4)</f>
        <v>0</v>
      </c>
      <c r="AA332" s="857">
        <f>SUMIFS('YTD Sales'!$N:$N,'YTD Sales'!$B:$B,Brokerage!$B332,'YTD Sales'!$M:$M,Brokerage!AA$4)+SUMIFS('YTD Purchases'!$H:$H,'YTD Purchases'!$C:$C,Brokerage!$B332,'YTD Purchases'!$G:$G,Brokerage!AA$4)</f>
        <v>0</v>
      </c>
      <c r="AB332" s="857">
        <f>SUMIFS('YTD Sales'!$N:$N,'YTD Sales'!$B:$B,Brokerage!$B332,'YTD Sales'!$M:$M,Brokerage!AB$4)+SUMIFS('YTD Purchases'!$H:$H,'YTD Purchases'!$C:$C,Brokerage!$B332,'YTD Purchases'!$G:$G,Brokerage!AB$4)</f>
        <v>0</v>
      </c>
      <c r="AC332" s="857">
        <f>SUMIFS('YTD Sales'!$N:$N,'YTD Sales'!$B:$B,Brokerage!$B332,'YTD Sales'!$M:$M,Brokerage!AC$4)+SUMIFS('YTD Purchases'!$H:$H,'YTD Purchases'!$C:$C,Brokerage!$B332,'YTD Purchases'!$G:$G,Brokerage!AC$4)</f>
        <v>0</v>
      </c>
      <c r="AD332" s="857">
        <f>+SUMIFS(PIB!AG:AG,PIB!AF:AF,Brokerage!AD$4,PIB!AA:AA,Brokerage!$B332)+SUMIFS('T-Bills'!AB:AB,'T-Bills'!AA:AA,Brokerage!AD$4,'T-Bills'!V:V,Brokerage!$B332)</f>
        <v>0</v>
      </c>
      <c r="AE332" s="857">
        <f>+SUMIFS(PIB!AH:AH,PIB!AG:AG,Brokerage!AE$4,PIB!AB:AB,Brokerage!$B332)+SUMIFS('T-Bills'!AC:AC,'T-Bills'!AB:AB,Brokerage!AE$4,'T-Bills'!W:W,Brokerage!$B332)</f>
        <v>0</v>
      </c>
      <c r="AF332" s="857">
        <f>+SUMIFS(PIB!AI:AI,PIB!AH:AH,Brokerage!AF$4,PIB!AC:AC,Brokerage!$B332)+SUMIFS('T-Bills'!AD:AD,'T-Bills'!AC:AC,Brokerage!AF$4,'T-Bills'!X:X,Brokerage!$B332)</f>
        <v>0</v>
      </c>
      <c r="AG332" s="857">
        <f t="shared" si="30"/>
        <v>0</v>
      </c>
      <c r="AH332" s="858">
        <f t="shared" si="28"/>
        <v>0</v>
      </c>
    </row>
    <row r="333" spans="2:34" x14ac:dyDescent="0.15">
      <c r="B333" s="661">
        <f t="shared" si="29"/>
        <v>44889</v>
      </c>
      <c r="C333" s="857">
        <f>SUMIFS('YTD Sales'!$N:$N,'YTD Sales'!$B:$B,Brokerage!$B333,'YTD Sales'!$M:$M,Brokerage!C$4)+SUMIFS('YTD Purchases'!$H:$H,'YTD Purchases'!$C:$C,Brokerage!$B333,'YTD Purchases'!$G:$G,Brokerage!C$4)</f>
        <v>0</v>
      </c>
      <c r="D333" s="857">
        <f>SUMIFS('YTD Sales'!$N:$N,'YTD Sales'!$B:$B,Brokerage!$B333,'YTD Sales'!$M:$M,Brokerage!D$4)+SUMIFS('YTD Purchases'!$H:$H,'YTD Purchases'!$C:$C,Brokerage!$B333,'YTD Purchases'!$G:$G,Brokerage!D$4)</f>
        <v>0</v>
      </c>
      <c r="E333" s="857">
        <f>SUMIFS('YTD Sales'!$N:$N,'YTD Sales'!$B:$B,Brokerage!$B333,'YTD Sales'!$M:$M,Brokerage!E$4)+SUMIFS('YTD Purchases'!$H:$H,'YTD Purchases'!$C:$C,Brokerage!$B333,'YTD Purchases'!$G:$G,Brokerage!E$4)</f>
        <v>0</v>
      </c>
      <c r="F333" s="857">
        <f>SUMIFS('YTD Sales'!$N:$N,'YTD Sales'!$B:$B,Brokerage!$B333,'YTD Sales'!$M:$M,Brokerage!F$4)+SUMIFS('YTD Purchases'!$H:$H,'YTD Purchases'!$C:$C,Brokerage!$B333,'YTD Purchases'!$G:$G,Brokerage!F$4)</f>
        <v>0</v>
      </c>
      <c r="G333" s="857">
        <f>SUMIFS('YTD Sales'!$N:$N,'YTD Sales'!$B:$B,Brokerage!$B333,'YTD Sales'!$M:$M,Brokerage!G$4)+SUMIFS('YTD Purchases'!$H:$H,'YTD Purchases'!$C:$C,Brokerage!$B333,'YTD Purchases'!$G:$G,Brokerage!G$4)</f>
        <v>0</v>
      </c>
      <c r="H333" s="857">
        <f>SUMIFS('YTD Sales'!$N:$N,'YTD Sales'!$B:$B,Brokerage!$B333,'YTD Sales'!$M:$M,Brokerage!H$4)+SUMIFS('YTD Purchases'!$H:$H,'YTD Purchases'!$C:$C,Brokerage!$B333,'YTD Purchases'!$G:$G,Brokerage!H$4)</f>
        <v>0</v>
      </c>
      <c r="I333" s="857">
        <f>SUMIFS('YTD Sales'!$N:$N,'YTD Sales'!$B:$B,Brokerage!$B333,'YTD Sales'!$M:$M,Brokerage!I$4)+SUMIFS('YTD Purchases'!$H:$H,'YTD Purchases'!$C:$C,Brokerage!$B333,'YTD Purchases'!$G:$G,Brokerage!I$4)</f>
        <v>0</v>
      </c>
      <c r="J333" s="857">
        <f>SUMIFS('YTD Sales'!$N:$N,'YTD Sales'!$B:$B,Brokerage!$B333,'YTD Sales'!$M:$M,Brokerage!J$4)+SUMIFS('YTD Purchases'!$H:$H,'YTD Purchases'!$C:$C,Brokerage!$B333,'YTD Purchases'!$G:$G,Brokerage!J$4)</f>
        <v>0</v>
      </c>
      <c r="K333" s="857">
        <f>SUMIFS('YTD Sales'!$N:$N,'YTD Sales'!$B:$B,Brokerage!$B333,'YTD Sales'!$M:$M,Brokerage!K$4)+SUMIFS('YTD Purchases'!$H:$H,'YTD Purchases'!$C:$C,Brokerage!$B333,'YTD Purchases'!$G:$G,Brokerage!K$4)</f>
        <v>0</v>
      </c>
      <c r="L333" s="857">
        <f>SUMIFS('YTD Sales'!$N:$N,'YTD Sales'!$B:$B,Brokerage!$B333,'YTD Sales'!$M:$M,Brokerage!L$4)+SUMIFS('YTD Purchases'!$H:$H,'YTD Purchases'!$C:$C,Brokerage!$B333,'YTD Purchases'!$G:$G,Brokerage!L$4)</f>
        <v>0</v>
      </c>
      <c r="M333" s="857">
        <f>SUMIFS('YTD Sales'!$N:$N,'YTD Sales'!$B:$B,Brokerage!$B333,'YTD Sales'!$M:$M,Brokerage!M$4)+SUMIFS('YTD Purchases'!$H:$H,'YTD Purchases'!$C:$C,Brokerage!$B333,'YTD Purchases'!$G:$G,Brokerage!M$4)</f>
        <v>0</v>
      </c>
      <c r="N333" s="857">
        <f>SUMIFS('YTD Sales'!$N:$N,'YTD Sales'!$B:$B,Brokerage!$B333,'YTD Sales'!$M:$M,Brokerage!N$4)+SUMIFS('YTD Purchases'!$H:$H,'YTD Purchases'!$C:$C,Brokerage!$B333,'YTD Purchases'!$G:$G,Brokerage!N$4)</f>
        <v>0</v>
      </c>
      <c r="O333" s="857">
        <f>SUMIFS('YTD Sales'!$N:$N,'YTD Sales'!$B:$B,Brokerage!$B333,'YTD Sales'!$M:$M,Brokerage!O$4)+SUMIFS('YTD Purchases'!$H:$H,'YTD Purchases'!$C:$C,Brokerage!$B333,'YTD Purchases'!$G:$G,Brokerage!O$4)</f>
        <v>0</v>
      </c>
      <c r="P333" s="857">
        <f>SUMIFS('YTD Sales'!$N:$N,'YTD Sales'!$B:$B,Brokerage!$B333,'YTD Sales'!$M:$M,Brokerage!P$4)+SUMIFS('YTD Purchases'!$H:$H,'YTD Purchases'!$C:$C,Brokerage!$B333,'YTD Purchases'!$G:$G,Brokerage!P$4)</f>
        <v>0</v>
      </c>
      <c r="Q333" s="857">
        <f>SUMIFS('YTD Sales'!$N:$N,'YTD Sales'!$B:$B,Brokerage!$B333,'YTD Sales'!$M:$M,Brokerage!Q$4)+SUMIFS('YTD Purchases'!$H:$H,'YTD Purchases'!$C:$C,Brokerage!$B333,'YTD Purchases'!$G:$G,Brokerage!Q$4)</f>
        <v>0</v>
      </c>
      <c r="R333" s="857">
        <f>SUMIFS('YTD Sales'!$N:$N,'YTD Sales'!$B:$B,Brokerage!$B333,'YTD Sales'!$M:$M,Brokerage!R$4)+SUMIFS('YTD Purchases'!$H:$H,'YTD Purchases'!$C:$C,Brokerage!$B333,'YTD Purchases'!$G:$G,Brokerage!R$4)</f>
        <v>0</v>
      </c>
      <c r="S333" s="857">
        <f>SUMIFS('YTD Sales'!$N:$N,'YTD Sales'!$B:$B,Brokerage!$B333,'YTD Sales'!$M:$M,Brokerage!S$4)+SUMIFS('YTD Purchases'!$H:$H,'YTD Purchases'!$C:$C,Brokerage!$B333,'YTD Purchases'!$G:$G,Brokerage!S$4)</f>
        <v>0</v>
      </c>
      <c r="T333" s="857">
        <f>SUMIFS('YTD Sales'!$N:$N,'YTD Sales'!$B:$B,Brokerage!$B333,'YTD Sales'!$M:$M,Brokerage!T$4)+SUMIFS('YTD Purchases'!$H:$H,'YTD Purchases'!$C:$C,Brokerage!$B333,'YTD Purchases'!$G:$G,Brokerage!T$4)</f>
        <v>0</v>
      </c>
      <c r="U333" s="857">
        <f>SUMIFS('YTD Sales'!$N:$N,'YTD Sales'!$B:$B,Brokerage!$B333,'YTD Sales'!$M:$M,Brokerage!U$4)+SUMIFS('YTD Purchases'!$H:$H,'YTD Purchases'!$C:$C,Brokerage!$B333,'YTD Purchases'!$G:$G,Brokerage!U$4)</f>
        <v>0</v>
      </c>
      <c r="V333" s="857">
        <f>SUMIFS('YTD Sales'!$N:$N,'YTD Sales'!$B:$B,Brokerage!$B333,'YTD Sales'!$M:$M,Brokerage!V$4)+SUMIFS('YTD Purchases'!$H:$H,'YTD Purchases'!$C:$C,Brokerage!$B333,'YTD Purchases'!$G:$G,Brokerage!V$4)</f>
        <v>0</v>
      </c>
      <c r="W333" s="857">
        <f>SUMIFS('YTD Sales'!$N:$N,'YTD Sales'!$B:$B,Brokerage!$B333,'YTD Sales'!$M:$M,Brokerage!W$4)+SUMIFS('YTD Purchases'!$H:$H,'YTD Purchases'!$C:$C,Brokerage!$B333,'YTD Purchases'!$G:$G,Brokerage!W$4)</f>
        <v>0</v>
      </c>
      <c r="X333" s="857">
        <f>SUMIFS('YTD Sales'!$N:$N,'YTD Sales'!$B:$B,Brokerage!$B333,'YTD Sales'!$M:$M,Brokerage!X$4)+SUMIFS('YTD Purchases'!$H:$H,'YTD Purchases'!$C:$C,Brokerage!$B333,'YTD Purchases'!$G:$G,Brokerage!X$4)</f>
        <v>0</v>
      </c>
      <c r="Y333" s="857">
        <f>SUMIFS('YTD Sales'!$N:$N,'YTD Sales'!$B:$B,Brokerage!$B333,'YTD Sales'!$M:$M,Brokerage!Y$4)+SUMIFS('YTD Purchases'!$H:$H,'YTD Purchases'!$C:$C,Brokerage!$B333,'YTD Purchases'!$G:$G,Brokerage!Y$4)</f>
        <v>0</v>
      </c>
      <c r="Z333" s="857">
        <f>SUMIFS('YTD Sales'!$N:$N,'YTD Sales'!$B:$B,Brokerage!$B333,'YTD Sales'!$M:$M,Brokerage!Z$4)+SUMIFS('YTD Purchases'!$H:$H,'YTD Purchases'!$C:$C,Brokerage!$B333,'YTD Purchases'!$G:$G,Brokerage!Z$4)</f>
        <v>0</v>
      </c>
      <c r="AA333" s="857">
        <f>SUMIFS('YTD Sales'!$N:$N,'YTD Sales'!$B:$B,Brokerage!$B333,'YTD Sales'!$M:$M,Brokerage!AA$4)+SUMIFS('YTD Purchases'!$H:$H,'YTD Purchases'!$C:$C,Brokerage!$B333,'YTD Purchases'!$G:$G,Brokerage!AA$4)</f>
        <v>0</v>
      </c>
      <c r="AB333" s="857">
        <f>SUMIFS('YTD Sales'!$N:$N,'YTD Sales'!$B:$B,Brokerage!$B333,'YTD Sales'!$M:$M,Brokerage!AB$4)+SUMIFS('YTD Purchases'!$H:$H,'YTD Purchases'!$C:$C,Brokerage!$B333,'YTD Purchases'!$G:$G,Brokerage!AB$4)</f>
        <v>0</v>
      </c>
      <c r="AC333" s="857">
        <f>SUMIFS('YTD Sales'!$N:$N,'YTD Sales'!$B:$B,Brokerage!$B333,'YTD Sales'!$M:$M,Brokerage!AC$4)+SUMIFS('YTD Purchases'!$H:$H,'YTD Purchases'!$C:$C,Brokerage!$B333,'YTD Purchases'!$G:$G,Brokerage!AC$4)</f>
        <v>0</v>
      </c>
      <c r="AD333" s="857">
        <f>+SUMIFS(PIB!AG:AG,PIB!AF:AF,Brokerage!AD$4,PIB!AA:AA,Brokerage!$B333)+SUMIFS('T-Bills'!AB:AB,'T-Bills'!AA:AA,Brokerage!AD$4,'T-Bills'!V:V,Brokerage!$B333)</f>
        <v>0</v>
      </c>
      <c r="AE333" s="857">
        <f>+SUMIFS(PIB!AH:AH,PIB!AG:AG,Brokerage!AE$4,PIB!AB:AB,Brokerage!$B333)+SUMIFS('T-Bills'!AC:AC,'T-Bills'!AB:AB,Brokerage!AE$4,'T-Bills'!W:W,Brokerage!$B333)</f>
        <v>0</v>
      </c>
      <c r="AF333" s="857">
        <f>+SUMIFS(PIB!AI:AI,PIB!AH:AH,Brokerage!AF$4,PIB!AC:AC,Brokerage!$B333)+SUMIFS('T-Bills'!AD:AD,'T-Bills'!AC:AC,Brokerage!AF$4,'T-Bills'!X:X,Brokerage!$B333)</f>
        <v>0</v>
      </c>
      <c r="AG333" s="857">
        <f t="shared" si="30"/>
        <v>0</v>
      </c>
      <c r="AH333" s="858">
        <f t="shared" si="28"/>
        <v>0</v>
      </c>
    </row>
    <row r="334" spans="2:34" x14ac:dyDescent="0.15">
      <c r="B334" s="661">
        <f t="shared" si="29"/>
        <v>44890</v>
      </c>
      <c r="C334" s="857">
        <f>SUMIFS('YTD Sales'!$N:$N,'YTD Sales'!$B:$B,Brokerage!$B334,'YTD Sales'!$M:$M,Brokerage!C$4)+SUMIFS('YTD Purchases'!$H:$H,'YTD Purchases'!$C:$C,Brokerage!$B334,'YTD Purchases'!$G:$G,Brokerage!C$4)</f>
        <v>0</v>
      </c>
      <c r="D334" s="857">
        <f>SUMIFS('YTD Sales'!$N:$N,'YTD Sales'!$B:$B,Brokerage!$B334,'YTD Sales'!$M:$M,Brokerage!D$4)+SUMIFS('YTD Purchases'!$H:$H,'YTD Purchases'!$C:$C,Brokerage!$B334,'YTD Purchases'!$G:$G,Brokerage!D$4)</f>
        <v>0</v>
      </c>
      <c r="E334" s="857">
        <f>SUMIFS('YTD Sales'!$N:$N,'YTD Sales'!$B:$B,Brokerage!$B334,'YTD Sales'!$M:$M,Brokerage!E$4)+SUMIFS('YTD Purchases'!$H:$H,'YTD Purchases'!$C:$C,Brokerage!$B334,'YTD Purchases'!$G:$G,Brokerage!E$4)</f>
        <v>0</v>
      </c>
      <c r="F334" s="857">
        <f>SUMIFS('YTD Sales'!$N:$N,'YTD Sales'!$B:$B,Brokerage!$B334,'YTD Sales'!$M:$M,Brokerage!F$4)+SUMIFS('YTD Purchases'!$H:$H,'YTD Purchases'!$C:$C,Brokerage!$B334,'YTD Purchases'!$G:$G,Brokerage!F$4)</f>
        <v>0</v>
      </c>
      <c r="G334" s="857">
        <f>SUMIFS('YTD Sales'!$N:$N,'YTD Sales'!$B:$B,Brokerage!$B334,'YTD Sales'!$M:$M,Brokerage!G$4)+SUMIFS('YTD Purchases'!$H:$H,'YTD Purchases'!$C:$C,Brokerage!$B334,'YTD Purchases'!$G:$G,Brokerage!G$4)</f>
        <v>0</v>
      </c>
      <c r="H334" s="857">
        <f>SUMIFS('YTD Sales'!$N:$N,'YTD Sales'!$B:$B,Brokerage!$B334,'YTD Sales'!$M:$M,Brokerage!H$4)+SUMIFS('YTD Purchases'!$H:$H,'YTD Purchases'!$C:$C,Brokerage!$B334,'YTD Purchases'!$G:$G,Brokerage!H$4)</f>
        <v>0</v>
      </c>
      <c r="I334" s="857">
        <f>SUMIFS('YTD Sales'!$N:$N,'YTD Sales'!$B:$B,Brokerage!$B334,'YTD Sales'!$M:$M,Brokerage!I$4)+SUMIFS('YTD Purchases'!$H:$H,'YTD Purchases'!$C:$C,Brokerage!$B334,'YTD Purchases'!$G:$G,Brokerage!I$4)</f>
        <v>0</v>
      </c>
      <c r="J334" s="857">
        <f>SUMIFS('YTD Sales'!$N:$N,'YTD Sales'!$B:$B,Brokerage!$B334,'YTD Sales'!$M:$M,Brokerage!J$4)+SUMIFS('YTD Purchases'!$H:$H,'YTD Purchases'!$C:$C,Brokerage!$B334,'YTD Purchases'!$G:$G,Brokerage!J$4)</f>
        <v>0</v>
      </c>
      <c r="K334" s="857">
        <f>SUMIFS('YTD Sales'!$N:$N,'YTD Sales'!$B:$B,Brokerage!$B334,'YTD Sales'!$M:$M,Brokerage!K$4)+SUMIFS('YTD Purchases'!$H:$H,'YTD Purchases'!$C:$C,Brokerage!$B334,'YTD Purchases'!$G:$G,Brokerage!K$4)</f>
        <v>0</v>
      </c>
      <c r="L334" s="857">
        <f>SUMIFS('YTD Sales'!$N:$N,'YTD Sales'!$B:$B,Brokerage!$B334,'YTD Sales'!$M:$M,Brokerage!L$4)+SUMIFS('YTD Purchases'!$H:$H,'YTD Purchases'!$C:$C,Brokerage!$B334,'YTD Purchases'!$G:$G,Brokerage!L$4)</f>
        <v>0</v>
      </c>
      <c r="M334" s="857">
        <f>SUMIFS('YTD Sales'!$N:$N,'YTD Sales'!$B:$B,Brokerage!$B334,'YTD Sales'!$M:$M,Brokerage!M$4)+SUMIFS('YTD Purchases'!$H:$H,'YTD Purchases'!$C:$C,Brokerage!$B334,'YTD Purchases'!$G:$G,Brokerage!M$4)</f>
        <v>0</v>
      </c>
      <c r="N334" s="857">
        <f>SUMIFS('YTD Sales'!$N:$N,'YTD Sales'!$B:$B,Brokerage!$B334,'YTD Sales'!$M:$M,Brokerage!N$4)+SUMIFS('YTD Purchases'!$H:$H,'YTD Purchases'!$C:$C,Brokerage!$B334,'YTD Purchases'!$G:$G,Brokerage!N$4)</f>
        <v>0</v>
      </c>
      <c r="O334" s="857">
        <f>SUMIFS('YTD Sales'!$N:$N,'YTD Sales'!$B:$B,Brokerage!$B334,'YTD Sales'!$M:$M,Brokerage!O$4)+SUMIFS('YTD Purchases'!$H:$H,'YTD Purchases'!$C:$C,Brokerage!$B334,'YTD Purchases'!$G:$G,Brokerage!O$4)</f>
        <v>0</v>
      </c>
      <c r="P334" s="857">
        <f>SUMIFS('YTD Sales'!$N:$N,'YTD Sales'!$B:$B,Brokerage!$B334,'YTD Sales'!$M:$M,Brokerage!P$4)+SUMIFS('YTD Purchases'!$H:$H,'YTD Purchases'!$C:$C,Brokerage!$B334,'YTD Purchases'!$G:$G,Brokerage!P$4)</f>
        <v>0</v>
      </c>
      <c r="Q334" s="857">
        <f>SUMIFS('YTD Sales'!$N:$N,'YTD Sales'!$B:$B,Brokerage!$B334,'YTD Sales'!$M:$M,Brokerage!Q$4)+SUMIFS('YTD Purchases'!$H:$H,'YTD Purchases'!$C:$C,Brokerage!$B334,'YTD Purchases'!$G:$G,Brokerage!Q$4)</f>
        <v>0</v>
      </c>
      <c r="R334" s="857">
        <f>SUMIFS('YTD Sales'!$N:$N,'YTD Sales'!$B:$B,Brokerage!$B334,'YTD Sales'!$M:$M,Brokerage!R$4)+SUMIFS('YTD Purchases'!$H:$H,'YTD Purchases'!$C:$C,Brokerage!$B334,'YTD Purchases'!$G:$G,Brokerage!R$4)</f>
        <v>0</v>
      </c>
      <c r="S334" s="857">
        <f>SUMIFS('YTD Sales'!$N:$N,'YTD Sales'!$B:$B,Brokerage!$B334,'YTD Sales'!$M:$M,Brokerage!S$4)+SUMIFS('YTD Purchases'!$H:$H,'YTD Purchases'!$C:$C,Brokerage!$B334,'YTD Purchases'!$G:$G,Brokerage!S$4)</f>
        <v>0</v>
      </c>
      <c r="T334" s="857">
        <f>SUMIFS('YTD Sales'!$N:$N,'YTD Sales'!$B:$B,Brokerage!$B334,'YTD Sales'!$M:$M,Brokerage!T$4)+SUMIFS('YTD Purchases'!$H:$H,'YTD Purchases'!$C:$C,Brokerage!$B334,'YTD Purchases'!$G:$G,Brokerage!T$4)</f>
        <v>0</v>
      </c>
      <c r="U334" s="857">
        <f>SUMIFS('YTD Sales'!$N:$N,'YTD Sales'!$B:$B,Brokerage!$B334,'YTD Sales'!$M:$M,Brokerage!U$4)+SUMIFS('YTD Purchases'!$H:$H,'YTD Purchases'!$C:$C,Brokerage!$B334,'YTD Purchases'!$G:$G,Brokerage!U$4)</f>
        <v>0</v>
      </c>
      <c r="V334" s="857">
        <f>SUMIFS('YTD Sales'!$N:$N,'YTD Sales'!$B:$B,Brokerage!$B334,'YTD Sales'!$M:$M,Brokerage!V$4)+SUMIFS('YTD Purchases'!$H:$H,'YTD Purchases'!$C:$C,Brokerage!$B334,'YTD Purchases'!$G:$G,Brokerage!V$4)</f>
        <v>0</v>
      </c>
      <c r="W334" s="857">
        <f>SUMIFS('YTD Sales'!$N:$N,'YTD Sales'!$B:$B,Brokerage!$B334,'YTD Sales'!$M:$M,Brokerage!W$4)+SUMIFS('YTD Purchases'!$H:$H,'YTD Purchases'!$C:$C,Brokerage!$B334,'YTD Purchases'!$G:$G,Brokerage!W$4)</f>
        <v>0</v>
      </c>
      <c r="X334" s="857">
        <f>SUMIFS('YTD Sales'!$N:$N,'YTD Sales'!$B:$B,Brokerage!$B334,'YTD Sales'!$M:$M,Brokerage!X$4)+SUMIFS('YTD Purchases'!$H:$H,'YTD Purchases'!$C:$C,Brokerage!$B334,'YTD Purchases'!$G:$G,Brokerage!X$4)</f>
        <v>0</v>
      </c>
      <c r="Y334" s="857">
        <f>SUMIFS('YTD Sales'!$N:$N,'YTD Sales'!$B:$B,Brokerage!$B334,'YTD Sales'!$M:$M,Brokerage!Y$4)+SUMIFS('YTD Purchases'!$H:$H,'YTD Purchases'!$C:$C,Brokerage!$B334,'YTD Purchases'!$G:$G,Brokerage!Y$4)</f>
        <v>0</v>
      </c>
      <c r="Z334" s="857">
        <f>SUMIFS('YTD Sales'!$N:$N,'YTD Sales'!$B:$B,Brokerage!$B334,'YTD Sales'!$M:$M,Brokerage!Z$4)+SUMIFS('YTD Purchases'!$H:$H,'YTD Purchases'!$C:$C,Brokerage!$B334,'YTD Purchases'!$G:$G,Brokerage!Z$4)</f>
        <v>0</v>
      </c>
      <c r="AA334" s="857">
        <f>SUMIFS('YTD Sales'!$N:$N,'YTD Sales'!$B:$B,Brokerage!$B334,'YTD Sales'!$M:$M,Brokerage!AA$4)+SUMIFS('YTD Purchases'!$H:$H,'YTD Purchases'!$C:$C,Brokerage!$B334,'YTD Purchases'!$G:$G,Brokerage!AA$4)</f>
        <v>0</v>
      </c>
      <c r="AB334" s="857">
        <f>SUMIFS('YTD Sales'!$N:$N,'YTD Sales'!$B:$B,Brokerage!$B334,'YTD Sales'!$M:$M,Brokerage!AB$4)+SUMIFS('YTD Purchases'!$H:$H,'YTD Purchases'!$C:$C,Brokerage!$B334,'YTD Purchases'!$G:$G,Brokerage!AB$4)</f>
        <v>0</v>
      </c>
      <c r="AC334" s="857">
        <f>SUMIFS('YTD Sales'!$N:$N,'YTD Sales'!$B:$B,Brokerage!$B334,'YTD Sales'!$M:$M,Brokerage!AC$4)+SUMIFS('YTD Purchases'!$H:$H,'YTD Purchases'!$C:$C,Brokerage!$B334,'YTD Purchases'!$G:$G,Brokerage!AC$4)</f>
        <v>0</v>
      </c>
      <c r="AD334" s="857">
        <f>+SUMIFS(PIB!AG:AG,PIB!AF:AF,Brokerage!AD$4,PIB!AA:AA,Brokerage!$B334)+SUMIFS('T-Bills'!AB:AB,'T-Bills'!AA:AA,Brokerage!AD$4,'T-Bills'!V:V,Brokerage!$B334)</f>
        <v>0</v>
      </c>
      <c r="AE334" s="857">
        <f>+SUMIFS(PIB!AH:AH,PIB!AG:AG,Brokerage!AE$4,PIB!AB:AB,Brokerage!$B334)+SUMIFS('T-Bills'!AC:AC,'T-Bills'!AB:AB,Brokerage!AE$4,'T-Bills'!W:W,Brokerage!$B334)</f>
        <v>0</v>
      </c>
      <c r="AF334" s="857">
        <f>+SUMIFS(PIB!AI:AI,PIB!AH:AH,Brokerage!AF$4,PIB!AC:AC,Brokerage!$B334)+SUMIFS('T-Bills'!AD:AD,'T-Bills'!AC:AC,Brokerage!AF$4,'T-Bills'!X:X,Brokerage!$B334)</f>
        <v>0</v>
      </c>
      <c r="AG334" s="857">
        <f t="shared" si="30"/>
        <v>0</v>
      </c>
      <c r="AH334" s="858">
        <f t="shared" si="28"/>
        <v>0</v>
      </c>
    </row>
    <row r="335" spans="2:34" x14ac:dyDescent="0.15">
      <c r="B335" s="661">
        <f t="shared" si="29"/>
        <v>44891</v>
      </c>
      <c r="C335" s="857">
        <f>SUMIFS('YTD Sales'!$N:$N,'YTD Sales'!$B:$B,Brokerage!$B335,'YTD Sales'!$M:$M,Brokerage!C$4)+SUMIFS('YTD Purchases'!$H:$H,'YTD Purchases'!$C:$C,Brokerage!$B335,'YTD Purchases'!$G:$G,Brokerage!C$4)</f>
        <v>0</v>
      </c>
      <c r="D335" s="857">
        <f>SUMIFS('YTD Sales'!$N:$N,'YTD Sales'!$B:$B,Brokerage!$B335,'YTD Sales'!$M:$M,Brokerage!D$4)+SUMIFS('YTD Purchases'!$H:$H,'YTD Purchases'!$C:$C,Brokerage!$B335,'YTD Purchases'!$G:$G,Brokerage!D$4)</f>
        <v>0</v>
      </c>
      <c r="E335" s="857">
        <f>SUMIFS('YTD Sales'!$N:$N,'YTD Sales'!$B:$B,Brokerage!$B335,'YTD Sales'!$M:$M,Brokerage!E$4)+SUMIFS('YTD Purchases'!$H:$H,'YTD Purchases'!$C:$C,Brokerage!$B335,'YTD Purchases'!$G:$G,Brokerage!E$4)</f>
        <v>0</v>
      </c>
      <c r="F335" s="857">
        <f>SUMIFS('YTD Sales'!$N:$N,'YTD Sales'!$B:$B,Brokerage!$B335,'YTD Sales'!$M:$M,Brokerage!F$4)+SUMIFS('YTD Purchases'!$H:$H,'YTD Purchases'!$C:$C,Brokerage!$B335,'YTD Purchases'!$G:$G,Brokerage!F$4)</f>
        <v>0</v>
      </c>
      <c r="G335" s="857">
        <f>SUMIFS('YTD Sales'!$N:$N,'YTD Sales'!$B:$B,Brokerage!$B335,'YTD Sales'!$M:$M,Brokerage!G$4)+SUMIFS('YTD Purchases'!$H:$H,'YTD Purchases'!$C:$C,Brokerage!$B335,'YTD Purchases'!$G:$G,Brokerage!G$4)</f>
        <v>0</v>
      </c>
      <c r="H335" s="857">
        <f>SUMIFS('YTD Sales'!$N:$N,'YTD Sales'!$B:$B,Brokerage!$B335,'YTD Sales'!$M:$M,Brokerage!H$4)+SUMIFS('YTD Purchases'!$H:$H,'YTD Purchases'!$C:$C,Brokerage!$B335,'YTD Purchases'!$G:$G,Brokerage!H$4)</f>
        <v>0</v>
      </c>
      <c r="I335" s="857">
        <f>SUMIFS('YTD Sales'!$N:$N,'YTD Sales'!$B:$B,Brokerage!$B335,'YTD Sales'!$M:$M,Brokerage!I$4)+SUMIFS('YTD Purchases'!$H:$H,'YTD Purchases'!$C:$C,Brokerage!$B335,'YTD Purchases'!$G:$G,Brokerage!I$4)</f>
        <v>0</v>
      </c>
      <c r="J335" s="857">
        <f>SUMIFS('YTD Sales'!$N:$N,'YTD Sales'!$B:$B,Brokerage!$B335,'YTD Sales'!$M:$M,Brokerage!J$4)+SUMIFS('YTD Purchases'!$H:$H,'YTD Purchases'!$C:$C,Brokerage!$B335,'YTD Purchases'!$G:$G,Brokerage!J$4)</f>
        <v>0</v>
      </c>
      <c r="K335" s="857">
        <f>SUMIFS('YTD Sales'!$N:$N,'YTD Sales'!$B:$B,Brokerage!$B335,'YTD Sales'!$M:$M,Brokerage!K$4)+SUMIFS('YTD Purchases'!$H:$H,'YTD Purchases'!$C:$C,Brokerage!$B335,'YTD Purchases'!$G:$G,Brokerage!K$4)</f>
        <v>0</v>
      </c>
      <c r="L335" s="857">
        <f>SUMIFS('YTD Sales'!$N:$N,'YTD Sales'!$B:$B,Brokerage!$B335,'YTD Sales'!$M:$M,Brokerage!L$4)+SUMIFS('YTD Purchases'!$H:$H,'YTD Purchases'!$C:$C,Brokerage!$B335,'YTD Purchases'!$G:$G,Brokerage!L$4)</f>
        <v>0</v>
      </c>
      <c r="M335" s="857">
        <f>SUMIFS('YTD Sales'!$N:$N,'YTD Sales'!$B:$B,Brokerage!$B335,'YTD Sales'!$M:$M,Brokerage!M$4)+SUMIFS('YTD Purchases'!$H:$H,'YTD Purchases'!$C:$C,Brokerage!$B335,'YTD Purchases'!$G:$G,Brokerage!M$4)</f>
        <v>0</v>
      </c>
      <c r="N335" s="857">
        <f>SUMIFS('YTD Sales'!$N:$N,'YTD Sales'!$B:$B,Brokerage!$B335,'YTD Sales'!$M:$M,Brokerage!N$4)+SUMIFS('YTD Purchases'!$H:$H,'YTD Purchases'!$C:$C,Brokerage!$B335,'YTD Purchases'!$G:$G,Brokerage!N$4)</f>
        <v>0</v>
      </c>
      <c r="O335" s="857">
        <f>SUMIFS('YTD Sales'!$N:$N,'YTD Sales'!$B:$B,Brokerage!$B335,'YTD Sales'!$M:$M,Brokerage!O$4)+SUMIFS('YTD Purchases'!$H:$H,'YTD Purchases'!$C:$C,Brokerage!$B335,'YTD Purchases'!$G:$G,Brokerage!O$4)</f>
        <v>0</v>
      </c>
      <c r="P335" s="857">
        <f>SUMIFS('YTD Sales'!$N:$N,'YTD Sales'!$B:$B,Brokerage!$B335,'YTD Sales'!$M:$M,Brokerage!P$4)+SUMIFS('YTD Purchases'!$H:$H,'YTD Purchases'!$C:$C,Brokerage!$B335,'YTD Purchases'!$G:$G,Brokerage!P$4)</f>
        <v>0</v>
      </c>
      <c r="Q335" s="857">
        <f>SUMIFS('YTD Sales'!$N:$N,'YTD Sales'!$B:$B,Brokerage!$B335,'YTD Sales'!$M:$M,Brokerage!Q$4)+SUMIFS('YTD Purchases'!$H:$H,'YTD Purchases'!$C:$C,Brokerage!$B335,'YTD Purchases'!$G:$G,Brokerage!Q$4)</f>
        <v>0</v>
      </c>
      <c r="R335" s="857">
        <f>SUMIFS('YTD Sales'!$N:$N,'YTD Sales'!$B:$B,Brokerage!$B335,'YTD Sales'!$M:$M,Brokerage!R$4)+SUMIFS('YTD Purchases'!$H:$H,'YTD Purchases'!$C:$C,Brokerage!$B335,'YTD Purchases'!$G:$G,Brokerage!R$4)</f>
        <v>0</v>
      </c>
      <c r="S335" s="857">
        <f>SUMIFS('YTD Sales'!$N:$N,'YTD Sales'!$B:$B,Brokerage!$B335,'YTD Sales'!$M:$M,Brokerage!S$4)+SUMIFS('YTD Purchases'!$H:$H,'YTD Purchases'!$C:$C,Brokerage!$B335,'YTD Purchases'!$G:$G,Brokerage!S$4)</f>
        <v>0</v>
      </c>
      <c r="T335" s="857">
        <f>SUMIFS('YTD Sales'!$N:$N,'YTD Sales'!$B:$B,Brokerage!$B335,'YTD Sales'!$M:$M,Brokerage!T$4)+SUMIFS('YTD Purchases'!$H:$H,'YTD Purchases'!$C:$C,Brokerage!$B335,'YTD Purchases'!$G:$G,Brokerage!T$4)</f>
        <v>0</v>
      </c>
      <c r="U335" s="857">
        <f>SUMIFS('YTD Sales'!$N:$N,'YTD Sales'!$B:$B,Brokerage!$B335,'YTD Sales'!$M:$M,Brokerage!U$4)+SUMIFS('YTD Purchases'!$H:$H,'YTD Purchases'!$C:$C,Brokerage!$B335,'YTD Purchases'!$G:$G,Brokerage!U$4)</f>
        <v>0</v>
      </c>
      <c r="V335" s="857">
        <f>SUMIFS('YTD Sales'!$N:$N,'YTD Sales'!$B:$B,Brokerage!$B335,'YTD Sales'!$M:$M,Brokerage!V$4)+SUMIFS('YTD Purchases'!$H:$H,'YTD Purchases'!$C:$C,Brokerage!$B335,'YTD Purchases'!$G:$G,Brokerage!V$4)</f>
        <v>0</v>
      </c>
      <c r="W335" s="857">
        <f>SUMIFS('YTD Sales'!$N:$N,'YTD Sales'!$B:$B,Brokerage!$B335,'YTD Sales'!$M:$M,Brokerage!W$4)+SUMIFS('YTD Purchases'!$H:$H,'YTD Purchases'!$C:$C,Brokerage!$B335,'YTD Purchases'!$G:$G,Brokerage!W$4)</f>
        <v>0</v>
      </c>
      <c r="X335" s="857">
        <f>SUMIFS('YTD Sales'!$N:$N,'YTD Sales'!$B:$B,Brokerage!$B335,'YTD Sales'!$M:$M,Brokerage!X$4)+SUMIFS('YTD Purchases'!$H:$H,'YTD Purchases'!$C:$C,Brokerage!$B335,'YTD Purchases'!$G:$G,Brokerage!X$4)</f>
        <v>0</v>
      </c>
      <c r="Y335" s="857">
        <f>SUMIFS('YTD Sales'!$N:$N,'YTD Sales'!$B:$B,Brokerage!$B335,'YTD Sales'!$M:$M,Brokerage!Y$4)+SUMIFS('YTD Purchases'!$H:$H,'YTD Purchases'!$C:$C,Brokerage!$B335,'YTD Purchases'!$G:$G,Brokerage!Y$4)</f>
        <v>0</v>
      </c>
      <c r="Z335" s="857">
        <f>SUMIFS('YTD Sales'!$N:$N,'YTD Sales'!$B:$B,Brokerage!$B335,'YTD Sales'!$M:$M,Brokerage!Z$4)+SUMIFS('YTD Purchases'!$H:$H,'YTD Purchases'!$C:$C,Brokerage!$B335,'YTD Purchases'!$G:$G,Brokerage!Z$4)</f>
        <v>0</v>
      </c>
      <c r="AA335" s="857">
        <f>SUMIFS('YTD Sales'!$N:$N,'YTD Sales'!$B:$B,Brokerage!$B335,'YTD Sales'!$M:$M,Brokerage!AA$4)+SUMIFS('YTD Purchases'!$H:$H,'YTD Purchases'!$C:$C,Brokerage!$B335,'YTD Purchases'!$G:$G,Brokerage!AA$4)</f>
        <v>0</v>
      </c>
      <c r="AB335" s="857">
        <f>SUMIFS('YTD Sales'!$N:$N,'YTD Sales'!$B:$B,Brokerage!$B335,'YTD Sales'!$M:$M,Brokerage!AB$4)+SUMIFS('YTD Purchases'!$H:$H,'YTD Purchases'!$C:$C,Brokerage!$B335,'YTD Purchases'!$G:$G,Brokerage!AB$4)</f>
        <v>0</v>
      </c>
      <c r="AC335" s="857">
        <f>SUMIFS('YTD Sales'!$N:$N,'YTD Sales'!$B:$B,Brokerage!$B335,'YTD Sales'!$M:$M,Brokerage!AC$4)+SUMIFS('YTD Purchases'!$H:$H,'YTD Purchases'!$C:$C,Brokerage!$B335,'YTD Purchases'!$G:$G,Brokerage!AC$4)</f>
        <v>0</v>
      </c>
      <c r="AD335" s="857">
        <f>+SUMIFS(PIB!AG:AG,PIB!AF:AF,Brokerage!AD$4,PIB!AA:AA,Brokerage!$B335)+SUMIFS('T-Bills'!AB:AB,'T-Bills'!AA:AA,Brokerage!AD$4,'T-Bills'!V:V,Brokerage!$B335)</f>
        <v>0</v>
      </c>
      <c r="AE335" s="857">
        <f>+SUMIFS(PIB!AH:AH,PIB!AG:AG,Brokerage!AE$4,PIB!AB:AB,Brokerage!$B335)+SUMIFS('T-Bills'!AC:AC,'T-Bills'!AB:AB,Brokerage!AE$4,'T-Bills'!W:W,Brokerage!$B335)</f>
        <v>0</v>
      </c>
      <c r="AF335" s="857">
        <f>+SUMIFS(PIB!AI:AI,PIB!AH:AH,Brokerage!AF$4,PIB!AC:AC,Brokerage!$B335)+SUMIFS('T-Bills'!AD:AD,'T-Bills'!AC:AC,Brokerage!AF$4,'T-Bills'!X:X,Brokerage!$B335)</f>
        <v>0</v>
      </c>
      <c r="AG335" s="857">
        <f t="shared" si="30"/>
        <v>0</v>
      </c>
      <c r="AH335" s="858">
        <f t="shared" si="28"/>
        <v>0</v>
      </c>
    </row>
    <row r="336" spans="2:34" x14ac:dyDescent="0.15">
      <c r="B336" s="661">
        <f t="shared" si="29"/>
        <v>44892</v>
      </c>
      <c r="C336" s="857">
        <f>SUMIFS('YTD Sales'!$N:$N,'YTD Sales'!$B:$B,Brokerage!$B336,'YTD Sales'!$M:$M,Brokerage!C$4)+SUMIFS('YTD Purchases'!$H:$H,'YTD Purchases'!$C:$C,Brokerage!$B336,'YTD Purchases'!$G:$G,Brokerage!C$4)</f>
        <v>0</v>
      </c>
      <c r="D336" s="857">
        <f>SUMIFS('YTD Sales'!$N:$N,'YTD Sales'!$B:$B,Brokerage!$B336,'YTD Sales'!$M:$M,Brokerage!D$4)+SUMIFS('YTD Purchases'!$H:$H,'YTD Purchases'!$C:$C,Brokerage!$B336,'YTD Purchases'!$G:$G,Brokerage!D$4)</f>
        <v>0</v>
      </c>
      <c r="E336" s="857">
        <f>SUMIFS('YTD Sales'!$N:$N,'YTD Sales'!$B:$B,Brokerage!$B336,'YTD Sales'!$M:$M,Brokerage!E$4)+SUMIFS('YTD Purchases'!$H:$H,'YTD Purchases'!$C:$C,Brokerage!$B336,'YTD Purchases'!$G:$G,Brokerage!E$4)</f>
        <v>0</v>
      </c>
      <c r="F336" s="857">
        <f>SUMIFS('YTD Sales'!$N:$N,'YTD Sales'!$B:$B,Brokerage!$B336,'YTD Sales'!$M:$M,Brokerage!F$4)+SUMIFS('YTD Purchases'!$H:$H,'YTD Purchases'!$C:$C,Brokerage!$B336,'YTD Purchases'!$G:$G,Brokerage!F$4)</f>
        <v>0</v>
      </c>
      <c r="G336" s="857">
        <f>SUMIFS('YTD Sales'!$N:$N,'YTD Sales'!$B:$B,Brokerage!$B336,'YTD Sales'!$M:$M,Brokerage!G$4)+SUMIFS('YTD Purchases'!$H:$H,'YTD Purchases'!$C:$C,Brokerage!$B336,'YTD Purchases'!$G:$G,Brokerage!G$4)</f>
        <v>0</v>
      </c>
      <c r="H336" s="857">
        <f>SUMIFS('YTD Sales'!$N:$N,'YTD Sales'!$B:$B,Brokerage!$B336,'YTD Sales'!$M:$M,Brokerage!H$4)+SUMIFS('YTD Purchases'!$H:$H,'YTD Purchases'!$C:$C,Brokerage!$B336,'YTD Purchases'!$G:$G,Brokerage!H$4)</f>
        <v>0</v>
      </c>
      <c r="I336" s="857">
        <f>SUMIFS('YTD Sales'!$N:$N,'YTD Sales'!$B:$B,Brokerage!$B336,'YTD Sales'!$M:$M,Brokerage!I$4)+SUMIFS('YTD Purchases'!$H:$H,'YTD Purchases'!$C:$C,Brokerage!$B336,'YTD Purchases'!$G:$G,Brokerage!I$4)</f>
        <v>0</v>
      </c>
      <c r="J336" s="857">
        <f>SUMIFS('YTD Sales'!$N:$N,'YTD Sales'!$B:$B,Brokerage!$B336,'YTD Sales'!$M:$M,Brokerage!J$4)+SUMIFS('YTD Purchases'!$H:$H,'YTD Purchases'!$C:$C,Brokerage!$B336,'YTD Purchases'!$G:$G,Brokerage!J$4)</f>
        <v>0</v>
      </c>
      <c r="K336" s="857">
        <f>SUMIFS('YTD Sales'!$N:$N,'YTD Sales'!$B:$B,Brokerage!$B336,'YTD Sales'!$M:$M,Brokerage!K$4)+SUMIFS('YTD Purchases'!$H:$H,'YTD Purchases'!$C:$C,Brokerage!$B336,'YTD Purchases'!$G:$G,Brokerage!K$4)</f>
        <v>0</v>
      </c>
      <c r="L336" s="857">
        <f>SUMIFS('YTD Sales'!$N:$N,'YTD Sales'!$B:$B,Brokerage!$B336,'YTD Sales'!$M:$M,Brokerage!L$4)+SUMIFS('YTD Purchases'!$H:$H,'YTD Purchases'!$C:$C,Brokerage!$B336,'YTD Purchases'!$G:$G,Brokerage!L$4)</f>
        <v>0</v>
      </c>
      <c r="M336" s="857">
        <f>SUMIFS('YTD Sales'!$N:$N,'YTD Sales'!$B:$B,Brokerage!$B336,'YTD Sales'!$M:$M,Brokerage!M$4)+SUMIFS('YTD Purchases'!$H:$H,'YTD Purchases'!$C:$C,Brokerage!$B336,'YTD Purchases'!$G:$G,Brokerage!M$4)</f>
        <v>0</v>
      </c>
      <c r="N336" s="857">
        <f>SUMIFS('YTD Sales'!$N:$N,'YTD Sales'!$B:$B,Brokerage!$B336,'YTD Sales'!$M:$M,Brokerage!N$4)+SUMIFS('YTD Purchases'!$H:$H,'YTD Purchases'!$C:$C,Brokerage!$B336,'YTD Purchases'!$G:$G,Brokerage!N$4)</f>
        <v>0</v>
      </c>
      <c r="O336" s="857">
        <f>SUMIFS('YTD Sales'!$N:$N,'YTD Sales'!$B:$B,Brokerage!$B336,'YTD Sales'!$M:$M,Brokerage!O$4)+SUMIFS('YTD Purchases'!$H:$H,'YTD Purchases'!$C:$C,Brokerage!$B336,'YTD Purchases'!$G:$G,Brokerage!O$4)</f>
        <v>0</v>
      </c>
      <c r="P336" s="857">
        <f>SUMIFS('YTD Sales'!$N:$N,'YTD Sales'!$B:$B,Brokerage!$B336,'YTD Sales'!$M:$M,Brokerage!P$4)+SUMIFS('YTD Purchases'!$H:$H,'YTD Purchases'!$C:$C,Brokerage!$B336,'YTD Purchases'!$G:$G,Brokerage!P$4)</f>
        <v>0</v>
      </c>
      <c r="Q336" s="857">
        <f>SUMIFS('YTD Sales'!$N:$N,'YTD Sales'!$B:$B,Brokerage!$B336,'YTD Sales'!$M:$M,Brokerage!Q$4)+SUMIFS('YTD Purchases'!$H:$H,'YTD Purchases'!$C:$C,Brokerage!$B336,'YTD Purchases'!$G:$G,Brokerage!Q$4)</f>
        <v>0</v>
      </c>
      <c r="R336" s="857">
        <f>SUMIFS('YTD Sales'!$N:$N,'YTD Sales'!$B:$B,Brokerage!$B336,'YTD Sales'!$M:$M,Brokerage!R$4)+SUMIFS('YTD Purchases'!$H:$H,'YTD Purchases'!$C:$C,Brokerage!$B336,'YTD Purchases'!$G:$G,Brokerage!R$4)</f>
        <v>0</v>
      </c>
      <c r="S336" s="857">
        <f>SUMIFS('YTD Sales'!$N:$N,'YTD Sales'!$B:$B,Brokerage!$B336,'YTD Sales'!$M:$M,Brokerage!S$4)+SUMIFS('YTD Purchases'!$H:$H,'YTD Purchases'!$C:$C,Brokerage!$B336,'YTD Purchases'!$G:$G,Brokerage!S$4)</f>
        <v>0</v>
      </c>
      <c r="T336" s="857">
        <f>SUMIFS('YTD Sales'!$N:$N,'YTD Sales'!$B:$B,Brokerage!$B336,'YTD Sales'!$M:$M,Brokerage!T$4)+SUMIFS('YTD Purchases'!$H:$H,'YTD Purchases'!$C:$C,Brokerage!$B336,'YTD Purchases'!$G:$G,Brokerage!T$4)</f>
        <v>0</v>
      </c>
      <c r="U336" s="857">
        <f>SUMIFS('YTD Sales'!$N:$N,'YTD Sales'!$B:$B,Brokerage!$B336,'YTD Sales'!$M:$M,Brokerage!U$4)+SUMIFS('YTD Purchases'!$H:$H,'YTD Purchases'!$C:$C,Brokerage!$B336,'YTD Purchases'!$G:$G,Brokerage!U$4)</f>
        <v>0</v>
      </c>
      <c r="V336" s="857">
        <f>SUMIFS('YTD Sales'!$N:$N,'YTD Sales'!$B:$B,Brokerage!$B336,'YTD Sales'!$M:$M,Brokerage!V$4)+SUMIFS('YTD Purchases'!$H:$H,'YTD Purchases'!$C:$C,Brokerage!$B336,'YTD Purchases'!$G:$G,Brokerage!V$4)</f>
        <v>0</v>
      </c>
      <c r="W336" s="857">
        <f>SUMIFS('YTD Sales'!$N:$N,'YTD Sales'!$B:$B,Brokerage!$B336,'YTD Sales'!$M:$M,Brokerage!W$4)+SUMIFS('YTD Purchases'!$H:$H,'YTD Purchases'!$C:$C,Brokerage!$B336,'YTD Purchases'!$G:$G,Brokerage!W$4)</f>
        <v>0</v>
      </c>
      <c r="X336" s="857">
        <f>SUMIFS('YTD Sales'!$N:$N,'YTD Sales'!$B:$B,Brokerage!$B336,'YTD Sales'!$M:$M,Brokerage!X$4)+SUMIFS('YTD Purchases'!$H:$H,'YTD Purchases'!$C:$C,Brokerage!$B336,'YTD Purchases'!$G:$G,Brokerage!X$4)</f>
        <v>0</v>
      </c>
      <c r="Y336" s="857">
        <f>SUMIFS('YTD Sales'!$N:$N,'YTD Sales'!$B:$B,Brokerage!$B336,'YTD Sales'!$M:$M,Brokerage!Y$4)+SUMIFS('YTD Purchases'!$H:$H,'YTD Purchases'!$C:$C,Brokerage!$B336,'YTD Purchases'!$G:$G,Brokerage!Y$4)</f>
        <v>0</v>
      </c>
      <c r="Z336" s="857">
        <f>SUMIFS('YTD Sales'!$N:$N,'YTD Sales'!$B:$B,Brokerage!$B336,'YTD Sales'!$M:$M,Brokerage!Z$4)+SUMIFS('YTD Purchases'!$H:$H,'YTD Purchases'!$C:$C,Brokerage!$B336,'YTD Purchases'!$G:$G,Brokerage!Z$4)</f>
        <v>0</v>
      </c>
      <c r="AA336" s="857">
        <f>SUMIFS('YTD Sales'!$N:$N,'YTD Sales'!$B:$B,Brokerage!$B336,'YTD Sales'!$M:$M,Brokerage!AA$4)+SUMIFS('YTD Purchases'!$H:$H,'YTD Purchases'!$C:$C,Brokerage!$B336,'YTD Purchases'!$G:$G,Brokerage!AA$4)</f>
        <v>0</v>
      </c>
      <c r="AB336" s="857">
        <f>SUMIFS('YTD Sales'!$N:$N,'YTD Sales'!$B:$B,Brokerage!$B336,'YTD Sales'!$M:$M,Brokerage!AB$4)+SUMIFS('YTD Purchases'!$H:$H,'YTD Purchases'!$C:$C,Brokerage!$B336,'YTD Purchases'!$G:$G,Brokerage!AB$4)</f>
        <v>0</v>
      </c>
      <c r="AC336" s="857">
        <f>SUMIFS('YTD Sales'!$N:$N,'YTD Sales'!$B:$B,Brokerage!$B336,'YTD Sales'!$M:$M,Brokerage!AC$4)+SUMIFS('YTD Purchases'!$H:$H,'YTD Purchases'!$C:$C,Brokerage!$B336,'YTD Purchases'!$G:$G,Brokerage!AC$4)</f>
        <v>0</v>
      </c>
      <c r="AD336" s="857">
        <f>+SUMIFS(PIB!AG:AG,PIB!AF:AF,Brokerage!AD$4,PIB!AA:AA,Brokerage!$B336)+SUMIFS('T-Bills'!AB:AB,'T-Bills'!AA:AA,Brokerage!AD$4,'T-Bills'!V:V,Brokerage!$B336)</f>
        <v>0</v>
      </c>
      <c r="AE336" s="857">
        <f>+SUMIFS(PIB!AH:AH,PIB!AG:AG,Brokerage!AE$4,PIB!AB:AB,Brokerage!$B336)+SUMIFS('T-Bills'!AC:AC,'T-Bills'!AB:AB,Brokerage!AE$4,'T-Bills'!W:W,Brokerage!$B336)</f>
        <v>0</v>
      </c>
      <c r="AF336" s="857">
        <f>+SUMIFS(PIB!AI:AI,PIB!AH:AH,Brokerage!AF$4,PIB!AC:AC,Brokerage!$B336)+SUMIFS('T-Bills'!AD:AD,'T-Bills'!AC:AC,Brokerage!AF$4,'T-Bills'!X:X,Brokerage!$B336)</f>
        <v>0</v>
      </c>
      <c r="AG336" s="857">
        <f t="shared" si="30"/>
        <v>0</v>
      </c>
      <c r="AH336" s="858">
        <f t="shared" si="28"/>
        <v>0</v>
      </c>
    </row>
    <row r="337" spans="2:34" x14ac:dyDescent="0.15">
      <c r="B337" s="661">
        <f t="shared" si="29"/>
        <v>44893</v>
      </c>
      <c r="C337" s="857">
        <f>SUMIFS('YTD Sales'!$N:$N,'YTD Sales'!$B:$B,Brokerage!$B337,'YTD Sales'!$M:$M,Brokerage!C$4)+SUMIFS('YTD Purchases'!$H:$H,'YTD Purchases'!$C:$C,Brokerage!$B337,'YTD Purchases'!$G:$G,Brokerage!C$4)</f>
        <v>0</v>
      </c>
      <c r="D337" s="857">
        <f>SUMIFS('YTD Sales'!$N:$N,'YTD Sales'!$B:$B,Brokerage!$B337,'YTD Sales'!$M:$M,Brokerage!D$4)+SUMIFS('YTD Purchases'!$H:$H,'YTD Purchases'!$C:$C,Brokerage!$B337,'YTD Purchases'!$G:$G,Brokerage!D$4)</f>
        <v>0</v>
      </c>
      <c r="E337" s="857">
        <f>SUMIFS('YTD Sales'!$N:$N,'YTD Sales'!$B:$B,Brokerage!$B337,'YTD Sales'!$M:$M,Brokerage!E$4)+SUMIFS('YTD Purchases'!$H:$H,'YTD Purchases'!$C:$C,Brokerage!$B337,'YTD Purchases'!$G:$G,Brokerage!E$4)</f>
        <v>0</v>
      </c>
      <c r="F337" s="857">
        <f>SUMIFS('YTD Sales'!$N:$N,'YTD Sales'!$B:$B,Brokerage!$B337,'YTD Sales'!$M:$M,Brokerage!F$4)+SUMIFS('YTD Purchases'!$H:$H,'YTD Purchases'!$C:$C,Brokerage!$B337,'YTD Purchases'!$G:$G,Brokerage!F$4)</f>
        <v>0</v>
      </c>
      <c r="G337" s="857">
        <f>SUMIFS('YTD Sales'!$N:$N,'YTD Sales'!$B:$B,Brokerage!$B337,'YTD Sales'!$M:$M,Brokerage!G$4)+SUMIFS('YTD Purchases'!$H:$H,'YTD Purchases'!$C:$C,Brokerage!$B337,'YTD Purchases'!$G:$G,Brokerage!G$4)</f>
        <v>0</v>
      </c>
      <c r="H337" s="857">
        <f>SUMIFS('YTD Sales'!$N:$N,'YTD Sales'!$B:$B,Brokerage!$B337,'YTD Sales'!$M:$M,Brokerage!H$4)+SUMIFS('YTD Purchases'!$H:$H,'YTD Purchases'!$C:$C,Brokerage!$B337,'YTD Purchases'!$G:$G,Brokerage!H$4)</f>
        <v>0</v>
      </c>
      <c r="I337" s="857">
        <f>SUMIFS('YTD Sales'!$N:$N,'YTD Sales'!$B:$B,Brokerage!$B337,'YTD Sales'!$M:$M,Brokerage!I$4)+SUMIFS('YTD Purchases'!$H:$H,'YTD Purchases'!$C:$C,Brokerage!$B337,'YTD Purchases'!$G:$G,Brokerage!I$4)</f>
        <v>0</v>
      </c>
      <c r="J337" s="857">
        <f>SUMIFS('YTD Sales'!$N:$N,'YTD Sales'!$B:$B,Brokerage!$B337,'YTD Sales'!$M:$M,Brokerage!J$4)+SUMIFS('YTD Purchases'!$H:$H,'YTD Purchases'!$C:$C,Brokerage!$B337,'YTD Purchases'!$G:$G,Brokerage!J$4)</f>
        <v>0</v>
      </c>
      <c r="K337" s="857">
        <f>SUMIFS('YTD Sales'!$N:$N,'YTD Sales'!$B:$B,Brokerage!$B337,'YTD Sales'!$M:$M,Brokerage!K$4)+SUMIFS('YTD Purchases'!$H:$H,'YTD Purchases'!$C:$C,Brokerage!$B337,'YTD Purchases'!$G:$G,Brokerage!K$4)</f>
        <v>0</v>
      </c>
      <c r="L337" s="857">
        <f>SUMIFS('YTD Sales'!$N:$N,'YTD Sales'!$B:$B,Brokerage!$B337,'YTD Sales'!$M:$M,Brokerage!L$4)+SUMIFS('YTD Purchases'!$H:$H,'YTD Purchases'!$C:$C,Brokerage!$B337,'YTD Purchases'!$G:$G,Brokerage!L$4)</f>
        <v>0</v>
      </c>
      <c r="M337" s="857">
        <f>SUMIFS('YTD Sales'!$N:$N,'YTD Sales'!$B:$B,Brokerage!$B337,'YTD Sales'!$M:$M,Brokerage!M$4)+SUMIFS('YTD Purchases'!$H:$H,'YTD Purchases'!$C:$C,Brokerage!$B337,'YTD Purchases'!$G:$G,Brokerage!M$4)</f>
        <v>0</v>
      </c>
      <c r="N337" s="857">
        <f>SUMIFS('YTD Sales'!$N:$N,'YTD Sales'!$B:$B,Brokerage!$B337,'YTD Sales'!$M:$M,Brokerage!N$4)+SUMIFS('YTD Purchases'!$H:$H,'YTD Purchases'!$C:$C,Brokerage!$B337,'YTD Purchases'!$G:$G,Brokerage!N$4)</f>
        <v>0</v>
      </c>
      <c r="O337" s="857">
        <f>SUMIFS('YTD Sales'!$N:$N,'YTD Sales'!$B:$B,Brokerage!$B337,'YTD Sales'!$M:$M,Brokerage!O$4)+SUMIFS('YTD Purchases'!$H:$H,'YTD Purchases'!$C:$C,Brokerage!$B337,'YTD Purchases'!$G:$G,Brokerage!O$4)</f>
        <v>0</v>
      </c>
      <c r="P337" s="857">
        <f>SUMIFS('YTD Sales'!$N:$N,'YTD Sales'!$B:$B,Brokerage!$B337,'YTD Sales'!$M:$M,Brokerage!P$4)+SUMIFS('YTD Purchases'!$H:$H,'YTD Purchases'!$C:$C,Brokerage!$B337,'YTD Purchases'!$G:$G,Brokerage!P$4)</f>
        <v>0</v>
      </c>
      <c r="Q337" s="857">
        <f>SUMIFS('YTD Sales'!$N:$N,'YTD Sales'!$B:$B,Brokerage!$B337,'YTD Sales'!$M:$M,Brokerage!Q$4)+SUMIFS('YTD Purchases'!$H:$H,'YTD Purchases'!$C:$C,Brokerage!$B337,'YTD Purchases'!$G:$G,Brokerage!Q$4)</f>
        <v>0</v>
      </c>
      <c r="R337" s="857">
        <f>SUMIFS('YTD Sales'!$N:$N,'YTD Sales'!$B:$B,Brokerage!$B337,'YTD Sales'!$M:$M,Brokerage!R$4)+SUMIFS('YTD Purchases'!$H:$H,'YTD Purchases'!$C:$C,Brokerage!$B337,'YTD Purchases'!$G:$G,Brokerage!R$4)</f>
        <v>0</v>
      </c>
      <c r="S337" s="857">
        <f>SUMIFS('YTD Sales'!$N:$N,'YTD Sales'!$B:$B,Brokerage!$B337,'YTD Sales'!$M:$M,Brokerage!S$4)+SUMIFS('YTD Purchases'!$H:$H,'YTD Purchases'!$C:$C,Brokerage!$B337,'YTD Purchases'!$G:$G,Brokerage!S$4)</f>
        <v>0</v>
      </c>
      <c r="T337" s="857">
        <f>SUMIFS('YTD Sales'!$N:$N,'YTD Sales'!$B:$B,Brokerage!$B337,'YTD Sales'!$M:$M,Brokerage!T$4)+SUMIFS('YTD Purchases'!$H:$H,'YTD Purchases'!$C:$C,Brokerage!$B337,'YTD Purchases'!$G:$G,Brokerage!T$4)</f>
        <v>0</v>
      </c>
      <c r="U337" s="857">
        <f>SUMIFS('YTD Sales'!$N:$N,'YTD Sales'!$B:$B,Brokerage!$B337,'YTD Sales'!$M:$M,Brokerage!U$4)+SUMIFS('YTD Purchases'!$H:$H,'YTD Purchases'!$C:$C,Brokerage!$B337,'YTD Purchases'!$G:$G,Brokerage!U$4)</f>
        <v>0</v>
      </c>
      <c r="V337" s="857">
        <f>SUMIFS('YTD Sales'!$N:$N,'YTD Sales'!$B:$B,Brokerage!$B337,'YTD Sales'!$M:$M,Brokerage!V$4)+SUMIFS('YTD Purchases'!$H:$H,'YTD Purchases'!$C:$C,Brokerage!$B337,'YTD Purchases'!$G:$G,Brokerage!V$4)</f>
        <v>0</v>
      </c>
      <c r="W337" s="857">
        <f>SUMIFS('YTD Sales'!$N:$N,'YTD Sales'!$B:$B,Brokerage!$B337,'YTD Sales'!$M:$M,Brokerage!W$4)+SUMIFS('YTD Purchases'!$H:$H,'YTD Purchases'!$C:$C,Brokerage!$B337,'YTD Purchases'!$G:$G,Brokerage!W$4)</f>
        <v>0</v>
      </c>
      <c r="X337" s="857">
        <f>SUMIFS('YTD Sales'!$N:$N,'YTD Sales'!$B:$B,Brokerage!$B337,'YTD Sales'!$M:$M,Brokerage!X$4)+SUMIFS('YTD Purchases'!$H:$H,'YTD Purchases'!$C:$C,Brokerage!$B337,'YTD Purchases'!$G:$G,Brokerage!X$4)</f>
        <v>0</v>
      </c>
      <c r="Y337" s="857">
        <f>SUMIFS('YTD Sales'!$N:$N,'YTD Sales'!$B:$B,Brokerage!$B337,'YTD Sales'!$M:$M,Brokerage!Y$4)+SUMIFS('YTD Purchases'!$H:$H,'YTD Purchases'!$C:$C,Brokerage!$B337,'YTD Purchases'!$G:$G,Brokerage!Y$4)</f>
        <v>0</v>
      </c>
      <c r="Z337" s="857">
        <f>SUMIFS('YTD Sales'!$N:$N,'YTD Sales'!$B:$B,Brokerage!$B337,'YTD Sales'!$M:$M,Brokerage!Z$4)+SUMIFS('YTD Purchases'!$H:$H,'YTD Purchases'!$C:$C,Brokerage!$B337,'YTD Purchases'!$G:$G,Brokerage!Z$4)</f>
        <v>0</v>
      </c>
      <c r="AA337" s="857">
        <f>SUMIFS('YTD Sales'!$N:$N,'YTD Sales'!$B:$B,Brokerage!$B337,'YTD Sales'!$M:$M,Brokerage!AA$4)+SUMIFS('YTD Purchases'!$H:$H,'YTD Purchases'!$C:$C,Brokerage!$B337,'YTD Purchases'!$G:$G,Brokerage!AA$4)</f>
        <v>0</v>
      </c>
      <c r="AB337" s="857">
        <f>SUMIFS('YTD Sales'!$N:$N,'YTD Sales'!$B:$B,Brokerage!$B337,'YTD Sales'!$M:$M,Brokerage!AB$4)+SUMIFS('YTD Purchases'!$H:$H,'YTD Purchases'!$C:$C,Brokerage!$B337,'YTD Purchases'!$G:$G,Brokerage!AB$4)</f>
        <v>0</v>
      </c>
      <c r="AC337" s="857">
        <f>SUMIFS('YTD Sales'!$N:$N,'YTD Sales'!$B:$B,Brokerage!$B337,'YTD Sales'!$M:$M,Brokerage!AC$4)+SUMIFS('YTD Purchases'!$H:$H,'YTD Purchases'!$C:$C,Brokerage!$B337,'YTD Purchases'!$G:$G,Brokerage!AC$4)</f>
        <v>0</v>
      </c>
      <c r="AD337" s="857">
        <f>+SUMIFS(PIB!AG:AG,PIB!AF:AF,Brokerage!AD$4,PIB!AA:AA,Brokerage!$B337)+SUMIFS('T-Bills'!AB:AB,'T-Bills'!AA:AA,Brokerage!AD$4,'T-Bills'!V:V,Brokerage!$B337)</f>
        <v>0</v>
      </c>
      <c r="AE337" s="857">
        <f>+SUMIFS(PIB!AH:AH,PIB!AG:AG,Brokerage!AE$4,PIB!AB:AB,Brokerage!$B337)+SUMIFS('T-Bills'!AC:AC,'T-Bills'!AB:AB,Brokerage!AE$4,'T-Bills'!W:W,Brokerage!$B337)</f>
        <v>0</v>
      </c>
      <c r="AF337" s="857">
        <f>+SUMIFS(PIB!AI:AI,PIB!AH:AH,Brokerage!AF$4,PIB!AC:AC,Brokerage!$B337)+SUMIFS('T-Bills'!AD:AD,'T-Bills'!AC:AC,Brokerage!AF$4,'T-Bills'!X:X,Brokerage!$B337)</f>
        <v>0</v>
      </c>
      <c r="AG337" s="857">
        <f t="shared" si="30"/>
        <v>0</v>
      </c>
      <c r="AH337" s="858">
        <f t="shared" si="28"/>
        <v>0</v>
      </c>
    </row>
    <row r="338" spans="2:34" x14ac:dyDescent="0.15">
      <c r="B338" s="661">
        <f t="shared" si="29"/>
        <v>44894</v>
      </c>
      <c r="C338" s="857">
        <f>SUMIFS('YTD Sales'!$N:$N,'YTD Sales'!$B:$B,Brokerage!$B338,'YTD Sales'!$M:$M,Brokerage!C$4)+SUMIFS('YTD Purchases'!$H:$H,'YTD Purchases'!$C:$C,Brokerage!$B338,'YTD Purchases'!$G:$G,Brokerage!C$4)</f>
        <v>0</v>
      </c>
      <c r="D338" s="857">
        <f>SUMIFS('YTD Sales'!$N:$N,'YTD Sales'!$B:$B,Brokerage!$B338,'YTD Sales'!$M:$M,Brokerage!D$4)+SUMIFS('YTD Purchases'!$H:$H,'YTD Purchases'!$C:$C,Brokerage!$B338,'YTD Purchases'!$G:$G,Brokerage!D$4)</f>
        <v>0</v>
      </c>
      <c r="E338" s="857">
        <f>SUMIFS('YTD Sales'!$N:$N,'YTD Sales'!$B:$B,Brokerage!$B338,'YTD Sales'!$M:$M,Brokerage!E$4)+SUMIFS('YTD Purchases'!$H:$H,'YTD Purchases'!$C:$C,Brokerage!$B338,'YTD Purchases'!$G:$G,Brokerage!E$4)</f>
        <v>0</v>
      </c>
      <c r="F338" s="857">
        <f>SUMIFS('YTD Sales'!$N:$N,'YTD Sales'!$B:$B,Brokerage!$B338,'YTD Sales'!$M:$M,Brokerage!F$4)+SUMIFS('YTD Purchases'!$H:$H,'YTD Purchases'!$C:$C,Brokerage!$B338,'YTD Purchases'!$G:$G,Brokerage!F$4)</f>
        <v>0</v>
      </c>
      <c r="G338" s="857">
        <f>SUMIFS('YTD Sales'!$N:$N,'YTD Sales'!$B:$B,Brokerage!$B338,'YTD Sales'!$M:$M,Brokerage!G$4)+SUMIFS('YTD Purchases'!$H:$H,'YTD Purchases'!$C:$C,Brokerage!$B338,'YTD Purchases'!$G:$G,Brokerage!G$4)</f>
        <v>0</v>
      </c>
      <c r="H338" s="857">
        <f>SUMIFS('YTD Sales'!$N:$N,'YTD Sales'!$B:$B,Brokerage!$B338,'YTD Sales'!$M:$M,Brokerage!H$4)+SUMIFS('YTD Purchases'!$H:$H,'YTD Purchases'!$C:$C,Brokerage!$B338,'YTD Purchases'!$G:$G,Brokerage!H$4)</f>
        <v>0</v>
      </c>
      <c r="I338" s="857">
        <f>SUMIFS('YTD Sales'!$N:$N,'YTD Sales'!$B:$B,Brokerage!$B338,'YTD Sales'!$M:$M,Brokerage!I$4)+SUMIFS('YTD Purchases'!$H:$H,'YTD Purchases'!$C:$C,Brokerage!$B338,'YTD Purchases'!$G:$G,Brokerage!I$4)</f>
        <v>0</v>
      </c>
      <c r="J338" s="857">
        <f>SUMIFS('YTD Sales'!$N:$N,'YTD Sales'!$B:$B,Brokerage!$B338,'YTD Sales'!$M:$M,Brokerage!J$4)+SUMIFS('YTD Purchases'!$H:$H,'YTD Purchases'!$C:$C,Brokerage!$B338,'YTD Purchases'!$G:$G,Brokerage!J$4)</f>
        <v>0</v>
      </c>
      <c r="K338" s="857">
        <f>SUMIFS('YTD Sales'!$N:$N,'YTD Sales'!$B:$B,Brokerage!$B338,'YTD Sales'!$M:$M,Brokerage!K$4)+SUMIFS('YTD Purchases'!$H:$H,'YTD Purchases'!$C:$C,Brokerage!$B338,'YTD Purchases'!$G:$G,Brokerage!K$4)</f>
        <v>0</v>
      </c>
      <c r="L338" s="857">
        <f>SUMIFS('YTD Sales'!$N:$N,'YTD Sales'!$B:$B,Brokerage!$B338,'YTD Sales'!$M:$M,Brokerage!L$4)+SUMIFS('YTD Purchases'!$H:$H,'YTD Purchases'!$C:$C,Brokerage!$B338,'YTD Purchases'!$G:$G,Brokerage!L$4)</f>
        <v>0</v>
      </c>
      <c r="M338" s="857">
        <f>SUMIFS('YTD Sales'!$N:$N,'YTD Sales'!$B:$B,Brokerage!$B338,'YTD Sales'!$M:$M,Brokerage!M$4)+SUMIFS('YTD Purchases'!$H:$H,'YTD Purchases'!$C:$C,Brokerage!$B338,'YTD Purchases'!$G:$G,Brokerage!M$4)</f>
        <v>0</v>
      </c>
      <c r="N338" s="857">
        <f>SUMIFS('YTD Sales'!$N:$N,'YTD Sales'!$B:$B,Brokerage!$B338,'YTD Sales'!$M:$M,Brokerage!N$4)+SUMIFS('YTD Purchases'!$H:$H,'YTD Purchases'!$C:$C,Brokerage!$B338,'YTD Purchases'!$G:$G,Brokerage!N$4)</f>
        <v>0</v>
      </c>
      <c r="O338" s="857">
        <f>SUMIFS('YTD Sales'!$N:$N,'YTD Sales'!$B:$B,Brokerage!$B338,'YTD Sales'!$M:$M,Brokerage!O$4)+SUMIFS('YTD Purchases'!$H:$H,'YTD Purchases'!$C:$C,Brokerage!$B338,'YTD Purchases'!$G:$G,Brokerage!O$4)</f>
        <v>0</v>
      </c>
      <c r="P338" s="857">
        <f>SUMIFS('YTD Sales'!$N:$N,'YTD Sales'!$B:$B,Brokerage!$B338,'YTD Sales'!$M:$M,Brokerage!P$4)+SUMIFS('YTD Purchases'!$H:$H,'YTD Purchases'!$C:$C,Brokerage!$B338,'YTD Purchases'!$G:$G,Brokerage!P$4)</f>
        <v>0</v>
      </c>
      <c r="Q338" s="857">
        <f>SUMIFS('YTD Sales'!$N:$N,'YTD Sales'!$B:$B,Brokerage!$B338,'YTD Sales'!$M:$M,Brokerage!Q$4)+SUMIFS('YTD Purchases'!$H:$H,'YTD Purchases'!$C:$C,Brokerage!$B338,'YTD Purchases'!$G:$G,Brokerage!Q$4)</f>
        <v>0</v>
      </c>
      <c r="R338" s="857">
        <f>SUMIFS('YTD Sales'!$N:$N,'YTD Sales'!$B:$B,Brokerage!$B338,'YTD Sales'!$M:$M,Brokerage!R$4)+SUMIFS('YTD Purchases'!$H:$H,'YTD Purchases'!$C:$C,Brokerage!$B338,'YTD Purchases'!$G:$G,Brokerage!R$4)</f>
        <v>0</v>
      </c>
      <c r="S338" s="857">
        <f>SUMIFS('YTD Sales'!$N:$N,'YTD Sales'!$B:$B,Brokerage!$B338,'YTD Sales'!$M:$M,Brokerage!S$4)+SUMIFS('YTD Purchases'!$H:$H,'YTD Purchases'!$C:$C,Brokerage!$B338,'YTD Purchases'!$G:$G,Brokerage!S$4)</f>
        <v>0</v>
      </c>
      <c r="T338" s="857">
        <f>SUMIFS('YTD Sales'!$N:$N,'YTD Sales'!$B:$B,Brokerage!$B338,'YTD Sales'!$M:$M,Brokerage!T$4)+SUMIFS('YTD Purchases'!$H:$H,'YTD Purchases'!$C:$C,Brokerage!$B338,'YTD Purchases'!$G:$G,Brokerage!T$4)</f>
        <v>0</v>
      </c>
      <c r="U338" s="857">
        <f>SUMIFS('YTD Sales'!$N:$N,'YTD Sales'!$B:$B,Brokerage!$B338,'YTD Sales'!$M:$M,Brokerage!U$4)+SUMIFS('YTD Purchases'!$H:$H,'YTD Purchases'!$C:$C,Brokerage!$B338,'YTD Purchases'!$G:$G,Brokerage!U$4)</f>
        <v>0</v>
      </c>
      <c r="V338" s="857">
        <f>SUMIFS('YTD Sales'!$N:$N,'YTD Sales'!$B:$B,Brokerage!$B338,'YTD Sales'!$M:$M,Brokerage!V$4)+SUMIFS('YTD Purchases'!$H:$H,'YTD Purchases'!$C:$C,Brokerage!$B338,'YTD Purchases'!$G:$G,Brokerage!V$4)</f>
        <v>0</v>
      </c>
      <c r="W338" s="857">
        <f>SUMIFS('YTD Sales'!$N:$N,'YTD Sales'!$B:$B,Brokerage!$B338,'YTD Sales'!$M:$M,Brokerage!W$4)+SUMIFS('YTD Purchases'!$H:$H,'YTD Purchases'!$C:$C,Brokerage!$B338,'YTD Purchases'!$G:$G,Brokerage!W$4)</f>
        <v>0</v>
      </c>
      <c r="X338" s="857">
        <f>SUMIFS('YTD Sales'!$N:$N,'YTD Sales'!$B:$B,Brokerage!$B338,'YTD Sales'!$M:$M,Brokerage!X$4)+SUMIFS('YTD Purchases'!$H:$H,'YTD Purchases'!$C:$C,Brokerage!$B338,'YTD Purchases'!$G:$G,Brokerage!X$4)</f>
        <v>0</v>
      </c>
      <c r="Y338" s="857">
        <f>SUMIFS('YTD Sales'!$N:$N,'YTD Sales'!$B:$B,Brokerage!$B338,'YTD Sales'!$M:$M,Brokerage!Y$4)+SUMIFS('YTD Purchases'!$H:$H,'YTD Purchases'!$C:$C,Brokerage!$B338,'YTD Purchases'!$G:$G,Brokerage!Y$4)</f>
        <v>0</v>
      </c>
      <c r="Z338" s="857">
        <f>SUMIFS('YTD Sales'!$N:$N,'YTD Sales'!$B:$B,Brokerage!$B338,'YTD Sales'!$M:$M,Brokerage!Z$4)+SUMIFS('YTD Purchases'!$H:$H,'YTD Purchases'!$C:$C,Brokerage!$B338,'YTD Purchases'!$G:$G,Brokerage!Z$4)</f>
        <v>0</v>
      </c>
      <c r="AA338" s="857">
        <f>SUMIFS('YTD Sales'!$N:$N,'YTD Sales'!$B:$B,Brokerage!$B338,'YTD Sales'!$M:$M,Brokerage!AA$4)+SUMIFS('YTD Purchases'!$H:$H,'YTD Purchases'!$C:$C,Brokerage!$B338,'YTD Purchases'!$G:$G,Brokerage!AA$4)</f>
        <v>0</v>
      </c>
      <c r="AB338" s="857">
        <f>SUMIFS('YTD Sales'!$N:$N,'YTD Sales'!$B:$B,Brokerage!$B338,'YTD Sales'!$M:$M,Brokerage!AB$4)+SUMIFS('YTD Purchases'!$H:$H,'YTD Purchases'!$C:$C,Brokerage!$B338,'YTD Purchases'!$G:$G,Brokerage!AB$4)</f>
        <v>0</v>
      </c>
      <c r="AC338" s="857">
        <f>SUMIFS('YTD Sales'!$N:$N,'YTD Sales'!$B:$B,Brokerage!$B338,'YTD Sales'!$M:$M,Brokerage!AC$4)+SUMIFS('YTD Purchases'!$H:$H,'YTD Purchases'!$C:$C,Brokerage!$B338,'YTD Purchases'!$G:$G,Brokerage!AC$4)</f>
        <v>0</v>
      </c>
      <c r="AD338" s="857">
        <f>+SUMIFS(PIB!AG:AG,PIB!AF:AF,Brokerage!AD$4,PIB!AA:AA,Brokerage!$B338)+SUMIFS('T-Bills'!AB:AB,'T-Bills'!AA:AA,Brokerage!AD$4,'T-Bills'!V:V,Brokerage!$B338)</f>
        <v>0</v>
      </c>
      <c r="AE338" s="857">
        <f>+SUMIFS(PIB!AH:AH,PIB!AG:AG,Brokerage!AE$4,PIB!AB:AB,Brokerage!$B338)+SUMIFS('T-Bills'!AC:AC,'T-Bills'!AB:AB,Brokerage!AE$4,'T-Bills'!W:W,Brokerage!$B338)</f>
        <v>0</v>
      </c>
      <c r="AF338" s="857">
        <f>+SUMIFS(PIB!AI:AI,PIB!AH:AH,Brokerage!AF$4,PIB!AC:AC,Brokerage!$B338)+SUMIFS('T-Bills'!AD:AD,'T-Bills'!AC:AC,Brokerage!AF$4,'T-Bills'!X:X,Brokerage!$B338)</f>
        <v>0</v>
      </c>
      <c r="AG338" s="857">
        <f t="shared" si="30"/>
        <v>0</v>
      </c>
      <c r="AH338" s="858">
        <f t="shared" si="28"/>
        <v>0</v>
      </c>
    </row>
    <row r="339" spans="2:34" x14ac:dyDescent="0.15">
      <c r="B339" s="661">
        <f t="shared" si="29"/>
        <v>44895</v>
      </c>
      <c r="C339" s="857">
        <f>SUMIFS('YTD Sales'!$N:$N,'YTD Sales'!$B:$B,Brokerage!$B339,'YTD Sales'!$M:$M,Brokerage!C$4)+SUMIFS('YTD Purchases'!$H:$H,'YTD Purchases'!$C:$C,Brokerage!$B339,'YTD Purchases'!$G:$G,Brokerage!C$4)</f>
        <v>0</v>
      </c>
      <c r="D339" s="857">
        <f>SUMIFS('YTD Sales'!$N:$N,'YTD Sales'!$B:$B,Brokerage!$B339,'YTD Sales'!$M:$M,Brokerage!D$4)+SUMIFS('YTD Purchases'!$H:$H,'YTD Purchases'!$C:$C,Brokerage!$B339,'YTD Purchases'!$G:$G,Brokerage!D$4)</f>
        <v>0</v>
      </c>
      <c r="E339" s="857">
        <f>SUMIFS('YTD Sales'!$N:$N,'YTD Sales'!$B:$B,Brokerage!$B339,'YTD Sales'!$M:$M,Brokerage!E$4)+SUMIFS('YTD Purchases'!$H:$H,'YTD Purchases'!$C:$C,Brokerage!$B339,'YTD Purchases'!$G:$G,Brokerage!E$4)</f>
        <v>0</v>
      </c>
      <c r="F339" s="857">
        <f>SUMIFS('YTD Sales'!$N:$N,'YTD Sales'!$B:$B,Brokerage!$B339,'YTD Sales'!$M:$M,Brokerage!F$4)+SUMIFS('YTD Purchases'!$H:$H,'YTD Purchases'!$C:$C,Brokerage!$B339,'YTD Purchases'!$G:$G,Brokerage!F$4)</f>
        <v>0</v>
      </c>
      <c r="G339" s="857">
        <f>SUMIFS('YTD Sales'!$N:$N,'YTD Sales'!$B:$B,Brokerage!$B339,'YTD Sales'!$M:$M,Brokerage!G$4)+SUMIFS('YTD Purchases'!$H:$H,'YTD Purchases'!$C:$C,Brokerage!$B339,'YTD Purchases'!$G:$G,Brokerage!G$4)</f>
        <v>0</v>
      </c>
      <c r="H339" s="857">
        <f>SUMIFS('YTD Sales'!$N:$N,'YTD Sales'!$B:$B,Brokerage!$B339,'YTD Sales'!$M:$M,Brokerage!H$4)+SUMIFS('YTD Purchases'!$H:$H,'YTD Purchases'!$C:$C,Brokerage!$B339,'YTD Purchases'!$G:$G,Brokerage!H$4)</f>
        <v>0</v>
      </c>
      <c r="I339" s="857">
        <f>SUMIFS('YTD Sales'!$N:$N,'YTD Sales'!$B:$B,Brokerage!$B339,'YTD Sales'!$M:$M,Brokerage!I$4)+SUMIFS('YTD Purchases'!$H:$H,'YTD Purchases'!$C:$C,Brokerage!$B339,'YTD Purchases'!$G:$G,Brokerage!I$4)</f>
        <v>0</v>
      </c>
      <c r="J339" s="857">
        <f>SUMIFS('YTD Sales'!$N:$N,'YTD Sales'!$B:$B,Brokerage!$B339,'YTD Sales'!$M:$M,Brokerage!J$4)+SUMIFS('YTD Purchases'!$H:$H,'YTD Purchases'!$C:$C,Brokerage!$B339,'YTD Purchases'!$G:$G,Brokerage!J$4)</f>
        <v>0</v>
      </c>
      <c r="K339" s="857">
        <f>SUMIFS('YTD Sales'!$N:$N,'YTD Sales'!$B:$B,Brokerage!$B339,'YTD Sales'!$M:$M,Brokerage!K$4)+SUMIFS('YTD Purchases'!$H:$H,'YTD Purchases'!$C:$C,Brokerage!$B339,'YTD Purchases'!$G:$G,Brokerage!K$4)</f>
        <v>0</v>
      </c>
      <c r="L339" s="857">
        <f>SUMIFS('YTD Sales'!$N:$N,'YTD Sales'!$B:$B,Brokerage!$B339,'YTD Sales'!$M:$M,Brokerage!L$4)+SUMIFS('YTD Purchases'!$H:$H,'YTD Purchases'!$C:$C,Brokerage!$B339,'YTD Purchases'!$G:$G,Brokerage!L$4)</f>
        <v>0</v>
      </c>
      <c r="M339" s="857">
        <f>SUMIFS('YTD Sales'!$N:$N,'YTD Sales'!$B:$B,Brokerage!$B339,'YTD Sales'!$M:$M,Brokerage!M$4)+SUMIFS('YTD Purchases'!$H:$H,'YTD Purchases'!$C:$C,Brokerage!$B339,'YTD Purchases'!$G:$G,Brokerage!M$4)</f>
        <v>0</v>
      </c>
      <c r="N339" s="857">
        <f>SUMIFS('YTD Sales'!$N:$N,'YTD Sales'!$B:$B,Brokerage!$B339,'YTD Sales'!$M:$M,Brokerage!N$4)+SUMIFS('YTD Purchases'!$H:$H,'YTD Purchases'!$C:$C,Brokerage!$B339,'YTD Purchases'!$G:$G,Brokerage!N$4)</f>
        <v>0</v>
      </c>
      <c r="O339" s="857">
        <f>SUMIFS('YTD Sales'!$N:$N,'YTD Sales'!$B:$B,Brokerage!$B339,'YTD Sales'!$M:$M,Brokerage!O$4)+SUMIFS('YTD Purchases'!$H:$H,'YTD Purchases'!$C:$C,Brokerage!$B339,'YTD Purchases'!$G:$G,Brokerage!O$4)</f>
        <v>0</v>
      </c>
      <c r="P339" s="857">
        <f>SUMIFS('YTD Sales'!$N:$N,'YTD Sales'!$B:$B,Brokerage!$B339,'YTD Sales'!$M:$M,Brokerage!P$4)+SUMIFS('YTD Purchases'!$H:$H,'YTD Purchases'!$C:$C,Brokerage!$B339,'YTD Purchases'!$G:$G,Brokerage!P$4)</f>
        <v>0</v>
      </c>
      <c r="Q339" s="857">
        <f>SUMIFS('YTD Sales'!$N:$N,'YTD Sales'!$B:$B,Brokerage!$B339,'YTD Sales'!$M:$M,Brokerage!Q$4)+SUMIFS('YTD Purchases'!$H:$H,'YTD Purchases'!$C:$C,Brokerage!$B339,'YTD Purchases'!$G:$G,Brokerage!Q$4)</f>
        <v>0</v>
      </c>
      <c r="R339" s="857">
        <f>SUMIFS('YTD Sales'!$N:$N,'YTD Sales'!$B:$B,Brokerage!$B339,'YTD Sales'!$M:$M,Brokerage!R$4)+SUMIFS('YTD Purchases'!$H:$H,'YTD Purchases'!$C:$C,Brokerage!$B339,'YTD Purchases'!$G:$G,Brokerage!R$4)</f>
        <v>0</v>
      </c>
      <c r="S339" s="857">
        <f>SUMIFS('YTD Sales'!$N:$N,'YTD Sales'!$B:$B,Brokerage!$B339,'YTD Sales'!$M:$M,Brokerage!S$4)+SUMIFS('YTD Purchases'!$H:$H,'YTD Purchases'!$C:$C,Brokerage!$B339,'YTD Purchases'!$G:$G,Brokerage!S$4)</f>
        <v>0</v>
      </c>
      <c r="T339" s="857">
        <f>SUMIFS('YTD Sales'!$N:$N,'YTD Sales'!$B:$B,Brokerage!$B339,'YTD Sales'!$M:$M,Brokerage!T$4)+SUMIFS('YTD Purchases'!$H:$H,'YTD Purchases'!$C:$C,Brokerage!$B339,'YTD Purchases'!$G:$G,Brokerage!T$4)</f>
        <v>0</v>
      </c>
      <c r="U339" s="857">
        <f>SUMIFS('YTD Sales'!$N:$N,'YTD Sales'!$B:$B,Brokerage!$B339,'YTD Sales'!$M:$M,Brokerage!U$4)+SUMIFS('YTD Purchases'!$H:$H,'YTD Purchases'!$C:$C,Brokerage!$B339,'YTD Purchases'!$G:$G,Brokerage!U$4)</f>
        <v>0</v>
      </c>
      <c r="V339" s="857">
        <f>SUMIFS('YTD Sales'!$N:$N,'YTD Sales'!$B:$B,Brokerage!$B339,'YTD Sales'!$M:$M,Brokerage!V$4)+SUMIFS('YTD Purchases'!$H:$H,'YTD Purchases'!$C:$C,Brokerage!$B339,'YTD Purchases'!$G:$G,Brokerage!V$4)</f>
        <v>0</v>
      </c>
      <c r="W339" s="857">
        <f>SUMIFS('YTD Sales'!$N:$N,'YTD Sales'!$B:$B,Brokerage!$B339,'YTD Sales'!$M:$M,Brokerage!W$4)+SUMIFS('YTD Purchases'!$H:$H,'YTD Purchases'!$C:$C,Brokerage!$B339,'YTD Purchases'!$G:$G,Brokerage!W$4)</f>
        <v>0</v>
      </c>
      <c r="X339" s="857">
        <f>SUMIFS('YTD Sales'!$N:$N,'YTD Sales'!$B:$B,Brokerage!$B339,'YTD Sales'!$M:$M,Brokerage!X$4)+SUMIFS('YTD Purchases'!$H:$H,'YTD Purchases'!$C:$C,Brokerage!$B339,'YTD Purchases'!$G:$G,Brokerage!X$4)</f>
        <v>0</v>
      </c>
      <c r="Y339" s="857">
        <f>SUMIFS('YTD Sales'!$N:$N,'YTD Sales'!$B:$B,Brokerage!$B339,'YTD Sales'!$M:$M,Brokerage!Y$4)+SUMIFS('YTD Purchases'!$H:$H,'YTD Purchases'!$C:$C,Brokerage!$B339,'YTD Purchases'!$G:$G,Brokerage!Y$4)</f>
        <v>0</v>
      </c>
      <c r="Z339" s="857">
        <f>SUMIFS('YTD Sales'!$N:$N,'YTD Sales'!$B:$B,Brokerage!$B339,'YTD Sales'!$M:$M,Brokerage!Z$4)+SUMIFS('YTD Purchases'!$H:$H,'YTD Purchases'!$C:$C,Brokerage!$B339,'YTD Purchases'!$G:$G,Brokerage!Z$4)</f>
        <v>0</v>
      </c>
      <c r="AA339" s="857">
        <f>SUMIFS('YTD Sales'!$N:$N,'YTD Sales'!$B:$B,Brokerage!$B339,'YTD Sales'!$M:$M,Brokerage!AA$4)+SUMIFS('YTD Purchases'!$H:$H,'YTD Purchases'!$C:$C,Brokerage!$B339,'YTD Purchases'!$G:$G,Brokerage!AA$4)</f>
        <v>0</v>
      </c>
      <c r="AB339" s="857">
        <f>SUMIFS('YTD Sales'!$N:$N,'YTD Sales'!$B:$B,Brokerage!$B339,'YTD Sales'!$M:$M,Brokerage!AB$4)+SUMIFS('YTD Purchases'!$H:$H,'YTD Purchases'!$C:$C,Brokerage!$B339,'YTD Purchases'!$G:$G,Brokerage!AB$4)</f>
        <v>0</v>
      </c>
      <c r="AC339" s="857">
        <f>SUMIFS('YTD Sales'!$N:$N,'YTD Sales'!$B:$B,Brokerage!$B339,'YTD Sales'!$M:$M,Brokerage!AC$4)+SUMIFS('YTD Purchases'!$H:$H,'YTD Purchases'!$C:$C,Brokerage!$B339,'YTD Purchases'!$G:$G,Brokerage!AC$4)</f>
        <v>0</v>
      </c>
      <c r="AD339" s="857">
        <f>+SUMIFS(PIB!AG:AG,PIB!AF:AF,Brokerage!AD$4,PIB!AA:AA,Brokerage!$B339)+SUMIFS('T-Bills'!AB:AB,'T-Bills'!AA:AA,Brokerage!AD$4,'T-Bills'!V:V,Brokerage!$B339)</f>
        <v>0</v>
      </c>
      <c r="AE339" s="857">
        <f>+SUMIFS(PIB!AH:AH,PIB!AG:AG,Brokerage!AE$4,PIB!AB:AB,Brokerage!$B339)+SUMIFS('T-Bills'!AC:AC,'T-Bills'!AB:AB,Brokerage!AE$4,'T-Bills'!W:W,Brokerage!$B339)</f>
        <v>0</v>
      </c>
      <c r="AF339" s="857">
        <f>+SUMIFS(PIB!AI:AI,PIB!AH:AH,Brokerage!AF$4,PIB!AC:AC,Brokerage!$B339)+SUMIFS('T-Bills'!AD:AD,'T-Bills'!AC:AC,Brokerage!AF$4,'T-Bills'!X:X,Brokerage!$B339)</f>
        <v>0</v>
      </c>
      <c r="AG339" s="857">
        <f t="shared" si="30"/>
        <v>0</v>
      </c>
      <c r="AH339" s="858">
        <f t="shared" si="28"/>
        <v>0</v>
      </c>
    </row>
    <row r="340" spans="2:34" x14ac:dyDescent="0.15">
      <c r="B340" s="661">
        <f t="shared" si="29"/>
        <v>44896</v>
      </c>
      <c r="C340" s="857">
        <f>SUMIFS('YTD Sales'!$N:$N,'YTD Sales'!$B:$B,Brokerage!$B340,'YTD Sales'!$M:$M,Brokerage!C$4)+SUMIFS('YTD Purchases'!$H:$H,'YTD Purchases'!$C:$C,Brokerage!$B340,'YTD Purchases'!$G:$G,Brokerage!C$4)</f>
        <v>0</v>
      </c>
      <c r="D340" s="857">
        <f>SUMIFS('YTD Sales'!$N:$N,'YTD Sales'!$B:$B,Brokerage!$B340,'YTD Sales'!$M:$M,Brokerage!D$4)+SUMIFS('YTD Purchases'!$H:$H,'YTD Purchases'!$C:$C,Brokerage!$B340,'YTD Purchases'!$G:$G,Brokerage!D$4)</f>
        <v>0</v>
      </c>
      <c r="E340" s="857">
        <f>SUMIFS('YTD Sales'!$N:$N,'YTD Sales'!$B:$B,Brokerage!$B340,'YTD Sales'!$M:$M,Brokerage!E$4)+SUMIFS('YTD Purchases'!$H:$H,'YTD Purchases'!$C:$C,Brokerage!$B340,'YTD Purchases'!$G:$G,Brokerage!E$4)</f>
        <v>0</v>
      </c>
      <c r="F340" s="857">
        <f>SUMIFS('YTD Sales'!$N:$N,'YTD Sales'!$B:$B,Brokerage!$B340,'YTD Sales'!$M:$M,Brokerage!F$4)+SUMIFS('YTD Purchases'!$H:$H,'YTD Purchases'!$C:$C,Brokerage!$B340,'YTD Purchases'!$G:$G,Brokerage!F$4)</f>
        <v>0</v>
      </c>
      <c r="G340" s="857">
        <f>SUMIFS('YTD Sales'!$N:$N,'YTD Sales'!$B:$B,Brokerage!$B340,'YTD Sales'!$M:$M,Brokerage!G$4)+SUMIFS('YTD Purchases'!$H:$H,'YTD Purchases'!$C:$C,Brokerage!$B340,'YTD Purchases'!$G:$G,Brokerage!G$4)</f>
        <v>0</v>
      </c>
      <c r="H340" s="857">
        <f>SUMIFS('YTD Sales'!$N:$N,'YTD Sales'!$B:$B,Brokerage!$B340,'YTD Sales'!$M:$M,Brokerage!H$4)+SUMIFS('YTD Purchases'!$H:$H,'YTD Purchases'!$C:$C,Brokerage!$B340,'YTD Purchases'!$G:$G,Brokerage!H$4)</f>
        <v>0</v>
      </c>
      <c r="I340" s="857">
        <f>SUMIFS('YTD Sales'!$N:$N,'YTD Sales'!$B:$B,Brokerage!$B340,'YTD Sales'!$M:$M,Brokerage!I$4)+SUMIFS('YTD Purchases'!$H:$H,'YTD Purchases'!$C:$C,Brokerage!$B340,'YTD Purchases'!$G:$G,Brokerage!I$4)</f>
        <v>0</v>
      </c>
      <c r="J340" s="857">
        <f>SUMIFS('YTD Sales'!$N:$N,'YTD Sales'!$B:$B,Brokerage!$B340,'YTD Sales'!$M:$M,Brokerage!J$4)+SUMIFS('YTD Purchases'!$H:$H,'YTD Purchases'!$C:$C,Brokerage!$B340,'YTD Purchases'!$G:$G,Brokerage!J$4)</f>
        <v>0</v>
      </c>
      <c r="K340" s="857">
        <f>SUMIFS('YTD Sales'!$N:$N,'YTD Sales'!$B:$B,Brokerage!$B340,'YTD Sales'!$M:$M,Brokerage!K$4)+SUMIFS('YTD Purchases'!$H:$H,'YTD Purchases'!$C:$C,Brokerage!$B340,'YTD Purchases'!$G:$G,Brokerage!K$4)</f>
        <v>0</v>
      </c>
      <c r="L340" s="857">
        <f>SUMIFS('YTD Sales'!$N:$N,'YTD Sales'!$B:$B,Brokerage!$B340,'YTD Sales'!$M:$M,Brokerage!L$4)+SUMIFS('YTD Purchases'!$H:$H,'YTD Purchases'!$C:$C,Brokerage!$B340,'YTD Purchases'!$G:$G,Brokerage!L$4)</f>
        <v>0</v>
      </c>
      <c r="M340" s="857">
        <f>SUMIFS('YTD Sales'!$N:$N,'YTD Sales'!$B:$B,Brokerage!$B340,'YTD Sales'!$M:$M,Brokerage!M$4)+SUMIFS('YTD Purchases'!$H:$H,'YTD Purchases'!$C:$C,Brokerage!$B340,'YTD Purchases'!$G:$G,Brokerage!M$4)</f>
        <v>0</v>
      </c>
      <c r="N340" s="857">
        <f>SUMIFS('YTD Sales'!$N:$N,'YTD Sales'!$B:$B,Brokerage!$B340,'YTD Sales'!$M:$M,Brokerage!N$4)+SUMIFS('YTD Purchases'!$H:$H,'YTD Purchases'!$C:$C,Brokerage!$B340,'YTD Purchases'!$G:$G,Brokerage!N$4)</f>
        <v>0</v>
      </c>
      <c r="O340" s="857">
        <f>SUMIFS('YTD Sales'!$N:$N,'YTD Sales'!$B:$B,Brokerage!$B340,'YTD Sales'!$M:$M,Brokerage!O$4)+SUMIFS('YTD Purchases'!$H:$H,'YTD Purchases'!$C:$C,Brokerage!$B340,'YTD Purchases'!$G:$G,Brokerage!O$4)</f>
        <v>0</v>
      </c>
      <c r="P340" s="857">
        <f>SUMIFS('YTD Sales'!$N:$N,'YTD Sales'!$B:$B,Brokerage!$B340,'YTD Sales'!$M:$M,Brokerage!P$4)+SUMIFS('YTD Purchases'!$H:$H,'YTD Purchases'!$C:$C,Brokerage!$B340,'YTD Purchases'!$G:$G,Brokerage!P$4)</f>
        <v>0</v>
      </c>
      <c r="Q340" s="857">
        <f>SUMIFS('YTD Sales'!$N:$N,'YTD Sales'!$B:$B,Brokerage!$B340,'YTD Sales'!$M:$M,Brokerage!Q$4)+SUMIFS('YTD Purchases'!$H:$H,'YTD Purchases'!$C:$C,Brokerage!$B340,'YTD Purchases'!$G:$G,Brokerage!Q$4)</f>
        <v>0</v>
      </c>
      <c r="R340" s="857">
        <f>SUMIFS('YTD Sales'!$N:$N,'YTD Sales'!$B:$B,Brokerage!$B340,'YTD Sales'!$M:$M,Brokerage!R$4)+SUMIFS('YTD Purchases'!$H:$H,'YTD Purchases'!$C:$C,Brokerage!$B340,'YTD Purchases'!$G:$G,Brokerage!R$4)</f>
        <v>0</v>
      </c>
      <c r="S340" s="857">
        <f>SUMIFS('YTD Sales'!$N:$N,'YTD Sales'!$B:$B,Brokerage!$B340,'YTD Sales'!$M:$M,Brokerage!S$4)+SUMIFS('YTD Purchases'!$H:$H,'YTD Purchases'!$C:$C,Brokerage!$B340,'YTD Purchases'!$G:$G,Brokerage!S$4)</f>
        <v>0</v>
      </c>
      <c r="T340" s="857">
        <f>SUMIFS('YTD Sales'!$N:$N,'YTD Sales'!$B:$B,Brokerage!$B340,'YTD Sales'!$M:$M,Brokerage!T$4)+SUMIFS('YTD Purchases'!$H:$H,'YTD Purchases'!$C:$C,Brokerage!$B340,'YTD Purchases'!$G:$G,Brokerage!T$4)</f>
        <v>0</v>
      </c>
      <c r="U340" s="857">
        <f>SUMIFS('YTD Sales'!$N:$N,'YTD Sales'!$B:$B,Brokerage!$B340,'YTD Sales'!$M:$M,Brokerage!U$4)+SUMIFS('YTD Purchases'!$H:$H,'YTD Purchases'!$C:$C,Brokerage!$B340,'YTD Purchases'!$G:$G,Brokerage!U$4)</f>
        <v>0</v>
      </c>
      <c r="V340" s="857">
        <f>SUMIFS('YTD Sales'!$N:$N,'YTD Sales'!$B:$B,Brokerage!$B340,'YTD Sales'!$M:$M,Brokerage!V$4)+SUMIFS('YTD Purchases'!$H:$H,'YTD Purchases'!$C:$C,Brokerage!$B340,'YTD Purchases'!$G:$G,Brokerage!V$4)</f>
        <v>0</v>
      </c>
      <c r="W340" s="857">
        <f>SUMIFS('YTD Sales'!$N:$N,'YTD Sales'!$B:$B,Brokerage!$B340,'YTD Sales'!$M:$M,Brokerage!W$4)+SUMIFS('YTD Purchases'!$H:$H,'YTD Purchases'!$C:$C,Brokerage!$B340,'YTD Purchases'!$G:$G,Brokerage!W$4)</f>
        <v>0</v>
      </c>
      <c r="X340" s="857">
        <f>SUMIFS('YTD Sales'!$N:$N,'YTD Sales'!$B:$B,Brokerage!$B340,'YTD Sales'!$M:$M,Brokerage!X$4)+SUMIFS('YTD Purchases'!$H:$H,'YTD Purchases'!$C:$C,Brokerage!$B340,'YTD Purchases'!$G:$G,Brokerage!X$4)</f>
        <v>0</v>
      </c>
      <c r="Y340" s="857">
        <f>SUMIFS('YTD Sales'!$N:$N,'YTD Sales'!$B:$B,Brokerage!$B340,'YTD Sales'!$M:$M,Brokerage!Y$4)+SUMIFS('YTD Purchases'!$H:$H,'YTD Purchases'!$C:$C,Brokerage!$B340,'YTD Purchases'!$G:$G,Brokerage!Y$4)</f>
        <v>0</v>
      </c>
      <c r="Z340" s="857">
        <f>SUMIFS('YTD Sales'!$N:$N,'YTD Sales'!$B:$B,Brokerage!$B340,'YTD Sales'!$M:$M,Brokerage!Z$4)+SUMIFS('YTD Purchases'!$H:$H,'YTD Purchases'!$C:$C,Brokerage!$B340,'YTD Purchases'!$G:$G,Brokerage!Z$4)</f>
        <v>0</v>
      </c>
      <c r="AA340" s="857">
        <f>SUMIFS('YTD Sales'!$N:$N,'YTD Sales'!$B:$B,Brokerage!$B340,'YTD Sales'!$M:$M,Brokerage!AA$4)+SUMIFS('YTD Purchases'!$H:$H,'YTD Purchases'!$C:$C,Brokerage!$B340,'YTD Purchases'!$G:$G,Brokerage!AA$4)</f>
        <v>0</v>
      </c>
      <c r="AB340" s="857">
        <f>SUMIFS('YTD Sales'!$N:$N,'YTD Sales'!$B:$B,Brokerage!$B340,'YTD Sales'!$M:$M,Brokerage!AB$4)+SUMIFS('YTD Purchases'!$H:$H,'YTD Purchases'!$C:$C,Brokerage!$B340,'YTD Purchases'!$G:$G,Brokerage!AB$4)</f>
        <v>0</v>
      </c>
      <c r="AC340" s="857">
        <f>SUMIFS('YTD Sales'!$N:$N,'YTD Sales'!$B:$B,Brokerage!$B340,'YTD Sales'!$M:$M,Brokerage!AC$4)+SUMIFS('YTD Purchases'!$H:$H,'YTD Purchases'!$C:$C,Brokerage!$B340,'YTD Purchases'!$G:$G,Brokerage!AC$4)</f>
        <v>0</v>
      </c>
      <c r="AD340" s="857">
        <f>+SUMIFS(PIB!AG:AG,PIB!AF:AF,Brokerage!AD$4,PIB!AA:AA,Brokerage!$B340)+SUMIFS('T-Bills'!AB:AB,'T-Bills'!AA:AA,Brokerage!AD$4,'T-Bills'!V:V,Brokerage!$B340)</f>
        <v>0</v>
      </c>
      <c r="AE340" s="857">
        <f>+SUMIFS(PIB!AH:AH,PIB!AG:AG,Brokerage!AE$4,PIB!AB:AB,Brokerage!$B340)+SUMIFS('T-Bills'!AC:AC,'T-Bills'!AB:AB,Brokerage!AE$4,'T-Bills'!W:W,Brokerage!$B340)</f>
        <v>0</v>
      </c>
      <c r="AF340" s="857">
        <f>+SUMIFS(PIB!AI:AI,PIB!AH:AH,Brokerage!AF$4,PIB!AC:AC,Brokerage!$B340)+SUMIFS('T-Bills'!AD:AD,'T-Bills'!AC:AC,Brokerage!AF$4,'T-Bills'!X:X,Brokerage!$B340)</f>
        <v>0</v>
      </c>
      <c r="AG340" s="857">
        <f t="shared" si="30"/>
        <v>0</v>
      </c>
      <c r="AH340" s="858">
        <f t="shared" si="28"/>
        <v>0</v>
      </c>
    </row>
    <row r="341" spans="2:34" x14ac:dyDescent="0.15">
      <c r="B341" s="661">
        <f t="shared" si="29"/>
        <v>44897</v>
      </c>
      <c r="C341" s="857">
        <f>SUMIFS('YTD Sales'!$N:$N,'YTD Sales'!$B:$B,Brokerage!$B341,'YTD Sales'!$M:$M,Brokerage!C$4)+SUMIFS('YTD Purchases'!$H:$H,'YTD Purchases'!$C:$C,Brokerage!$B341,'YTD Purchases'!$G:$G,Brokerage!C$4)</f>
        <v>0</v>
      </c>
      <c r="D341" s="857">
        <f>SUMIFS('YTD Sales'!$N:$N,'YTD Sales'!$B:$B,Brokerage!$B341,'YTD Sales'!$M:$M,Brokerage!D$4)+SUMIFS('YTD Purchases'!$H:$H,'YTD Purchases'!$C:$C,Brokerage!$B341,'YTD Purchases'!$G:$G,Brokerage!D$4)</f>
        <v>0</v>
      </c>
      <c r="E341" s="857">
        <f>SUMIFS('YTD Sales'!$N:$N,'YTD Sales'!$B:$B,Brokerage!$B341,'YTD Sales'!$M:$M,Brokerage!E$4)+SUMIFS('YTD Purchases'!$H:$H,'YTD Purchases'!$C:$C,Brokerage!$B341,'YTD Purchases'!$G:$G,Brokerage!E$4)</f>
        <v>0</v>
      </c>
      <c r="F341" s="857">
        <f>SUMIFS('YTD Sales'!$N:$N,'YTD Sales'!$B:$B,Brokerage!$B341,'YTD Sales'!$M:$M,Brokerage!F$4)+SUMIFS('YTD Purchases'!$H:$H,'YTD Purchases'!$C:$C,Brokerage!$B341,'YTD Purchases'!$G:$G,Brokerage!F$4)</f>
        <v>0</v>
      </c>
      <c r="G341" s="857">
        <f>SUMIFS('YTD Sales'!$N:$N,'YTD Sales'!$B:$B,Brokerage!$B341,'YTD Sales'!$M:$M,Brokerage!G$4)+SUMIFS('YTD Purchases'!$H:$H,'YTD Purchases'!$C:$C,Brokerage!$B341,'YTD Purchases'!$G:$G,Brokerage!G$4)</f>
        <v>0</v>
      </c>
      <c r="H341" s="857">
        <f>SUMIFS('YTD Sales'!$N:$N,'YTD Sales'!$B:$B,Brokerage!$B341,'YTD Sales'!$M:$M,Brokerage!H$4)+SUMIFS('YTD Purchases'!$H:$H,'YTD Purchases'!$C:$C,Brokerage!$B341,'YTD Purchases'!$G:$G,Brokerage!H$4)</f>
        <v>0</v>
      </c>
      <c r="I341" s="857">
        <f>SUMIFS('YTD Sales'!$N:$N,'YTD Sales'!$B:$B,Brokerage!$B341,'YTD Sales'!$M:$M,Brokerage!I$4)+SUMIFS('YTD Purchases'!$H:$H,'YTD Purchases'!$C:$C,Brokerage!$B341,'YTD Purchases'!$G:$G,Brokerage!I$4)</f>
        <v>0</v>
      </c>
      <c r="J341" s="857">
        <f>SUMIFS('YTD Sales'!$N:$N,'YTD Sales'!$B:$B,Brokerage!$B341,'YTD Sales'!$M:$M,Brokerage!J$4)+SUMIFS('YTD Purchases'!$H:$H,'YTD Purchases'!$C:$C,Brokerage!$B341,'YTD Purchases'!$G:$G,Brokerage!J$4)</f>
        <v>0</v>
      </c>
      <c r="K341" s="857">
        <f>SUMIFS('YTD Sales'!$N:$N,'YTD Sales'!$B:$B,Brokerage!$B341,'YTD Sales'!$M:$M,Brokerage!K$4)+SUMIFS('YTD Purchases'!$H:$H,'YTD Purchases'!$C:$C,Brokerage!$B341,'YTD Purchases'!$G:$G,Brokerage!K$4)</f>
        <v>0</v>
      </c>
      <c r="L341" s="857">
        <f>SUMIFS('YTD Sales'!$N:$N,'YTD Sales'!$B:$B,Brokerage!$B341,'YTD Sales'!$M:$M,Brokerage!L$4)+SUMIFS('YTD Purchases'!$H:$H,'YTD Purchases'!$C:$C,Brokerage!$B341,'YTD Purchases'!$G:$G,Brokerage!L$4)</f>
        <v>0</v>
      </c>
      <c r="M341" s="857">
        <f>SUMIFS('YTD Sales'!$N:$N,'YTD Sales'!$B:$B,Brokerage!$B341,'YTD Sales'!$M:$M,Brokerage!M$4)+SUMIFS('YTD Purchases'!$H:$H,'YTD Purchases'!$C:$C,Brokerage!$B341,'YTD Purchases'!$G:$G,Brokerage!M$4)</f>
        <v>0</v>
      </c>
      <c r="N341" s="857">
        <f>SUMIFS('YTD Sales'!$N:$N,'YTD Sales'!$B:$B,Brokerage!$B341,'YTD Sales'!$M:$M,Brokerage!N$4)+SUMIFS('YTD Purchases'!$H:$H,'YTD Purchases'!$C:$C,Brokerage!$B341,'YTD Purchases'!$G:$G,Brokerage!N$4)</f>
        <v>0</v>
      </c>
      <c r="O341" s="857">
        <f>SUMIFS('YTD Sales'!$N:$N,'YTD Sales'!$B:$B,Brokerage!$B341,'YTD Sales'!$M:$M,Brokerage!O$4)+SUMIFS('YTD Purchases'!$H:$H,'YTD Purchases'!$C:$C,Brokerage!$B341,'YTD Purchases'!$G:$G,Brokerage!O$4)</f>
        <v>0</v>
      </c>
      <c r="P341" s="857">
        <f>SUMIFS('YTD Sales'!$N:$N,'YTD Sales'!$B:$B,Brokerage!$B341,'YTD Sales'!$M:$M,Brokerage!P$4)+SUMIFS('YTD Purchases'!$H:$H,'YTD Purchases'!$C:$C,Brokerage!$B341,'YTD Purchases'!$G:$G,Brokerage!P$4)</f>
        <v>0</v>
      </c>
      <c r="Q341" s="857">
        <f>SUMIFS('YTD Sales'!$N:$N,'YTD Sales'!$B:$B,Brokerage!$B341,'YTD Sales'!$M:$M,Brokerage!Q$4)+SUMIFS('YTD Purchases'!$H:$H,'YTD Purchases'!$C:$C,Brokerage!$B341,'YTD Purchases'!$G:$G,Brokerage!Q$4)</f>
        <v>0</v>
      </c>
      <c r="R341" s="857">
        <f>SUMIFS('YTD Sales'!$N:$N,'YTD Sales'!$B:$B,Brokerage!$B341,'YTD Sales'!$M:$M,Brokerage!R$4)+SUMIFS('YTD Purchases'!$H:$H,'YTD Purchases'!$C:$C,Brokerage!$B341,'YTD Purchases'!$G:$G,Brokerage!R$4)</f>
        <v>0</v>
      </c>
      <c r="S341" s="857">
        <f>SUMIFS('YTD Sales'!$N:$N,'YTD Sales'!$B:$B,Brokerage!$B341,'YTD Sales'!$M:$M,Brokerage!S$4)+SUMIFS('YTD Purchases'!$H:$H,'YTD Purchases'!$C:$C,Brokerage!$B341,'YTD Purchases'!$G:$G,Brokerage!S$4)</f>
        <v>0</v>
      </c>
      <c r="T341" s="857">
        <f>SUMIFS('YTD Sales'!$N:$N,'YTD Sales'!$B:$B,Brokerage!$B341,'YTD Sales'!$M:$M,Brokerage!T$4)+SUMIFS('YTD Purchases'!$H:$H,'YTD Purchases'!$C:$C,Brokerage!$B341,'YTD Purchases'!$G:$G,Brokerage!T$4)</f>
        <v>0</v>
      </c>
      <c r="U341" s="857">
        <f>SUMIFS('YTD Sales'!$N:$N,'YTD Sales'!$B:$B,Brokerage!$B341,'YTD Sales'!$M:$M,Brokerage!U$4)+SUMIFS('YTD Purchases'!$H:$H,'YTD Purchases'!$C:$C,Brokerage!$B341,'YTD Purchases'!$G:$G,Brokerage!U$4)</f>
        <v>0</v>
      </c>
      <c r="V341" s="857">
        <f>SUMIFS('YTD Sales'!$N:$N,'YTD Sales'!$B:$B,Brokerage!$B341,'YTD Sales'!$M:$M,Brokerage!V$4)+SUMIFS('YTD Purchases'!$H:$H,'YTD Purchases'!$C:$C,Brokerage!$B341,'YTD Purchases'!$G:$G,Brokerage!V$4)</f>
        <v>0</v>
      </c>
      <c r="W341" s="857">
        <f>SUMIFS('YTD Sales'!$N:$N,'YTD Sales'!$B:$B,Brokerage!$B341,'YTD Sales'!$M:$M,Brokerage!W$4)+SUMIFS('YTD Purchases'!$H:$H,'YTD Purchases'!$C:$C,Brokerage!$B341,'YTD Purchases'!$G:$G,Brokerage!W$4)</f>
        <v>0</v>
      </c>
      <c r="X341" s="857">
        <f>SUMIFS('YTD Sales'!$N:$N,'YTD Sales'!$B:$B,Brokerage!$B341,'YTD Sales'!$M:$M,Brokerage!X$4)+SUMIFS('YTD Purchases'!$H:$H,'YTD Purchases'!$C:$C,Brokerage!$B341,'YTD Purchases'!$G:$G,Brokerage!X$4)</f>
        <v>0</v>
      </c>
      <c r="Y341" s="857">
        <f>SUMIFS('YTD Sales'!$N:$N,'YTD Sales'!$B:$B,Brokerage!$B341,'YTD Sales'!$M:$M,Brokerage!Y$4)+SUMIFS('YTD Purchases'!$H:$H,'YTD Purchases'!$C:$C,Brokerage!$B341,'YTD Purchases'!$G:$G,Brokerage!Y$4)</f>
        <v>0</v>
      </c>
      <c r="Z341" s="857">
        <f>SUMIFS('YTD Sales'!$N:$N,'YTD Sales'!$B:$B,Brokerage!$B341,'YTD Sales'!$M:$M,Brokerage!Z$4)+SUMIFS('YTD Purchases'!$H:$H,'YTD Purchases'!$C:$C,Brokerage!$B341,'YTD Purchases'!$G:$G,Brokerage!Z$4)</f>
        <v>0</v>
      </c>
      <c r="AA341" s="857">
        <f>SUMIFS('YTD Sales'!$N:$N,'YTD Sales'!$B:$B,Brokerage!$B341,'YTD Sales'!$M:$M,Brokerage!AA$4)+SUMIFS('YTD Purchases'!$H:$H,'YTD Purchases'!$C:$C,Brokerage!$B341,'YTD Purchases'!$G:$G,Brokerage!AA$4)</f>
        <v>0</v>
      </c>
      <c r="AB341" s="857">
        <f>SUMIFS('YTD Sales'!$N:$N,'YTD Sales'!$B:$B,Brokerage!$B341,'YTD Sales'!$M:$M,Brokerage!AB$4)+SUMIFS('YTD Purchases'!$H:$H,'YTD Purchases'!$C:$C,Brokerage!$B341,'YTD Purchases'!$G:$G,Brokerage!AB$4)</f>
        <v>0</v>
      </c>
      <c r="AC341" s="857">
        <f>SUMIFS('YTD Sales'!$N:$N,'YTD Sales'!$B:$B,Brokerage!$B341,'YTD Sales'!$M:$M,Brokerage!AC$4)+SUMIFS('YTD Purchases'!$H:$H,'YTD Purchases'!$C:$C,Brokerage!$B341,'YTD Purchases'!$G:$G,Brokerage!AC$4)</f>
        <v>0</v>
      </c>
      <c r="AD341" s="857">
        <f>+SUMIFS(PIB!AG:AG,PIB!AF:AF,Brokerage!AD$4,PIB!AA:AA,Brokerage!$B341)+SUMIFS('T-Bills'!AB:AB,'T-Bills'!AA:AA,Brokerage!AD$4,'T-Bills'!V:V,Brokerage!$B341)</f>
        <v>0</v>
      </c>
      <c r="AE341" s="857">
        <f>+SUMIFS(PIB!AH:AH,PIB!AG:AG,Brokerage!AE$4,PIB!AB:AB,Brokerage!$B341)+SUMIFS('T-Bills'!AC:AC,'T-Bills'!AB:AB,Brokerage!AE$4,'T-Bills'!W:W,Brokerage!$B341)</f>
        <v>0</v>
      </c>
      <c r="AF341" s="857">
        <f>+SUMIFS(PIB!AI:AI,PIB!AH:AH,Brokerage!AF$4,PIB!AC:AC,Brokerage!$B341)+SUMIFS('T-Bills'!AD:AD,'T-Bills'!AC:AC,Brokerage!AF$4,'T-Bills'!X:X,Brokerage!$B341)</f>
        <v>0</v>
      </c>
      <c r="AG341" s="857">
        <f t="shared" si="30"/>
        <v>0</v>
      </c>
      <c r="AH341" s="858">
        <f t="shared" si="28"/>
        <v>0</v>
      </c>
    </row>
    <row r="342" spans="2:34" x14ac:dyDescent="0.15">
      <c r="B342" s="661">
        <f t="shared" si="29"/>
        <v>44898</v>
      </c>
      <c r="C342" s="857">
        <f>SUMIFS('YTD Sales'!$N:$N,'YTD Sales'!$B:$B,Brokerage!$B342,'YTD Sales'!$M:$M,Brokerage!C$4)+SUMIFS('YTD Purchases'!$H:$H,'YTD Purchases'!$C:$C,Brokerage!$B342,'YTD Purchases'!$G:$G,Brokerage!C$4)</f>
        <v>0</v>
      </c>
      <c r="D342" s="857">
        <f>SUMIFS('YTD Sales'!$N:$N,'YTD Sales'!$B:$B,Brokerage!$B342,'YTD Sales'!$M:$M,Brokerage!D$4)+SUMIFS('YTD Purchases'!$H:$H,'YTD Purchases'!$C:$C,Brokerage!$B342,'YTD Purchases'!$G:$G,Brokerage!D$4)</f>
        <v>0</v>
      </c>
      <c r="E342" s="857">
        <f>SUMIFS('YTD Sales'!$N:$N,'YTD Sales'!$B:$B,Brokerage!$B342,'YTD Sales'!$M:$M,Brokerage!E$4)+SUMIFS('YTD Purchases'!$H:$H,'YTD Purchases'!$C:$C,Brokerage!$B342,'YTD Purchases'!$G:$G,Brokerage!E$4)</f>
        <v>0</v>
      </c>
      <c r="F342" s="857">
        <f>SUMIFS('YTD Sales'!$N:$N,'YTD Sales'!$B:$B,Brokerage!$B342,'YTD Sales'!$M:$M,Brokerage!F$4)+SUMIFS('YTD Purchases'!$H:$H,'YTD Purchases'!$C:$C,Brokerage!$B342,'YTD Purchases'!$G:$G,Brokerage!F$4)</f>
        <v>0</v>
      </c>
      <c r="G342" s="857">
        <f>SUMIFS('YTD Sales'!$N:$N,'YTD Sales'!$B:$B,Brokerage!$B342,'YTD Sales'!$M:$M,Brokerage!G$4)+SUMIFS('YTD Purchases'!$H:$H,'YTD Purchases'!$C:$C,Brokerage!$B342,'YTD Purchases'!$G:$G,Brokerage!G$4)</f>
        <v>0</v>
      </c>
      <c r="H342" s="857">
        <f>SUMIFS('YTD Sales'!$N:$N,'YTD Sales'!$B:$B,Brokerage!$B342,'YTD Sales'!$M:$M,Brokerage!H$4)+SUMIFS('YTD Purchases'!$H:$H,'YTD Purchases'!$C:$C,Brokerage!$B342,'YTD Purchases'!$G:$G,Brokerage!H$4)</f>
        <v>0</v>
      </c>
      <c r="I342" s="857">
        <f>SUMIFS('YTD Sales'!$N:$N,'YTD Sales'!$B:$B,Brokerage!$B342,'YTD Sales'!$M:$M,Brokerage!I$4)+SUMIFS('YTD Purchases'!$H:$H,'YTD Purchases'!$C:$C,Brokerage!$B342,'YTD Purchases'!$G:$G,Brokerage!I$4)</f>
        <v>0</v>
      </c>
      <c r="J342" s="857">
        <f>SUMIFS('YTD Sales'!$N:$N,'YTD Sales'!$B:$B,Brokerage!$B342,'YTD Sales'!$M:$M,Brokerage!J$4)+SUMIFS('YTD Purchases'!$H:$H,'YTD Purchases'!$C:$C,Brokerage!$B342,'YTD Purchases'!$G:$G,Brokerage!J$4)</f>
        <v>0</v>
      </c>
      <c r="K342" s="857">
        <f>SUMIFS('YTD Sales'!$N:$N,'YTD Sales'!$B:$B,Brokerage!$B342,'YTD Sales'!$M:$M,Brokerage!K$4)+SUMIFS('YTD Purchases'!$H:$H,'YTD Purchases'!$C:$C,Brokerage!$B342,'YTD Purchases'!$G:$G,Brokerage!K$4)</f>
        <v>0</v>
      </c>
      <c r="L342" s="857">
        <f>SUMIFS('YTD Sales'!$N:$N,'YTD Sales'!$B:$B,Brokerage!$B342,'YTD Sales'!$M:$M,Brokerage!L$4)+SUMIFS('YTD Purchases'!$H:$H,'YTD Purchases'!$C:$C,Brokerage!$B342,'YTD Purchases'!$G:$G,Brokerage!L$4)</f>
        <v>0</v>
      </c>
      <c r="M342" s="857">
        <f>SUMIFS('YTD Sales'!$N:$N,'YTD Sales'!$B:$B,Brokerage!$B342,'YTD Sales'!$M:$M,Brokerage!M$4)+SUMIFS('YTD Purchases'!$H:$H,'YTD Purchases'!$C:$C,Brokerage!$B342,'YTD Purchases'!$G:$G,Brokerage!M$4)</f>
        <v>0</v>
      </c>
      <c r="N342" s="857">
        <f>SUMIFS('YTD Sales'!$N:$N,'YTD Sales'!$B:$B,Brokerage!$B342,'YTD Sales'!$M:$M,Brokerage!N$4)+SUMIFS('YTD Purchases'!$H:$H,'YTD Purchases'!$C:$C,Brokerage!$B342,'YTD Purchases'!$G:$G,Brokerage!N$4)</f>
        <v>0</v>
      </c>
      <c r="O342" s="857">
        <f>SUMIFS('YTD Sales'!$N:$N,'YTD Sales'!$B:$B,Brokerage!$B342,'YTD Sales'!$M:$M,Brokerage!O$4)+SUMIFS('YTD Purchases'!$H:$H,'YTD Purchases'!$C:$C,Brokerage!$B342,'YTD Purchases'!$G:$G,Brokerage!O$4)</f>
        <v>0</v>
      </c>
      <c r="P342" s="857">
        <f>SUMIFS('YTD Sales'!$N:$N,'YTD Sales'!$B:$B,Brokerage!$B342,'YTD Sales'!$M:$M,Brokerage!P$4)+SUMIFS('YTD Purchases'!$H:$H,'YTD Purchases'!$C:$C,Brokerage!$B342,'YTD Purchases'!$G:$G,Brokerage!P$4)</f>
        <v>0</v>
      </c>
      <c r="Q342" s="857">
        <f>SUMIFS('YTD Sales'!$N:$N,'YTD Sales'!$B:$B,Brokerage!$B342,'YTD Sales'!$M:$M,Brokerage!Q$4)+SUMIFS('YTD Purchases'!$H:$H,'YTD Purchases'!$C:$C,Brokerage!$B342,'YTD Purchases'!$G:$G,Brokerage!Q$4)</f>
        <v>0</v>
      </c>
      <c r="R342" s="857">
        <f>SUMIFS('YTD Sales'!$N:$N,'YTD Sales'!$B:$B,Brokerage!$B342,'YTD Sales'!$M:$M,Brokerage!R$4)+SUMIFS('YTD Purchases'!$H:$H,'YTD Purchases'!$C:$C,Brokerage!$B342,'YTD Purchases'!$G:$G,Brokerage!R$4)</f>
        <v>0</v>
      </c>
      <c r="S342" s="857">
        <f>SUMIFS('YTD Sales'!$N:$N,'YTD Sales'!$B:$B,Brokerage!$B342,'YTD Sales'!$M:$M,Brokerage!S$4)+SUMIFS('YTD Purchases'!$H:$H,'YTD Purchases'!$C:$C,Brokerage!$B342,'YTD Purchases'!$G:$G,Brokerage!S$4)</f>
        <v>0</v>
      </c>
      <c r="T342" s="857">
        <f>SUMIFS('YTD Sales'!$N:$N,'YTD Sales'!$B:$B,Brokerage!$B342,'YTD Sales'!$M:$M,Brokerage!T$4)+SUMIFS('YTD Purchases'!$H:$H,'YTD Purchases'!$C:$C,Brokerage!$B342,'YTD Purchases'!$G:$G,Brokerage!T$4)</f>
        <v>0</v>
      </c>
      <c r="U342" s="857">
        <f>SUMIFS('YTD Sales'!$N:$N,'YTD Sales'!$B:$B,Brokerage!$B342,'YTD Sales'!$M:$M,Brokerage!U$4)+SUMIFS('YTD Purchases'!$H:$H,'YTD Purchases'!$C:$C,Brokerage!$B342,'YTD Purchases'!$G:$G,Brokerage!U$4)</f>
        <v>0</v>
      </c>
      <c r="V342" s="857">
        <f>SUMIFS('YTD Sales'!$N:$N,'YTD Sales'!$B:$B,Brokerage!$B342,'YTD Sales'!$M:$M,Brokerage!V$4)+SUMIFS('YTD Purchases'!$H:$H,'YTD Purchases'!$C:$C,Brokerage!$B342,'YTD Purchases'!$G:$G,Brokerage!V$4)</f>
        <v>0</v>
      </c>
      <c r="W342" s="857">
        <f>SUMIFS('YTD Sales'!$N:$N,'YTD Sales'!$B:$B,Brokerage!$B342,'YTD Sales'!$M:$M,Brokerage!W$4)+SUMIFS('YTD Purchases'!$H:$H,'YTD Purchases'!$C:$C,Brokerage!$B342,'YTD Purchases'!$G:$G,Brokerage!W$4)</f>
        <v>0</v>
      </c>
      <c r="X342" s="857">
        <f>SUMIFS('YTD Sales'!$N:$N,'YTD Sales'!$B:$B,Brokerage!$B342,'YTD Sales'!$M:$M,Brokerage!X$4)+SUMIFS('YTD Purchases'!$H:$H,'YTD Purchases'!$C:$C,Brokerage!$B342,'YTD Purchases'!$G:$G,Brokerage!X$4)</f>
        <v>0</v>
      </c>
      <c r="Y342" s="857">
        <f>SUMIFS('YTD Sales'!$N:$N,'YTD Sales'!$B:$B,Brokerage!$B342,'YTD Sales'!$M:$M,Brokerage!Y$4)+SUMIFS('YTD Purchases'!$H:$H,'YTD Purchases'!$C:$C,Brokerage!$B342,'YTD Purchases'!$G:$G,Brokerage!Y$4)</f>
        <v>0</v>
      </c>
      <c r="Z342" s="857">
        <f>SUMIFS('YTD Sales'!$N:$N,'YTD Sales'!$B:$B,Brokerage!$B342,'YTD Sales'!$M:$M,Brokerage!Z$4)+SUMIFS('YTD Purchases'!$H:$H,'YTD Purchases'!$C:$C,Brokerage!$B342,'YTD Purchases'!$G:$G,Brokerage!Z$4)</f>
        <v>0</v>
      </c>
      <c r="AA342" s="857">
        <f>SUMIFS('YTD Sales'!$N:$N,'YTD Sales'!$B:$B,Brokerage!$B342,'YTD Sales'!$M:$M,Brokerage!AA$4)+SUMIFS('YTD Purchases'!$H:$H,'YTD Purchases'!$C:$C,Brokerage!$B342,'YTD Purchases'!$G:$G,Brokerage!AA$4)</f>
        <v>0</v>
      </c>
      <c r="AB342" s="857">
        <f>SUMIFS('YTD Sales'!$N:$N,'YTD Sales'!$B:$B,Brokerage!$B342,'YTD Sales'!$M:$M,Brokerage!AB$4)+SUMIFS('YTD Purchases'!$H:$H,'YTD Purchases'!$C:$C,Brokerage!$B342,'YTD Purchases'!$G:$G,Brokerage!AB$4)</f>
        <v>0</v>
      </c>
      <c r="AC342" s="857">
        <f>SUMIFS('YTD Sales'!$N:$N,'YTD Sales'!$B:$B,Brokerage!$B342,'YTD Sales'!$M:$M,Brokerage!AC$4)+SUMIFS('YTD Purchases'!$H:$H,'YTD Purchases'!$C:$C,Brokerage!$B342,'YTD Purchases'!$G:$G,Brokerage!AC$4)</f>
        <v>0</v>
      </c>
      <c r="AD342" s="857">
        <f>+SUMIFS(PIB!AG:AG,PIB!AF:AF,Brokerage!AD$4,PIB!AA:AA,Brokerage!$B342)+SUMIFS('T-Bills'!AB:AB,'T-Bills'!AA:AA,Brokerage!AD$4,'T-Bills'!V:V,Brokerage!$B342)</f>
        <v>0</v>
      </c>
      <c r="AE342" s="857">
        <f>+SUMIFS(PIB!AH:AH,PIB!AG:AG,Brokerage!AE$4,PIB!AB:AB,Brokerage!$B342)+SUMIFS('T-Bills'!AC:AC,'T-Bills'!AB:AB,Brokerage!AE$4,'T-Bills'!W:W,Brokerage!$B342)</f>
        <v>0</v>
      </c>
      <c r="AF342" s="857">
        <f>+SUMIFS(PIB!AI:AI,PIB!AH:AH,Brokerage!AF$4,PIB!AC:AC,Brokerage!$B342)+SUMIFS('T-Bills'!AD:AD,'T-Bills'!AC:AC,Brokerage!AF$4,'T-Bills'!X:X,Brokerage!$B342)</f>
        <v>0</v>
      </c>
      <c r="AG342" s="857">
        <f t="shared" si="30"/>
        <v>0</v>
      </c>
      <c r="AH342" s="858">
        <f t="shared" si="28"/>
        <v>0</v>
      </c>
    </row>
    <row r="343" spans="2:34" x14ac:dyDescent="0.15">
      <c r="B343" s="661">
        <f t="shared" si="29"/>
        <v>44899</v>
      </c>
      <c r="C343" s="857">
        <f>SUMIFS('YTD Sales'!$N:$N,'YTD Sales'!$B:$B,Brokerage!$B343,'YTD Sales'!$M:$M,Brokerage!C$4)+SUMIFS('YTD Purchases'!$H:$H,'YTD Purchases'!$C:$C,Brokerage!$B343,'YTD Purchases'!$G:$G,Brokerage!C$4)</f>
        <v>0</v>
      </c>
      <c r="D343" s="857">
        <f>SUMIFS('YTD Sales'!$N:$N,'YTD Sales'!$B:$B,Brokerage!$B343,'YTD Sales'!$M:$M,Brokerage!D$4)+SUMIFS('YTD Purchases'!$H:$H,'YTD Purchases'!$C:$C,Brokerage!$B343,'YTD Purchases'!$G:$G,Brokerage!D$4)</f>
        <v>0</v>
      </c>
      <c r="E343" s="857">
        <f>SUMIFS('YTD Sales'!$N:$N,'YTD Sales'!$B:$B,Brokerage!$B343,'YTD Sales'!$M:$M,Brokerage!E$4)+SUMIFS('YTD Purchases'!$H:$H,'YTD Purchases'!$C:$C,Brokerage!$B343,'YTD Purchases'!$G:$G,Brokerage!E$4)</f>
        <v>0</v>
      </c>
      <c r="F343" s="857">
        <f>SUMIFS('YTD Sales'!$N:$N,'YTD Sales'!$B:$B,Brokerage!$B343,'YTD Sales'!$M:$M,Brokerage!F$4)+SUMIFS('YTD Purchases'!$H:$H,'YTD Purchases'!$C:$C,Brokerage!$B343,'YTD Purchases'!$G:$G,Brokerage!F$4)</f>
        <v>0</v>
      </c>
      <c r="G343" s="857">
        <f>SUMIFS('YTD Sales'!$N:$N,'YTD Sales'!$B:$B,Brokerage!$B343,'YTD Sales'!$M:$M,Brokerage!G$4)+SUMIFS('YTD Purchases'!$H:$H,'YTD Purchases'!$C:$C,Brokerage!$B343,'YTD Purchases'!$G:$G,Brokerage!G$4)</f>
        <v>0</v>
      </c>
      <c r="H343" s="857">
        <f>SUMIFS('YTD Sales'!$N:$N,'YTD Sales'!$B:$B,Brokerage!$B343,'YTD Sales'!$M:$M,Brokerage!H$4)+SUMIFS('YTD Purchases'!$H:$H,'YTD Purchases'!$C:$C,Brokerage!$B343,'YTD Purchases'!$G:$G,Brokerage!H$4)</f>
        <v>0</v>
      </c>
      <c r="I343" s="857">
        <f>SUMIFS('YTD Sales'!$N:$N,'YTD Sales'!$B:$B,Brokerage!$B343,'YTD Sales'!$M:$M,Brokerage!I$4)+SUMIFS('YTD Purchases'!$H:$H,'YTD Purchases'!$C:$C,Brokerage!$B343,'YTD Purchases'!$G:$G,Brokerage!I$4)</f>
        <v>0</v>
      </c>
      <c r="J343" s="857">
        <f>SUMIFS('YTD Sales'!$N:$N,'YTD Sales'!$B:$B,Brokerage!$B343,'YTD Sales'!$M:$M,Brokerage!J$4)+SUMIFS('YTD Purchases'!$H:$H,'YTD Purchases'!$C:$C,Brokerage!$B343,'YTD Purchases'!$G:$G,Brokerage!J$4)</f>
        <v>0</v>
      </c>
      <c r="K343" s="857">
        <f>SUMIFS('YTD Sales'!$N:$N,'YTD Sales'!$B:$B,Brokerage!$B343,'YTD Sales'!$M:$M,Brokerage!K$4)+SUMIFS('YTD Purchases'!$H:$H,'YTD Purchases'!$C:$C,Brokerage!$B343,'YTD Purchases'!$G:$G,Brokerage!K$4)</f>
        <v>0</v>
      </c>
      <c r="L343" s="857">
        <f>SUMIFS('YTD Sales'!$N:$N,'YTD Sales'!$B:$B,Brokerage!$B343,'YTD Sales'!$M:$M,Brokerage!L$4)+SUMIFS('YTD Purchases'!$H:$H,'YTD Purchases'!$C:$C,Brokerage!$B343,'YTD Purchases'!$G:$G,Brokerage!L$4)</f>
        <v>0</v>
      </c>
      <c r="M343" s="857">
        <f>SUMIFS('YTD Sales'!$N:$N,'YTD Sales'!$B:$B,Brokerage!$B343,'YTD Sales'!$M:$M,Brokerage!M$4)+SUMIFS('YTD Purchases'!$H:$H,'YTD Purchases'!$C:$C,Brokerage!$B343,'YTD Purchases'!$G:$G,Brokerage!M$4)</f>
        <v>0</v>
      </c>
      <c r="N343" s="857">
        <f>SUMIFS('YTD Sales'!$N:$N,'YTD Sales'!$B:$B,Brokerage!$B343,'YTD Sales'!$M:$M,Brokerage!N$4)+SUMIFS('YTD Purchases'!$H:$H,'YTD Purchases'!$C:$C,Brokerage!$B343,'YTD Purchases'!$G:$G,Brokerage!N$4)</f>
        <v>0</v>
      </c>
      <c r="O343" s="857">
        <f>SUMIFS('YTD Sales'!$N:$N,'YTD Sales'!$B:$B,Brokerage!$B343,'YTD Sales'!$M:$M,Brokerage!O$4)+SUMIFS('YTD Purchases'!$H:$H,'YTD Purchases'!$C:$C,Brokerage!$B343,'YTD Purchases'!$G:$G,Brokerage!O$4)</f>
        <v>0</v>
      </c>
      <c r="P343" s="857">
        <f>SUMIFS('YTD Sales'!$N:$N,'YTD Sales'!$B:$B,Brokerage!$B343,'YTD Sales'!$M:$M,Brokerage!P$4)+SUMIFS('YTD Purchases'!$H:$H,'YTD Purchases'!$C:$C,Brokerage!$B343,'YTD Purchases'!$G:$G,Brokerage!P$4)</f>
        <v>0</v>
      </c>
      <c r="Q343" s="857">
        <f>SUMIFS('YTD Sales'!$N:$N,'YTD Sales'!$B:$B,Brokerage!$B343,'YTD Sales'!$M:$M,Brokerage!Q$4)+SUMIFS('YTD Purchases'!$H:$H,'YTD Purchases'!$C:$C,Brokerage!$B343,'YTD Purchases'!$G:$G,Brokerage!Q$4)</f>
        <v>0</v>
      </c>
      <c r="R343" s="857">
        <f>SUMIFS('YTD Sales'!$N:$N,'YTD Sales'!$B:$B,Brokerage!$B343,'YTD Sales'!$M:$M,Brokerage!R$4)+SUMIFS('YTD Purchases'!$H:$H,'YTD Purchases'!$C:$C,Brokerage!$B343,'YTD Purchases'!$G:$G,Brokerage!R$4)</f>
        <v>0</v>
      </c>
      <c r="S343" s="857">
        <f>SUMIFS('YTD Sales'!$N:$N,'YTD Sales'!$B:$B,Brokerage!$B343,'YTD Sales'!$M:$M,Brokerage!S$4)+SUMIFS('YTD Purchases'!$H:$H,'YTD Purchases'!$C:$C,Brokerage!$B343,'YTD Purchases'!$G:$G,Brokerage!S$4)</f>
        <v>0</v>
      </c>
      <c r="T343" s="857">
        <f>SUMIFS('YTD Sales'!$N:$N,'YTD Sales'!$B:$B,Brokerage!$B343,'YTD Sales'!$M:$M,Brokerage!T$4)+SUMIFS('YTD Purchases'!$H:$H,'YTD Purchases'!$C:$C,Brokerage!$B343,'YTD Purchases'!$G:$G,Brokerage!T$4)</f>
        <v>0</v>
      </c>
      <c r="U343" s="857">
        <f>SUMIFS('YTD Sales'!$N:$N,'YTD Sales'!$B:$B,Brokerage!$B343,'YTD Sales'!$M:$M,Brokerage!U$4)+SUMIFS('YTD Purchases'!$H:$H,'YTD Purchases'!$C:$C,Brokerage!$B343,'YTD Purchases'!$G:$G,Brokerage!U$4)</f>
        <v>0</v>
      </c>
      <c r="V343" s="857">
        <f>SUMIFS('YTD Sales'!$N:$N,'YTD Sales'!$B:$B,Brokerage!$B343,'YTD Sales'!$M:$M,Brokerage!V$4)+SUMIFS('YTD Purchases'!$H:$H,'YTD Purchases'!$C:$C,Brokerage!$B343,'YTD Purchases'!$G:$G,Brokerage!V$4)</f>
        <v>0</v>
      </c>
      <c r="W343" s="857">
        <f>SUMIFS('YTD Sales'!$N:$N,'YTD Sales'!$B:$B,Brokerage!$B343,'YTD Sales'!$M:$M,Brokerage!W$4)+SUMIFS('YTD Purchases'!$H:$H,'YTD Purchases'!$C:$C,Brokerage!$B343,'YTD Purchases'!$G:$G,Brokerage!W$4)</f>
        <v>0</v>
      </c>
      <c r="X343" s="857">
        <f>SUMIFS('YTD Sales'!$N:$N,'YTD Sales'!$B:$B,Brokerage!$B343,'YTD Sales'!$M:$M,Brokerage!X$4)+SUMIFS('YTD Purchases'!$H:$H,'YTD Purchases'!$C:$C,Brokerage!$B343,'YTD Purchases'!$G:$G,Brokerage!X$4)</f>
        <v>0</v>
      </c>
      <c r="Y343" s="857">
        <f>SUMIFS('YTD Sales'!$N:$N,'YTD Sales'!$B:$B,Brokerage!$B343,'YTD Sales'!$M:$M,Brokerage!Y$4)+SUMIFS('YTD Purchases'!$H:$H,'YTD Purchases'!$C:$C,Brokerage!$B343,'YTD Purchases'!$G:$G,Brokerage!Y$4)</f>
        <v>0</v>
      </c>
      <c r="Z343" s="857">
        <f>SUMIFS('YTD Sales'!$N:$N,'YTD Sales'!$B:$B,Brokerage!$B343,'YTD Sales'!$M:$M,Brokerage!Z$4)+SUMIFS('YTD Purchases'!$H:$H,'YTD Purchases'!$C:$C,Brokerage!$B343,'YTD Purchases'!$G:$G,Brokerage!Z$4)</f>
        <v>0</v>
      </c>
      <c r="AA343" s="857">
        <f>SUMIFS('YTD Sales'!$N:$N,'YTD Sales'!$B:$B,Brokerage!$B343,'YTD Sales'!$M:$M,Brokerage!AA$4)+SUMIFS('YTD Purchases'!$H:$H,'YTD Purchases'!$C:$C,Brokerage!$B343,'YTD Purchases'!$G:$G,Brokerage!AA$4)</f>
        <v>0</v>
      </c>
      <c r="AB343" s="857">
        <f>SUMIFS('YTD Sales'!$N:$N,'YTD Sales'!$B:$B,Brokerage!$B343,'YTD Sales'!$M:$M,Brokerage!AB$4)+SUMIFS('YTD Purchases'!$H:$H,'YTD Purchases'!$C:$C,Brokerage!$B343,'YTD Purchases'!$G:$G,Brokerage!AB$4)</f>
        <v>0</v>
      </c>
      <c r="AC343" s="857">
        <f>SUMIFS('YTD Sales'!$N:$N,'YTD Sales'!$B:$B,Brokerage!$B343,'YTD Sales'!$M:$M,Brokerage!AC$4)+SUMIFS('YTD Purchases'!$H:$H,'YTD Purchases'!$C:$C,Brokerage!$B343,'YTD Purchases'!$G:$G,Brokerage!AC$4)</f>
        <v>0</v>
      </c>
      <c r="AD343" s="857">
        <f>+SUMIFS(PIB!AG:AG,PIB!AF:AF,Brokerage!AD$4,PIB!AA:AA,Brokerage!$B343)+SUMIFS('T-Bills'!AB:AB,'T-Bills'!AA:AA,Brokerage!AD$4,'T-Bills'!V:V,Brokerage!$B343)</f>
        <v>0</v>
      </c>
      <c r="AE343" s="857">
        <f>+SUMIFS(PIB!AH:AH,PIB!AG:AG,Brokerage!AE$4,PIB!AB:AB,Brokerage!$B343)+SUMIFS('T-Bills'!AC:AC,'T-Bills'!AB:AB,Brokerage!AE$4,'T-Bills'!W:W,Brokerage!$B343)</f>
        <v>0</v>
      </c>
      <c r="AF343" s="857">
        <f>+SUMIFS(PIB!AI:AI,PIB!AH:AH,Brokerage!AF$4,PIB!AC:AC,Brokerage!$B343)+SUMIFS('T-Bills'!AD:AD,'T-Bills'!AC:AC,Brokerage!AF$4,'T-Bills'!X:X,Brokerage!$B343)</f>
        <v>0</v>
      </c>
      <c r="AG343" s="857">
        <f t="shared" si="30"/>
        <v>0</v>
      </c>
      <c r="AH343" s="858">
        <f t="shared" si="28"/>
        <v>0</v>
      </c>
    </row>
    <row r="344" spans="2:34" x14ac:dyDescent="0.15">
      <c r="B344" s="661">
        <f t="shared" si="29"/>
        <v>44900</v>
      </c>
      <c r="C344" s="857">
        <f>SUMIFS('YTD Sales'!$N:$N,'YTD Sales'!$B:$B,Brokerage!$B344,'YTD Sales'!$M:$M,Brokerage!C$4)+SUMIFS('YTD Purchases'!$H:$H,'YTD Purchases'!$C:$C,Brokerage!$B344,'YTD Purchases'!$G:$G,Brokerage!C$4)</f>
        <v>0</v>
      </c>
      <c r="D344" s="857">
        <f>SUMIFS('YTD Sales'!$N:$N,'YTD Sales'!$B:$B,Brokerage!$B344,'YTD Sales'!$M:$M,Brokerage!D$4)+SUMIFS('YTD Purchases'!$H:$H,'YTD Purchases'!$C:$C,Brokerage!$B344,'YTD Purchases'!$G:$G,Brokerage!D$4)</f>
        <v>0</v>
      </c>
      <c r="E344" s="857">
        <f>SUMIFS('YTD Sales'!$N:$N,'YTD Sales'!$B:$B,Brokerage!$B344,'YTD Sales'!$M:$M,Brokerage!E$4)+SUMIFS('YTD Purchases'!$H:$H,'YTD Purchases'!$C:$C,Brokerage!$B344,'YTD Purchases'!$G:$G,Brokerage!E$4)</f>
        <v>0</v>
      </c>
      <c r="F344" s="857">
        <f>SUMIFS('YTD Sales'!$N:$N,'YTD Sales'!$B:$B,Brokerage!$B344,'YTD Sales'!$M:$M,Brokerage!F$4)+SUMIFS('YTD Purchases'!$H:$H,'YTD Purchases'!$C:$C,Brokerage!$B344,'YTD Purchases'!$G:$G,Brokerage!F$4)</f>
        <v>0</v>
      </c>
      <c r="G344" s="857">
        <f>SUMIFS('YTD Sales'!$N:$N,'YTD Sales'!$B:$B,Brokerage!$B344,'YTD Sales'!$M:$M,Brokerage!G$4)+SUMIFS('YTD Purchases'!$H:$H,'YTD Purchases'!$C:$C,Brokerage!$B344,'YTD Purchases'!$G:$G,Brokerage!G$4)</f>
        <v>0</v>
      </c>
      <c r="H344" s="857">
        <f>SUMIFS('YTD Sales'!$N:$N,'YTD Sales'!$B:$B,Brokerage!$B344,'YTD Sales'!$M:$M,Brokerage!H$4)+SUMIFS('YTD Purchases'!$H:$H,'YTD Purchases'!$C:$C,Brokerage!$B344,'YTD Purchases'!$G:$G,Brokerage!H$4)</f>
        <v>0</v>
      </c>
      <c r="I344" s="857">
        <f>SUMIFS('YTD Sales'!$N:$N,'YTD Sales'!$B:$B,Brokerage!$B344,'YTD Sales'!$M:$M,Brokerage!I$4)+SUMIFS('YTD Purchases'!$H:$H,'YTD Purchases'!$C:$C,Brokerage!$B344,'YTD Purchases'!$G:$G,Brokerage!I$4)</f>
        <v>0</v>
      </c>
      <c r="J344" s="857">
        <f>SUMIFS('YTD Sales'!$N:$N,'YTD Sales'!$B:$B,Brokerage!$B344,'YTD Sales'!$M:$M,Brokerage!J$4)+SUMIFS('YTD Purchases'!$H:$H,'YTD Purchases'!$C:$C,Brokerage!$B344,'YTD Purchases'!$G:$G,Brokerage!J$4)</f>
        <v>0</v>
      </c>
      <c r="K344" s="857">
        <f>SUMIFS('YTD Sales'!$N:$N,'YTD Sales'!$B:$B,Brokerage!$B344,'YTD Sales'!$M:$M,Brokerage!K$4)+SUMIFS('YTD Purchases'!$H:$H,'YTD Purchases'!$C:$C,Brokerage!$B344,'YTD Purchases'!$G:$G,Brokerage!K$4)</f>
        <v>0</v>
      </c>
      <c r="L344" s="857">
        <f>SUMIFS('YTD Sales'!$N:$N,'YTD Sales'!$B:$B,Brokerage!$B344,'YTD Sales'!$M:$M,Brokerage!L$4)+SUMIFS('YTD Purchases'!$H:$H,'YTD Purchases'!$C:$C,Brokerage!$B344,'YTD Purchases'!$G:$G,Brokerage!L$4)</f>
        <v>0</v>
      </c>
      <c r="M344" s="857">
        <f>SUMIFS('YTD Sales'!$N:$N,'YTD Sales'!$B:$B,Brokerage!$B344,'YTD Sales'!$M:$M,Brokerage!M$4)+SUMIFS('YTD Purchases'!$H:$H,'YTD Purchases'!$C:$C,Brokerage!$B344,'YTD Purchases'!$G:$G,Brokerage!M$4)</f>
        <v>0</v>
      </c>
      <c r="N344" s="857">
        <f>SUMIFS('YTD Sales'!$N:$N,'YTD Sales'!$B:$B,Brokerage!$B344,'YTD Sales'!$M:$M,Brokerage!N$4)+SUMIFS('YTD Purchases'!$H:$H,'YTD Purchases'!$C:$C,Brokerage!$B344,'YTD Purchases'!$G:$G,Brokerage!N$4)</f>
        <v>0</v>
      </c>
      <c r="O344" s="857">
        <f>SUMIFS('YTD Sales'!$N:$N,'YTD Sales'!$B:$B,Brokerage!$B344,'YTD Sales'!$M:$M,Brokerage!O$4)+SUMIFS('YTD Purchases'!$H:$H,'YTD Purchases'!$C:$C,Brokerage!$B344,'YTD Purchases'!$G:$G,Brokerage!O$4)</f>
        <v>0</v>
      </c>
      <c r="P344" s="857">
        <f>SUMIFS('YTD Sales'!$N:$N,'YTD Sales'!$B:$B,Brokerage!$B344,'YTD Sales'!$M:$M,Brokerage!P$4)+SUMIFS('YTD Purchases'!$H:$H,'YTD Purchases'!$C:$C,Brokerage!$B344,'YTD Purchases'!$G:$G,Brokerage!P$4)</f>
        <v>0</v>
      </c>
      <c r="Q344" s="857">
        <f>SUMIFS('YTD Sales'!$N:$N,'YTD Sales'!$B:$B,Brokerage!$B344,'YTD Sales'!$M:$M,Brokerage!Q$4)+SUMIFS('YTD Purchases'!$H:$H,'YTD Purchases'!$C:$C,Brokerage!$B344,'YTD Purchases'!$G:$G,Brokerage!Q$4)</f>
        <v>0</v>
      </c>
      <c r="R344" s="857">
        <f>SUMIFS('YTD Sales'!$N:$N,'YTD Sales'!$B:$B,Brokerage!$B344,'YTD Sales'!$M:$M,Brokerage!R$4)+SUMIFS('YTD Purchases'!$H:$H,'YTD Purchases'!$C:$C,Brokerage!$B344,'YTD Purchases'!$G:$G,Brokerage!R$4)</f>
        <v>0</v>
      </c>
      <c r="S344" s="857">
        <f>SUMIFS('YTD Sales'!$N:$N,'YTD Sales'!$B:$B,Brokerage!$B344,'YTD Sales'!$M:$M,Brokerage!S$4)+SUMIFS('YTD Purchases'!$H:$H,'YTD Purchases'!$C:$C,Brokerage!$B344,'YTD Purchases'!$G:$G,Brokerage!S$4)</f>
        <v>0</v>
      </c>
      <c r="T344" s="857">
        <f>SUMIFS('YTD Sales'!$N:$N,'YTD Sales'!$B:$B,Brokerage!$B344,'YTD Sales'!$M:$M,Brokerage!T$4)+SUMIFS('YTD Purchases'!$H:$H,'YTD Purchases'!$C:$C,Brokerage!$B344,'YTD Purchases'!$G:$G,Brokerage!T$4)</f>
        <v>0</v>
      </c>
      <c r="U344" s="857">
        <f>SUMIFS('YTD Sales'!$N:$N,'YTD Sales'!$B:$B,Brokerage!$B344,'YTD Sales'!$M:$M,Brokerage!U$4)+SUMIFS('YTD Purchases'!$H:$H,'YTD Purchases'!$C:$C,Brokerage!$B344,'YTD Purchases'!$G:$G,Brokerage!U$4)</f>
        <v>0</v>
      </c>
      <c r="V344" s="857">
        <f>SUMIFS('YTD Sales'!$N:$N,'YTD Sales'!$B:$B,Brokerage!$B344,'YTD Sales'!$M:$M,Brokerage!V$4)+SUMIFS('YTD Purchases'!$H:$H,'YTD Purchases'!$C:$C,Brokerage!$B344,'YTD Purchases'!$G:$G,Brokerage!V$4)</f>
        <v>0</v>
      </c>
      <c r="W344" s="857">
        <f>SUMIFS('YTD Sales'!$N:$N,'YTD Sales'!$B:$B,Brokerage!$B344,'YTD Sales'!$M:$M,Brokerage!W$4)+SUMIFS('YTD Purchases'!$H:$H,'YTD Purchases'!$C:$C,Brokerage!$B344,'YTD Purchases'!$G:$G,Brokerage!W$4)</f>
        <v>0</v>
      </c>
      <c r="X344" s="857">
        <f>SUMIFS('YTD Sales'!$N:$N,'YTD Sales'!$B:$B,Brokerage!$B344,'YTD Sales'!$M:$M,Brokerage!X$4)+SUMIFS('YTD Purchases'!$H:$H,'YTD Purchases'!$C:$C,Brokerage!$B344,'YTD Purchases'!$G:$G,Brokerage!X$4)</f>
        <v>0</v>
      </c>
      <c r="Y344" s="857">
        <f>SUMIFS('YTD Sales'!$N:$N,'YTD Sales'!$B:$B,Brokerage!$B344,'YTD Sales'!$M:$M,Brokerage!Y$4)+SUMIFS('YTD Purchases'!$H:$H,'YTD Purchases'!$C:$C,Brokerage!$B344,'YTD Purchases'!$G:$G,Brokerage!Y$4)</f>
        <v>0</v>
      </c>
      <c r="Z344" s="857">
        <f>SUMIFS('YTD Sales'!$N:$N,'YTD Sales'!$B:$B,Brokerage!$B344,'YTD Sales'!$M:$M,Brokerage!Z$4)+SUMIFS('YTD Purchases'!$H:$H,'YTD Purchases'!$C:$C,Brokerage!$B344,'YTD Purchases'!$G:$G,Brokerage!Z$4)</f>
        <v>0</v>
      </c>
      <c r="AA344" s="857">
        <f>SUMIFS('YTD Sales'!$N:$N,'YTD Sales'!$B:$B,Brokerage!$B344,'YTD Sales'!$M:$M,Brokerage!AA$4)+SUMIFS('YTD Purchases'!$H:$H,'YTD Purchases'!$C:$C,Brokerage!$B344,'YTD Purchases'!$G:$G,Brokerage!AA$4)</f>
        <v>0</v>
      </c>
      <c r="AB344" s="857">
        <f>SUMIFS('YTD Sales'!$N:$N,'YTD Sales'!$B:$B,Brokerage!$B344,'YTD Sales'!$M:$M,Brokerage!AB$4)+SUMIFS('YTD Purchases'!$H:$H,'YTD Purchases'!$C:$C,Brokerage!$B344,'YTD Purchases'!$G:$G,Brokerage!AB$4)</f>
        <v>0</v>
      </c>
      <c r="AC344" s="857">
        <f>SUMIFS('YTD Sales'!$N:$N,'YTD Sales'!$B:$B,Brokerage!$B344,'YTD Sales'!$M:$M,Brokerage!AC$4)+SUMIFS('YTD Purchases'!$H:$H,'YTD Purchases'!$C:$C,Brokerage!$B344,'YTD Purchases'!$G:$G,Brokerage!AC$4)</f>
        <v>0</v>
      </c>
      <c r="AD344" s="857">
        <f>+SUMIFS(PIB!AG:AG,PIB!AF:AF,Brokerage!AD$4,PIB!AA:AA,Brokerage!$B344)+SUMIFS('T-Bills'!AB:AB,'T-Bills'!AA:AA,Brokerage!AD$4,'T-Bills'!V:V,Brokerage!$B344)</f>
        <v>0</v>
      </c>
      <c r="AE344" s="857">
        <f>+SUMIFS(PIB!AH:AH,PIB!AG:AG,Brokerage!AE$4,PIB!AB:AB,Brokerage!$B344)+SUMIFS('T-Bills'!AC:AC,'T-Bills'!AB:AB,Brokerage!AE$4,'T-Bills'!W:W,Brokerage!$B344)</f>
        <v>0</v>
      </c>
      <c r="AF344" s="857">
        <f>+SUMIFS(PIB!AI:AI,PIB!AH:AH,Brokerage!AF$4,PIB!AC:AC,Brokerage!$B344)+SUMIFS('T-Bills'!AD:AD,'T-Bills'!AC:AC,Brokerage!AF$4,'T-Bills'!X:X,Brokerage!$B344)</f>
        <v>0</v>
      </c>
      <c r="AG344" s="857">
        <f t="shared" si="30"/>
        <v>0</v>
      </c>
      <c r="AH344" s="858">
        <f t="shared" si="28"/>
        <v>0</v>
      </c>
    </row>
    <row r="345" spans="2:34" x14ac:dyDescent="0.15">
      <c r="B345" s="661">
        <f t="shared" si="29"/>
        <v>44901</v>
      </c>
      <c r="C345" s="857">
        <f>SUMIFS('YTD Sales'!$N:$N,'YTD Sales'!$B:$B,Brokerage!$B345,'YTD Sales'!$M:$M,Brokerage!C$4)+SUMIFS('YTD Purchases'!$H:$H,'YTD Purchases'!$C:$C,Brokerage!$B345,'YTD Purchases'!$G:$G,Brokerage!C$4)</f>
        <v>0</v>
      </c>
      <c r="D345" s="857">
        <f>SUMIFS('YTD Sales'!$N:$N,'YTD Sales'!$B:$B,Brokerage!$B345,'YTD Sales'!$M:$M,Brokerage!D$4)+SUMIFS('YTD Purchases'!$H:$H,'YTD Purchases'!$C:$C,Brokerage!$B345,'YTD Purchases'!$G:$G,Brokerage!D$4)</f>
        <v>0</v>
      </c>
      <c r="E345" s="857">
        <f>SUMIFS('YTD Sales'!$N:$N,'YTD Sales'!$B:$B,Brokerage!$B345,'YTD Sales'!$M:$M,Brokerage!E$4)+SUMIFS('YTD Purchases'!$H:$H,'YTD Purchases'!$C:$C,Brokerage!$B345,'YTD Purchases'!$G:$G,Brokerage!E$4)</f>
        <v>0</v>
      </c>
      <c r="F345" s="857">
        <f>SUMIFS('YTD Sales'!$N:$N,'YTD Sales'!$B:$B,Brokerage!$B345,'YTD Sales'!$M:$M,Brokerage!F$4)+SUMIFS('YTD Purchases'!$H:$H,'YTD Purchases'!$C:$C,Brokerage!$B345,'YTD Purchases'!$G:$G,Brokerage!F$4)</f>
        <v>0</v>
      </c>
      <c r="G345" s="857">
        <f>SUMIFS('YTD Sales'!$N:$N,'YTD Sales'!$B:$B,Brokerage!$B345,'YTD Sales'!$M:$M,Brokerage!G$4)+SUMIFS('YTD Purchases'!$H:$H,'YTD Purchases'!$C:$C,Brokerage!$B345,'YTD Purchases'!$G:$G,Brokerage!G$4)</f>
        <v>0</v>
      </c>
      <c r="H345" s="857">
        <f>SUMIFS('YTD Sales'!$N:$N,'YTD Sales'!$B:$B,Brokerage!$B345,'YTD Sales'!$M:$M,Brokerage!H$4)+SUMIFS('YTD Purchases'!$H:$H,'YTD Purchases'!$C:$C,Brokerage!$B345,'YTD Purchases'!$G:$G,Brokerage!H$4)</f>
        <v>0</v>
      </c>
      <c r="I345" s="857">
        <f>SUMIFS('YTD Sales'!$N:$N,'YTD Sales'!$B:$B,Brokerage!$B345,'YTD Sales'!$M:$M,Brokerage!I$4)+SUMIFS('YTD Purchases'!$H:$H,'YTD Purchases'!$C:$C,Brokerage!$B345,'YTD Purchases'!$G:$G,Brokerage!I$4)</f>
        <v>0</v>
      </c>
      <c r="J345" s="857">
        <f>SUMIFS('YTD Sales'!$N:$N,'YTD Sales'!$B:$B,Brokerage!$B345,'YTD Sales'!$M:$M,Brokerage!J$4)+SUMIFS('YTD Purchases'!$H:$H,'YTD Purchases'!$C:$C,Brokerage!$B345,'YTD Purchases'!$G:$G,Brokerage!J$4)</f>
        <v>0</v>
      </c>
      <c r="K345" s="857">
        <f>SUMIFS('YTD Sales'!$N:$N,'YTD Sales'!$B:$B,Brokerage!$B345,'YTD Sales'!$M:$M,Brokerage!K$4)+SUMIFS('YTD Purchases'!$H:$H,'YTD Purchases'!$C:$C,Brokerage!$B345,'YTD Purchases'!$G:$G,Brokerage!K$4)</f>
        <v>0</v>
      </c>
      <c r="L345" s="857">
        <f>SUMIFS('YTD Sales'!$N:$N,'YTD Sales'!$B:$B,Brokerage!$B345,'YTD Sales'!$M:$M,Brokerage!L$4)+SUMIFS('YTD Purchases'!$H:$H,'YTD Purchases'!$C:$C,Brokerage!$B345,'YTD Purchases'!$G:$G,Brokerage!L$4)</f>
        <v>0</v>
      </c>
      <c r="M345" s="857">
        <f>SUMIFS('YTD Sales'!$N:$N,'YTD Sales'!$B:$B,Brokerage!$B345,'YTD Sales'!$M:$M,Brokerage!M$4)+SUMIFS('YTD Purchases'!$H:$H,'YTD Purchases'!$C:$C,Brokerage!$B345,'YTD Purchases'!$G:$G,Brokerage!M$4)</f>
        <v>0</v>
      </c>
      <c r="N345" s="857">
        <f>SUMIFS('YTD Sales'!$N:$N,'YTD Sales'!$B:$B,Brokerage!$B345,'YTD Sales'!$M:$M,Brokerage!N$4)+SUMIFS('YTD Purchases'!$H:$H,'YTD Purchases'!$C:$C,Brokerage!$B345,'YTD Purchases'!$G:$G,Brokerage!N$4)</f>
        <v>0</v>
      </c>
      <c r="O345" s="857">
        <f>SUMIFS('YTD Sales'!$N:$N,'YTD Sales'!$B:$B,Brokerage!$B345,'YTD Sales'!$M:$M,Brokerage!O$4)+SUMIFS('YTD Purchases'!$H:$H,'YTD Purchases'!$C:$C,Brokerage!$B345,'YTD Purchases'!$G:$G,Brokerage!O$4)</f>
        <v>0</v>
      </c>
      <c r="P345" s="857">
        <f>SUMIFS('YTD Sales'!$N:$N,'YTD Sales'!$B:$B,Brokerage!$B345,'YTD Sales'!$M:$M,Brokerage!P$4)+SUMIFS('YTD Purchases'!$H:$H,'YTD Purchases'!$C:$C,Brokerage!$B345,'YTD Purchases'!$G:$G,Brokerage!P$4)</f>
        <v>0</v>
      </c>
      <c r="Q345" s="857">
        <f>SUMIFS('YTD Sales'!$N:$N,'YTD Sales'!$B:$B,Brokerage!$B345,'YTD Sales'!$M:$M,Brokerage!Q$4)+SUMIFS('YTD Purchases'!$H:$H,'YTD Purchases'!$C:$C,Brokerage!$B345,'YTD Purchases'!$G:$G,Brokerage!Q$4)</f>
        <v>0</v>
      </c>
      <c r="R345" s="857">
        <f>SUMIFS('YTD Sales'!$N:$N,'YTD Sales'!$B:$B,Brokerage!$B345,'YTD Sales'!$M:$M,Brokerage!R$4)+SUMIFS('YTD Purchases'!$H:$H,'YTD Purchases'!$C:$C,Brokerage!$B345,'YTD Purchases'!$G:$G,Brokerage!R$4)</f>
        <v>0</v>
      </c>
      <c r="S345" s="857">
        <f>SUMIFS('YTD Sales'!$N:$N,'YTD Sales'!$B:$B,Brokerage!$B345,'YTD Sales'!$M:$M,Brokerage!S$4)+SUMIFS('YTD Purchases'!$H:$H,'YTD Purchases'!$C:$C,Brokerage!$B345,'YTD Purchases'!$G:$G,Brokerage!S$4)</f>
        <v>0</v>
      </c>
      <c r="T345" s="857">
        <f>SUMIFS('YTD Sales'!$N:$N,'YTD Sales'!$B:$B,Brokerage!$B345,'YTD Sales'!$M:$M,Brokerage!T$4)+SUMIFS('YTD Purchases'!$H:$H,'YTD Purchases'!$C:$C,Brokerage!$B345,'YTD Purchases'!$G:$G,Brokerage!T$4)</f>
        <v>0</v>
      </c>
      <c r="U345" s="857">
        <f>SUMIFS('YTD Sales'!$N:$N,'YTD Sales'!$B:$B,Brokerage!$B345,'YTD Sales'!$M:$M,Brokerage!U$4)+SUMIFS('YTD Purchases'!$H:$H,'YTD Purchases'!$C:$C,Brokerage!$B345,'YTD Purchases'!$G:$G,Brokerage!U$4)</f>
        <v>0</v>
      </c>
      <c r="V345" s="857">
        <f>SUMIFS('YTD Sales'!$N:$N,'YTD Sales'!$B:$B,Brokerage!$B345,'YTD Sales'!$M:$M,Brokerage!V$4)+SUMIFS('YTD Purchases'!$H:$H,'YTD Purchases'!$C:$C,Brokerage!$B345,'YTD Purchases'!$G:$G,Brokerage!V$4)</f>
        <v>0</v>
      </c>
      <c r="W345" s="857">
        <f>SUMIFS('YTD Sales'!$N:$N,'YTD Sales'!$B:$B,Brokerage!$B345,'YTD Sales'!$M:$M,Brokerage!W$4)+SUMIFS('YTD Purchases'!$H:$H,'YTD Purchases'!$C:$C,Brokerage!$B345,'YTD Purchases'!$G:$G,Brokerage!W$4)</f>
        <v>0</v>
      </c>
      <c r="X345" s="857">
        <f>SUMIFS('YTD Sales'!$N:$N,'YTD Sales'!$B:$B,Brokerage!$B345,'YTD Sales'!$M:$M,Brokerage!X$4)+SUMIFS('YTD Purchases'!$H:$H,'YTD Purchases'!$C:$C,Brokerage!$B345,'YTD Purchases'!$G:$G,Brokerage!X$4)</f>
        <v>0</v>
      </c>
      <c r="Y345" s="857">
        <f>SUMIFS('YTD Sales'!$N:$N,'YTD Sales'!$B:$B,Brokerage!$B345,'YTD Sales'!$M:$M,Brokerage!Y$4)+SUMIFS('YTD Purchases'!$H:$H,'YTD Purchases'!$C:$C,Brokerage!$B345,'YTD Purchases'!$G:$G,Brokerage!Y$4)</f>
        <v>0</v>
      </c>
      <c r="Z345" s="857">
        <f>SUMIFS('YTD Sales'!$N:$N,'YTD Sales'!$B:$B,Brokerage!$B345,'YTD Sales'!$M:$M,Brokerage!Z$4)+SUMIFS('YTD Purchases'!$H:$H,'YTD Purchases'!$C:$C,Brokerage!$B345,'YTD Purchases'!$G:$G,Brokerage!Z$4)</f>
        <v>0</v>
      </c>
      <c r="AA345" s="857">
        <f>SUMIFS('YTD Sales'!$N:$N,'YTD Sales'!$B:$B,Brokerage!$B345,'YTD Sales'!$M:$M,Brokerage!AA$4)+SUMIFS('YTD Purchases'!$H:$H,'YTD Purchases'!$C:$C,Brokerage!$B345,'YTD Purchases'!$G:$G,Brokerage!AA$4)</f>
        <v>0</v>
      </c>
      <c r="AB345" s="857">
        <f>SUMIFS('YTD Sales'!$N:$N,'YTD Sales'!$B:$B,Brokerage!$B345,'YTD Sales'!$M:$M,Brokerage!AB$4)+SUMIFS('YTD Purchases'!$H:$H,'YTD Purchases'!$C:$C,Brokerage!$B345,'YTD Purchases'!$G:$G,Brokerage!AB$4)</f>
        <v>0</v>
      </c>
      <c r="AC345" s="857">
        <f>SUMIFS('YTD Sales'!$N:$N,'YTD Sales'!$B:$B,Brokerage!$B345,'YTD Sales'!$M:$M,Brokerage!AC$4)+SUMIFS('YTD Purchases'!$H:$H,'YTD Purchases'!$C:$C,Brokerage!$B345,'YTD Purchases'!$G:$G,Brokerage!AC$4)</f>
        <v>0</v>
      </c>
      <c r="AD345" s="857">
        <f>+SUMIFS(PIB!AG:AG,PIB!AF:AF,Brokerage!AD$4,PIB!AA:AA,Brokerage!$B345)+SUMIFS('T-Bills'!AB:AB,'T-Bills'!AA:AA,Brokerage!AD$4,'T-Bills'!V:V,Brokerage!$B345)</f>
        <v>0</v>
      </c>
      <c r="AE345" s="857">
        <f>+SUMIFS(PIB!AH:AH,PIB!AG:AG,Brokerage!AE$4,PIB!AB:AB,Brokerage!$B345)+SUMIFS('T-Bills'!AC:AC,'T-Bills'!AB:AB,Brokerage!AE$4,'T-Bills'!W:W,Brokerage!$B345)</f>
        <v>0</v>
      </c>
      <c r="AF345" s="857">
        <f>+SUMIFS(PIB!AI:AI,PIB!AH:AH,Brokerage!AF$4,PIB!AC:AC,Brokerage!$B345)+SUMIFS('T-Bills'!AD:AD,'T-Bills'!AC:AC,Brokerage!AF$4,'T-Bills'!X:X,Brokerage!$B345)</f>
        <v>0</v>
      </c>
      <c r="AG345" s="857">
        <f t="shared" si="30"/>
        <v>0</v>
      </c>
      <c r="AH345" s="858">
        <f t="shared" si="28"/>
        <v>0</v>
      </c>
    </row>
    <row r="346" spans="2:34" x14ac:dyDescent="0.15">
      <c r="B346" s="661">
        <f t="shared" si="29"/>
        <v>44902</v>
      </c>
      <c r="C346" s="857">
        <f>SUMIFS('YTD Sales'!$N:$N,'YTD Sales'!$B:$B,Brokerage!$B346,'YTD Sales'!$M:$M,Brokerage!C$4)+SUMIFS('YTD Purchases'!$H:$H,'YTD Purchases'!$C:$C,Brokerage!$B346,'YTD Purchases'!$G:$G,Brokerage!C$4)</f>
        <v>0</v>
      </c>
      <c r="D346" s="857">
        <f>SUMIFS('YTD Sales'!$N:$N,'YTD Sales'!$B:$B,Brokerage!$B346,'YTD Sales'!$M:$M,Brokerage!D$4)+SUMIFS('YTD Purchases'!$H:$H,'YTD Purchases'!$C:$C,Brokerage!$B346,'YTD Purchases'!$G:$G,Brokerage!D$4)</f>
        <v>0</v>
      </c>
      <c r="E346" s="857">
        <f>SUMIFS('YTD Sales'!$N:$N,'YTD Sales'!$B:$B,Brokerage!$B346,'YTD Sales'!$M:$M,Brokerage!E$4)+SUMIFS('YTD Purchases'!$H:$H,'YTD Purchases'!$C:$C,Brokerage!$B346,'YTD Purchases'!$G:$G,Brokerage!E$4)</f>
        <v>0</v>
      </c>
      <c r="F346" s="857">
        <f>SUMIFS('YTD Sales'!$N:$N,'YTD Sales'!$B:$B,Brokerage!$B346,'YTD Sales'!$M:$M,Brokerage!F$4)+SUMIFS('YTD Purchases'!$H:$H,'YTD Purchases'!$C:$C,Brokerage!$B346,'YTD Purchases'!$G:$G,Brokerage!F$4)</f>
        <v>0</v>
      </c>
      <c r="G346" s="857">
        <f>SUMIFS('YTD Sales'!$N:$N,'YTD Sales'!$B:$B,Brokerage!$B346,'YTD Sales'!$M:$M,Brokerage!G$4)+SUMIFS('YTD Purchases'!$H:$H,'YTD Purchases'!$C:$C,Brokerage!$B346,'YTD Purchases'!$G:$G,Brokerage!G$4)</f>
        <v>0</v>
      </c>
      <c r="H346" s="857">
        <f>SUMIFS('YTD Sales'!$N:$N,'YTD Sales'!$B:$B,Brokerage!$B346,'YTD Sales'!$M:$M,Brokerage!H$4)+SUMIFS('YTD Purchases'!$H:$H,'YTD Purchases'!$C:$C,Brokerage!$B346,'YTD Purchases'!$G:$G,Brokerage!H$4)</f>
        <v>0</v>
      </c>
      <c r="I346" s="857">
        <f>SUMIFS('YTD Sales'!$N:$N,'YTD Sales'!$B:$B,Brokerage!$B346,'YTD Sales'!$M:$M,Brokerage!I$4)+SUMIFS('YTD Purchases'!$H:$H,'YTD Purchases'!$C:$C,Brokerage!$B346,'YTD Purchases'!$G:$G,Brokerage!I$4)</f>
        <v>0</v>
      </c>
      <c r="J346" s="857">
        <f>SUMIFS('YTD Sales'!$N:$N,'YTD Sales'!$B:$B,Brokerage!$B346,'YTD Sales'!$M:$M,Brokerage!J$4)+SUMIFS('YTD Purchases'!$H:$H,'YTD Purchases'!$C:$C,Brokerage!$B346,'YTD Purchases'!$G:$G,Brokerage!J$4)</f>
        <v>0</v>
      </c>
      <c r="K346" s="857">
        <f>SUMIFS('YTD Sales'!$N:$N,'YTD Sales'!$B:$B,Brokerage!$B346,'YTD Sales'!$M:$M,Brokerage!K$4)+SUMIFS('YTD Purchases'!$H:$H,'YTD Purchases'!$C:$C,Brokerage!$B346,'YTD Purchases'!$G:$G,Brokerage!K$4)</f>
        <v>0</v>
      </c>
      <c r="L346" s="857">
        <f>SUMIFS('YTD Sales'!$N:$N,'YTD Sales'!$B:$B,Brokerage!$B346,'YTD Sales'!$M:$M,Brokerage!L$4)+SUMIFS('YTD Purchases'!$H:$H,'YTD Purchases'!$C:$C,Brokerage!$B346,'YTD Purchases'!$G:$G,Brokerage!L$4)</f>
        <v>0</v>
      </c>
      <c r="M346" s="857">
        <f>SUMIFS('YTD Sales'!$N:$N,'YTD Sales'!$B:$B,Brokerage!$B346,'YTD Sales'!$M:$M,Brokerage!M$4)+SUMIFS('YTD Purchases'!$H:$H,'YTD Purchases'!$C:$C,Brokerage!$B346,'YTD Purchases'!$G:$G,Brokerage!M$4)</f>
        <v>0</v>
      </c>
      <c r="N346" s="857">
        <f>SUMIFS('YTD Sales'!$N:$N,'YTD Sales'!$B:$B,Brokerage!$B346,'YTD Sales'!$M:$M,Brokerage!N$4)+SUMIFS('YTD Purchases'!$H:$H,'YTD Purchases'!$C:$C,Brokerage!$B346,'YTD Purchases'!$G:$G,Brokerage!N$4)</f>
        <v>0</v>
      </c>
      <c r="O346" s="857">
        <f>SUMIFS('YTD Sales'!$N:$N,'YTD Sales'!$B:$B,Brokerage!$B346,'YTD Sales'!$M:$M,Brokerage!O$4)+SUMIFS('YTD Purchases'!$H:$H,'YTD Purchases'!$C:$C,Brokerage!$B346,'YTD Purchases'!$G:$G,Brokerage!O$4)</f>
        <v>0</v>
      </c>
      <c r="P346" s="857">
        <f>SUMIFS('YTD Sales'!$N:$N,'YTD Sales'!$B:$B,Brokerage!$B346,'YTD Sales'!$M:$M,Brokerage!P$4)+SUMIFS('YTD Purchases'!$H:$H,'YTD Purchases'!$C:$C,Brokerage!$B346,'YTD Purchases'!$G:$G,Brokerage!P$4)</f>
        <v>0</v>
      </c>
      <c r="Q346" s="857">
        <f>SUMIFS('YTD Sales'!$N:$N,'YTD Sales'!$B:$B,Brokerage!$B346,'YTD Sales'!$M:$M,Brokerage!Q$4)+SUMIFS('YTD Purchases'!$H:$H,'YTD Purchases'!$C:$C,Brokerage!$B346,'YTD Purchases'!$G:$G,Brokerage!Q$4)</f>
        <v>0</v>
      </c>
      <c r="R346" s="857">
        <f>SUMIFS('YTD Sales'!$N:$N,'YTD Sales'!$B:$B,Brokerage!$B346,'YTD Sales'!$M:$M,Brokerage!R$4)+SUMIFS('YTD Purchases'!$H:$H,'YTD Purchases'!$C:$C,Brokerage!$B346,'YTD Purchases'!$G:$G,Brokerage!R$4)</f>
        <v>0</v>
      </c>
      <c r="S346" s="857">
        <f>SUMIFS('YTD Sales'!$N:$N,'YTD Sales'!$B:$B,Brokerage!$B346,'YTD Sales'!$M:$M,Brokerage!S$4)+SUMIFS('YTD Purchases'!$H:$H,'YTD Purchases'!$C:$C,Brokerage!$B346,'YTD Purchases'!$G:$G,Brokerage!S$4)</f>
        <v>0</v>
      </c>
      <c r="T346" s="857">
        <f>SUMIFS('YTD Sales'!$N:$N,'YTD Sales'!$B:$B,Brokerage!$B346,'YTD Sales'!$M:$M,Brokerage!T$4)+SUMIFS('YTD Purchases'!$H:$H,'YTD Purchases'!$C:$C,Brokerage!$B346,'YTD Purchases'!$G:$G,Brokerage!T$4)</f>
        <v>0</v>
      </c>
      <c r="U346" s="857">
        <f>SUMIFS('YTD Sales'!$N:$N,'YTD Sales'!$B:$B,Brokerage!$B346,'YTD Sales'!$M:$M,Brokerage!U$4)+SUMIFS('YTD Purchases'!$H:$H,'YTD Purchases'!$C:$C,Brokerage!$B346,'YTD Purchases'!$G:$G,Brokerage!U$4)</f>
        <v>0</v>
      </c>
      <c r="V346" s="857">
        <f>SUMIFS('YTD Sales'!$N:$N,'YTD Sales'!$B:$B,Brokerage!$B346,'YTD Sales'!$M:$M,Brokerage!V$4)+SUMIFS('YTD Purchases'!$H:$H,'YTD Purchases'!$C:$C,Brokerage!$B346,'YTD Purchases'!$G:$G,Brokerage!V$4)</f>
        <v>0</v>
      </c>
      <c r="W346" s="857">
        <f>SUMIFS('YTD Sales'!$N:$N,'YTD Sales'!$B:$B,Brokerage!$B346,'YTD Sales'!$M:$M,Brokerage!W$4)+SUMIFS('YTD Purchases'!$H:$H,'YTD Purchases'!$C:$C,Brokerage!$B346,'YTD Purchases'!$G:$G,Brokerage!W$4)</f>
        <v>0</v>
      </c>
      <c r="X346" s="857">
        <f>SUMIFS('YTD Sales'!$N:$N,'YTD Sales'!$B:$B,Brokerage!$B346,'YTD Sales'!$M:$M,Brokerage!X$4)+SUMIFS('YTD Purchases'!$H:$H,'YTD Purchases'!$C:$C,Brokerage!$B346,'YTD Purchases'!$G:$G,Brokerage!X$4)</f>
        <v>0</v>
      </c>
      <c r="Y346" s="857">
        <f>SUMIFS('YTD Sales'!$N:$N,'YTD Sales'!$B:$B,Brokerage!$B346,'YTD Sales'!$M:$M,Brokerage!Y$4)+SUMIFS('YTD Purchases'!$H:$H,'YTD Purchases'!$C:$C,Brokerage!$B346,'YTD Purchases'!$G:$G,Brokerage!Y$4)</f>
        <v>0</v>
      </c>
      <c r="Z346" s="857">
        <f>SUMIFS('YTD Sales'!$N:$N,'YTD Sales'!$B:$B,Brokerage!$B346,'YTD Sales'!$M:$M,Brokerage!Z$4)+SUMIFS('YTD Purchases'!$H:$H,'YTD Purchases'!$C:$C,Brokerage!$B346,'YTD Purchases'!$G:$G,Brokerage!Z$4)</f>
        <v>0</v>
      </c>
      <c r="AA346" s="857">
        <f>SUMIFS('YTD Sales'!$N:$N,'YTD Sales'!$B:$B,Brokerage!$B346,'YTD Sales'!$M:$M,Brokerage!AA$4)+SUMIFS('YTD Purchases'!$H:$H,'YTD Purchases'!$C:$C,Brokerage!$B346,'YTD Purchases'!$G:$G,Brokerage!AA$4)</f>
        <v>0</v>
      </c>
      <c r="AB346" s="857">
        <f>SUMIFS('YTD Sales'!$N:$N,'YTD Sales'!$B:$B,Brokerage!$B346,'YTD Sales'!$M:$M,Brokerage!AB$4)+SUMIFS('YTD Purchases'!$H:$H,'YTD Purchases'!$C:$C,Brokerage!$B346,'YTD Purchases'!$G:$G,Brokerage!AB$4)</f>
        <v>0</v>
      </c>
      <c r="AC346" s="857">
        <f>SUMIFS('YTD Sales'!$N:$N,'YTD Sales'!$B:$B,Brokerage!$B346,'YTD Sales'!$M:$M,Brokerage!AC$4)+SUMIFS('YTD Purchases'!$H:$H,'YTD Purchases'!$C:$C,Brokerage!$B346,'YTD Purchases'!$G:$G,Brokerage!AC$4)</f>
        <v>0</v>
      </c>
      <c r="AD346" s="857">
        <f>+SUMIFS(PIB!AG:AG,PIB!AF:AF,Brokerage!AD$4,PIB!AA:AA,Brokerage!$B346)+SUMIFS('T-Bills'!AB:AB,'T-Bills'!AA:AA,Brokerage!AD$4,'T-Bills'!V:V,Brokerage!$B346)</f>
        <v>0</v>
      </c>
      <c r="AE346" s="857">
        <f>+SUMIFS(PIB!AH:AH,PIB!AG:AG,Brokerage!AE$4,PIB!AB:AB,Brokerage!$B346)+SUMIFS('T-Bills'!AC:AC,'T-Bills'!AB:AB,Brokerage!AE$4,'T-Bills'!W:W,Brokerage!$B346)</f>
        <v>0</v>
      </c>
      <c r="AF346" s="857">
        <f>+SUMIFS(PIB!AI:AI,PIB!AH:AH,Brokerage!AF$4,PIB!AC:AC,Brokerage!$B346)+SUMIFS('T-Bills'!AD:AD,'T-Bills'!AC:AC,Brokerage!AF$4,'T-Bills'!X:X,Brokerage!$B346)</f>
        <v>0</v>
      </c>
      <c r="AG346" s="857">
        <f t="shared" si="30"/>
        <v>0</v>
      </c>
      <c r="AH346" s="858">
        <f t="shared" si="28"/>
        <v>0</v>
      </c>
    </row>
    <row r="347" spans="2:34" x14ac:dyDescent="0.15">
      <c r="B347" s="661">
        <f t="shared" si="29"/>
        <v>44903</v>
      </c>
      <c r="C347" s="857">
        <f>SUMIFS('YTD Sales'!$N:$N,'YTD Sales'!$B:$B,Brokerage!$B347,'YTD Sales'!$M:$M,Brokerage!C$4)+SUMIFS('YTD Purchases'!$H:$H,'YTD Purchases'!$C:$C,Brokerage!$B347,'YTD Purchases'!$G:$G,Brokerage!C$4)</f>
        <v>0</v>
      </c>
      <c r="D347" s="857">
        <f>SUMIFS('YTD Sales'!$N:$N,'YTD Sales'!$B:$B,Brokerage!$B347,'YTD Sales'!$M:$M,Brokerage!D$4)+SUMIFS('YTD Purchases'!$H:$H,'YTD Purchases'!$C:$C,Brokerage!$B347,'YTD Purchases'!$G:$G,Brokerage!D$4)</f>
        <v>0</v>
      </c>
      <c r="E347" s="857">
        <f>SUMIFS('YTD Sales'!$N:$N,'YTD Sales'!$B:$B,Brokerage!$B347,'YTD Sales'!$M:$M,Brokerage!E$4)+SUMIFS('YTD Purchases'!$H:$H,'YTD Purchases'!$C:$C,Brokerage!$B347,'YTD Purchases'!$G:$G,Brokerage!E$4)</f>
        <v>0</v>
      </c>
      <c r="F347" s="857">
        <f>SUMIFS('YTD Sales'!$N:$N,'YTD Sales'!$B:$B,Brokerage!$B347,'YTD Sales'!$M:$M,Brokerage!F$4)+SUMIFS('YTD Purchases'!$H:$H,'YTD Purchases'!$C:$C,Brokerage!$B347,'YTD Purchases'!$G:$G,Brokerage!F$4)</f>
        <v>0</v>
      </c>
      <c r="G347" s="857">
        <f>SUMIFS('YTD Sales'!$N:$N,'YTD Sales'!$B:$B,Brokerage!$B347,'YTD Sales'!$M:$M,Brokerage!G$4)+SUMIFS('YTD Purchases'!$H:$H,'YTD Purchases'!$C:$C,Brokerage!$B347,'YTD Purchases'!$G:$G,Brokerage!G$4)</f>
        <v>0</v>
      </c>
      <c r="H347" s="857">
        <f>SUMIFS('YTD Sales'!$N:$N,'YTD Sales'!$B:$B,Brokerage!$B347,'YTD Sales'!$M:$M,Brokerage!H$4)+SUMIFS('YTD Purchases'!$H:$H,'YTD Purchases'!$C:$C,Brokerage!$B347,'YTD Purchases'!$G:$G,Brokerage!H$4)</f>
        <v>0</v>
      </c>
      <c r="I347" s="857">
        <f>SUMIFS('YTD Sales'!$N:$N,'YTD Sales'!$B:$B,Brokerage!$B347,'YTD Sales'!$M:$M,Brokerage!I$4)+SUMIFS('YTD Purchases'!$H:$H,'YTD Purchases'!$C:$C,Brokerage!$B347,'YTD Purchases'!$G:$G,Brokerage!I$4)</f>
        <v>0</v>
      </c>
      <c r="J347" s="857">
        <f>SUMIFS('YTD Sales'!$N:$N,'YTD Sales'!$B:$B,Brokerage!$B347,'YTD Sales'!$M:$M,Brokerage!J$4)+SUMIFS('YTD Purchases'!$H:$H,'YTD Purchases'!$C:$C,Brokerage!$B347,'YTD Purchases'!$G:$G,Brokerage!J$4)</f>
        <v>0</v>
      </c>
      <c r="K347" s="857">
        <f>SUMIFS('YTD Sales'!$N:$N,'YTD Sales'!$B:$B,Brokerage!$B347,'YTD Sales'!$M:$M,Brokerage!K$4)+SUMIFS('YTD Purchases'!$H:$H,'YTD Purchases'!$C:$C,Brokerage!$B347,'YTD Purchases'!$G:$G,Brokerage!K$4)</f>
        <v>0</v>
      </c>
      <c r="L347" s="857">
        <f>SUMIFS('YTD Sales'!$N:$N,'YTD Sales'!$B:$B,Brokerage!$B347,'YTD Sales'!$M:$M,Brokerage!L$4)+SUMIFS('YTD Purchases'!$H:$H,'YTD Purchases'!$C:$C,Brokerage!$B347,'YTD Purchases'!$G:$G,Brokerage!L$4)</f>
        <v>0</v>
      </c>
      <c r="M347" s="857">
        <f>SUMIFS('YTD Sales'!$N:$N,'YTD Sales'!$B:$B,Brokerage!$B347,'YTD Sales'!$M:$M,Brokerage!M$4)+SUMIFS('YTD Purchases'!$H:$H,'YTD Purchases'!$C:$C,Brokerage!$B347,'YTD Purchases'!$G:$G,Brokerage!M$4)</f>
        <v>0</v>
      </c>
      <c r="N347" s="857">
        <f>SUMIFS('YTD Sales'!$N:$N,'YTD Sales'!$B:$B,Brokerage!$B347,'YTD Sales'!$M:$M,Brokerage!N$4)+SUMIFS('YTD Purchases'!$H:$H,'YTD Purchases'!$C:$C,Brokerage!$B347,'YTD Purchases'!$G:$G,Brokerage!N$4)</f>
        <v>0</v>
      </c>
      <c r="O347" s="857">
        <f>SUMIFS('YTD Sales'!$N:$N,'YTD Sales'!$B:$B,Brokerage!$B347,'YTD Sales'!$M:$M,Brokerage!O$4)+SUMIFS('YTD Purchases'!$H:$H,'YTD Purchases'!$C:$C,Brokerage!$B347,'YTD Purchases'!$G:$G,Brokerage!O$4)</f>
        <v>0</v>
      </c>
      <c r="P347" s="857">
        <f>SUMIFS('YTD Sales'!$N:$N,'YTD Sales'!$B:$B,Brokerage!$B347,'YTD Sales'!$M:$M,Brokerage!P$4)+SUMIFS('YTD Purchases'!$H:$H,'YTD Purchases'!$C:$C,Brokerage!$B347,'YTD Purchases'!$G:$G,Brokerage!P$4)</f>
        <v>0</v>
      </c>
      <c r="Q347" s="857">
        <f>SUMIFS('YTD Sales'!$N:$N,'YTD Sales'!$B:$B,Brokerage!$B347,'YTD Sales'!$M:$M,Brokerage!Q$4)+SUMIFS('YTD Purchases'!$H:$H,'YTD Purchases'!$C:$C,Brokerage!$B347,'YTD Purchases'!$G:$G,Brokerage!Q$4)</f>
        <v>0</v>
      </c>
      <c r="R347" s="857">
        <f>SUMIFS('YTD Sales'!$N:$N,'YTD Sales'!$B:$B,Brokerage!$B347,'YTD Sales'!$M:$M,Brokerage!R$4)+SUMIFS('YTD Purchases'!$H:$H,'YTD Purchases'!$C:$C,Brokerage!$B347,'YTD Purchases'!$G:$G,Brokerage!R$4)</f>
        <v>0</v>
      </c>
      <c r="S347" s="857">
        <f>SUMIFS('YTD Sales'!$N:$N,'YTD Sales'!$B:$B,Brokerage!$B347,'YTD Sales'!$M:$M,Brokerage!S$4)+SUMIFS('YTD Purchases'!$H:$H,'YTD Purchases'!$C:$C,Brokerage!$B347,'YTD Purchases'!$G:$G,Brokerage!S$4)</f>
        <v>0</v>
      </c>
      <c r="T347" s="857">
        <f>SUMIFS('YTD Sales'!$N:$N,'YTD Sales'!$B:$B,Brokerage!$B347,'YTD Sales'!$M:$M,Brokerage!T$4)+SUMIFS('YTD Purchases'!$H:$H,'YTD Purchases'!$C:$C,Brokerage!$B347,'YTD Purchases'!$G:$G,Brokerage!T$4)</f>
        <v>0</v>
      </c>
      <c r="U347" s="857">
        <f>SUMIFS('YTD Sales'!$N:$N,'YTD Sales'!$B:$B,Brokerage!$B347,'YTD Sales'!$M:$M,Brokerage!U$4)+SUMIFS('YTD Purchases'!$H:$H,'YTD Purchases'!$C:$C,Brokerage!$B347,'YTD Purchases'!$G:$G,Brokerage!U$4)</f>
        <v>0</v>
      </c>
      <c r="V347" s="857">
        <f>SUMIFS('YTD Sales'!$N:$N,'YTD Sales'!$B:$B,Brokerage!$B347,'YTD Sales'!$M:$M,Brokerage!V$4)+SUMIFS('YTD Purchases'!$H:$H,'YTD Purchases'!$C:$C,Brokerage!$B347,'YTD Purchases'!$G:$G,Brokerage!V$4)</f>
        <v>0</v>
      </c>
      <c r="W347" s="857">
        <f>SUMIFS('YTD Sales'!$N:$N,'YTD Sales'!$B:$B,Brokerage!$B347,'YTD Sales'!$M:$M,Brokerage!W$4)+SUMIFS('YTD Purchases'!$H:$H,'YTD Purchases'!$C:$C,Brokerage!$B347,'YTD Purchases'!$G:$G,Brokerage!W$4)</f>
        <v>0</v>
      </c>
      <c r="X347" s="857">
        <f>SUMIFS('YTD Sales'!$N:$N,'YTD Sales'!$B:$B,Brokerage!$B347,'YTD Sales'!$M:$M,Brokerage!X$4)+SUMIFS('YTD Purchases'!$H:$H,'YTD Purchases'!$C:$C,Brokerage!$B347,'YTD Purchases'!$G:$G,Brokerage!X$4)</f>
        <v>0</v>
      </c>
      <c r="Y347" s="857">
        <f>SUMIFS('YTD Sales'!$N:$N,'YTD Sales'!$B:$B,Brokerage!$B347,'YTD Sales'!$M:$M,Brokerage!Y$4)+SUMIFS('YTD Purchases'!$H:$H,'YTD Purchases'!$C:$C,Brokerage!$B347,'YTD Purchases'!$G:$G,Brokerage!Y$4)</f>
        <v>0</v>
      </c>
      <c r="Z347" s="857">
        <f>SUMIFS('YTD Sales'!$N:$N,'YTD Sales'!$B:$B,Brokerage!$B347,'YTD Sales'!$M:$M,Brokerage!Z$4)+SUMIFS('YTD Purchases'!$H:$H,'YTD Purchases'!$C:$C,Brokerage!$B347,'YTD Purchases'!$G:$G,Brokerage!Z$4)</f>
        <v>0</v>
      </c>
      <c r="AA347" s="857">
        <f>SUMIFS('YTD Sales'!$N:$N,'YTD Sales'!$B:$B,Brokerage!$B347,'YTD Sales'!$M:$M,Brokerage!AA$4)+SUMIFS('YTD Purchases'!$H:$H,'YTD Purchases'!$C:$C,Brokerage!$B347,'YTD Purchases'!$G:$G,Brokerage!AA$4)</f>
        <v>0</v>
      </c>
      <c r="AB347" s="857">
        <f>SUMIFS('YTD Sales'!$N:$N,'YTD Sales'!$B:$B,Brokerage!$B347,'YTD Sales'!$M:$M,Brokerage!AB$4)+SUMIFS('YTD Purchases'!$H:$H,'YTD Purchases'!$C:$C,Brokerage!$B347,'YTD Purchases'!$G:$G,Brokerage!AB$4)</f>
        <v>0</v>
      </c>
      <c r="AC347" s="857">
        <f>SUMIFS('YTD Sales'!$N:$N,'YTD Sales'!$B:$B,Brokerage!$B347,'YTD Sales'!$M:$M,Brokerage!AC$4)+SUMIFS('YTD Purchases'!$H:$H,'YTD Purchases'!$C:$C,Brokerage!$B347,'YTD Purchases'!$G:$G,Brokerage!AC$4)</f>
        <v>0</v>
      </c>
      <c r="AD347" s="857">
        <f>+SUMIFS(PIB!AG:AG,PIB!AF:AF,Brokerage!AD$4,PIB!AA:AA,Brokerage!$B347)+SUMIFS('T-Bills'!AB:AB,'T-Bills'!AA:AA,Brokerage!AD$4,'T-Bills'!V:V,Brokerage!$B347)</f>
        <v>0</v>
      </c>
      <c r="AE347" s="857">
        <f>+SUMIFS(PIB!AH:AH,PIB!AG:AG,Brokerage!AE$4,PIB!AB:AB,Brokerage!$B347)+SUMIFS('T-Bills'!AC:AC,'T-Bills'!AB:AB,Brokerage!AE$4,'T-Bills'!W:W,Brokerage!$B347)</f>
        <v>0</v>
      </c>
      <c r="AF347" s="857">
        <f>+SUMIFS(PIB!AI:AI,PIB!AH:AH,Brokerage!AF$4,PIB!AC:AC,Brokerage!$B347)+SUMIFS('T-Bills'!AD:AD,'T-Bills'!AC:AC,Brokerage!AF$4,'T-Bills'!X:X,Brokerage!$B347)</f>
        <v>0</v>
      </c>
      <c r="AG347" s="857">
        <f t="shared" si="30"/>
        <v>0</v>
      </c>
      <c r="AH347" s="858">
        <f t="shared" si="28"/>
        <v>0</v>
      </c>
    </row>
    <row r="348" spans="2:34" x14ac:dyDescent="0.15">
      <c r="B348" s="661">
        <f t="shared" si="29"/>
        <v>44904</v>
      </c>
      <c r="C348" s="857">
        <f>SUMIFS('YTD Sales'!$N:$N,'YTD Sales'!$B:$B,Brokerage!$B348,'YTD Sales'!$M:$M,Brokerage!C$4)+SUMIFS('YTD Purchases'!$H:$H,'YTD Purchases'!$C:$C,Brokerage!$B348,'YTD Purchases'!$G:$G,Brokerage!C$4)</f>
        <v>0</v>
      </c>
      <c r="D348" s="857">
        <f>SUMIFS('YTD Sales'!$N:$N,'YTD Sales'!$B:$B,Brokerage!$B348,'YTD Sales'!$M:$M,Brokerage!D$4)+SUMIFS('YTD Purchases'!$H:$H,'YTD Purchases'!$C:$C,Brokerage!$B348,'YTD Purchases'!$G:$G,Brokerage!D$4)</f>
        <v>0</v>
      </c>
      <c r="E348" s="857">
        <f>SUMIFS('YTD Sales'!$N:$N,'YTD Sales'!$B:$B,Brokerage!$B348,'YTD Sales'!$M:$M,Brokerage!E$4)+SUMIFS('YTD Purchases'!$H:$H,'YTD Purchases'!$C:$C,Brokerage!$B348,'YTD Purchases'!$G:$G,Brokerage!E$4)</f>
        <v>0</v>
      </c>
      <c r="F348" s="857">
        <f>SUMIFS('YTD Sales'!$N:$N,'YTD Sales'!$B:$B,Brokerage!$B348,'YTD Sales'!$M:$M,Brokerage!F$4)+SUMIFS('YTD Purchases'!$H:$H,'YTD Purchases'!$C:$C,Brokerage!$B348,'YTD Purchases'!$G:$G,Brokerage!F$4)</f>
        <v>0</v>
      </c>
      <c r="G348" s="857">
        <f>SUMIFS('YTD Sales'!$N:$N,'YTD Sales'!$B:$B,Brokerage!$B348,'YTD Sales'!$M:$M,Brokerage!G$4)+SUMIFS('YTD Purchases'!$H:$H,'YTD Purchases'!$C:$C,Brokerage!$B348,'YTD Purchases'!$G:$G,Brokerage!G$4)</f>
        <v>0</v>
      </c>
      <c r="H348" s="857">
        <f>SUMIFS('YTD Sales'!$N:$N,'YTD Sales'!$B:$B,Brokerage!$B348,'YTD Sales'!$M:$M,Brokerage!H$4)+SUMIFS('YTD Purchases'!$H:$H,'YTD Purchases'!$C:$C,Brokerage!$B348,'YTD Purchases'!$G:$G,Brokerage!H$4)</f>
        <v>0</v>
      </c>
      <c r="I348" s="857">
        <f>SUMIFS('YTD Sales'!$N:$N,'YTD Sales'!$B:$B,Brokerage!$B348,'YTD Sales'!$M:$M,Brokerage!I$4)+SUMIFS('YTD Purchases'!$H:$H,'YTD Purchases'!$C:$C,Brokerage!$B348,'YTD Purchases'!$G:$G,Brokerage!I$4)</f>
        <v>0</v>
      </c>
      <c r="J348" s="857">
        <f>SUMIFS('YTD Sales'!$N:$N,'YTD Sales'!$B:$B,Brokerage!$B348,'YTD Sales'!$M:$M,Brokerage!J$4)+SUMIFS('YTD Purchases'!$H:$H,'YTD Purchases'!$C:$C,Brokerage!$B348,'YTD Purchases'!$G:$G,Brokerage!J$4)</f>
        <v>0</v>
      </c>
      <c r="K348" s="857">
        <f>SUMIFS('YTD Sales'!$N:$N,'YTD Sales'!$B:$B,Brokerage!$B348,'YTD Sales'!$M:$M,Brokerage!K$4)+SUMIFS('YTD Purchases'!$H:$H,'YTD Purchases'!$C:$C,Brokerage!$B348,'YTD Purchases'!$G:$G,Brokerage!K$4)</f>
        <v>0</v>
      </c>
      <c r="L348" s="857">
        <f>SUMIFS('YTD Sales'!$N:$N,'YTD Sales'!$B:$B,Brokerage!$B348,'YTD Sales'!$M:$M,Brokerage!L$4)+SUMIFS('YTD Purchases'!$H:$H,'YTD Purchases'!$C:$C,Brokerage!$B348,'YTD Purchases'!$G:$G,Brokerage!L$4)</f>
        <v>0</v>
      </c>
      <c r="M348" s="857">
        <f>SUMIFS('YTD Sales'!$N:$N,'YTD Sales'!$B:$B,Brokerage!$B348,'YTD Sales'!$M:$M,Brokerage!M$4)+SUMIFS('YTD Purchases'!$H:$H,'YTD Purchases'!$C:$C,Brokerage!$B348,'YTD Purchases'!$G:$G,Brokerage!M$4)</f>
        <v>0</v>
      </c>
      <c r="N348" s="857">
        <f>SUMIFS('YTD Sales'!$N:$N,'YTD Sales'!$B:$B,Brokerage!$B348,'YTD Sales'!$M:$M,Brokerage!N$4)+SUMIFS('YTD Purchases'!$H:$H,'YTD Purchases'!$C:$C,Brokerage!$B348,'YTD Purchases'!$G:$G,Brokerage!N$4)</f>
        <v>0</v>
      </c>
      <c r="O348" s="857">
        <f>SUMIFS('YTD Sales'!$N:$N,'YTD Sales'!$B:$B,Brokerage!$B348,'YTD Sales'!$M:$M,Brokerage!O$4)+SUMIFS('YTD Purchases'!$H:$H,'YTD Purchases'!$C:$C,Brokerage!$B348,'YTD Purchases'!$G:$G,Brokerage!O$4)</f>
        <v>0</v>
      </c>
      <c r="P348" s="857">
        <f>SUMIFS('YTD Sales'!$N:$N,'YTD Sales'!$B:$B,Brokerage!$B348,'YTD Sales'!$M:$M,Brokerage!P$4)+SUMIFS('YTD Purchases'!$H:$H,'YTD Purchases'!$C:$C,Brokerage!$B348,'YTD Purchases'!$G:$G,Brokerage!P$4)</f>
        <v>0</v>
      </c>
      <c r="Q348" s="857">
        <f>SUMIFS('YTD Sales'!$N:$N,'YTD Sales'!$B:$B,Brokerage!$B348,'YTD Sales'!$M:$M,Brokerage!Q$4)+SUMIFS('YTD Purchases'!$H:$H,'YTD Purchases'!$C:$C,Brokerage!$B348,'YTD Purchases'!$G:$G,Brokerage!Q$4)</f>
        <v>0</v>
      </c>
      <c r="R348" s="857">
        <f>SUMIFS('YTD Sales'!$N:$N,'YTD Sales'!$B:$B,Brokerage!$B348,'YTD Sales'!$M:$M,Brokerage!R$4)+SUMIFS('YTD Purchases'!$H:$H,'YTD Purchases'!$C:$C,Brokerage!$B348,'YTD Purchases'!$G:$G,Brokerage!R$4)</f>
        <v>0</v>
      </c>
      <c r="S348" s="857">
        <f>SUMIFS('YTD Sales'!$N:$N,'YTD Sales'!$B:$B,Brokerage!$B348,'YTD Sales'!$M:$M,Brokerage!S$4)+SUMIFS('YTD Purchases'!$H:$H,'YTD Purchases'!$C:$C,Brokerage!$B348,'YTD Purchases'!$G:$G,Brokerage!S$4)</f>
        <v>0</v>
      </c>
      <c r="T348" s="857">
        <f>SUMIFS('YTD Sales'!$N:$N,'YTD Sales'!$B:$B,Brokerage!$B348,'YTD Sales'!$M:$M,Brokerage!T$4)+SUMIFS('YTD Purchases'!$H:$H,'YTD Purchases'!$C:$C,Brokerage!$B348,'YTD Purchases'!$G:$G,Brokerage!T$4)</f>
        <v>0</v>
      </c>
      <c r="U348" s="857">
        <f>SUMIFS('YTD Sales'!$N:$N,'YTD Sales'!$B:$B,Brokerage!$B348,'YTD Sales'!$M:$M,Brokerage!U$4)+SUMIFS('YTD Purchases'!$H:$H,'YTD Purchases'!$C:$C,Brokerage!$B348,'YTD Purchases'!$G:$G,Brokerage!U$4)</f>
        <v>0</v>
      </c>
      <c r="V348" s="857">
        <f>SUMIFS('YTD Sales'!$N:$N,'YTD Sales'!$B:$B,Brokerage!$B348,'YTD Sales'!$M:$M,Brokerage!V$4)+SUMIFS('YTD Purchases'!$H:$H,'YTD Purchases'!$C:$C,Brokerage!$B348,'YTD Purchases'!$G:$G,Brokerage!V$4)</f>
        <v>0</v>
      </c>
      <c r="W348" s="857">
        <f>SUMIFS('YTD Sales'!$N:$N,'YTD Sales'!$B:$B,Brokerage!$B348,'YTD Sales'!$M:$M,Brokerage!W$4)+SUMIFS('YTD Purchases'!$H:$H,'YTD Purchases'!$C:$C,Brokerage!$B348,'YTD Purchases'!$G:$G,Brokerage!W$4)</f>
        <v>0</v>
      </c>
      <c r="X348" s="857">
        <f>SUMIFS('YTD Sales'!$N:$N,'YTD Sales'!$B:$B,Brokerage!$B348,'YTD Sales'!$M:$M,Brokerage!X$4)+SUMIFS('YTD Purchases'!$H:$H,'YTD Purchases'!$C:$C,Brokerage!$B348,'YTD Purchases'!$G:$G,Brokerage!X$4)</f>
        <v>0</v>
      </c>
      <c r="Y348" s="857">
        <f>SUMIFS('YTD Sales'!$N:$N,'YTD Sales'!$B:$B,Brokerage!$B348,'YTD Sales'!$M:$M,Brokerage!Y$4)+SUMIFS('YTD Purchases'!$H:$H,'YTD Purchases'!$C:$C,Brokerage!$B348,'YTD Purchases'!$G:$G,Brokerage!Y$4)</f>
        <v>0</v>
      </c>
      <c r="Z348" s="857">
        <f>SUMIFS('YTD Sales'!$N:$N,'YTD Sales'!$B:$B,Brokerage!$B348,'YTD Sales'!$M:$M,Brokerage!Z$4)+SUMIFS('YTD Purchases'!$H:$H,'YTD Purchases'!$C:$C,Brokerage!$B348,'YTD Purchases'!$G:$G,Brokerage!Z$4)</f>
        <v>0</v>
      </c>
      <c r="AA348" s="857">
        <f>SUMIFS('YTD Sales'!$N:$N,'YTD Sales'!$B:$B,Brokerage!$B348,'YTD Sales'!$M:$M,Brokerage!AA$4)+SUMIFS('YTD Purchases'!$H:$H,'YTD Purchases'!$C:$C,Brokerage!$B348,'YTD Purchases'!$G:$G,Brokerage!AA$4)</f>
        <v>0</v>
      </c>
      <c r="AB348" s="857">
        <f>SUMIFS('YTD Sales'!$N:$N,'YTD Sales'!$B:$B,Brokerage!$B348,'YTD Sales'!$M:$M,Brokerage!AB$4)+SUMIFS('YTD Purchases'!$H:$H,'YTD Purchases'!$C:$C,Brokerage!$B348,'YTD Purchases'!$G:$G,Brokerage!AB$4)</f>
        <v>0</v>
      </c>
      <c r="AC348" s="857">
        <f>SUMIFS('YTD Sales'!$N:$N,'YTD Sales'!$B:$B,Brokerage!$B348,'YTD Sales'!$M:$M,Brokerage!AC$4)+SUMIFS('YTD Purchases'!$H:$H,'YTD Purchases'!$C:$C,Brokerage!$B348,'YTD Purchases'!$G:$G,Brokerage!AC$4)</f>
        <v>0</v>
      </c>
      <c r="AD348" s="857">
        <f>+SUMIFS(PIB!AG:AG,PIB!AF:AF,Brokerage!AD$4,PIB!AA:AA,Brokerage!$B348)+SUMIFS('T-Bills'!AB:AB,'T-Bills'!AA:AA,Brokerage!AD$4,'T-Bills'!V:V,Brokerage!$B348)</f>
        <v>0</v>
      </c>
      <c r="AE348" s="857">
        <f>+SUMIFS(PIB!AH:AH,PIB!AG:AG,Brokerage!AE$4,PIB!AB:AB,Brokerage!$B348)+SUMIFS('T-Bills'!AC:AC,'T-Bills'!AB:AB,Brokerage!AE$4,'T-Bills'!W:W,Brokerage!$B348)</f>
        <v>0</v>
      </c>
      <c r="AF348" s="857">
        <f>+SUMIFS(PIB!AI:AI,PIB!AH:AH,Brokerage!AF$4,PIB!AC:AC,Brokerage!$B348)+SUMIFS('T-Bills'!AD:AD,'T-Bills'!AC:AC,Brokerage!AF$4,'T-Bills'!X:X,Brokerage!$B348)</f>
        <v>0</v>
      </c>
      <c r="AG348" s="857">
        <f t="shared" si="30"/>
        <v>0</v>
      </c>
      <c r="AH348" s="858">
        <f t="shared" si="28"/>
        <v>0</v>
      </c>
    </row>
    <row r="349" spans="2:34" x14ac:dyDescent="0.15">
      <c r="B349" s="661">
        <f t="shared" si="29"/>
        <v>44905</v>
      </c>
      <c r="C349" s="857">
        <f>SUMIFS('YTD Sales'!$N:$N,'YTD Sales'!$B:$B,Brokerage!$B349,'YTD Sales'!$M:$M,Brokerage!C$4)+SUMIFS('YTD Purchases'!$H:$H,'YTD Purchases'!$C:$C,Brokerage!$B349,'YTD Purchases'!$G:$G,Brokerage!C$4)</f>
        <v>0</v>
      </c>
      <c r="D349" s="857">
        <f>SUMIFS('YTD Sales'!$N:$N,'YTD Sales'!$B:$B,Brokerage!$B349,'YTD Sales'!$M:$M,Brokerage!D$4)+SUMIFS('YTD Purchases'!$H:$H,'YTD Purchases'!$C:$C,Brokerage!$B349,'YTD Purchases'!$G:$G,Brokerage!D$4)</f>
        <v>0</v>
      </c>
      <c r="E349" s="857">
        <f>SUMIFS('YTD Sales'!$N:$N,'YTD Sales'!$B:$B,Brokerage!$B349,'YTD Sales'!$M:$M,Brokerage!E$4)+SUMIFS('YTD Purchases'!$H:$H,'YTD Purchases'!$C:$C,Brokerage!$B349,'YTD Purchases'!$G:$G,Brokerage!E$4)</f>
        <v>0</v>
      </c>
      <c r="F349" s="857">
        <f>SUMIFS('YTD Sales'!$N:$N,'YTD Sales'!$B:$B,Brokerage!$B349,'YTD Sales'!$M:$M,Brokerage!F$4)+SUMIFS('YTD Purchases'!$H:$H,'YTD Purchases'!$C:$C,Brokerage!$B349,'YTD Purchases'!$G:$G,Brokerage!F$4)</f>
        <v>0</v>
      </c>
      <c r="G349" s="857">
        <f>SUMIFS('YTD Sales'!$N:$N,'YTD Sales'!$B:$B,Brokerage!$B349,'YTD Sales'!$M:$M,Brokerage!G$4)+SUMIFS('YTD Purchases'!$H:$H,'YTD Purchases'!$C:$C,Brokerage!$B349,'YTD Purchases'!$G:$G,Brokerage!G$4)</f>
        <v>0</v>
      </c>
      <c r="H349" s="857">
        <f>SUMIFS('YTD Sales'!$N:$N,'YTD Sales'!$B:$B,Brokerage!$B349,'YTD Sales'!$M:$M,Brokerage!H$4)+SUMIFS('YTD Purchases'!$H:$H,'YTD Purchases'!$C:$C,Brokerage!$B349,'YTD Purchases'!$G:$G,Brokerage!H$4)</f>
        <v>0</v>
      </c>
      <c r="I349" s="857">
        <f>SUMIFS('YTD Sales'!$N:$N,'YTD Sales'!$B:$B,Brokerage!$B349,'YTD Sales'!$M:$M,Brokerage!I$4)+SUMIFS('YTD Purchases'!$H:$H,'YTD Purchases'!$C:$C,Brokerage!$B349,'YTD Purchases'!$G:$G,Brokerage!I$4)</f>
        <v>0</v>
      </c>
      <c r="J349" s="857">
        <f>SUMIFS('YTD Sales'!$N:$N,'YTD Sales'!$B:$B,Brokerage!$B349,'YTD Sales'!$M:$M,Brokerage!J$4)+SUMIFS('YTD Purchases'!$H:$H,'YTD Purchases'!$C:$C,Brokerage!$B349,'YTD Purchases'!$G:$G,Brokerage!J$4)</f>
        <v>0</v>
      </c>
      <c r="K349" s="857">
        <f>SUMIFS('YTD Sales'!$N:$N,'YTD Sales'!$B:$B,Brokerage!$B349,'YTD Sales'!$M:$M,Brokerage!K$4)+SUMIFS('YTD Purchases'!$H:$H,'YTD Purchases'!$C:$C,Brokerage!$B349,'YTD Purchases'!$G:$G,Brokerage!K$4)</f>
        <v>0</v>
      </c>
      <c r="L349" s="857">
        <f>SUMIFS('YTD Sales'!$N:$N,'YTD Sales'!$B:$B,Brokerage!$B349,'YTD Sales'!$M:$M,Brokerage!L$4)+SUMIFS('YTD Purchases'!$H:$H,'YTD Purchases'!$C:$C,Brokerage!$B349,'YTD Purchases'!$G:$G,Brokerage!L$4)</f>
        <v>0</v>
      </c>
      <c r="M349" s="857">
        <f>SUMIFS('YTD Sales'!$N:$N,'YTD Sales'!$B:$B,Brokerage!$B349,'YTD Sales'!$M:$M,Brokerage!M$4)+SUMIFS('YTD Purchases'!$H:$H,'YTD Purchases'!$C:$C,Brokerage!$B349,'YTD Purchases'!$G:$G,Brokerage!M$4)</f>
        <v>0</v>
      </c>
      <c r="N349" s="857">
        <f>SUMIFS('YTD Sales'!$N:$N,'YTD Sales'!$B:$B,Brokerage!$B349,'YTD Sales'!$M:$M,Brokerage!N$4)+SUMIFS('YTD Purchases'!$H:$H,'YTD Purchases'!$C:$C,Brokerage!$B349,'YTD Purchases'!$G:$G,Brokerage!N$4)</f>
        <v>0</v>
      </c>
      <c r="O349" s="857">
        <f>SUMIFS('YTD Sales'!$N:$N,'YTD Sales'!$B:$B,Brokerage!$B349,'YTD Sales'!$M:$M,Brokerage!O$4)+SUMIFS('YTD Purchases'!$H:$H,'YTD Purchases'!$C:$C,Brokerage!$B349,'YTD Purchases'!$G:$G,Brokerage!O$4)</f>
        <v>0</v>
      </c>
      <c r="P349" s="857">
        <f>SUMIFS('YTD Sales'!$N:$N,'YTD Sales'!$B:$B,Brokerage!$B349,'YTD Sales'!$M:$M,Brokerage!P$4)+SUMIFS('YTD Purchases'!$H:$H,'YTD Purchases'!$C:$C,Brokerage!$B349,'YTD Purchases'!$G:$G,Brokerage!P$4)</f>
        <v>0</v>
      </c>
      <c r="Q349" s="857">
        <f>SUMIFS('YTD Sales'!$N:$N,'YTD Sales'!$B:$B,Brokerage!$B349,'YTD Sales'!$M:$M,Brokerage!Q$4)+SUMIFS('YTD Purchases'!$H:$H,'YTD Purchases'!$C:$C,Brokerage!$B349,'YTD Purchases'!$G:$G,Brokerage!Q$4)</f>
        <v>0</v>
      </c>
      <c r="R349" s="857">
        <f>SUMIFS('YTD Sales'!$N:$N,'YTD Sales'!$B:$B,Brokerage!$B349,'YTD Sales'!$M:$M,Brokerage!R$4)+SUMIFS('YTD Purchases'!$H:$H,'YTD Purchases'!$C:$C,Brokerage!$B349,'YTD Purchases'!$G:$G,Brokerage!R$4)</f>
        <v>0</v>
      </c>
      <c r="S349" s="857">
        <f>SUMIFS('YTD Sales'!$N:$N,'YTD Sales'!$B:$B,Brokerage!$B349,'YTD Sales'!$M:$M,Brokerage!S$4)+SUMIFS('YTD Purchases'!$H:$H,'YTD Purchases'!$C:$C,Brokerage!$B349,'YTD Purchases'!$G:$G,Brokerage!S$4)</f>
        <v>0</v>
      </c>
      <c r="T349" s="857">
        <f>SUMIFS('YTD Sales'!$N:$N,'YTD Sales'!$B:$B,Brokerage!$B349,'YTD Sales'!$M:$M,Brokerage!T$4)+SUMIFS('YTD Purchases'!$H:$H,'YTD Purchases'!$C:$C,Brokerage!$B349,'YTD Purchases'!$G:$G,Brokerage!T$4)</f>
        <v>0</v>
      </c>
      <c r="U349" s="857">
        <f>SUMIFS('YTD Sales'!$N:$N,'YTD Sales'!$B:$B,Brokerage!$B349,'YTD Sales'!$M:$M,Brokerage!U$4)+SUMIFS('YTD Purchases'!$H:$H,'YTD Purchases'!$C:$C,Brokerage!$B349,'YTD Purchases'!$G:$G,Brokerage!U$4)</f>
        <v>0</v>
      </c>
      <c r="V349" s="857">
        <f>SUMIFS('YTD Sales'!$N:$N,'YTD Sales'!$B:$B,Brokerage!$B349,'YTD Sales'!$M:$M,Brokerage!V$4)+SUMIFS('YTD Purchases'!$H:$H,'YTD Purchases'!$C:$C,Brokerage!$B349,'YTD Purchases'!$G:$G,Brokerage!V$4)</f>
        <v>0</v>
      </c>
      <c r="W349" s="857">
        <f>SUMIFS('YTD Sales'!$N:$N,'YTD Sales'!$B:$B,Brokerage!$B349,'YTD Sales'!$M:$M,Brokerage!W$4)+SUMIFS('YTD Purchases'!$H:$H,'YTD Purchases'!$C:$C,Brokerage!$B349,'YTD Purchases'!$G:$G,Brokerage!W$4)</f>
        <v>0</v>
      </c>
      <c r="X349" s="857">
        <f>SUMIFS('YTD Sales'!$N:$N,'YTD Sales'!$B:$B,Brokerage!$B349,'YTD Sales'!$M:$M,Brokerage!X$4)+SUMIFS('YTD Purchases'!$H:$H,'YTD Purchases'!$C:$C,Brokerage!$B349,'YTD Purchases'!$G:$G,Brokerage!X$4)</f>
        <v>0</v>
      </c>
      <c r="Y349" s="857">
        <f>SUMIFS('YTD Sales'!$N:$N,'YTD Sales'!$B:$B,Brokerage!$B349,'YTD Sales'!$M:$M,Brokerage!Y$4)+SUMIFS('YTD Purchases'!$H:$H,'YTD Purchases'!$C:$C,Brokerage!$B349,'YTD Purchases'!$G:$G,Brokerage!Y$4)</f>
        <v>0</v>
      </c>
      <c r="Z349" s="857">
        <f>SUMIFS('YTD Sales'!$N:$N,'YTD Sales'!$B:$B,Brokerage!$B349,'YTD Sales'!$M:$M,Brokerage!Z$4)+SUMIFS('YTD Purchases'!$H:$H,'YTD Purchases'!$C:$C,Brokerage!$B349,'YTD Purchases'!$G:$G,Brokerage!Z$4)</f>
        <v>0</v>
      </c>
      <c r="AA349" s="857">
        <f>SUMIFS('YTD Sales'!$N:$N,'YTD Sales'!$B:$B,Brokerage!$B349,'YTD Sales'!$M:$M,Brokerage!AA$4)+SUMIFS('YTD Purchases'!$H:$H,'YTD Purchases'!$C:$C,Brokerage!$B349,'YTD Purchases'!$G:$G,Brokerage!AA$4)</f>
        <v>0</v>
      </c>
      <c r="AB349" s="857">
        <f>SUMIFS('YTD Sales'!$N:$N,'YTD Sales'!$B:$B,Brokerage!$B349,'YTD Sales'!$M:$M,Brokerage!AB$4)+SUMIFS('YTD Purchases'!$H:$H,'YTD Purchases'!$C:$C,Brokerage!$B349,'YTD Purchases'!$G:$G,Brokerage!AB$4)</f>
        <v>0</v>
      </c>
      <c r="AC349" s="857">
        <f>SUMIFS('YTD Sales'!$N:$N,'YTD Sales'!$B:$B,Brokerage!$B349,'YTD Sales'!$M:$M,Brokerage!AC$4)+SUMIFS('YTD Purchases'!$H:$H,'YTD Purchases'!$C:$C,Brokerage!$B349,'YTD Purchases'!$G:$G,Brokerage!AC$4)</f>
        <v>0</v>
      </c>
      <c r="AD349" s="857">
        <f>+SUMIFS(PIB!AG:AG,PIB!AF:AF,Brokerage!AD$4,PIB!AA:AA,Brokerage!$B349)+SUMIFS('T-Bills'!AB:AB,'T-Bills'!AA:AA,Brokerage!AD$4,'T-Bills'!V:V,Brokerage!$B349)</f>
        <v>0</v>
      </c>
      <c r="AE349" s="857">
        <f>+SUMIFS(PIB!AH:AH,PIB!AG:AG,Brokerage!AE$4,PIB!AB:AB,Brokerage!$B349)+SUMIFS('T-Bills'!AC:AC,'T-Bills'!AB:AB,Brokerage!AE$4,'T-Bills'!W:W,Brokerage!$B349)</f>
        <v>0</v>
      </c>
      <c r="AF349" s="857">
        <f>+SUMIFS(PIB!AI:AI,PIB!AH:AH,Brokerage!AF$4,PIB!AC:AC,Brokerage!$B349)+SUMIFS('T-Bills'!AD:AD,'T-Bills'!AC:AC,Brokerage!AF$4,'T-Bills'!X:X,Brokerage!$B349)</f>
        <v>0</v>
      </c>
      <c r="AG349" s="857">
        <f t="shared" si="30"/>
        <v>0</v>
      </c>
      <c r="AH349" s="858">
        <f t="shared" si="28"/>
        <v>0</v>
      </c>
    </row>
    <row r="350" spans="2:34" x14ac:dyDescent="0.15">
      <c r="B350" s="661">
        <f t="shared" si="29"/>
        <v>44906</v>
      </c>
      <c r="C350" s="857">
        <f>SUMIFS('YTD Sales'!$N:$N,'YTD Sales'!$B:$B,Brokerage!$B350,'YTD Sales'!$M:$M,Brokerage!C$4)+SUMIFS('YTD Purchases'!$H:$H,'YTD Purchases'!$C:$C,Brokerage!$B350,'YTD Purchases'!$G:$G,Brokerage!C$4)</f>
        <v>0</v>
      </c>
      <c r="D350" s="857">
        <f>SUMIFS('YTD Sales'!$N:$N,'YTD Sales'!$B:$B,Brokerage!$B350,'YTD Sales'!$M:$M,Brokerage!D$4)+SUMIFS('YTD Purchases'!$H:$H,'YTD Purchases'!$C:$C,Brokerage!$B350,'YTD Purchases'!$G:$G,Brokerage!D$4)</f>
        <v>0</v>
      </c>
      <c r="E350" s="857">
        <f>SUMIFS('YTD Sales'!$N:$N,'YTD Sales'!$B:$B,Brokerage!$B350,'YTD Sales'!$M:$M,Brokerage!E$4)+SUMIFS('YTD Purchases'!$H:$H,'YTD Purchases'!$C:$C,Brokerage!$B350,'YTD Purchases'!$G:$G,Brokerage!E$4)</f>
        <v>0</v>
      </c>
      <c r="F350" s="857">
        <f>SUMIFS('YTD Sales'!$N:$N,'YTD Sales'!$B:$B,Brokerage!$B350,'YTD Sales'!$M:$M,Brokerage!F$4)+SUMIFS('YTD Purchases'!$H:$H,'YTD Purchases'!$C:$C,Brokerage!$B350,'YTD Purchases'!$G:$G,Brokerage!F$4)</f>
        <v>0</v>
      </c>
      <c r="G350" s="857">
        <f>SUMIFS('YTD Sales'!$N:$N,'YTD Sales'!$B:$B,Brokerage!$B350,'YTD Sales'!$M:$M,Brokerage!G$4)+SUMIFS('YTD Purchases'!$H:$H,'YTD Purchases'!$C:$C,Brokerage!$B350,'YTD Purchases'!$G:$G,Brokerage!G$4)</f>
        <v>0</v>
      </c>
      <c r="H350" s="857">
        <f>SUMIFS('YTD Sales'!$N:$N,'YTD Sales'!$B:$B,Brokerage!$B350,'YTD Sales'!$M:$M,Brokerage!H$4)+SUMIFS('YTD Purchases'!$H:$H,'YTD Purchases'!$C:$C,Brokerage!$B350,'YTD Purchases'!$G:$G,Brokerage!H$4)</f>
        <v>0</v>
      </c>
      <c r="I350" s="857">
        <f>SUMIFS('YTD Sales'!$N:$N,'YTD Sales'!$B:$B,Brokerage!$B350,'YTD Sales'!$M:$M,Brokerage!I$4)+SUMIFS('YTD Purchases'!$H:$H,'YTD Purchases'!$C:$C,Brokerage!$B350,'YTD Purchases'!$G:$G,Brokerage!I$4)</f>
        <v>0</v>
      </c>
      <c r="J350" s="857">
        <f>SUMIFS('YTD Sales'!$N:$N,'YTD Sales'!$B:$B,Brokerage!$B350,'YTD Sales'!$M:$M,Brokerage!J$4)+SUMIFS('YTD Purchases'!$H:$H,'YTD Purchases'!$C:$C,Brokerage!$B350,'YTD Purchases'!$G:$G,Brokerage!J$4)</f>
        <v>0</v>
      </c>
      <c r="K350" s="857">
        <f>SUMIFS('YTD Sales'!$N:$N,'YTD Sales'!$B:$B,Brokerage!$B350,'YTD Sales'!$M:$M,Brokerage!K$4)+SUMIFS('YTD Purchases'!$H:$H,'YTD Purchases'!$C:$C,Brokerage!$B350,'YTD Purchases'!$G:$G,Brokerage!K$4)</f>
        <v>0</v>
      </c>
      <c r="L350" s="857">
        <f>SUMIFS('YTD Sales'!$N:$N,'YTD Sales'!$B:$B,Brokerage!$B350,'YTD Sales'!$M:$M,Brokerage!L$4)+SUMIFS('YTD Purchases'!$H:$H,'YTD Purchases'!$C:$C,Brokerage!$B350,'YTD Purchases'!$G:$G,Brokerage!L$4)</f>
        <v>0</v>
      </c>
      <c r="M350" s="857">
        <f>SUMIFS('YTD Sales'!$N:$N,'YTD Sales'!$B:$B,Brokerage!$B350,'YTD Sales'!$M:$M,Brokerage!M$4)+SUMIFS('YTD Purchases'!$H:$H,'YTD Purchases'!$C:$C,Brokerage!$B350,'YTD Purchases'!$G:$G,Brokerage!M$4)</f>
        <v>0</v>
      </c>
      <c r="N350" s="857">
        <f>SUMIFS('YTD Sales'!$N:$N,'YTD Sales'!$B:$B,Brokerage!$B350,'YTD Sales'!$M:$M,Brokerage!N$4)+SUMIFS('YTD Purchases'!$H:$H,'YTD Purchases'!$C:$C,Brokerage!$B350,'YTD Purchases'!$G:$G,Brokerage!N$4)</f>
        <v>0</v>
      </c>
      <c r="O350" s="857">
        <f>SUMIFS('YTD Sales'!$N:$N,'YTD Sales'!$B:$B,Brokerage!$B350,'YTD Sales'!$M:$M,Brokerage!O$4)+SUMIFS('YTD Purchases'!$H:$H,'YTD Purchases'!$C:$C,Brokerage!$B350,'YTD Purchases'!$G:$G,Brokerage!O$4)</f>
        <v>0</v>
      </c>
      <c r="P350" s="857">
        <f>SUMIFS('YTD Sales'!$N:$N,'YTD Sales'!$B:$B,Brokerage!$B350,'YTD Sales'!$M:$M,Brokerage!P$4)+SUMIFS('YTD Purchases'!$H:$H,'YTD Purchases'!$C:$C,Brokerage!$B350,'YTD Purchases'!$G:$G,Brokerage!P$4)</f>
        <v>0</v>
      </c>
      <c r="Q350" s="857">
        <f>SUMIFS('YTD Sales'!$N:$N,'YTD Sales'!$B:$B,Brokerage!$B350,'YTD Sales'!$M:$M,Brokerage!Q$4)+SUMIFS('YTD Purchases'!$H:$H,'YTD Purchases'!$C:$C,Brokerage!$B350,'YTD Purchases'!$G:$G,Brokerage!Q$4)</f>
        <v>0</v>
      </c>
      <c r="R350" s="857">
        <f>SUMIFS('YTD Sales'!$N:$N,'YTD Sales'!$B:$B,Brokerage!$B350,'YTD Sales'!$M:$M,Brokerage!R$4)+SUMIFS('YTD Purchases'!$H:$H,'YTD Purchases'!$C:$C,Brokerage!$B350,'YTD Purchases'!$G:$G,Brokerage!R$4)</f>
        <v>0</v>
      </c>
      <c r="S350" s="857">
        <f>SUMIFS('YTD Sales'!$N:$N,'YTD Sales'!$B:$B,Brokerage!$B350,'YTD Sales'!$M:$M,Brokerage!S$4)+SUMIFS('YTD Purchases'!$H:$H,'YTD Purchases'!$C:$C,Brokerage!$B350,'YTD Purchases'!$G:$G,Brokerage!S$4)</f>
        <v>0</v>
      </c>
      <c r="T350" s="857">
        <f>SUMIFS('YTD Sales'!$N:$N,'YTD Sales'!$B:$B,Brokerage!$B350,'YTD Sales'!$M:$M,Brokerage!T$4)+SUMIFS('YTD Purchases'!$H:$H,'YTD Purchases'!$C:$C,Brokerage!$B350,'YTD Purchases'!$G:$G,Brokerage!T$4)</f>
        <v>0</v>
      </c>
      <c r="U350" s="857">
        <f>SUMIFS('YTD Sales'!$N:$N,'YTD Sales'!$B:$B,Brokerage!$B350,'YTD Sales'!$M:$M,Brokerage!U$4)+SUMIFS('YTD Purchases'!$H:$H,'YTD Purchases'!$C:$C,Brokerage!$B350,'YTD Purchases'!$G:$G,Brokerage!U$4)</f>
        <v>0</v>
      </c>
      <c r="V350" s="857">
        <f>SUMIFS('YTD Sales'!$N:$N,'YTD Sales'!$B:$B,Brokerage!$B350,'YTD Sales'!$M:$M,Brokerage!V$4)+SUMIFS('YTD Purchases'!$H:$H,'YTD Purchases'!$C:$C,Brokerage!$B350,'YTD Purchases'!$G:$G,Brokerage!V$4)</f>
        <v>0</v>
      </c>
      <c r="W350" s="857">
        <f>SUMIFS('YTD Sales'!$N:$N,'YTD Sales'!$B:$B,Brokerage!$B350,'YTD Sales'!$M:$M,Brokerage!W$4)+SUMIFS('YTD Purchases'!$H:$H,'YTD Purchases'!$C:$C,Brokerage!$B350,'YTD Purchases'!$G:$G,Brokerage!W$4)</f>
        <v>0</v>
      </c>
      <c r="X350" s="857">
        <f>SUMIFS('YTD Sales'!$N:$N,'YTD Sales'!$B:$B,Brokerage!$B350,'YTD Sales'!$M:$M,Brokerage!X$4)+SUMIFS('YTD Purchases'!$H:$H,'YTD Purchases'!$C:$C,Brokerage!$B350,'YTD Purchases'!$G:$G,Brokerage!X$4)</f>
        <v>0</v>
      </c>
      <c r="Y350" s="857">
        <f>SUMIFS('YTD Sales'!$N:$N,'YTD Sales'!$B:$B,Brokerage!$B350,'YTD Sales'!$M:$M,Brokerage!Y$4)+SUMIFS('YTD Purchases'!$H:$H,'YTD Purchases'!$C:$C,Brokerage!$B350,'YTD Purchases'!$G:$G,Brokerage!Y$4)</f>
        <v>0</v>
      </c>
      <c r="Z350" s="857">
        <f>SUMIFS('YTD Sales'!$N:$N,'YTD Sales'!$B:$B,Brokerage!$B350,'YTD Sales'!$M:$M,Brokerage!Z$4)+SUMIFS('YTD Purchases'!$H:$H,'YTD Purchases'!$C:$C,Brokerage!$B350,'YTD Purchases'!$G:$G,Brokerage!Z$4)</f>
        <v>0</v>
      </c>
      <c r="AA350" s="857">
        <f>SUMIFS('YTD Sales'!$N:$N,'YTD Sales'!$B:$B,Brokerage!$B350,'YTD Sales'!$M:$M,Brokerage!AA$4)+SUMIFS('YTD Purchases'!$H:$H,'YTD Purchases'!$C:$C,Brokerage!$B350,'YTD Purchases'!$G:$G,Brokerage!AA$4)</f>
        <v>0</v>
      </c>
      <c r="AB350" s="857">
        <f>SUMIFS('YTD Sales'!$N:$N,'YTD Sales'!$B:$B,Brokerage!$B350,'YTD Sales'!$M:$M,Brokerage!AB$4)+SUMIFS('YTD Purchases'!$H:$H,'YTD Purchases'!$C:$C,Brokerage!$B350,'YTD Purchases'!$G:$G,Brokerage!AB$4)</f>
        <v>0</v>
      </c>
      <c r="AC350" s="857">
        <f>SUMIFS('YTD Sales'!$N:$N,'YTD Sales'!$B:$B,Brokerage!$B350,'YTD Sales'!$M:$M,Brokerage!AC$4)+SUMIFS('YTD Purchases'!$H:$H,'YTD Purchases'!$C:$C,Brokerage!$B350,'YTD Purchases'!$G:$G,Brokerage!AC$4)</f>
        <v>0</v>
      </c>
      <c r="AD350" s="857">
        <f>+SUMIFS(PIB!AG:AG,PIB!AF:AF,Brokerage!AD$4,PIB!AA:AA,Brokerage!$B350)+SUMIFS('T-Bills'!AB:AB,'T-Bills'!AA:AA,Brokerage!AD$4,'T-Bills'!V:V,Brokerage!$B350)</f>
        <v>0</v>
      </c>
      <c r="AE350" s="857">
        <f>+SUMIFS(PIB!AH:AH,PIB!AG:AG,Brokerage!AE$4,PIB!AB:AB,Brokerage!$B350)+SUMIFS('T-Bills'!AC:AC,'T-Bills'!AB:AB,Brokerage!AE$4,'T-Bills'!W:W,Brokerage!$B350)</f>
        <v>0</v>
      </c>
      <c r="AF350" s="857">
        <f>+SUMIFS(PIB!AI:AI,PIB!AH:AH,Brokerage!AF$4,PIB!AC:AC,Brokerage!$B350)+SUMIFS('T-Bills'!AD:AD,'T-Bills'!AC:AC,Brokerage!AF$4,'T-Bills'!X:X,Brokerage!$B350)</f>
        <v>0</v>
      </c>
      <c r="AG350" s="857">
        <f t="shared" si="30"/>
        <v>0</v>
      </c>
      <c r="AH350" s="858">
        <f t="shared" si="28"/>
        <v>0</v>
      </c>
    </row>
    <row r="351" spans="2:34" x14ac:dyDescent="0.15">
      <c r="B351" s="661">
        <f t="shared" si="29"/>
        <v>44907</v>
      </c>
      <c r="C351" s="857">
        <f>SUMIFS('YTD Sales'!$N:$N,'YTD Sales'!$B:$B,Brokerage!$B351,'YTD Sales'!$M:$M,Brokerage!C$4)+SUMIFS('YTD Purchases'!$H:$H,'YTD Purchases'!$C:$C,Brokerage!$B351,'YTD Purchases'!$G:$G,Brokerage!C$4)</f>
        <v>0</v>
      </c>
      <c r="D351" s="857">
        <f>SUMIFS('YTD Sales'!$N:$N,'YTD Sales'!$B:$B,Brokerage!$B351,'YTD Sales'!$M:$M,Brokerage!D$4)+SUMIFS('YTD Purchases'!$H:$H,'YTD Purchases'!$C:$C,Brokerage!$B351,'YTD Purchases'!$G:$G,Brokerage!D$4)</f>
        <v>0</v>
      </c>
      <c r="E351" s="857">
        <f>SUMIFS('YTD Sales'!$N:$N,'YTD Sales'!$B:$B,Brokerage!$B351,'YTD Sales'!$M:$M,Brokerage!E$4)+SUMIFS('YTD Purchases'!$H:$H,'YTD Purchases'!$C:$C,Brokerage!$B351,'YTD Purchases'!$G:$G,Brokerage!E$4)</f>
        <v>0</v>
      </c>
      <c r="F351" s="857">
        <f>SUMIFS('YTD Sales'!$N:$N,'YTD Sales'!$B:$B,Brokerage!$B351,'YTD Sales'!$M:$M,Brokerage!F$4)+SUMIFS('YTD Purchases'!$H:$H,'YTD Purchases'!$C:$C,Brokerage!$B351,'YTD Purchases'!$G:$G,Brokerage!F$4)</f>
        <v>0</v>
      </c>
      <c r="G351" s="857">
        <f>SUMIFS('YTD Sales'!$N:$N,'YTD Sales'!$B:$B,Brokerage!$B351,'YTD Sales'!$M:$M,Brokerage!G$4)+SUMIFS('YTD Purchases'!$H:$H,'YTD Purchases'!$C:$C,Brokerage!$B351,'YTD Purchases'!$G:$G,Brokerage!G$4)</f>
        <v>0</v>
      </c>
      <c r="H351" s="857">
        <f>SUMIFS('YTD Sales'!$N:$N,'YTD Sales'!$B:$B,Brokerage!$B351,'YTD Sales'!$M:$M,Brokerage!H$4)+SUMIFS('YTD Purchases'!$H:$H,'YTD Purchases'!$C:$C,Brokerage!$B351,'YTD Purchases'!$G:$G,Brokerage!H$4)</f>
        <v>0</v>
      </c>
      <c r="I351" s="857">
        <f>SUMIFS('YTD Sales'!$N:$N,'YTD Sales'!$B:$B,Brokerage!$B351,'YTD Sales'!$M:$M,Brokerage!I$4)+SUMIFS('YTD Purchases'!$H:$H,'YTD Purchases'!$C:$C,Brokerage!$B351,'YTD Purchases'!$G:$G,Brokerage!I$4)</f>
        <v>0</v>
      </c>
      <c r="J351" s="857">
        <f>SUMIFS('YTD Sales'!$N:$N,'YTD Sales'!$B:$B,Brokerage!$B351,'YTD Sales'!$M:$M,Brokerage!J$4)+SUMIFS('YTD Purchases'!$H:$H,'YTD Purchases'!$C:$C,Brokerage!$B351,'YTD Purchases'!$G:$G,Brokerage!J$4)</f>
        <v>0</v>
      </c>
      <c r="K351" s="857">
        <f>SUMIFS('YTD Sales'!$N:$N,'YTD Sales'!$B:$B,Brokerage!$B351,'YTD Sales'!$M:$M,Brokerage!K$4)+SUMIFS('YTD Purchases'!$H:$H,'YTD Purchases'!$C:$C,Brokerage!$B351,'YTD Purchases'!$G:$G,Brokerage!K$4)</f>
        <v>0</v>
      </c>
      <c r="L351" s="857">
        <f>SUMIFS('YTD Sales'!$N:$N,'YTD Sales'!$B:$B,Brokerage!$B351,'YTD Sales'!$M:$M,Brokerage!L$4)+SUMIFS('YTD Purchases'!$H:$H,'YTD Purchases'!$C:$C,Brokerage!$B351,'YTD Purchases'!$G:$G,Brokerage!L$4)</f>
        <v>0</v>
      </c>
      <c r="M351" s="857">
        <f>SUMIFS('YTD Sales'!$N:$N,'YTD Sales'!$B:$B,Brokerage!$B351,'YTD Sales'!$M:$M,Brokerage!M$4)+SUMIFS('YTD Purchases'!$H:$H,'YTD Purchases'!$C:$C,Brokerage!$B351,'YTD Purchases'!$G:$G,Brokerage!M$4)</f>
        <v>0</v>
      </c>
      <c r="N351" s="857">
        <f>SUMIFS('YTD Sales'!$N:$N,'YTD Sales'!$B:$B,Brokerage!$B351,'YTD Sales'!$M:$M,Brokerage!N$4)+SUMIFS('YTD Purchases'!$H:$H,'YTD Purchases'!$C:$C,Brokerage!$B351,'YTD Purchases'!$G:$G,Brokerage!N$4)</f>
        <v>0</v>
      </c>
      <c r="O351" s="857">
        <f>SUMIFS('YTD Sales'!$N:$N,'YTD Sales'!$B:$B,Brokerage!$B351,'YTD Sales'!$M:$M,Brokerage!O$4)+SUMIFS('YTD Purchases'!$H:$H,'YTD Purchases'!$C:$C,Brokerage!$B351,'YTD Purchases'!$G:$G,Brokerage!O$4)</f>
        <v>0</v>
      </c>
      <c r="P351" s="857">
        <f>SUMIFS('YTD Sales'!$N:$N,'YTD Sales'!$B:$B,Brokerage!$B351,'YTD Sales'!$M:$M,Brokerage!P$4)+SUMIFS('YTD Purchases'!$H:$H,'YTD Purchases'!$C:$C,Brokerage!$B351,'YTD Purchases'!$G:$G,Brokerage!P$4)</f>
        <v>0</v>
      </c>
      <c r="Q351" s="857">
        <f>SUMIFS('YTD Sales'!$N:$N,'YTD Sales'!$B:$B,Brokerage!$B351,'YTD Sales'!$M:$M,Brokerage!Q$4)+SUMIFS('YTD Purchases'!$H:$H,'YTD Purchases'!$C:$C,Brokerage!$B351,'YTD Purchases'!$G:$G,Brokerage!Q$4)</f>
        <v>0</v>
      </c>
      <c r="R351" s="857">
        <f>SUMIFS('YTD Sales'!$N:$N,'YTD Sales'!$B:$B,Brokerage!$B351,'YTD Sales'!$M:$M,Brokerage!R$4)+SUMIFS('YTD Purchases'!$H:$H,'YTD Purchases'!$C:$C,Brokerage!$B351,'YTD Purchases'!$G:$G,Brokerage!R$4)</f>
        <v>0</v>
      </c>
      <c r="S351" s="857">
        <f>SUMIFS('YTD Sales'!$N:$N,'YTD Sales'!$B:$B,Brokerage!$B351,'YTD Sales'!$M:$M,Brokerage!S$4)+SUMIFS('YTD Purchases'!$H:$H,'YTD Purchases'!$C:$C,Brokerage!$B351,'YTD Purchases'!$G:$G,Brokerage!S$4)</f>
        <v>0</v>
      </c>
      <c r="T351" s="857">
        <f>SUMIFS('YTD Sales'!$N:$N,'YTD Sales'!$B:$B,Brokerage!$B351,'YTD Sales'!$M:$M,Brokerage!T$4)+SUMIFS('YTD Purchases'!$H:$H,'YTD Purchases'!$C:$C,Brokerage!$B351,'YTD Purchases'!$G:$G,Brokerage!T$4)</f>
        <v>0</v>
      </c>
      <c r="U351" s="857">
        <f>SUMIFS('YTD Sales'!$N:$N,'YTD Sales'!$B:$B,Brokerage!$B351,'YTD Sales'!$M:$M,Brokerage!U$4)+SUMIFS('YTD Purchases'!$H:$H,'YTD Purchases'!$C:$C,Brokerage!$B351,'YTD Purchases'!$G:$G,Brokerage!U$4)</f>
        <v>0</v>
      </c>
      <c r="V351" s="857">
        <f>SUMIFS('YTD Sales'!$N:$N,'YTD Sales'!$B:$B,Brokerage!$B351,'YTD Sales'!$M:$M,Brokerage!V$4)+SUMIFS('YTD Purchases'!$H:$H,'YTD Purchases'!$C:$C,Brokerage!$B351,'YTD Purchases'!$G:$G,Brokerage!V$4)</f>
        <v>0</v>
      </c>
      <c r="W351" s="857">
        <f>SUMIFS('YTD Sales'!$N:$N,'YTD Sales'!$B:$B,Brokerage!$B351,'YTD Sales'!$M:$M,Brokerage!W$4)+SUMIFS('YTD Purchases'!$H:$H,'YTD Purchases'!$C:$C,Brokerage!$B351,'YTD Purchases'!$G:$G,Brokerage!W$4)</f>
        <v>0</v>
      </c>
      <c r="X351" s="857">
        <f>SUMIFS('YTD Sales'!$N:$N,'YTD Sales'!$B:$B,Brokerage!$B351,'YTD Sales'!$M:$M,Brokerage!X$4)+SUMIFS('YTD Purchases'!$H:$H,'YTD Purchases'!$C:$C,Brokerage!$B351,'YTD Purchases'!$G:$G,Brokerage!X$4)</f>
        <v>0</v>
      </c>
      <c r="Y351" s="857">
        <f>SUMIFS('YTD Sales'!$N:$N,'YTD Sales'!$B:$B,Brokerage!$B351,'YTD Sales'!$M:$M,Brokerage!Y$4)+SUMIFS('YTD Purchases'!$H:$H,'YTD Purchases'!$C:$C,Brokerage!$B351,'YTD Purchases'!$G:$G,Brokerage!Y$4)</f>
        <v>0</v>
      </c>
      <c r="Z351" s="857">
        <f>SUMIFS('YTD Sales'!$N:$N,'YTD Sales'!$B:$B,Brokerage!$B351,'YTD Sales'!$M:$M,Brokerage!Z$4)+SUMIFS('YTD Purchases'!$H:$H,'YTD Purchases'!$C:$C,Brokerage!$B351,'YTD Purchases'!$G:$G,Brokerage!Z$4)</f>
        <v>0</v>
      </c>
      <c r="AA351" s="857">
        <f>SUMIFS('YTD Sales'!$N:$N,'YTD Sales'!$B:$B,Brokerage!$B351,'YTD Sales'!$M:$M,Brokerage!AA$4)+SUMIFS('YTD Purchases'!$H:$H,'YTD Purchases'!$C:$C,Brokerage!$B351,'YTD Purchases'!$G:$G,Brokerage!AA$4)</f>
        <v>0</v>
      </c>
      <c r="AB351" s="857">
        <f>SUMIFS('YTD Sales'!$N:$N,'YTD Sales'!$B:$B,Brokerage!$B351,'YTD Sales'!$M:$M,Brokerage!AB$4)+SUMIFS('YTD Purchases'!$H:$H,'YTD Purchases'!$C:$C,Brokerage!$B351,'YTD Purchases'!$G:$G,Brokerage!AB$4)</f>
        <v>0</v>
      </c>
      <c r="AC351" s="857">
        <f>SUMIFS('YTD Sales'!$N:$N,'YTD Sales'!$B:$B,Brokerage!$B351,'YTD Sales'!$M:$M,Brokerage!AC$4)+SUMIFS('YTD Purchases'!$H:$H,'YTD Purchases'!$C:$C,Brokerage!$B351,'YTD Purchases'!$G:$G,Brokerage!AC$4)</f>
        <v>0</v>
      </c>
      <c r="AD351" s="857">
        <f>+SUMIFS(PIB!AG:AG,PIB!AF:AF,Brokerage!AD$4,PIB!AA:AA,Brokerage!$B351)+SUMIFS('T-Bills'!AB:AB,'T-Bills'!AA:AA,Brokerage!AD$4,'T-Bills'!V:V,Brokerage!$B351)</f>
        <v>0</v>
      </c>
      <c r="AE351" s="857">
        <f>+SUMIFS(PIB!AH:AH,PIB!AG:AG,Brokerage!AE$4,PIB!AB:AB,Brokerage!$B351)+SUMIFS('T-Bills'!AC:AC,'T-Bills'!AB:AB,Brokerage!AE$4,'T-Bills'!W:W,Brokerage!$B351)</f>
        <v>0</v>
      </c>
      <c r="AF351" s="857">
        <f>+SUMIFS(PIB!AI:AI,PIB!AH:AH,Brokerage!AF$4,PIB!AC:AC,Brokerage!$B351)+SUMIFS('T-Bills'!AD:AD,'T-Bills'!AC:AC,Brokerage!AF$4,'T-Bills'!X:X,Brokerage!$B351)</f>
        <v>0</v>
      </c>
      <c r="AG351" s="857">
        <f t="shared" si="30"/>
        <v>0</v>
      </c>
      <c r="AH351" s="858">
        <f t="shared" si="28"/>
        <v>0</v>
      </c>
    </row>
    <row r="352" spans="2:34" x14ac:dyDescent="0.15">
      <c r="B352" s="661">
        <f t="shared" si="29"/>
        <v>44908</v>
      </c>
      <c r="C352" s="857">
        <f>SUMIFS('YTD Sales'!$N:$N,'YTD Sales'!$B:$B,Brokerage!$B352,'YTD Sales'!$M:$M,Brokerage!C$4)+SUMIFS('YTD Purchases'!$H:$H,'YTD Purchases'!$C:$C,Brokerage!$B352,'YTD Purchases'!$G:$G,Brokerage!C$4)</f>
        <v>0</v>
      </c>
      <c r="D352" s="857">
        <f>SUMIFS('YTD Sales'!$N:$N,'YTD Sales'!$B:$B,Brokerage!$B352,'YTD Sales'!$M:$M,Brokerage!D$4)+SUMIFS('YTD Purchases'!$H:$H,'YTD Purchases'!$C:$C,Brokerage!$B352,'YTD Purchases'!$G:$G,Brokerage!D$4)</f>
        <v>0</v>
      </c>
      <c r="E352" s="857">
        <f>SUMIFS('YTD Sales'!$N:$N,'YTD Sales'!$B:$B,Brokerage!$B352,'YTD Sales'!$M:$M,Brokerage!E$4)+SUMIFS('YTD Purchases'!$H:$H,'YTD Purchases'!$C:$C,Brokerage!$B352,'YTD Purchases'!$G:$G,Brokerage!E$4)</f>
        <v>0</v>
      </c>
      <c r="F352" s="857">
        <f>SUMIFS('YTD Sales'!$N:$N,'YTD Sales'!$B:$B,Brokerage!$B352,'YTD Sales'!$M:$M,Brokerage!F$4)+SUMIFS('YTD Purchases'!$H:$H,'YTD Purchases'!$C:$C,Brokerage!$B352,'YTD Purchases'!$G:$G,Brokerage!F$4)</f>
        <v>0</v>
      </c>
      <c r="G352" s="857">
        <f>SUMIFS('YTD Sales'!$N:$N,'YTD Sales'!$B:$B,Brokerage!$B352,'YTD Sales'!$M:$M,Brokerage!G$4)+SUMIFS('YTD Purchases'!$H:$H,'YTD Purchases'!$C:$C,Brokerage!$B352,'YTD Purchases'!$G:$G,Brokerage!G$4)</f>
        <v>0</v>
      </c>
      <c r="H352" s="857">
        <f>SUMIFS('YTD Sales'!$N:$N,'YTD Sales'!$B:$B,Brokerage!$B352,'YTD Sales'!$M:$M,Brokerage!H$4)+SUMIFS('YTD Purchases'!$H:$H,'YTD Purchases'!$C:$C,Brokerage!$B352,'YTD Purchases'!$G:$G,Brokerage!H$4)</f>
        <v>0</v>
      </c>
      <c r="I352" s="857">
        <f>SUMIFS('YTD Sales'!$N:$N,'YTD Sales'!$B:$B,Brokerage!$B352,'YTD Sales'!$M:$M,Brokerage!I$4)+SUMIFS('YTD Purchases'!$H:$H,'YTD Purchases'!$C:$C,Brokerage!$B352,'YTD Purchases'!$G:$G,Brokerage!I$4)</f>
        <v>0</v>
      </c>
      <c r="J352" s="857">
        <f>SUMIFS('YTD Sales'!$N:$N,'YTD Sales'!$B:$B,Brokerage!$B352,'YTD Sales'!$M:$M,Brokerage!J$4)+SUMIFS('YTD Purchases'!$H:$H,'YTD Purchases'!$C:$C,Brokerage!$B352,'YTD Purchases'!$G:$G,Brokerage!J$4)</f>
        <v>0</v>
      </c>
      <c r="K352" s="857">
        <f>SUMIFS('YTD Sales'!$N:$N,'YTD Sales'!$B:$B,Brokerage!$B352,'YTD Sales'!$M:$M,Brokerage!K$4)+SUMIFS('YTD Purchases'!$H:$H,'YTD Purchases'!$C:$C,Brokerage!$B352,'YTD Purchases'!$G:$G,Brokerage!K$4)</f>
        <v>0</v>
      </c>
      <c r="L352" s="857">
        <f>SUMIFS('YTD Sales'!$N:$N,'YTD Sales'!$B:$B,Brokerage!$B352,'YTD Sales'!$M:$M,Brokerage!L$4)+SUMIFS('YTD Purchases'!$H:$H,'YTD Purchases'!$C:$C,Brokerage!$B352,'YTD Purchases'!$G:$G,Brokerage!L$4)</f>
        <v>0</v>
      </c>
      <c r="M352" s="857">
        <f>SUMIFS('YTD Sales'!$N:$N,'YTD Sales'!$B:$B,Brokerage!$B352,'YTD Sales'!$M:$M,Brokerage!M$4)+SUMIFS('YTD Purchases'!$H:$H,'YTD Purchases'!$C:$C,Brokerage!$B352,'YTD Purchases'!$G:$G,Brokerage!M$4)</f>
        <v>0</v>
      </c>
      <c r="N352" s="857">
        <f>SUMIFS('YTD Sales'!$N:$N,'YTD Sales'!$B:$B,Brokerage!$B352,'YTD Sales'!$M:$M,Brokerage!N$4)+SUMIFS('YTD Purchases'!$H:$H,'YTD Purchases'!$C:$C,Brokerage!$B352,'YTD Purchases'!$G:$G,Brokerage!N$4)</f>
        <v>0</v>
      </c>
      <c r="O352" s="857">
        <f>SUMIFS('YTD Sales'!$N:$N,'YTD Sales'!$B:$B,Brokerage!$B352,'YTD Sales'!$M:$M,Brokerage!O$4)+SUMIFS('YTD Purchases'!$H:$H,'YTD Purchases'!$C:$C,Brokerage!$B352,'YTD Purchases'!$G:$G,Brokerage!O$4)</f>
        <v>0</v>
      </c>
      <c r="P352" s="857">
        <f>SUMIFS('YTD Sales'!$N:$N,'YTD Sales'!$B:$B,Brokerage!$B352,'YTD Sales'!$M:$M,Brokerage!P$4)+SUMIFS('YTD Purchases'!$H:$H,'YTD Purchases'!$C:$C,Brokerage!$B352,'YTD Purchases'!$G:$G,Brokerage!P$4)</f>
        <v>0</v>
      </c>
      <c r="Q352" s="857">
        <f>SUMIFS('YTD Sales'!$N:$N,'YTD Sales'!$B:$B,Brokerage!$B352,'YTD Sales'!$M:$M,Brokerage!Q$4)+SUMIFS('YTD Purchases'!$H:$H,'YTD Purchases'!$C:$C,Brokerage!$B352,'YTD Purchases'!$G:$G,Brokerage!Q$4)</f>
        <v>0</v>
      </c>
      <c r="R352" s="857">
        <f>SUMIFS('YTD Sales'!$N:$N,'YTD Sales'!$B:$B,Brokerage!$B352,'YTD Sales'!$M:$M,Brokerage!R$4)+SUMIFS('YTD Purchases'!$H:$H,'YTD Purchases'!$C:$C,Brokerage!$B352,'YTD Purchases'!$G:$G,Brokerage!R$4)</f>
        <v>0</v>
      </c>
      <c r="S352" s="857">
        <f>SUMIFS('YTD Sales'!$N:$N,'YTD Sales'!$B:$B,Brokerage!$B352,'YTD Sales'!$M:$M,Brokerage!S$4)+SUMIFS('YTD Purchases'!$H:$H,'YTD Purchases'!$C:$C,Brokerage!$B352,'YTD Purchases'!$G:$G,Brokerage!S$4)</f>
        <v>0</v>
      </c>
      <c r="T352" s="857">
        <f>SUMIFS('YTD Sales'!$N:$N,'YTD Sales'!$B:$B,Brokerage!$B352,'YTD Sales'!$M:$M,Brokerage!T$4)+SUMIFS('YTD Purchases'!$H:$H,'YTD Purchases'!$C:$C,Brokerage!$B352,'YTD Purchases'!$G:$G,Brokerage!T$4)</f>
        <v>0</v>
      </c>
      <c r="U352" s="857">
        <f>SUMIFS('YTD Sales'!$N:$N,'YTD Sales'!$B:$B,Brokerage!$B352,'YTD Sales'!$M:$M,Brokerage!U$4)+SUMIFS('YTD Purchases'!$H:$H,'YTD Purchases'!$C:$C,Brokerage!$B352,'YTD Purchases'!$G:$G,Brokerage!U$4)</f>
        <v>0</v>
      </c>
      <c r="V352" s="857">
        <f>SUMIFS('YTD Sales'!$N:$N,'YTD Sales'!$B:$B,Brokerage!$B352,'YTD Sales'!$M:$M,Brokerage!V$4)+SUMIFS('YTD Purchases'!$H:$H,'YTD Purchases'!$C:$C,Brokerage!$B352,'YTD Purchases'!$G:$G,Brokerage!V$4)</f>
        <v>0</v>
      </c>
      <c r="W352" s="857">
        <f>SUMIFS('YTD Sales'!$N:$N,'YTD Sales'!$B:$B,Brokerage!$B352,'YTD Sales'!$M:$M,Brokerage!W$4)+SUMIFS('YTD Purchases'!$H:$H,'YTD Purchases'!$C:$C,Brokerage!$B352,'YTD Purchases'!$G:$G,Brokerage!W$4)</f>
        <v>0</v>
      </c>
      <c r="X352" s="857">
        <f>SUMIFS('YTD Sales'!$N:$N,'YTD Sales'!$B:$B,Brokerage!$B352,'YTD Sales'!$M:$M,Brokerage!X$4)+SUMIFS('YTD Purchases'!$H:$H,'YTD Purchases'!$C:$C,Brokerage!$B352,'YTD Purchases'!$G:$G,Brokerage!X$4)</f>
        <v>0</v>
      </c>
      <c r="Y352" s="857">
        <f>SUMIFS('YTD Sales'!$N:$N,'YTD Sales'!$B:$B,Brokerage!$B352,'YTD Sales'!$M:$M,Brokerage!Y$4)+SUMIFS('YTD Purchases'!$H:$H,'YTD Purchases'!$C:$C,Brokerage!$B352,'YTD Purchases'!$G:$G,Brokerage!Y$4)</f>
        <v>0</v>
      </c>
      <c r="Z352" s="857">
        <f>SUMIFS('YTD Sales'!$N:$N,'YTD Sales'!$B:$B,Brokerage!$B352,'YTD Sales'!$M:$M,Brokerage!Z$4)+SUMIFS('YTD Purchases'!$H:$H,'YTD Purchases'!$C:$C,Brokerage!$B352,'YTD Purchases'!$G:$G,Brokerage!Z$4)</f>
        <v>0</v>
      </c>
      <c r="AA352" s="857">
        <f>SUMIFS('YTD Sales'!$N:$N,'YTD Sales'!$B:$B,Brokerage!$B352,'YTD Sales'!$M:$M,Brokerage!AA$4)+SUMIFS('YTD Purchases'!$H:$H,'YTD Purchases'!$C:$C,Brokerage!$B352,'YTD Purchases'!$G:$G,Brokerage!AA$4)</f>
        <v>0</v>
      </c>
      <c r="AB352" s="857">
        <f>SUMIFS('YTD Sales'!$N:$N,'YTD Sales'!$B:$B,Brokerage!$B352,'YTD Sales'!$M:$M,Brokerage!AB$4)+SUMIFS('YTD Purchases'!$H:$H,'YTD Purchases'!$C:$C,Brokerage!$B352,'YTD Purchases'!$G:$G,Brokerage!AB$4)</f>
        <v>0</v>
      </c>
      <c r="AC352" s="857">
        <f>SUMIFS('YTD Sales'!$N:$N,'YTD Sales'!$B:$B,Brokerage!$B352,'YTD Sales'!$M:$M,Brokerage!AC$4)+SUMIFS('YTD Purchases'!$H:$H,'YTD Purchases'!$C:$C,Brokerage!$B352,'YTD Purchases'!$G:$G,Brokerage!AC$4)</f>
        <v>0</v>
      </c>
      <c r="AD352" s="857">
        <f>+SUMIFS(PIB!AG:AG,PIB!AF:AF,Brokerage!AD$4,PIB!AA:AA,Brokerage!$B352)+SUMIFS('T-Bills'!AB:AB,'T-Bills'!AA:AA,Brokerage!AD$4,'T-Bills'!V:V,Brokerage!$B352)</f>
        <v>0</v>
      </c>
      <c r="AE352" s="857">
        <f>+SUMIFS(PIB!AH:AH,PIB!AG:AG,Brokerage!AE$4,PIB!AB:AB,Brokerage!$B352)+SUMIFS('T-Bills'!AC:AC,'T-Bills'!AB:AB,Brokerage!AE$4,'T-Bills'!W:W,Brokerage!$B352)</f>
        <v>0</v>
      </c>
      <c r="AF352" s="857">
        <f>+SUMIFS(PIB!AI:AI,PIB!AH:AH,Brokerage!AF$4,PIB!AC:AC,Brokerage!$B352)+SUMIFS('T-Bills'!AD:AD,'T-Bills'!AC:AC,Brokerage!AF$4,'T-Bills'!X:X,Brokerage!$B352)</f>
        <v>0</v>
      </c>
      <c r="AG352" s="857">
        <f t="shared" si="30"/>
        <v>0</v>
      </c>
      <c r="AH352" s="858">
        <f t="shared" si="28"/>
        <v>0</v>
      </c>
    </row>
    <row r="353" spans="2:34" x14ac:dyDescent="0.15">
      <c r="B353" s="661">
        <f t="shared" si="29"/>
        <v>44909</v>
      </c>
      <c r="C353" s="857">
        <f>SUMIFS('YTD Sales'!$N:$N,'YTD Sales'!$B:$B,Brokerage!$B353,'YTD Sales'!$M:$M,Brokerage!C$4)+SUMIFS('YTD Purchases'!$H:$H,'YTD Purchases'!$C:$C,Brokerage!$B353,'YTD Purchases'!$G:$G,Brokerage!C$4)</f>
        <v>0</v>
      </c>
      <c r="D353" s="857">
        <f>SUMIFS('YTD Sales'!$N:$N,'YTD Sales'!$B:$B,Brokerage!$B353,'YTD Sales'!$M:$M,Brokerage!D$4)+SUMIFS('YTD Purchases'!$H:$H,'YTD Purchases'!$C:$C,Brokerage!$B353,'YTD Purchases'!$G:$G,Brokerage!D$4)</f>
        <v>0</v>
      </c>
      <c r="E353" s="857">
        <f>SUMIFS('YTD Sales'!$N:$N,'YTD Sales'!$B:$B,Brokerage!$B353,'YTD Sales'!$M:$M,Brokerage!E$4)+SUMIFS('YTD Purchases'!$H:$H,'YTD Purchases'!$C:$C,Brokerage!$B353,'YTD Purchases'!$G:$G,Brokerage!E$4)</f>
        <v>0</v>
      </c>
      <c r="F353" s="857">
        <f>SUMIFS('YTD Sales'!$N:$N,'YTD Sales'!$B:$B,Brokerage!$B353,'YTD Sales'!$M:$M,Brokerage!F$4)+SUMIFS('YTD Purchases'!$H:$H,'YTD Purchases'!$C:$C,Brokerage!$B353,'YTD Purchases'!$G:$G,Brokerage!F$4)</f>
        <v>0</v>
      </c>
      <c r="G353" s="857">
        <f>SUMIFS('YTD Sales'!$N:$N,'YTD Sales'!$B:$B,Brokerage!$B353,'YTD Sales'!$M:$M,Brokerage!G$4)+SUMIFS('YTD Purchases'!$H:$H,'YTD Purchases'!$C:$C,Brokerage!$B353,'YTD Purchases'!$G:$G,Brokerage!G$4)</f>
        <v>0</v>
      </c>
      <c r="H353" s="857">
        <f>SUMIFS('YTD Sales'!$N:$N,'YTD Sales'!$B:$B,Brokerage!$B353,'YTD Sales'!$M:$M,Brokerage!H$4)+SUMIFS('YTD Purchases'!$H:$H,'YTD Purchases'!$C:$C,Brokerage!$B353,'YTD Purchases'!$G:$G,Brokerage!H$4)</f>
        <v>0</v>
      </c>
      <c r="I353" s="857">
        <f>SUMIFS('YTD Sales'!$N:$N,'YTD Sales'!$B:$B,Brokerage!$B353,'YTD Sales'!$M:$M,Brokerage!I$4)+SUMIFS('YTD Purchases'!$H:$H,'YTD Purchases'!$C:$C,Brokerage!$B353,'YTD Purchases'!$G:$G,Brokerage!I$4)</f>
        <v>0</v>
      </c>
      <c r="J353" s="857">
        <f>SUMIFS('YTD Sales'!$N:$N,'YTD Sales'!$B:$B,Brokerage!$B353,'YTD Sales'!$M:$M,Brokerage!J$4)+SUMIFS('YTD Purchases'!$H:$H,'YTD Purchases'!$C:$C,Brokerage!$B353,'YTD Purchases'!$G:$G,Brokerage!J$4)</f>
        <v>0</v>
      </c>
      <c r="K353" s="857">
        <f>SUMIFS('YTD Sales'!$N:$N,'YTD Sales'!$B:$B,Brokerage!$B353,'YTD Sales'!$M:$M,Brokerage!K$4)+SUMIFS('YTD Purchases'!$H:$H,'YTD Purchases'!$C:$C,Brokerage!$B353,'YTD Purchases'!$G:$G,Brokerage!K$4)</f>
        <v>0</v>
      </c>
      <c r="L353" s="857">
        <f>SUMIFS('YTD Sales'!$N:$N,'YTD Sales'!$B:$B,Brokerage!$B353,'YTD Sales'!$M:$M,Brokerage!L$4)+SUMIFS('YTD Purchases'!$H:$H,'YTD Purchases'!$C:$C,Brokerage!$B353,'YTD Purchases'!$G:$G,Brokerage!L$4)</f>
        <v>0</v>
      </c>
      <c r="M353" s="857">
        <f>SUMIFS('YTD Sales'!$N:$N,'YTD Sales'!$B:$B,Brokerage!$B353,'YTD Sales'!$M:$M,Brokerage!M$4)+SUMIFS('YTD Purchases'!$H:$H,'YTD Purchases'!$C:$C,Brokerage!$B353,'YTD Purchases'!$G:$G,Brokerage!M$4)</f>
        <v>0</v>
      </c>
      <c r="N353" s="857">
        <f>SUMIFS('YTD Sales'!$N:$N,'YTD Sales'!$B:$B,Brokerage!$B353,'YTD Sales'!$M:$M,Brokerage!N$4)+SUMIFS('YTD Purchases'!$H:$H,'YTD Purchases'!$C:$C,Brokerage!$B353,'YTD Purchases'!$G:$G,Brokerage!N$4)</f>
        <v>0</v>
      </c>
      <c r="O353" s="857">
        <f>SUMIFS('YTD Sales'!$N:$N,'YTD Sales'!$B:$B,Brokerage!$B353,'YTD Sales'!$M:$M,Brokerage!O$4)+SUMIFS('YTD Purchases'!$H:$H,'YTD Purchases'!$C:$C,Brokerage!$B353,'YTD Purchases'!$G:$G,Brokerage!O$4)</f>
        <v>0</v>
      </c>
      <c r="P353" s="857">
        <f>SUMIFS('YTD Sales'!$N:$N,'YTD Sales'!$B:$B,Brokerage!$B353,'YTD Sales'!$M:$M,Brokerage!P$4)+SUMIFS('YTD Purchases'!$H:$H,'YTD Purchases'!$C:$C,Brokerage!$B353,'YTD Purchases'!$G:$G,Brokerage!P$4)</f>
        <v>0</v>
      </c>
      <c r="Q353" s="857">
        <f>SUMIFS('YTD Sales'!$N:$N,'YTD Sales'!$B:$B,Brokerage!$B353,'YTD Sales'!$M:$M,Brokerage!Q$4)+SUMIFS('YTD Purchases'!$H:$H,'YTD Purchases'!$C:$C,Brokerage!$B353,'YTD Purchases'!$G:$G,Brokerage!Q$4)</f>
        <v>0</v>
      </c>
      <c r="R353" s="857">
        <f>SUMIFS('YTD Sales'!$N:$N,'YTD Sales'!$B:$B,Brokerage!$B353,'YTD Sales'!$M:$M,Brokerage!R$4)+SUMIFS('YTD Purchases'!$H:$H,'YTD Purchases'!$C:$C,Brokerage!$B353,'YTD Purchases'!$G:$G,Brokerage!R$4)</f>
        <v>0</v>
      </c>
      <c r="S353" s="857">
        <f>SUMIFS('YTD Sales'!$N:$N,'YTD Sales'!$B:$B,Brokerage!$B353,'YTD Sales'!$M:$M,Brokerage!S$4)+SUMIFS('YTD Purchases'!$H:$H,'YTD Purchases'!$C:$C,Brokerage!$B353,'YTD Purchases'!$G:$G,Brokerage!S$4)</f>
        <v>0</v>
      </c>
      <c r="T353" s="857">
        <f>SUMIFS('YTD Sales'!$N:$N,'YTD Sales'!$B:$B,Brokerage!$B353,'YTD Sales'!$M:$M,Brokerage!T$4)+SUMIFS('YTD Purchases'!$H:$H,'YTD Purchases'!$C:$C,Brokerage!$B353,'YTD Purchases'!$G:$G,Brokerage!T$4)</f>
        <v>0</v>
      </c>
      <c r="U353" s="857">
        <f>SUMIFS('YTD Sales'!$N:$N,'YTD Sales'!$B:$B,Brokerage!$B353,'YTD Sales'!$M:$M,Brokerage!U$4)+SUMIFS('YTD Purchases'!$H:$H,'YTD Purchases'!$C:$C,Brokerage!$B353,'YTD Purchases'!$G:$G,Brokerage!U$4)</f>
        <v>0</v>
      </c>
      <c r="V353" s="857">
        <f>SUMIFS('YTD Sales'!$N:$N,'YTD Sales'!$B:$B,Brokerage!$B353,'YTD Sales'!$M:$M,Brokerage!V$4)+SUMIFS('YTD Purchases'!$H:$H,'YTD Purchases'!$C:$C,Brokerage!$B353,'YTD Purchases'!$G:$G,Brokerage!V$4)</f>
        <v>0</v>
      </c>
      <c r="W353" s="857">
        <f>SUMIFS('YTD Sales'!$N:$N,'YTD Sales'!$B:$B,Brokerage!$B353,'YTD Sales'!$M:$M,Brokerage!W$4)+SUMIFS('YTD Purchases'!$H:$H,'YTD Purchases'!$C:$C,Brokerage!$B353,'YTD Purchases'!$G:$G,Brokerage!W$4)</f>
        <v>0</v>
      </c>
      <c r="X353" s="857">
        <f>SUMIFS('YTD Sales'!$N:$N,'YTD Sales'!$B:$B,Brokerage!$B353,'YTD Sales'!$M:$M,Brokerage!X$4)+SUMIFS('YTD Purchases'!$H:$H,'YTD Purchases'!$C:$C,Brokerage!$B353,'YTD Purchases'!$G:$G,Brokerage!X$4)</f>
        <v>0</v>
      </c>
      <c r="Y353" s="857">
        <f>SUMIFS('YTD Sales'!$N:$N,'YTD Sales'!$B:$B,Brokerage!$B353,'YTD Sales'!$M:$M,Brokerage!Y$4)+SUMIFS('YTD Purchases'!$H:$H,'YTD Purchases'!$C:$C,Brokerage!$B353,'YTD Purchases'!$G:$G,Brokerage!Y$4)</f>
        <v>0</v>
      </c>
      <c r="Z353" s="857">
        <f>SUMIFS('YTD Sales'!$N:$N,'YTD Sales'!$B:$B,Brokerage!$B353,'YTD Sales'!$M:$M,Brokerage!Z$4)+SUMIFS('YTD Purchases'!$H:$H,'YTD Purchases'!$C:$C,Brokerage!$B353,'YTD Purchases'!$G:$G,Brokerage!Z$4)</f>
        <v>0</v>
      </c>
      <c r="AA353" s="857">
        <f>SUMIFS('YTD Sales'!$N:$N,'YTD Sales'!$B:$B,Brokerage!$B353,'YTD Sales'!$M:$M,Brokerage!AA$4)+SUMIFS('YTD Purchases'!$H:$H,'YTD Purchases'!$C:$C,Brokerage!$B353,'YTD Purchases'!$G:$G,Brokerage!AA$4)</f>
        <v>0</v>
      </c>
      <c r="AB353" s="857">
        <f>SUMIFS('YTD Sales'!$N:$N,'YTD Sales'!$B:$B,Brokerage!$B353,'YTD Sales'!$M:$M,Brokerage!AB$4)+SUMIFS('YTD Purchases'!$H:$H,'YTD Purchases'!$C:$C,Brokerage!$B353,'YTD Purchases'!$G:$G,Brokerage!AB$4)</f>
        <v>0</v>
      </c>
      <c r="AC353" s="857">
        <f>SUMIFS('YTD Sales'!$N:$N,'YTD Sales'!$B:$B,Brokerage!$B353,'YTD Sales'!$M:$M,Brokerage!AC$4)+SUMIFS('YTD Purchases'!$H:$H,'YTD Purchases'!$C:$C,Brokerage!$B353,'YTD Purchases'!$G:$G,Brokerage!AC$4)</f>
        <v>0</v>
      </c>
      <c r="AD353" s="857">
        <f>+SUMIFS(PIB!AG:AG,PIB!AF:AF,Brokerage!AD$4,PIB!AA:AA,Brokerage!$B353)+SUMIFS('T-Bills'!AB:AB,'T-Bills'!AA:AA,Brokerage!AD$4,'T-Bills'!V:V,Brokerage!$B353)</f>
        <v>0</v>
      </c>
      <c r="AE353" s="857">
        <f>+SUMIFS(PIB!AH:AH,PIB!AG:AG,Brokerage!AE$4,PIB!AB:AB,Brokerage!$B353)+SUMIFS('T-Bills'!AC:AC,'T-Bills'!AB:AB,Brokerage!AE$4,'T-Bills'!W:W,Brokerage!$B353)</f>
        <v>0</v>
      </c>
      <c r="AF353" s="857">
        <f>+SUMIFS(PIB!AI:AI,PIB!AH:AH,Brokerage!AF$4,PIB!AC:AC,Brokerage!$B353)+SUMIFS('T-Bills'!AD:AD,'T-Bills'!AC:AC,Brokerage!AF$4,'T-Bills'!X:X,Brokerage!$B353)</f>
        <v>0</v>
      </c>
      <c r="AG353" s="857">
        <f t="shared" si="30"/>
        <v>0</v>
      </c>
      <c r="AH353" s="858">
        <f t="shared" si="28"/>
        <v>0</v>
      </c>
    </row>
    <row r="354" spans="2:34" x14ac:dyDescent="0.15">
      <c r="B354" s="661">
        <f t="shared" si="29"/>
        <v>44910</v>
      </c>
      <c r="C354" s="857">
        <f>SUMIFS('YTD Sales'!$N:$N,'YTD Sales'!$B:$B,Brokerage!$B354,'YTD Sales'!$M:$M,Brokerage!C$4)+SUMIFS('YTD Purchases'!$H:$H,'YTD Purchases'!$C:$C,Brokerage!$B354,'YTD Purchases'!$G:$G,Brokerage!C$4)</f>
        <v>0</v>
      </c>
      <c r="D354" s="857">
        <f>SUMIFS('YTD Sales'!$N:$N,'YTD Sales'!$B:$B,Brokerage!$B354,'YTD Sales'!$M:$M,Brokerage!D$4)+SUMIFS('YTD Purchases'!$H:$H,'YTD Purchases'!$C:$C,Brokerage!$B354,'YTD Purchases'!$G:$G,Brokerage!D$4)</f>
        <v>0</v>
      </c>
      <c r="E354" s="857">
        <f>SUMIFS('YTD Sales'!$N:$N,'YTD Sales'!$B:$B,Brokerage!$B354,'YTD Sales'!$M:$M,Brokerage!E$4)+SUMIFS('YTD Purchases'!$H:$H,'YTD Purchases'!$C:$C,Brokerage!$B354,'YTD Purchases'!$G:$G,Brokerage!E$4)</f>
        <v>0</v>
      </c>
      <c r="F354" s="857">
        <f>SUMIFS('YTD Sales'!$N:$N,'YTD Sales'!$B:$B,Brokerage!$B354,'YTD Sales'!$M:$M,Brokerage!F$4)+SUMIFS('YTD Purchases'!$H:$H,'YTD Purchases'!$C:$C,Brokerage!$B354,'YTD Purchases'!$G:$G,Brokerage!F$4)</f>
        <v>0</v>
      </c>
      <c r="G354" s="857">
        <f>SUMIFS('YTD Sales'!$N:$N,'YTD Sales'!$B:$B,Brokerage!$B354,'YTD Sales'!$M:$M,Brokerage!G$4)+SUMIFS('YTD Purchases'!$H:$H,'YTD Purchases'!$C:$C,Brokerage!$B354,'YTD Purchases'!$G:$G,Brokerage!G$4)</f>
        <v>0</v>
      </c>
      <c r="H354" s="857">
        <f>SUMIFS('YTD Sales'!$N:$N,'YTD Sales'!$B:$B,Brokerage!$B354,'YTD Sales'!$M:$M,Brokerage!H$4)+SUMIFS('YTD Purchases'!$H:$H,'YTD Purchases'!$C:$C,Brokerage!$B354,'YTD Purchases'!$G:$G,Brokerage!H$4)</f>
        <v>0</v>
      </c>
      <c r="I354" s="857">
        <f>SUMIFS('YTD Sales'!$N:$N,'YTD Sales'!$B:$B,Brokerage!$B354,'YTD Sales'!$M:$M,Brokerage!I$4)+SUMIFS('YTD Purchases'!$H:$H,'YTD Purchases'!$C:$C,Brokerage!$B354,'YTD Purchases'!$G:$G,Brokerage!I$4)</f>
        <v>0</v>
      </c>
      <c r="J354" s="857">
        <f>SUMIFS('YTD Sales'!$N:$N,'YTD Sales'!$B:$B,Brokerage!$B354,'YTD Sales'!$M:$M,Brokerage!J$4)+SUMIFS('YTD Purchases'!$H:$H,'YTD Purchases'!$C:$C,Brokerage!$B354,'YTD Purchases'!$G:$G,Brokerage!J$4)</f>
        <v>0</v>
      </c>
      <c r="K354" s="857">
        <f>SUMIFS('YTD Sales'!$N:$N,'YTD Sales'!$B:$B,Brokerage!$B354,'YTD Sales'!$M:$M,Brokerage!K$4)+SUMIFS('YTD Purchases'!$H:$H,'YTD Purchases'!$C:$C,Brokerage!$B354,'YTD Purchases'!$G:$G,Brokerage!K$4)</f>
        <v>0</v>
      </c>
      <c r="L354" s="857">
        <f>SUMIFS('YTD Sales'!$N:$N,'YTD Sales'!$B:$B,Brokerage!$B354,'YTD Sales'!$M:$M,Brokerage!L$4)+SUMIFS('YTD Purchases'!$H:$H,'YTD Purchases'!$C:$C,Brokerage!$B354,'YTD Purchases'!$G:$G,Brokerage!L$4)</f>
        <v>0</v>
      </c>
      <c r="M354" s="857">
        <f>SUMIFS('YTD Sales'!$N:$N,'YTD Sales'!$B:$B,Brokerage!$B354,'YTD Sales'!$M:$M,Brokerage!M$4)+SUMIFS('YTD Purchases'!$H:$H,'YTD Purchases'!$C:$C,Brokerage!$B354,'YTD Purchases'!$G:$G,Brokerage!M$4)</f>
        <v>0</v>
      </c>
      <c r="N354" s="857">
        <f>SUMIFS('YTD Sales'!$N:$N,'YTD Sales'!$B:$B,Brokerage!$B354,'YTD Sales'!$M:$M,Brokerage!N$4)+SUMIFS('YTD Purchases'!$H:$H,'YTD Purchases'!$C:$C,Brokerage!$B354,'YTD Purchases'!$G:$G,Brokerage!N$4)</f>
        <v>0</v>
      </c>
      <c r="O354" s="857">
        <f>SUMIFS('YTD Sales'!$N:$N,'YTD Sales'!$B:$B,Brokerage!$B354,'YTD Sales'!$M:$M,Brokerage!O$4)+SUMIFS('YTD Purchases'!$H:$H,'YTD Purchases'!$C:$C,Brokerage!$B354,'YTD Purchases'!$G:$G,Brokerage!O$4)</f>
        <v>0</v>
      </c>
      <c r="P354" s="857">
        <f>SUMIFS('YTD Sales'!$N:$N,'YTD Sales'!$B:$B,Brokerage!$B354,'YTD Sales'!$M:$M,Brokerage!P$4)+SUMIFS('YTD Purchases'!$H:$H,'YTD Purchases'!$C:$C,Brokerage!$B354,'YTD Purchases'!$G:$G,Brokerage!P$4)</f>
        <v>0</v>
      </c>
      <c r="Q354" s="857">
        <f>SUMIFS('YTD Sales'!$N:$N,'YTD Sales'!$B:$B,Brokerage!$B354,'YTD Sales'!$M:$M,Brokerage!Q$4)+SUMIFS('YTD Purchases'!$H:$H,'YTD Purchases'!$C:$C,Brokerage!$B354,'YTD Purchases'!$G:$G,Brokerage!Q$4)</f>
        <v>0</v>
      </c>
      <c r="R354" s="857">
        <f>SUMIFS('YTD Sales'!$N:$N,'YTD Sales'!$B:$B,Brokerage!$B354,'YTD Sales'!$M:$M,Brokerage!R$4)+SUMIFS('YTD Purchases'!$H:$H,'YTD Purchases'!$C:$C,Brokerage!$B354,'YTD Purchases'!$G:$G,Brokerage!R$4)</f>
        <v>0</v>
      </c>
      <c r="S354" s="857">
        <f>SUMIFS('YTD Sales'!$N:$N,'YTD Sales'!$B:$B,Brokerage!$B354,'YTD Sales'!$M:$M,Brokerage!S$4)+SUMIFS('YTD Purchases'!$H:$H,'YTD Purchases'!$C:$C,Brokerage!$B354,'YTD Purchases'!$G:$G,Brokerage!S$4)</f>
        <v>0</v>
      </c>
      <c r="T354" s="857">
        <f>SUMIFS('YTD Sales'!$N:$N,'YTD Sales'!$B:$B,Brokerage!$B354,'YTD Sales'!$M:$M,Brokerage!T$4)+SUMIFS('YTD Purchases'!$H:$H,'YTD Purchases'!$C:$C,Brokerage!$B354,'YTD Purchases'!$G:$G,Brokerage!T$4)</f>
        <v>0</v>
      </c>
      <c r="U354" s="857">
        <f>SUMIFS('YTD Sales'!$N:$N,'YTD Sales'!$B:$B,Brokerage!$B354,'YTD Sales'!$M:$M,Brokerage!U$4)+SUMIFS('YTD Purchases'!$H:$H,'YTD Purchases'!$C:$C,Brokerage!$B354,'YTD Purchases'!$G:$G,Brokerage!U$4)</f>
        <v>0</v>
      </c>
      <c r="V354" s="857">
        <f>SUMIFS('YTD Sales'!$N:$N,'YTD Sales'!$B:$B,Brokerage!$B354,'YTD Sales'!$M:$M,Brokerage!V$4)+SUMIFS('YTD Purchases'!$H:$H,'YTD Purchases'!$C:$C,Brokerage!$B354,'YTD Purchases'!$G:$G,Brokerage!V$4)</f>
        <v>0</v>
      </c>
      <c r="W354" s="857">
        <f>SUMIFS('YTD Sales'!$N:$N,'YTD Sales'!$B:$B,Brokerage!$B354,'YTD Sales'!$M:$M,Brokerage!W$4)+SUMIFS('YTD Purchases'!$H:$H,'YTD Purchases'!$C:$C,Brokerage!$B354,'YTD Purchases'!$G:$G,Brokerage!W$4)</f>
        <v>0</v>
      </c>
      <c r="X354" s="857">
        <f>SUMIFS('YTD Sales'!$N:$N,'YTD Sales'!$B:$B,Brokerage!$B354,'YTD Sales'!$M:$M,Brokerage!X$4)+SUMIFS('YTD Purchases'!$H:$H,'YTD Purchases'!$C:$C,Brokerage!$B354,'YTD Purchases'!$G:$G,Brokerage!X$4)</f>
        <v>0</v>
      </c>
      <c r="Y354" s="857">
        <f>SUMIFS('YTD Sales'!$N:$N,'YTD Sales'!$B:$B,Brokerage!$B354,'YTD Sales'!$M:$M,Brokerage!Y$4)+SUMIFS('YTD Purchases'!$H:$H,'YTD Purchases'!$C:$C,Brokerage!$B354,'YTD Purchases'!$G:$G,Brokerage!Y$4)</f>
        <v>0</v>
      </c>
      <c r="Z354" s="857">
        <f>SUMIFS('YTD Sales'!$N:$N,'YTD Sales'!$B:$B,Brokerage!$B354,'YTD Sales'!$M:$M,Brokerage!Z$4)+SUMIFS('YTD Purchases'!$H:$H,'YTD Purchases'!$C:$C,Brokerage!$B354,'YTD Purchases'!$G:$G,Brokerage!Z$4)</f>
        <v>0</v>
      </c>
      <c r="AA354" s="857">
        <f>SUMIFS('YTD Sales'!$N:$N,'YTD Sales'!$B:$B,Brokerage!$B354,'YTD Sales'!$M:$M,Brokerage!AA$4)+SUMIFS('YTD Purchases'!$H:$H,'YTD Purchases'!$C:$C,Brokerage!$B354,'YTD Purchases'!$G:$G,Brokerage!AA$4)</f>
        <v>0</v>
      </c>
      <c r="AB354" s="857">
        <f>SUMIFS('YTD Sales'!$N:$N,'YTD Sales'!$B:$B,Brokerage!$B354,'YTD Sales'!$M:$M,Brokerage!AB$4)+SUMIFS('YTD Purchases'!$H:$H,'YTD Purchases'!$C:$C,Brokerage!$B354,'YTD Purchases'!$G:$G,Brokerage!AB$4)</f>
        <v>0</v>
      </c>
      <c r="AC354" s="857">
        <f>SUMIFS('YTD Sales'!$N:$N,'YTD Sales'!$B:$B,Brokerage!$B354,'YTD Sales'!$M:$M,Brokerage!AC$4)+SUMIFS('YTD Purchases'!$H:$H,'YTD Purchases'!$C:$C,Brokerage!$B354,'YTD Purchases'!$G:$G,Brokerage!AC$4)</f>
        <v>0</v>
      </c>
      <c r="AD354" s="857">
        <f>+SUMIFS(PIB!AG:AG,PIB!AF:AF,Brokerage!AD$4,PIB!AA:AA,Brokerage!$B354)+SUMIFS('T-Bills'!AB:AB,'T-Bills'!AA:AA,Brokerage!AD$4,'T-Bills'!V:V,Brokerage!$B354)</f>
        <v>0</v>
      </c>
      <c r="AE354" s="857">
        <f>+SUMIFS(PIB!AH:AH,PIB!AG:AG,Brokerage!AE$4,PIB!AB:AB,Brokerage!$B354)+SUMIFS('T-Bills'!AC:AC,'T-Bills'!AB:AB,Brokerage!AE$4,'T-Bills'!W:W,Brokerage!$B354)</f>
        <v>0</v>
      </c>
      <c r="AF354" s="857">
        <f>+SUMIFS(PIB!AI:AI,PIB!AH:AH,Brokerage!AF$4,PIB!AC:AC,Brokerage!$B354)+SUMIFS('T-Bills'!AD:AD,'T-Bills'!AC:AC,Brokerage!AF$4,'T-Bills'!X:X,Brokerage!$B354)</f>
        <v>0</v>
      </c>
      <c r="AG354" s="857">
        <f t="shared" si="30"/>
        <v>0</v>
      </c>
      <c r="AH354" s="858">
        <f t="shared" si="28"/>
        <v>0</v>
      </c>
    </row>
    <row r="355" spans="2:34" x14ac:dyDescent="0.15">
      <c r="B355" s="661">
        <f t="shared" si="29"/>
        <v>44911</v>
      </c>
      <c r="C355" s="857">
        <f>SUMIFS('YTD Sales'!$N:$N,'YTD Sales'!$B:$B,Brokerage!$B355,'YTD Sales'!$M:$M,Brokerage!C$4)+SUMIFS('YTD Purchases'!$H:$H,'YTD Purchases'!$C:$C,Brokerage!$B355,'YTD Purchases'!$G:$G,Brokerage!C$4)</f>
        <v>0</v>
      </c>
      <c r="D355" s="857">
        <f>SUMIFS('YTD Sales'!$N:$N,'YTD Sales'!$B:$B,Brokerage!$B355,'YTD Sales'!$M:$M,Brokerage!D$4)+SUMIFS('YTD Purchases'!$H:$H,'YTD Purchases'!$C:$C,Brokerage!$B355,'YTD Purchases'!$G:$G,Brokerage!D$4)</f>
        <v>0</v>
      </c>
      <c r="E355" s="857">
        <f>SUMIFS('YTD Sales'!$N:$N,'YTD Sales'!$B:$B,Brokerage!$B355,'YTD Sales'!$M:$M,Brokerage!E$4)+SUMIFS('YTD Purchases'!$H:$H,'YTD Purchases'!$C:$C,Brokerage!$B355,'YTD Purchases'!$G:$G,Brokerage!E$4)</f>
        <v>0</v>
      </c>
      <c r="F355" s="857">
        <f>SUMIFS('YTD Sales'!$N:$N,'YTD Sales'!$B:$B,Brokerage!$B355,'YTD Sales'!$M:$M,Brokerage!F$4)+SUMIFS('YTD Purchases'!$H:$H,'YTD Purchases'!$C:$C,Brokerage!$B355,'YTD Purchases'!$G:$G,Brokerage!F$4)</f>
        <v>0</v>
      </c>
      <c r="G355" s="857">
        <f>SUMIFS('YTD Sales'!$N:$N,'YTD Sales'!$B:$B,Brokerage!$B355,'YTD Sales'!$M:$M,Brokerage!G$4)+SUMIFS('YTD Purchases'!$H:$H,'YTD Purchases'!$C:$C,Brokerage!$B355,'YTD Purchases'!$G:$G,Brokerage!G$4)</f>
        <v>0</v>
      </c>
      <c r="H355" s="857">
        <f>SUMIFS('YTD Sales'!$N:$N,'YTD Sales'!$B:$B,Brokerage!$B355,'YTD Sales'!$M:$M,Brokerage!H$4)+SUMIFS('YTD Purchases'!$H:$H,'YTD Purchases'!$C:$C,Brokerage!$B355,'YTD Purchases'!$G:$G,Brokerage!H$4)</f>
        <v>0</v>
      </c>
      <c r="I355" s="857">
        <f>SUMIFS('YTD Sales'!$N:$N,'YTD Sales'!$B:$B,Brokerage!$B355,'YTD Sales'!$M:$M,Brokerage!I$4)+SUMIFS('YTD Purchases'!$H:$H,'YTD Purchases'!$C:$C,Brokerage!$B355,'YTD Purchases'!$G:$G,Brokerage!I$4)</f>
        <v>0</v>
      </c>
      <c r="J355" s="857">
        <f>SUMIFS('YTD Sales'!$N:$N,'YTD Sales'!$B:$B,Brokerage!$B355,'YTD Sales'!$M:$M,Brokerage!J$4)+SUMIFS('YTD Purchases'!$H:$H,'YTD Purchases'!$C:$C,Brokerage!$B355,'YTD Purchases'!$G:$G,Brokerage!J$4)</f>
        <v>0</v>
      </c>
      <c r="K355" s="857">
        <f>SUMIFS('YTD Sales'!$N:$N,'YTD Sales'!$B:$B,Brokerage!$B355,'YTD Sales'!$M:$M,Brokerage!K$4)+SUMIFS('YTD Purchases'!$H:$H,'YTD Purchases'!$C:$C,Brokerage!$B355,'YTD Purchases'!$G:$G,Brokerage!K$4)</f>
        <v>0</v>
      </c>
      <c r="L355" s="857">
        <f>SUMIFS('YTD Sales'!$N:$N,'YTD Sales'!$B:$B,Brokerage!$B355,'YTD Sales'!$M:$M,Brokerage!L$4)+SUMIFS('YTD Purchases'!$H:$H,'YTD Purchases'!$C:$C,Brokerage!$B355,'YTD Purchases'!$G:$G,Brokerage!L$4)</f>
        <v>0</v>
      </c>
      <c r="M355" s="857">
        <f>SUMIFS('YTD Sales'!$N:$N,'YTD Sales'!$B:$B,Brokerage!$B355,'YTD Sales'!$M:$M,Brokerage!M$4)+SUMIFS('YTD Purchases'!$H:$H,'YTD Purchases'!$C:$C,Brokerage!$B355,'YTD Purchases'!$G:$G,Brokerage!M$4)</f>
        <v>0</v>
      </c>
      <c r="N355" s="857">
        <f>SUMIFS('YTD Sales'!$N:$N,'YTD Sales'!$B:$B,Brokerage!$B355,'YTD Sales'!$M:$M,Brokerage!N$4)+SUMIFS('YTD Purchases'!$H:$H,'YTD Purchases'!$C:$C,Brokerage!$B355,'YTD Purchases'!$G:$G,Brokerage!N$4)</f>
        <v>0</v>
      </c>
      <c r="O355" s="857">
        <f>SUMIFS('YTD Sales'!$N:$N,'YTD Sales'!$B:$B,Brokerage!$B355,'YTD Sales'!$M:$M,Brokerage!O$4)+SUMIFS('YTD Purchases'!$H:$H,'YTD Purchases'!$C:$C,Brokerage!$B355,'YTD Purchases'!$G:$G,Brokerage!O$4)</f>
        <v>0</v>
      </c>
      <c r="P355" s="857">
        <f>SUMIFS('YTD Sales'!$N:$N,'YTD Sales'!$B:$B,Brokerage!$B355,'YTD Sales'!$M:$M,Brokerage!P$4)+SUMIFS('YTD Purchases'!$H:$H,'YTD Purchases'!$C:$C,Brokerage!$B355,'YTD Purchases'!$G:$G,Brokerage!P$4)</f>
        <v>0</v>
      </c>
      <c r="Q355" s="857">
        <f>SUMIFS('YTD Sales'!$N:$N,'YTD Sales'!$B:$B,Brokerage!$B355,'YTD Sales'!$M:$M,Brokerage!Q$4)+SUMIFS('YTD Purchases'!$H:$H,'YTD Purchases'!$C:$C,Brokerage!$B355,'YTD Purchases'!$G:$G,Brokerage!Q$4)</f>
        <v>0</v>
      </c>
      <c r="R355" s="857">
        <f>SUMIFS('YTD Sales'!$N:$N,'YTD Sales'!$B:$B,Brokerage!$B355,'YTD Sales'!$M:$M,Brokerage!R$4)+SUMIFS('YTD Purchases'!$H:$H,'YTD Purchases'!$C:$C,Brokerage!$B355,'YTD Purchases'!$G:$G,Brokerage!R$4)</f>
        <v>0</v>
      </c>
      <c r="S355" s="857">
        <f>SUMIFS('YTD Sales'!$N:$N,'YTD Sales'!$B:$B,Brokerage!$B355,'YTD Sales'!$M:$M,Brokerage!S$4)+SUMIFS('YTD Purchases'!$H:$H,'YTD Purchases'!$C:$C,Brokerage!$B355,'YTD Purchases'!$G:$G,Brokerage!S$4)</f>
        <v>0</v>
      </c>
      <c r="T355" s="857">
        <f>SUMIFS('YTD Sales'!$N:$N,'YTD Sales'!$B:$B,Brokerage!$B355,'YTD Sales'!$M:$M,Brokerage!T$4)+SUMIFS('YTD Purchases'!$H:$H,'YTD Purchases'!$C:$C,Brokerage!$B355,'YTD Purchases'!$G:$G,Brokerage!T$4)</f>
        <v>0</v>
      </c>
      <c r="U355" s="857">
        <f>SUMIFS('YTD Sales'!$N:$N,'YTD Sales'!$B:$B,Brokerage!$B355,'YTD Sales'!$M:$M,Brokerage!U$4)+SUMIFS('YTD Purchases'!$H:$H,'YTD Purchases'!$C:$C,Brokerage!$B355,'YTD Purchases'!$G:$G,Brokerage!U$4)</f>
        <v>0</v>
      </c>
      <c r="V355" s="857">
        <f>SUMIFS('YTD Sales'!$N:$N,'YTD Sales'!$B:$B,Brokerage!$B355,'YTD Sales'!$M:$M,Brokerage!V$4)+SUMIFS('YTD Purchases'!$H:$H,'YTD Purchases'!$C:$C,Brokerage!$B355,'YTD Purchases'!$G:$G,Brokerage!V$4)</f>
        <v>0</v>
      </c>
      <c r="W355" s="857">
        <f>SUMIFS('YTD Sales'!$N:$N,'YTD Sales'!$B:$B,Brokerage!$B355,'YTD Sales'!$M:$M,Brokerage!W$4)+SUMIFS('YTD Purchases'!$H:$H,'YTD Purchases'!$C:$C,Brokerage!$B355,'YTD Purchases'!$G:$G,Brokerage!W$4)</f>
        <v>0</v>
      </c>
      <c r="X355" s="857">
        <f>SUMIFS('YTD Sales'!$N:$N,'YTD Sales'!$B:$B,Brokerage!$B355,'YTD Sales'!$M:$M,Brokerage!X$4)+SUMIFS('YTD Purchases'!$H:$H,'YTD Purchases'!$C:$C,Brokerage!$B355,'YTD Purchases'!$G:$G,Brokerage!X$4)</f>
        <v>0</v>
      </c>
      <c r="Y355" s="857">
        <f>SUMIFS('YTD Sales'!$N:$N,'YTD Sales'!$B:$B,Brokerage!$B355,'YTD Sales'!$M:$M,Brokerage!Y$4)+SUMIFS('YTD Purchases'!$H:$H,'YTD Purchases'!$C:$C,Brokerage!$B355,'YTD Purchases'!$G:$G,Brokerage!Y$4)</f>
        <v>0</v>
      </c>
      <c r="Z355" s="857">
        <f>SUMIFS('YTD Sales'!$N:$N,'YTD Sales'!$B:$B,Brokerage!$B355,'YTD Sales'!$M:$M,Brokerage!Z$4)+SUMIFS('YTD Purchases'!$H:$H,'YTD Purchases'!$C:$C,Brokerage!$B355,'YTD Purchases'!$G:$G,Brokerage!Z$4)</f>
        <v>0</v>
      </c>
      <c r="AA355" s="857">
        <f>SUMIFS('YTD Sales'!$N:$N,'YTD Sales'!$B:$B,Brokerage!$B355,'YTD Sales'!$M:$M,Brokerage!AA$4)+SUMIFS('YTD Purchases'!$H:$H,'YTD Purchases'!$C:$C,Brokerage!$B355,'YTD Purchases'!$G:$G,Brokerage!AA$4)</f>
        <v>0</v>
      </c>
      <c r="AB355" s="857">
        <f>SUMIFS('YTD Sales'!$N:$N,'YTD Sales'!$B:$B,Brokerage!$B355,'YTD Sales'!$M:$M,Brokerage!AB$4)+SUMIFS('YTD Purchases'!$H:$H,'YTD Purchases'!$C:$C,Brokerage!$B355,'YTD Purchases'!$G:$G,Brokerage!AB$4)</f>
        <v>0</v>
      </c>
      <c r="AC355" s="857">
        <f>SUMIFS('YTD Sales'!$N:$N,'YTD Sales'!$B:$B,Brokerage!$B355,'YTD Sales'!$M:$M,Brokerage!AC$4)+SUMIFS('YTD Purchases'!$H:$H,'YTD Purchases'!$C:$C,Brokerage!$B355,'YTD Purchases'!$G:$G,Brokerage!AC$4)</f>
        <v>0</v>
      </c>
      <c r="AD355" s="857">
        <f>+SUMIFS(PIB!AG:AG,PIB!AF:AF,Brokerage!AD$4,PIB!AA:AA,Brokerage!$B355)+SUMIFS('T-Bills'!AB:AB,'T-Bills'!AA:AA,Brokerage!AD$4,'T-Bills'!V:V,Brokerage!$B355)</f>
        <v>0</v>
      </c>
      <c r="AE355" s="857">
        <f>+SUMIFS(PIB!AH:AH,PIB!AG:AG,Brokerage!AE$4,PIB!AB:AB,Brokerage!$B355)+SUMIFS('T-Bills'!AC:AC,'T-Bills'!AB:AB,Brokerage!AE$4,'T-Bills'!W:W,Brokerage!$B355)</f>
        <v>0</v>
      </c>
      <c r="AF355" s="857">
        <f>+SUMIFS(PIB!AI:AI,PIB!AH:AH,Brokerage!AF$4,PIB!AC:AC,Brokerage!$B355)+SUMIFS('T-Bills'!AD:AD,'T-Bills'!AC:AC,Brokerage!AF$4,'T-Bills'!X:X,Brokerage!$B355)</f>
        <v>0</v>
      </c>
      <c r="AG355" s="857">
        <f t="shared" si="30"/>
        <v>0</v>
      </c>
      <c r="AH355" s="858">
        <f t="shared" si="28"/>
        <v>0</v>
      </c>
    </row>
    <row r="356" spans="2:34" x14ac:dyDescent="0.15">
      <c r="B356" s="661">
        <f t="shared" si="29"/>
        <v>44912</v>
      </c>
      <c r="C356" s="857">
        <f>SUMIFS('YTD Sales'!$N:$N,'YTD Sales'!$B:$B,Brokerage!$B356,'YTD Sales'!$M:$M,Brokerage!C$4)+SUMIFS('YTD Purchases'!$H:$H,'YTD Purchases'!$C:$C,Brokerage!$B356,'YTD Purchases'!$G:$G,Brokerage!C$4)</f>
        <v>0</v>
      </c>
      <c r="D356" s="857">
        <f>SUMIFS('YTD Sales'!$N:$N,'YTD Sales'!$B:$B,Brokerage!$B356,'YTD Sales'!$M:$M,Brokerage!D$4)+SUMIFS('YTD Purchases'!$H:$H,'YTD Purchases'!$C:$C,Brokerage!$B356,'YTD Purchases'!$G:$G,Brokerage!D$4)</f>
        <v>0</v>
      </c>
      <c r="E356" s="857">
        <f>SUMIFS('YTD Sales'!$N:$N,'YTD Sales'!$B:$B,Brokerage!$B356,'YTD Sales'!$M:$M,Brokerage!E$4)+SUMIFS('YTD Purchases'!$H:$H,'YTD Purchases'!$C:$C,Brokerage!$B356,'YTD Purchases'!$G:$G,Brokerage!E$4)</f>
        <v>0</v>
      </c>
      <c r="F356" s="857">
        <f>SUMIFS('YTD Sales'!$N:$N,'YTD Sales'!$B:$B,Brokerage!$B356,'YTD Sales'!$M:$M,Brokerage!F$4)+SUMIFS('YTD Purchases'!$H:$H,'YTD Purchases'!$C:$C,Brokerage!$B356,'YTD Purchases'!$G:$G,Brokerage!F$4)</f>
        <v>0</v>
      </c>
      <c r="G356" s="857">
        <f>SUMIFS('YTD Sales'!$N:$N,'YTD Sales'!$B:$B,Brokerage!$B356,'YTD Sales'!$M:$M,Brokerage!G$4)+SUMIFS('YTD Purchases'!$H:$H,'YTD Purchases'!$C:$C,Brokerage!$B356,'YTD Purchases'!$G:$G,Brokerage!G$4)</f>
        <v>0</v>
      </c>
      <c r="H356" s="857">
        <f>SUMIFS('YTD Sales'!$N:$N,'YTD Sales'!$B:$B,Brokerage!$B356,'YTD Sales'!$M:$M,Brokerage!H$4)+SUMIFS('YTD Purchases'!$H:$H,'YTD Purchases'!$C:$C,Brokerage!$B356,'YTD Purchases'!$G:$G,Brokerage!H$4)</f>
        <v>0</v>
      </c>
      <c r="I356" s="857">
        <f>SUMIFS('YTD Sales'!$N:$N,'YTD Sales'!$B:$B,Brokerage!$B356,'YTD Sales'!$M:$M,Brokerage!I$4)+SUMIFS('YTD Purchases'!$H:$H,'YTD Purchases'!$C:$C,Brokerage!$B356,'YTD Purchases'!$G:$G,Brokerage!I$4)</f>
        <v>0</v>
      </c>
      <c r="J356" s="857">
        <f>SUMIFS('YTD Sales'!$N:$N,'YTD Sales'!$B:$B,Brokerage!$B356,'YTD Sales'!$M:$M,Brokerage!J$4)+SUMIFS('YTD Purchases'!$H:$H,'YTD Purchases'!$C:$C,Brokerage!$B356,'YTD Purchases'!$G:$G,Brokerage!J$4)</f>
        <v>0</v>
      </c>
      <c r="K356" s="857">
        <f>SUMIFS('YTD Sales'!$N:$N,'YTD Sales'!$B:$B,Brokerage!$B356,'YTD Sales'!$M:$M,Brokerage!K$4)+SUMIFS('YTD Purchases'!$H:$H,'YTD Purchases'!$C:$C,Brokerage!$B356,'YTD Purchases'!$G:$G,Brokerage!K$4)</f>
        <v>0</v>
      </c>
      <c r="L356" s="857">
        <f>SUMIFS('YTD Sales'!$N:$N,'YTD Sales'!$B:$B,Brokerage!$B356,'YTD Sales'!$M:$M,Brokerage!L$4)+SUMIFS('YTD Purchases'!$H:$H,'YTD Purchases'!$C:$C,Brokerage!$B356,'YTD Purchases'!$G:$G,Brokerage!L$4)</f>
        <v>0</v>
      </c>
      <c r="M356" s="857">
        <f>SUMIFS('YTD Sales'!$N:$N,'YTD Sales'!$B:$B,Brokerage!$B356,'YTD Sales'!$M:$M,Brokerage!M$4)+SUMIFS('YTD Purchases'!$H:$H,'YTD Purchases'!$C:$C,Brokerage!$B356,'YTD Purchases'!$G:$G,Brokerage!M$4)</f>
        <v>0</v>
      </c>
      <c r="N356" s="857">
        <f>SUMIFS('YTD Sales'!$N:$N,'YTD Sales'!$B:$B,Brokerage!$B356,'YTD Sales'!$M:$M,Brokerage!N$4)+SUMIFS('YTD Purchases'!$H:$H,'YTD Purchases'!$C:$C,Brokerage!$B356,'YTD Purchases'!$G:$G,Brokerage!N$4)</f>
        <v>0</v>
      </c>
      <c r="O356" s="857">
        <f>SUMIFS('YTD Sales'!$N:$N,'YTD Sales'!$B:$B,Brokerage!$B356,'YTD Sales'!$M:$M,Brokerage!O$4)+SUMIFS('YTD Purchases'!$H:$H,'YTD Purchases'!$C:$C,Brokerage!$B356,'YTD Purchases'!$G:$G,Brokerage!O$4)</f>
        <v>0</v>
      </c>
      <c r="P356" s="857">
        <f>SUMIFS('YTD Sales'!$N:$N,'YTD Sales'!$B:$B,Brokerage!$B356,'YTD Sales'!$M:$M,Brokerage!P$4)+SUMIFS('YTD Purchases'!$H:$H,'YTD Purchases'!$C:$C,Brokerage!$B356,'YTD Purchases'!$G:$G,Brokerage!P$4)</f>
        <v>0</v>
      </c>
      <c r="Q356" s="857">
        <f>SUMIFS('YTD Sales'!$N:$N,'YTD Sales'!$B:$B,Brokerage!$B356,'YTD Sales'!$M:$M,Brokerage!Q$4)+SUMIFS('YTD Purchases'!$H:$H,'YTD Purchases'!$C:$C,Brokerage!$B356,'YTD Purchases'!$G:$G,Brokerage!Q$4)</f>
        <v>0</v>
      </c>
      <c r="R356" s="857">
        <f>SUMIFS('YTD Sales'!$N:$N,'YTD Sales'!$B:$B,Brokerage!$B356,'YTD Sales'!$M:$M,Brokerage!R$4)+SUMIFS('YTD Purchases'!$H:$H,'YTD Purchases'!$C:$C,Brokerage!$B356,'YTD Purchases'!$G:$G,Brokerage!R$4)</f>
        <v>0</v>
      </c>
      <c r="S356" s="857">
        <f>SUMIFS('YTD Sales'!$N:$N,'YTD Sales'!$B:$B,Brokerage!$B356,'YTD Sales'!$M:$M,Brokerage!S$4)+SUMIFS('YTD Purchases'!$H:$H,'YTD Purchases'!$C:$C,Brokerage!$B356,'YTD Purchases'!$G:$G,Brokerage!S$4)</f>
        <v>0</v>
      </c>
      <c r="T356" s="857">
        <f>SUMIFS('YTD Sales'!$N:$N,'YTD Sales'!$B:$B,Brokerage!$B356,'YTD Sales'!$M:$M,Brokerage!T$4)+SUMIFS('YTD Purchases'!$H:$H,'YTD Purchases'!$C:$C,Brokerage!$B356,'YTD Purchases'!$G:$G,Brokerage!T$4)</f>
        <v>0</v>
      </c>
      <c r="U356" s="857">
        <f>SUMIFS('YTD Sales'!$N:$N,'YTD Sales'!$B:$B,Brokerage!$B356,'YTD Sales'!$M:$M,Brokerage!U$4)+SUMIFS('YTD Purchases'!$H:$H,'YTD Purchases'!$C:$C,Brokerage!$B356,'YTD Purchases'!$G:$G,Brokerage!U$4)</f>
        <v>0</v>
      </c>
      <c r="V356" s="857">
        <f>SUMIFS('YTD Sales'!$N:$N,'YTD Sales'!$B:$B,Brokerage!$B356,'YTD Sales'!$M:$M,Brokerage!V$4)+SUMIFS('YTD Purchases'!$H:$H,'YTD Purchases'!$C:$C,Brokerage!$B356,'YTD Purchases'!$G:$G,Brokerage!V$4)</f>
        <v>0</v>
      </c>
      <c r="W356" s="857">
        <f>SUMIFS('YTD Sales'!$N:$N,'YTD Sales'!$B:$B,Brokerage!$B356,'YTD Sales'!$M:$M,Brokerage!W$4)+SUMIFS('YTD Purchases'!$H:$H,'YTD Purchases'!$C:$C,Brokerage!$B356,'YTD Purchases'!$G:$G,Brokerage!W$4)</f>
        <v>0</v>
      </c>
      <c r="X356" s="857">
        <f>SUMIFS('YTD Sales'!$N:$N,'YTD Sales'!$B:$B,Brokerage!$B356,'YTD Sales'!$M:$M,Brokerage!X$4)+SUMIFS('YTD Purchases'!$H:$H,'YTD Purchases'!$C:$C,Brokerage!$B356,'YTD Purchases'!$G:$G,Brokerage!X$4)</f>
        <v>0</v>
      </c>
      <c r="Y356" s="857">
        <f>SUMIFS('YTD Sales'!$N:$N,'YTD Sales'!$B:$B,Brokerage!$B356,'YTD Sales'!$M:$M,Brokerage!Y$4)+SUMIFS('YTD Purchases'!$H:$H,'YTD Purchases'!$C:$C,Brokerage!$B356,'YTD Purchases'!$G:$G,Brokerage!Y$4)</f>
        <v>0</v>
      </c>
      <c r="Z356" s="857">
        <f>SUMIFS('YTD Sales'!$N:$N,'YTD Sales'!$B:$B,Brokerage!$B356,'YTD Sales'!$M:$M,Brokerage!Z$4)+SUMIFS('YTD Purchases'!$H:$H,'YTD Purchases'!$C:$C,Brokerage!$B356,'YTD Purchases'!$G:$G,Brokerage!Z$4)</f>
        <v>0</v>
      </c>
      <c r="AA356" s="857">
        <f>SUMIFS('YTD Sales'!$N:$N,'YTD Sales'!$B:$B,Brokerage!$B356,'YTD Sales'!$M:$M,Brokerage!AA$4)+SUMIFS('YTD Purchases'!$H:$H,'YTD Purchases'!$C:$C,Brokerage!$B356,'YTD Purchases'!$G:$G,Brokerage!AA$4)</f>
        <v>0</v>
      </c>
      <c r="AB356" s="857">
        <f>SUMIFS('YTD Sales'!$N:$N,'YTD Sales'!$B:$B,Brokerage!$B356,'YTD Sales'!$M:$M,Brokerage!AB$4)+SUMIFS('YTD Purchases'!$H:$H,'YTD Purchases'!$C:$C,Brokerage!$B356,'YTD Purchases'!$G:$G,Brokerage!AB$4)</f>
        <v>0</v>
      </c>
      <c r="AC356" s="857">
        <f>SUMIFS('YTD Sales'!$N:$N,'YTD Sales'!$B:$B,Brokerage!$B356,'YTD Sales'!$M:$M,Brokerage!AC$4)+SUMIFS('YTD Purchases'!$H:$H,'YTD Purchases'!$C:$C,Brokerage!$B356,'YTD Purchases'!$G:$G,Brokerage!AC$4)</f>
        <v>0</v>
      </c>
      <c r="AD356" s="857">
        <f>+SUMIFS(PIB!AG:AG,PIB!AF:AF,Brokerage!AD$4,PIB!AA:AA,Brokerage!$B356)+SUMIFS('T-Bills'!AB:AB,'T-Bills'!AA:AA,Brokerage!AD$4,'T-Bills'!V:V,Brokerage!$B356)</f>
        <v>0</v>
      </c>
      <c r="AE356" s="857">
        <f>+SUMIFS(PIB!AH:AH,PIB!AG:AG,Brokerage!AE$4,PIB!AB:AB,Brokerage!$B356)+SUMIFS('T-Bills'!AC:AC,'T-Bills'!AB:AB,Brokerage!AE$4,'T-Bills'!W:W,Brokerage!$B356)</f>
        <v>0</v>
      </c>
      <c r="AF356" s="857">
        <f>+SUMIFS(PIB!AI:AI,PIB!AH:AH,Brokerage!AF$4,PIB!AC:AC,Brokerage!$B356)+SUMIFS('T-Bills'!AD:AD,'T-Bills'!AC:AC,Brokerage!AF$4,'T-Bills'!X:X,Brokerage!$B356)</f>
        <v>0</v>
      </c>
      <c r="AG356" s="857">
        <f t="shared" si="30"/>
        <v>0</v>
      </c>
      <c r="AH356" s="858">
        <f t="shared" si="28"/>
        <v>0</v>
      </c>
    </row>
    <row r="357" spans="2:34" x14ac:dyDescent="0.15">
      <c r="B357" s="661">
        <f t="shared" si="29"/>
        <v>44913</v>
      </c>
      <c r="C357" s="857">
        <f>SUMIFS('YTD Sales'!$N:$N,'YTD Sales'!$B:$B,Brokerage!$B357,'YTD Sales'!$M:$M,Brokerage!C$4)+SUMIFS('YTD Purchases'!$H:$H,'YTD Purchases'!$C:$C,Brokerage!$B357,'YTD Purchases'!$G:$G,Brokerage!C$4)</f>
        <v>0</v>
      </c>
      <c r="D357" s="857">
        <f>SUMIFS('YTD Sales'!$N:$N,'YTD Sales'!$B:$B,Brokerage!$B357,'YTD Sales'!$M:$M,Brokerage!D$4)+SUMIFS('YTD Purchases'!$H:$H,'YTD Purchases'!$C:$C,Brokerage!$B357,'YTD Purchases'!$G:$G,Brokerage!D$4)</f>
        <v>0</v>
      </c>
      <c r="E357" s="857">
        <f>SUMIFS('YTD Sales'!$N:$N,'YTD Sales'!$B:$B,Brokerage!$B357,'YTD Sales'!$M:$M,Brokerage!E$4)+SUMIFS('YTD Purchases'!$H:$H,'YTD Purchases'!$C:$C,Brokerage!$B357,'YTD Purchases'!$G:$G,Brokerage!E$4)</f>
        <v>0</v>
      </c>
      <c r="F357" s="857">
        <f>SUMIFS('YTD Sales'!$N:$N,'YTD Sales'!$B:$B,Brokerage!$B357,'YTD Sales'!$M:$M,Brokerage!F$4)+SUMIFS('YTD Purchases'!$H:$H,'YTD Purchases'!$C:$C,Brokerage!$B357,'YTD Purchases'!$G:$G,Brokerage!F$4)</f>
        <v>0</v>
      </c>
      <c r="G357" s="857">
        <f>SUMIFS('YTD Sales'!$N:$N,'YTD Sales'!$B:$B,Brokerage!$B357,'YTD Sales'!$M:$M,Brokerage!G$4)+SUMIFS('YTD Purchases'!$H:$H,'YTD Purchases'!$C:$C,Brokerage!$B357,'YTD Purchases'!$G:$G,Brokerage!G$4)</f>
        <v>0</v>
      </c>
      <c r="H357" s="857">
        <f>SUMIFS('YTD Sales'!$N:$N,'YTD Sales'!$B:$B,Brokerage!$B357,'YTD Sales'!$M:$M,Brokerage!H$4)+SUMIFS('YTD Purchases'!$H:$H,'YTD Purchases'!$C:$C,Brokerage!$B357,'YTD Purchases'!$G:$G,Brokerage!H$4)</f>
        <v>0</v>
      </c>
      <c r="I357" s="857">
        <f>SUMIFS('YTD Sales'!$N:$N,'YTD Sales'!$B:$B,Brokerage!$B357,'YTD Sales'!$M:$M,Brokerage!I$4)+SUMIFS('YTD Purchases'!$H:$H,'YTD Purchases'!$C:$C,Brokerage!$B357,'YTD Purchases'!$G:$G,Brokerage!I$4)</f>
        <v>0</v>
      </c>
      <c r="J357" s="857">
        <f>SUMIFS('YTD Sales'!$N:$N,'YTD Sales'!$B:$B,Brokerage!$B357,'YTD Sales'!$M:$M,Brokerage!J$4)+SUMIFS('YTD Purchases'!$H:$H,'YTD Purchases'!$C:$C,Brokerage!$B357,'YTD Purchases'!$G:$G,Brokerage!J$4)</f>
        <v>0</v>
      </c>
      <c r="K357" s="857">
        <f>SUMIFS('YTD Sales'!$N:$N,'YTD Sales'!$B:$B,Brokerage!$B357,'YTD Sales'!$M:$M,Brokerage!K$4)+SUMIFS('YTD Purchases'!$H:$H,'YTD Purchases'!$C:$C,Brokerage!$B357,'YTD Purchases'!$G:$G,Brokerage!K$4)</f>
        <v>0</v>
      </c>
      <c r="L357" s="857">
        <f>SUMIFS('YTD Sales'!$N:$N,'YTD Sales'!$B:$B,Brokerage!$B357,'YTD Sales'!$M:$M,Brokerage!L$4)+SUMIFS('YTD Purchases'!$H:$H,'YTD Purchases'!$C:$C,Brokerage!$B357,'YTD Purchases'!$G:$G,Brokerage!L$4)</f>
        <v>0</v>
      </c>
      <c r="M357" s="857">
        <f>SUMIFS('YTD Sales'!$N:$N,'YTD Sales'!$B:$B,Brokerage!$B357,'YTD Sales'!$M:$M,Brokerage!M$4)+SUMIFS('YTD Purchases'!$H:$H,'YTD Purchases'!$C:$C,Brokerage!$B357,'YTD Purchases'!$G:$G,Brokerage!M$4)</f>
        <v>0</v>
      </c>
      <c r="N357" s="857">
        <f>SUMIFS('YTD Sales'!$N:$N,'YTD Sales'!$B:$B,Brokerage!$B357,'YTD Sales'!$M:$M,Brokerage!N$4)+SUMIFS('YTD Purchases'!$H:$H,'YTD Purchases'!$C:$C,Brokerage!$B357,'YTD Purchases'!$G:$G,Brokerage!N$4)</f>
        <v>0</v>
      </c>
      <c r="O357" s="857">
        <f>SUMIFS('YTD Sales'!$N:$N,'YTD Sales'!$B:$B,Brokerage!$B357,'YTD Sales'!$M:$M,Brokerage!O$4)+SUMIFS('YTD Purchases'!$H:$H,'YTD Purchases'!$C:$C,Brokerage!$B357,'YTD Purchases'!$G:$G,Brokerage!O$4)</f>
        <v>0</v>
      </c>
      <c r="P357" s="857">
        <f>SUMIFS('YTD Sales'!$N:$N,'YTD Sales'!$B:$B,Brokerage!$B357,'YTD Sales'!$M:$M,Brokerage!P$4)+SUMIFS('YTD Purchases'!$H:$H,'YTD Purchases'!$C:$C,Brokerage!$B357,'YTD Purchases'!$G:$G,Brokerage!P$4)</f>
        <v>0</v>
      </c>
      <c r="Q357" s="857">
        <f>SUMIFS('YTD Sales'!$N:$N,'YTD Sales'!$B:$B,Brokerage!$B357,'YTD Sales'!$M:$M,Brokerage!Q$4)+SUMIFS('YTD Purchases'!$H:$H,'YTD Purchases'!$C:$C,Brokerage!$B357,'YTD Purchases'!$G:$G,Brokerage!Q$4)</f>
        <v>0</v>
      </c>
      <c r="R357" s="857">
        <f>SUMIFS('YTD Sales'!$N:$N,'YTD Sales'!$B:$B,Brokerage!$B357,'YTD Sales'!$M:$M,Brokerage!R$4)+SUMIFS('YTD Purchases'!$H:$H,'YTD Purchases'!$C:$C,Brokerage!$B357,'YTD Purchases'!$G:$G,Brokerage!R$4)</f>
        <v>0</v>
      </c>
      <c r="S357" s="857">
        <f>SUMIFS('YTD Sales'!$N:$N,'YTD Sales'!$B:$B,Brokerage!$B357,'YTD Sales'!$M:$M,Brokerage!S$4)+SUMIFS('YTD Purchases'!$H:$H,'YTD Purchases'!$C:$C,Brokerage!$B357,'YTD Purchases'!$G:$G,Brokerage!S$4)</f>
        <v>0</v>
      </c>
      <c r="T357" s="857">
        <f>SUMIFS('YTD Sales'!$N:$N,'YTD Sales'!$B:$B,Brokerage!$B357,'YTD Sales'!$M:$M,Brokerage!T$4)+SUMIFS('YTD Purchases'!$H:$H,'YTD Purchases'!$C:$C,Brokerage!$B357,'YTD Purchases'!$G:$G,Brokerage!T$4)</f>
        <v>0</v>
      </c>
      <c r="U357" s="857">
        <f>SUMIFS('YTD Sales'!$N:$N,'YTD Sales'!$B:$B,Brokerage!$B357,'YTD Sales'!$M:$M,Brokerage!U$4)+SUMIFS('YTD Purchases'!$H:$H,'YTD Purchases'!$C:$C,Brokerage!$B357,'YTD Purchases'!$G:$G,Brokerage!U$4)</f>
        <v>0</v>
      </c>
      <c r="V357" s="857">
        <f>SUMIFS('YTD Sales'!$N:$N,'YTD Sales'!$B:$B,Brokerage!$B357,'YTD Sales'!$M:$M,Brokerage!V$4)+SUMIFS('YTD Purchases'!$H:$H,'YTD Purchases'!$C:$C,Brokerage!$B357,'YTD Purchases'!$G:$G,Brokerage!V$4)</f>
        <v>0</v>
      </c>
      <c r="W357" s="857">
        <f>SUMIFS('YTD Sales'!$N:$N,'YTD Sales'!$B:$B,Brokerage!$B357,'YTD Sales'!$M:$M,Brokerage!W$4)+SUMIFS('YTD Purchases'!$H:$H,'YTD Purchases'!$C:$C,Brokerage!$B357,'YTD Purchases'!$G:$G,Brokerage!W$4)</f>
        <v>0</v>
      </c>
      <c r="X357" s="857">
        <f>SUMIFS('YTD Sales'!$N:$N,'YTD Sales'!$B:$B,Brokerage!$B357,'YTD Sales'!$M:$M,Brokerage!X$4)+SUMIFS('YTD Purchases'!$H:$H,'YTD Purchases'!$C:$C,Brokerage!$B357,'YTD Purchases'!$G:$G,Brokerage!X$4)</f>
        <v>0</v>
      </c>
      <c r="Y357" s="857">
        <f>SUMIFS('YTD Sales'!$N:$N,'YTD Sales'!$B:$B,Brokerage!$B357,'YTD Sales'!$M:$M,Brokerage!Y$4)+SUMIFS('YTD Purchases'!$H:$H,'YTD Purchases'!$C:$C,Brokerage!$B357,'YTD Purchases'!$G:$G,Brokerage!Y$4)</f>
        <v>0</v>
      </c>
      <c r="Z357" s="857">
        <f>SUMIFS('YTD Sales'!$N:$N,'YTD Sales'!$B:$B,Brokerage!$B357,'YTD Sales'!$M:$M,Brokerage!Z$4)+SUMIFS('YTD Purchases'!$H:$H,'YTD Purchases'!$C:$C,Brokerage!$B357,'YTD Purchases'!$G:$G,Brokerage!Z$4)</f>
        <v>0</v>
      </c>
      <c r="AA357" s="857">
        <f>SUMIFS('YTD Sales'!$N:$N,'YTD Sales'!$B:$B,Brokerage!$B357,'YTD Sales'!$M:$M,Brokerage!AA$4)+SUMIFS('YTD Purchases'!$H:$H,'YTD Purchases'!$C:$C,Brokerage!$B357,'YTD Purchases'!$G:$G,Brokerage!AA$4)</f>
        <v>0</v>
      </c>
      <c r="AB357" s="857">
        <f>SUMIFS('YTD Sales'!$N:$N,'YTD Sales'!$B:$B,Brokerage!$B357,'YTD Sales'!$M:$M,Brokerage!AB$4)+SUMIFS('YTD Purchases'!$H:$H,'YTD Purchases'!$C:$C,Brokerage!$B357,'YTD Purchases'!$G:$G,Brokerage!AB$4)</f>
        <v>0</v>
      </c>
      <c r="AC357" s="857">
        <f>SUMIFS('YTD Sales'!$N:$N,'YTD Sales'!$B:$B,Brokerage!$B357,'YTD Sales'!$M:$M,Brokerage!AC$4)+SUMIFS('YTD Purchases'!$H:$H,'YTD Purchases'!$C:$C,Brokerage!$B357,'YTD Purchases'!$G:$G,Brokerage!AC$4)</f>
        <v>0</v>
      </c>
      <c r="AD357" s="857">
        <f>+SUMIFS(PIB!AG:AG,PIB!AF:AF,Brokerage!AD$4,PIB!AA:AA,Brokerage!$B357)+SUMIFS('T-Bills'!AB:AB,'T-Bills'!AA:AA,Brokerage!AD$4,'T-Bills'!V:V,Brokerage!$B357)</f>
        <v>0</v>
      </c>
      <c r="AE357" s="857">
        <f>+SUMIFS(PIB!AH:AH,PIB!AG:AG,Brokerage!AE$4,PIB!AB:AB,Brokerage!$B357)+SUMIFS('T-Bills'!AC:AC,'T-Bills'!AB:AB,Brokerage!AE$4,'T-Bills'!W:W,Brokerage!$B357)</f>
        <v>0</v>
      </c>
      <c r="AF357" s="857">
        <f>+SUMIFS(PIB!AI:AI,PIB!AH:AH,Brokerage!AF$4,PIB!AC:AC,Brokerage!$B357)+SUMIFS('T-Bills'!AD:AD,'T-Bills'!AC:AC,Brokerage!AF$4,'T-Bills'!X:X,Brokerage!$B357)</f>
        <v>0</v>
      </c>
      <c r="AG357" s="857">
        <f t="shared" si="30"/>
        <v>0</v>
      </c>
      <c r="AH357" s="858">
        <f t="shared" ref="AH357:AH370" si="31">ROUND((AG357*1.5%)/365,0)</f>
        <v>0</v>
      </c>
    </row>
    <row r="358" spans="2:34" x14ac:dyDescent="0.15">
      <c r="B358" s="661">
        <f t="shared" si="29"/>
        <v>44914</v>
      </c>
      <c r="C358" s="857">
        <f>SUMIFS('YTD Sales'!$N:$N,'YTD Sales'!$B:$B,Brokerage!$B358,'YTD Sales'!$M:$M,Brokerage!C$4)+SUMIFS('YTD Purchases'!$H:$H,'YTD Purchases'!$C:$C,Brokerage!$B358,'YTD Purchases'!$G:$G,Brokerage!C$4)</f>
        <v>0</v>
      </c>
      <c r="D358" s="857">
        <f>SUMIFS('YTD Sales'!$N:$N,'YTD Sales'!$B:$B,Brokerage!$B358,'YTD Sales'!$M:$M,Brokerage!D$4)+SUMIFS('YTD Purchases'!$H:$H,'YTD Purchases'!$C:$C,Brokerage!$B358,'YTD Purchases'!$G:$G,Brokerage!D$4)</f>
        <v>0</v>
      </c>
      <c r="E358" s="857">
        <f>SUMIFS('YTD Sales'!$N:$N,'YTD Sales'!$B:$B,Brokerage!$B358,'YTD Sales'!$M:$M,Brokerage!E$4)+SUMIFS('YTD Purchases'!$H:$H,'YTD Purchases'!$C:$C,Brokerage!$B358,'YTD Purchases'!$G:$G,Brokerage!E$4)</f>
        <v>0</v>
      </c>
      <c r="F358" s="857">
        <f>SUMIFS('YTD Sales'!$N:$N,'YTD Sales'!$B:$B,Brokerage!$B358,'YTD Sales'!$M:$M,Brokerage!F$4)+SUMIFS('YTD Purchases'!$H:$H,'YTD Purchases'!$C:$C,Brokerage!$B358,'YTD Purchases'!$G:$G,Brokerage!F$4)</f>
        <v>0</v>
      </c>
      <c r="G358" s="857">
        <f>SUMIFS('YTD Sales'!$N:$N,'YTD Sales'!$B:$B,Brokerage!$B358,'YTD Sales'!$M:$M,Brokerage!G$4)+SUMIFS('YTD Purchases'!$H:$H,'YTD Purchases'!$C:$C,Brokerage!$B358,'YTD Purchases'!$G:$G,Brokerage!G$4)</f>
        <v>0</v>
      </c>
      <c r="H358" s="857">
        <f>SUMIFS('YTD Sales'!$N:$N,'YTD Sales'!$B:$B,Brokerage!$B358,'YTD Sales'!$M:$M,Brokerage!H$4)+SUMIFS('YTD Purchases'!$H:$H,'YTD Purchases'!$C:$C,Brokerage!$B358,'YTD Purchases'!$G:$G,Brokerage!H$4)</f>
        <v>0</v>
      </c>
      <c r="I358" s="857">
        <f>SUMIFS('YTD Sales'!$N:$N,'YTD Sales'!$B:$B,Brokerage!$B358,'YTD Sales'!$M:$M,Brokerage!I$4)+SUMIFS('YTD Purchases'!$H:$H,'YTD Purchases'!$C:$C,Brokerage!$B358,'YTD Purchases'!$G:$G,Brokerage!I$4)</f>
        <v>0</v>
      </c>
      <c r="J358" s="857">
        <f>SUMIFS('YTD Sales'!$N:$N,'YTD Sales'!$B:$B,Brokerage!$B358,'YTD Sales'!$M:$M,Brokerage!J$4)+SUMIFS('YTD Purchases'!$H:$H,'YTD Purchases'!$C:$C,Brokerage!$B358,'YTD Purchases'!$G:$G,Brokerage!J$4)</f>
        <v>0</v>
      </c>
      <c r="K358" s="857">
        <f>SUMIFS('YTD Sales'!$N:$N,'YTD Sales'!$B:$B,Brokerage!$B358,'YTD Sales'!$M:$M,Brokerage!K$4)+SUMIFS('YTD Purchases'!$H:$H,'YTD Purchases'!$C:$C,Brokerage!$B358,'YTD Purchases'!$G:$G,Brokerage!K$4)</f>
        <v>0</v>
      </c>
      <c r="L358" s="857">
        <f>SUMIFS('YTD Sales'!$N:$N,'YTD Sales'!$B:$B,Brokerage!$B358,'YTD Sales'!$M:$M,Brokerage!L$4)+SUMIFS('YTD Purchases'!$H:$H,'YTD Purchases'!$C:$C,Brokerage!$B358,'YTD Purchases'!$G:$G,Brokerage!L$4)</f>
        <v>0</v>
      </c>
      <c r="M358" s="857">
        <f>SUMIFS('YTD Sales'!$N:$N,'YTD Sales'!$B:$B,Brokerage!$B358,'YTD Sales'!$M:$M,Brokerage!M$4)+SUMIFS('YTD Purchases'!$H:$H,'YTD Purchases'!$C:$C,Brokerage!$B358,'YTD Purchases'!$G:$G,Brokerage!M$4)</f>
        <v>0</v>
      </c>
      <c r="N358" s="857">
        <f>SUMIFS('YTD Sales'!$N:$N,'YTD Sales'!$B:$B,Brokerage!$B358,'YTD Sales'!$M:$M,Brokerage!N$4)+SUMIFS('YTD Purchases'!$H:$H,'YTD Purchases'!$C:$C,Brokerage!$B358,'YTD Purchases'!$G:$G,Brokerage!N$4)</f>
        <v>0</v>
      </c>
      <c r="O358" s="857">
        <f>SUMIFS('YTD Sales'!$N:$N,'YTD Sales'!$B:$B,Brokerage!$B358,'YTD Sales'!$M:$M,Brokerage!O$4)+SUMIFS('YTD Purchases'!$H:$H,'YTD Purchases'!$C:$C,Brokerage!$B358,'YTD Purchases'!$G:$G,Brokerage!O$4)</f>
        <v>0</v>
      </c>
      <c r="P358" s="857">
        <f>SUMIFS('YTD Sales'!$N:$N,'YTD Sales'!$B:$B,Brokerage!$B358,'YTD Sales'!$M:$M,Brokerage!P$4)+SUMIFS('YTD Purchases'!$H:$H,'YTD Purchases'!$C:$C,Brokerage!$B358,'YTD Purchases'!$G:$G,Brokerage!P$4)</f>
        <v>0</v>
      </c>
      <c r="Q358" s="857">
        <f>SUMIFS('YTD Sales'!$N:$N,'YTD Sales'!$B:$B,Brokerage!$B358,'YTD Sales'!$M:$M,Brokerage!Q$4)+SUMIFS('YTD Purchases'!$H:$H,'YTD Purchases'!$C:$C,Brokerage!$B358,'YTD Purchases'!$G:$G,Brokerage!Q$4)</f>
        <v>0</v>
      </c>
      <c r="R358" s="857">
        <f>SUMIFS('YTD Sales'!$N:$N,'YTD Sales'!$B:$B,Brokerage!$B358,'YTD Sales'!$M:$M,Brokerage!R$4)+SUMIFS('YTD Purchases'!$H:$H,'YTD Purchases'!$C:$C,Brokerage!$B358,'YTD Purchases'!$G:$G,Brokerage!R$4)</f>
        <v>0</v>
      </c>
      <c r="S358" s="857">
        <f>SUMIFS('YTD Sales'!$N:$N,'YTD Sales'!$B:$B,Brokerage!$B358,'YTD Sales'!$M:$M,Brokerage!S$4)+SUMIFS('YTD Purchases'!$H:$H,'YTD Purchases'!$C:$C,Brokerage!$B358,'YTD Purchases'!$G:$G,Brokerage!S$4)</f>
        <v>0</v>
      </c>
      <c r="T358" s="857">
        <f>SUMIFS('YTD Sales'!$N:$N,'YTD Sales'!$B:$B,Brokerage!$B358,'YTD Sales'!$M:$M,Brokerage!T$4)+SUMIFS('YTD Purchases'!$H:$H,'YTD Purchases'!$C:$C,Brokerage!$B358,'YTD Purchases'!$G:$G,Brokerage!T$4)</f>
        <v>0</v>
      </c>
      <c r="U358" s="857">
        <f>SUMIFS('YTD Sales'!$N:$N,'YTD Sales'!$B:$B,Brokerage!$B358,'YTD Sales'!$M:$M,Brokerage!U$4)+SUMIFS('YTD Purchases'!$H:$H,'YTD Purchases'!$C:$C,Brokerage!$B358,'YTD Purchases'!$G:$G,Brokerage!U$4)</f>
        <v>0</v>
      </c>
      <c r="V358" s="857">
        <f>SUMIFS('YTD Sales'!$N:$N,'YTD Sales'!$B:$B,Brokerage!$B358,'YTD Sales'!$M:$M,Brokerage!V$4)+SUMIFS('YTD Purchases'!$H:$H,'YTD Purchases'!$C:$C,Brokerage!$B358,'YTD Purchases'!$G:$G,Brokerage!V$4)</f>
        <v>0</v>
      </c>
      <c r="W358" s="857">
        <f>SUMIFS('YTD Sales'!$N:$N,'YTD Sales'!$B:$B,Brokerage!$B358,'YTD Sales'!$M:$M,Brokerage!W$4)+SUMIFS('YTD Purchases'!$H:$H,'YTD Purchases'!$C:$C,Brokerage!$B358,'YTD Purchases'!$G:$G,Brokerage!W$4)</f>
        <v>0</v>
      </c>
      <c r="X358" s="857">
        <f>SUMIFS('YTD Sales'!$N:$N,'YTD Sales'!$B:$B,Brokerage!$B358,'YTD Sales'!$M:$M,Brokerage!X$4)+SUMIFS('YTD Purchases'!$H:$H,'YTD Purchases'!$C:$C,Brokerage!$B358,'YTD Purchases'!$G:$G,Brokerage!X$4)</f>
        <v>0</v>
      </c>
      <c r="Y358" s="857">
        <f>SUMIFS('YTD Sales'!$N:$N,'YTD Sales'!$B:$B,Brokerage!$B358,'YTD Sales'!$M:$M,Brokerage!Y$4)+SUMIFS('YTD Purchases'!$H:$H,'YTD Purchases'!$C:$C,Brokerage!$B358,'YTD Purchases'!$G:$G,Brokerage!Y$4)</f>
        <v>0</v>
      </c>
      <c r="Z358" s="857">
        <f>SUMIFS('YTD Sales'!$N:$N,'YTD Sales'!$B:$B,Brokerage!$B358,'YTD Sales'!$M:$M,Brokerage!Z$4)+SUMIFS('YTD Purchases'!$H:$H,'YTD Purchases'!$C:$C,Brokerage!$B358,'YTD Purchases'!$G:$G,Brokerage!Z$4)</f>
        <v>0</v>
      </c>
      <c r="AA358" s="857">
        <f>SUMIFS('YTD Sales'!$N:$N,'YTD Sales'!$B:$B,Brokerage!$B358,'YTD Sales'!$M:$M,Brokerage!AA$4)+SUMIFS('YTD Purchases'!$H:$H,'YTD Purchases'!$C:$C,Brokerage!$B358,'YTD Purchases'!$G:$G,Brokerage!AA$4)</f>
        <v>0</v>
      </c>
      <c r="AB358" s="857">
        <f>SUMIFS('YTD Sales'!$N:$N,'YTD Sales'!$B:$B,Brokerage!$B358,'YTD Sales'!$M:$M,Brokerage!AB$4)+SUMIFS('YTD Purchases'!$H:$H,'YTD Purchases'!$C:$C,Brokerage!$B358,'YTD Purchases'!$G:$G,Brokerage!AB$4)</f>
        <v>0</v>
      </c>
      <c r="AC358" s="857">
        <f>SUMIFS('YTD Sales'!$N:$N,'YTD Sales'!$B:$B,Brokerage!$B358,'YTD Sales'!$M:$M,Brokerage!AC$4)+SUMIFS('YTD Purchases'!$H:$H,'YTD Purchases'!$C:$C,Brokerage!$B358,'YTD Purchases'!$G:$G,Brokerage!AC$4)</f>
        <v>0</v>
      </c>
      <c r="AD358" s="857">
        <f>+SUMIFS(PIB!AG:AG,PIB!AF:AF,Brokerage!AD$4,PIB!AA:AA,Brokerage!$B358)+SUMIFS('T-Bills'!AB:AB,'T-Bills'!AA:AA,Brokerage!AD$4,'T-Bills'!V:V,Brokerage!$B358)</f>
        <v>0</v>
      </c>
      <c r="AE358" s="857">
        <f>+SUMIFS(PIB!AH:AH,PIB!AG:AG,Brokerage!AE$4,PIB!AB:AB,Brokerage!$B358)+SUMIFS('T-Bills'!AC:AC,'T-Bills'!AB:AB,Brokerage!AE$4,'T-Bills'!W:W,Brokerage!$B358)</f>
        <v>0</v>
      </c>
      <c r="AF358" s="857">
        <f>+SUMIFS(PIB!AI:AI,PIB!AH:AH,Brokerage!AF$4,PIB!AC:AC,Brokerage!$B358)+SUMIFS('T-Bills'!AD:AD,'T-Bills'!AC:AC,Brokerage!AF$4,'T-Bills'!X:X,Brokerage!$B358)</f>
        <v>0</v>
      </c>
      <c r="AG358" s="857">
        <f t="shared" si="30"/>
        <v>0</v>
      </c>
      <c r="AH358" s="858">
        <f t="shared" si="31"/>
        <v>0</v>
      </c>
    </row>
    <row r="359" spans="2:34" x14ac:dyDescent="0.15">
      <c r="B359" s="661">
        <f t="shared" si="29"/>
        <v>44915</v>
      </c>
      <c r="C359" s="857">
        <f>SUMIFS('YTD Sales'!$N:$N,'YTD Sales'!$B:$B,Brokerage!$B359,'YTD Sales'!$M:$M,Brokerage!C$4)+SUMIFS('YTD Purchases'!$H:$H,'YTD Purchases'!$C:$C,Brokerage!$B359,'YTD Purchases'!$G:$G,Brokerage!C$4)</f>
        <v>0</v>
      </c>
      <c r="D359" s="857">
        <f>SUMIFS('YTD Sales'!$N:$N,'YTD Sales'!$B:$B,Brokerage!$B359,'YTD Sales'!$M:$M,Brokerage!D$4)+SUMIFS('YTD Purchases'!$H:$H,'YTD Purchases'!$C:$C,Brokerage!$B359,'YTD Purchases'!$G:$G,Brokerage!D$4)</f>
        <v>0</v>
      </c>
      <c r="E359" s="857">
        <f>SUMIFS('YTD Sales'!$N:$N,'YTD Sales'!$B:$B,Brokerage!$B359,'YTD Sales'!$M:$M,Brokerage!E$4)+SUMIFS('YTD Purchases'!$H:$H,'YTD Purchases'!$C:$C,Brokerage!$B359,'YTD Purchases'!$G:$G,Brokerage!E$4)</f>
        <v>0</v>
      </c>
      <c r="F359" s="857">
        <f>SUMIFS('YTD Sales'!$N:$N,'YTD Sales'!$B:$B,Brokerage!$B359,'YTD Sales'!$M:$M,Brokerage!F$4)+SUMIFS('YTD Purchases'!$H:$H,'YTD Purchases'!$C:$C,Brokerage!$B359,'YTD Purchases'!$G:$G,Brokerage!F$4)</f>
        <v>0</v>
      </c>
      <c r="G359" s="857">
        <f>SUMIFS('YTD Sales'!$N:$N,'YTD Sales'!$B:$B,Brokerage!$B359,'YTD Sales'!$M:$M,Brokerage!G$4)+SUMIFS('YTD Purchases'!$H:$H,'YTD Purchases'!$C:$C,Brokerage!$B359,'YTD Purchases'!$G:$G,Brokerage!G$4)</f>
        <v>0</v>
      </c>
      <c r="H359" s="857">
        <f>SUMIFS('YTD Sales'!$N:$N,'YTD Sales'!$B:$B,Brokerage!$B359,'YTD Sales'!$M:$M,Brokerage!H$4)+SUMIFS('YTD Purchases'!$H:$H,'YTD Purchases'!$C:$C,Brokerage!$B359,'YTD Purchases'!$G:$G,Brokerage!H$4)</f>
        <v>0</v>
      </c>
      <c r="I359" s="857">
        <f>SUMIFS('YTD Sales'!$N:$N,'YTD Sales'!$B:$B,Brokerage!$B359,'YTD Sales'!$M:$M,Brokerage!I$4)+SUMIFS('YTD Purchases'!$H:$H,'YTD Purchases'!$C:$C,Brokerage!$B359,'YTD Purchases'!$G:$G,Brokerage!I$4)</f>
        <v>0</v>
      </c>
      <c r="J359" s="857">
        <f>SUMIFS('YTD Sales'!$N:$N,'YTD Sales'!$B:$B,Brokerage!$B359,'YTD Sales'!$M:$M,Brokerage!J$4)+SUMIFS('YTD Purchases'!$H:$H,'YTD Purchases'!$C:$C,Brokerage!$B359,'YTD Purchases'!$G:$G,Brokerage!J$4)</f>
        <v>0</v>
      </c>
      <c r="K359" s="857">
        <f>SUMIFS('YTD Sales'!$N:$N,'YTD Sales'!$B:$B,Brokerage!$B359,'YTD Sales'!$M:$M,Brokerage!K$4)+SUMIFS('YTD Purchases'!$H:$H,'YTD Purchases'!$C:$C,Brokerage!$B359,'YTD Purchases'!$G:$G,Brokerage!K$4)</f>
        <v>0</v>
      </c>
      <c r="L359" s="857">
        <f>SUMIFS('YTD Sales'!$N:$N,'YTD Sales'!$B:$B,Brokerage!$B359,'YTD Sales'!$M:$M,Brokerage!L$4)+SUMIFS('YTD Purchases'!$H:$H,'YTD Purchases'!$C:$C,Brokerage!$B359,'YTD Purchases'!$G:$G,Brokerage!L$4)</f>
        <v>0</v>
      </c>
      <c r="M359" s="857">
        <f>SUMIFS('YTD Sales'!$N:$N,'YTD Sales'!$B:$B,Brokerage!$B359,'YTD Sales'!$M:$M,Brokerage!M$4)+SUMIFS('YTD Purchases'!$H:$H,'YTD Purchases'!$C:$C,Brokerage!$B359,'YTD Purchases'!$G:$G,Brokerage!M$4)</f>
        <v>0</v>
      </c>
      <c r="N359" s="857">
        <f>SUMIFS('YTD Sales'!$N:$N,'YTD Sales'!$B:$B,Brokerage!$B359,'YTD Sales'!$M:$M,Brokerage!N$4)+SUMIFS('YTD Purchases'!$H:$H,'YTD Purchases'!$C:$C,Brokerage!$B359,'YTD Purchases'!$G:$G,Brokerage!N$4)</f>
        <v>0</v>
      </c>
      <c r="O359" s="857">
        <f>SUMIFS('YTD Sales'!$N:$N,'YTD Sales'!$B:$B,Brokerage!$B359,'YTD Sales'!$M:$M,Brokerage!O$4)+SUMIFS('YTD Purchases'!$H:$H,'YTD Purchases'!$C:$C,Brokerage!$B359,'YTD Purchases'!$G:$G,Brokerage!O$4)</f>
        <v>0</v>
      </c>
      <c r="P359" s="857">
        <f>SUMIFS('YTD Sales'!$N:$N,'YTD Sales'!$B:$B,Brokerage!$B359,'YTD Sales'!$M:$M,Brokerage!P$4)+SUMIFS('YTD Purchases'!$H:$H,'YTD Purchases'!$C:$C,Brokerage!$B359,'YTD Purchases'!$G:$G,Brokerage!P$4)</f>
        <v>0</v>
      </c>
      <c r="Q359" s="857">
        <f>SUMIFS('YTD Sales'!$N:$N,'YTD Sales'!$B:$B,Brokerage!$B359,'YTD Sales'!$M:$M,Brokerage!Q$4)+SUMIFS('YTD Purchases'!$H:$H,'YTD Purchases'!$C:$C,Brokerage!$B359,'YTD Purchases'!$G:$G,Brokerage!Q$4)</f>
        <v>0</v>
      </c>
      <c r="R359" s="857">
        <f>SUMIFS('YTD Sales'!$N:$N,'YTD Sales'!$B:$B,Brokerage!$B359,'YTD Sales'!$M:$M,Brokerage!R$4)+SUMIFS('YTD Purchases'!$H:$H,'YTD Purchases'!$C:$C,Brokerage!$B359,'YTD Purchases'!$G:$G,Brokerage!R$4)</f>
        <v>0</v>
      </c>
      <c r="S359" s="857">
        <f>SUMIFS('YTD Sales'!$N:$N,'YTD Sales'!$B:$B,Brokerage!$B359,'YTD Sales'!$M:$M,Brokerage!S$4)+SUMIFS('YTD Purchases'!$H:$H,'YTD Purchases'!$C:$C,Brokerage!$B359,'YTD Purchases'!$G:$G,Brokerage!S$4)</f>
        <v>0</v>
      </c>
      <c r="T359" s="857">
        <f>SUMIFS('YTD Sales'!$N:$N,'YTD Sales'!$B:$B,Brokerage!$B359,'YTD Sales'!$M:$M,Brokerage!T$4)+SUMIFS('YTD Purchases'!$H:$H,'YTD Purchases'!$C:$C,Brokerage!$B359,'YTD Purchases'!$G:$G,Brokerage!T$4)</f>
        <v>0</v>
      </c>
      <c r="U359" s="857">
        <f>SUMIFS('YTD Sales'!$N:$N,'YTD Sales'!$B:$B,Brokerage!$B359,'YTD Sales'!$M:$M,Brokerage!U$4)+SUMIFS('YTD Purchases'!$H:$H,'YTD Purchases'!$C:$C,Brokerage!$B359,'YTD Purchases'!$G:$G,Brokerage!U$4)</f>
        <v>0</v>
      </c>
      <c r="V359" s="857">
        <f>SUMIFS('YTD Sales'!$N:$N,'YTD Sales'!$B:$B,Brokerage!$B359,'YTD Sales'!$M:$M,Brokerage!V$4)+SUMIFS('YTD Purchases'!$H:$H,'YTD Purchases'!$C:$C,Brokerage!$B359,'YTD Purchases'!$G:$G,Brokerage!V$4)</f>
        <v>0</v>
      </c>
      <c r="W359" s="857">
        <f>SUMIFS('YTD Sales'!$N:$N,'YTD Sales'!$B:$B,Brokerage!$B359,'YTD Sales'!$M:$M,Brokerage!W$4)+SUMIFS('YTD Purchases'!$H:$H,'YTD Purchases'!$C:$C,Brokerage!$B359,'YTD Purchases'!$G:$G,Brokerage!W$4)</f>
        <v>0</v>
      </c>
      <c r="X359" s="857">
        <f>SUMIFS('YTD Sales'!$N:$N,'YTD Sales'!$B:$B,Brokerage!$B359,'YTD Sales'!$M:$M,Brokerage!X$4)+SUMIFS('YTD Purchases'!$H:$H,'YTD Purchases'!$C:$C,Brokerage!$B359,'YTD Purchases'!$G:$G,Brokerage!X$4)</f>
        <v>0</v>
      </c>
      <c r="Y359" s="857">
        <f>SUMIFS('YTD Sales'!$N:$N,'YTD Sales'!$B:$B,Brokerage!$B359,'YTD Sales'!$M:$M,Brokerage!Y$4)+SUMIFS('YTD Purchases'!$H:$H,'YTD Purchases'!$C:$C,Brokerage!$B359,'YTD Purchases'!$G:$G,Brokerage!Y$4)</f>
        <v>0</v>
      </c>
      <c r="Z359" s="857">
        <f>SUMIFS('YTD Sales'!$N:$N,'YTD Sales'!$B:$B,Brokerage!$B359,'YTD Sales'!$M:$M,Brokerage!Z$4)+SUMIFS('YTD Purchases'!$H:$H,'YTD Purchases'!$C:$C,Brokerage!$B359,'YTD Purchases'!$G:$G,Brokerage!Z$4)</f>
        <v>0</v>
      </c>
      <c r="AA359" s="857">
        <f>SUMIFS('YTD Sales'!$N:$N,'YTD Sales'!$B:$B,Brokerage!$B359,'YTD Sales'!$M:$M,Brokerage!AA$4)+SUMIFS('YTD Purchases'!$H:$H,'YTD Purchases'!$C:$C,Brokerage!$B359,'YTD Purchases'!$G:$G,Brokerage!AA$4)</f>
        <v>0</v>
      </c>
      <c r="AB359" s="857">
        <f>SUMIFS('YTD Sales'!$N:$N,'YTD Sales'!$B:$B,Brokerage!$B359,'YTD Sales'!$M:$M,Brokerage!AB$4)+SUMIFS('YTD Purchases'!$H:$H,'YTD Purchases'!$C:$C,Brokerage!$B359,'YTD Purchases'!$G:$G,Brokerage!AB$4)</f>
        <v>0</v>
      </c>
      <c r="AC359" s="857">
        <f>SUMIFS('YTD Sales'!$N:$N,'YTD Sales'!$B:$B,Brokerage!$B359,'YTD Sales'!$M:$M,Brokerage!AC$4)+SUMIFS('YTD Purchases'!$H:$H,'YTD Purchases'!$C:$C,Brokerage!$B359,'YTD Purchases'!$G:$G,Brokerage!AC$4)</f>
        <v>0</v>
      </c>
      <c r="AD359" s="857">
        <f>+SUMIFS(PIB!AG:AG,PIB!AF:AF,Brokerage!AD$4,PIB!AA:AA,Brokerage!$B359)+SUMIFS('T-Bills'!AB:AB,'T-Bills'!AA:AA,Brokerage!AD$4,'T-Bills'!V:V,Brokerage!$B359)</f>
        <v>0</v>
      </c>
      <c r="AE359" s="857">
        <f>+SUMIFS(PIB!AH:AH,PIB!AG:AG,Brokerage!AE$4,PIB!AB:AB,Brokerage!$B359)+SUMIFS('T-Bills'!AC:AC,'T-Bills'!AB:AB,Brokerage!AE$4,'T-Bills'!W:W,Brokerage!$B359)</f>
        <v>0</v>
      </c>
      <c r="AF359" s="857">
        <f>+SUMIFS(PIB!AI:AI,PIB!AH:AH,Brokerage!AF$4,PIB!AC:AC,Brokerage!$B359)+SUMIFS('T-Bills'!AD:AD,'T-Bills'!AC:AC,Brokerage!AF$4,'T-Bills'!X:X,Brokerage!$B359)</f>
        <v>0</v>
      </c>
      <c r="AG359" s="857">
        <f t="shared" si="30"/>
        <v>0</v>
      </c>
      <c r="AH359" s="858">
        <f t="shared" si="31"/>
        <v>0</v>
      </c>
    </row>
    <row r="360" spans="2:34" x14ac:dyDescent="0.15">
      <c r="B360" s="661">
        <f t="shared" si="29"/>
        <v>44916</v>
      </c>
      <c r="C360" s="857">
        <f>SUMIFS('YTD Sales'!$N:$N,'YTD Sales'!$B:$B,Brokerage!$B360,'YTD Sales'!$M:$M,Brokerage!C$4)+SUMIFS('YTD Purchases'!$H:$H,'YTD Purchases'!$C:$C,Brokerage!$B360,'YTD Purchases'!$G:$G,Brokerage!C$4)</f>
        <v>0</v>
      </c>
      <c r="D360" s="857">
        <f>SUMIFS('YTD Sales'!$N:$N,'YTD Sales'!$B:$B,Brokerage!$B360,'YTD Sales'!$M:$M,Brokerage!D$4)+SUMIFS('YTD Purchases'!$H:$H,'YTD Purchases'!$C:$C,Brokerage!$B360,'YTD Purchases'!$G:$G,Brokerage!D$4)</f>
        <v>0</v>
      </c>
      <c r="E360" s="857">
        <f>SUMIFS('YTD Sales'!$N:$N,'YTD Sales'!$B:$B,Brokerage!$B360,'YTD Sales'!$M:$M,Brokerage!E$4)+SUMIFS('YTD Purchases'!$H:$H,'YTD Purchases'!$C:$C,Brokerage!$B360,'YTD Purchases'!$G:$G,Brokerage!E$4)</f>
        <v>0</v>
      </c>
      <c r="F360" s="857">
        <f>SUMIFS('YTD Sales'!$N:$N,'YTD Sales'!$B:$B,Brokerage!$B360,'YTD Sales'!$M:$M,Brokerage!F$4)+SUMIFS('YTD Purchases'!$H:$H,'YTD Purchases'!$C:$C,Brokerage!$B360,'YTD Purchases'!$G:$G,Brokerage!F$4)</f>
        <v>0</v>
      </c>
      <c r="G360" s="857">
        <f>SUMIFS('YTD Sales'!$N:$N,'YTD Sales'!$B:$B,Brokerage!$B360,'YTD Sales'!$M:$M,Brokerage!G$4)+SUMIFS('YTD Purchases'!$H:$H,'YTD Purchases'!$C:$C,Brokerage!$B360,'YTD Purchases'!$G:$G,Brokerage!G$4)</f>
        <v>0</v>
      </c>
      <c r="H360" s="857">
        <f>SUMIFS('YTD Sales'!$N:$N,'YTD Sales'!$B:$B,Brokerage!$B360,'YTD Sales'!$M:$M,Brokerage!H$4)+SUMIFS('YTD Purchases'!$H:$H,'YTD Purchases'!$C:$C,Brokerage!$B360,'YTD Purchases'!$G:$G,Brokerage!H$4)</f>
        <v>0</v>
      </c>
      <c r="I360" s="857">
        <f>SUMIFS('YTD Sales'!$N:$N,'YTD Sales'!$B:$B,Brokerage!$B360,'YTD Sales'!$M:$M,Brokerage!I$4)+SUMIFS('YTD Purchases'!$H:$H,'YTD Purchases'!$C:$C,Brokerage!$B360,'YTD Purchases'!$G:$G,Brokerage!I$4)</f>
        <v>0</v>
      </c>
      <c r="J360" s="857">
        <f>SUMIFS('YTD Sales'!$N:$N,'YTD Sales'!$B:$B,Brokerage!$B360,'YTD Sales'!$M:$M,Brokerage!J$4)+SUMIFS('YTD Purchases'!$H:$H,'YTD Purchases'!$C:$C,Brokerage!$B360,'YTD Purchases'!$G:$G,Brokerage!J$4)</f>
        <v>0</v>
      </c>
      <c r="K360" s="857">
        <f>SUMIFS('YTD Sales'!$N:$N,'YTD Sales'!$B:$B,Brokerage!$B360,'YTD Sales'!$M:$M,Brokerage!K$4)+SUMIFS('YTD Purchases'!$H:$H,'YTD Purchases'!$C:$C,Brokerage!$B360,'YTD Purchases'!$G:$G,Brokerage!K$4)</f>
        <v>0</v>
      </c>
      <c r="L360" s="857">
        <f>SUMIFS('YTD Sales'!$N:$N,'YTD Sales'!$B:$B,Brokerage!$B360,'YTD Sales'!$M:$M,Brokerage!L$4)+SUMIFS('YTD Purchases'!$H:$H,'YTD Purchases'!$C:$C,Brokerage!$B360,'YTD Purchases'!$G:$G,Brokerage!L$4)</f>
        <v>0</v>
      </c>
      <c r="M360" s="857">
        <f>SUMIFS('YTD Sales'!$N:$N,'YTD Sales'!$B:$B,Brokerage!$B360,'YTD Sales'!$M:$M,Brokerage!M$4)+SUMIFS('YTD Purchases'!$H:$H,'YTD Purchases'!$C:$C,Brokerage!$B360,'YTD Purchases'!$G:$G,Brokerage!M$4)</f>
        <v>0</v>
      </c>
      <c r="N360" s="857">
        <f>SUMIFS('YTD Sales'!$N:$N,'YTD Sales'!$B:$B,Brokerage!$B360,'YTD Sales'!$M:$M,Brokerage!N$4)+SUMIFS('YTD Purchases'!$H:$H,'YTD Purchases'!$C:$C,Brokerage!$B360,'YTD Purchases'!$G:$G,Brokerage!N$4)</f>
        <v>0</v>
      </c>
      <c r="O360" s="857">
        <f>SUMIFS('YTD Sales'!$N:$N,'YTD Sales'!$B:$B,Brokerage!$B360,'YTD Sales'!$M:$M,Brokerage!O$4)+SUMIFS('YTD Purchases'!$H:$H,'YTD Purchases'!$C:$C,Brokerage!$B360,'YTD Purchases'!$G:$G,Brokerage!O$4)</f>
        <v>0</v>
      </c>
      <c r="P360" s="857">
        <f>SUMIFS('YTD Sales'!$N:$N,'YTD Sales'!$B:$B,Brokerage!$B360,'YTD Sales'!$M:$M,Brokerage!P$4)+SUMIFS('YTD Purchases'!$H:$H,'YTD Purchases'!$C:$C,Brokerage!$B360,'YTD Purchases'!$G:$G,Brokerage!P$4)</f>
        <v>0</v>
      </c>
      <c r="Q360" s="857">
        <f>SUMIFS('YTD Sales'!$N:$N,'YTD Sales'!$B:$B,Brokerage!$B360,'YTD Sales'!$M:$M,Brokerage!Q$4)+SUMIFS('YTD Purchases'!$H:$H,'YTD Purchases'!$C:$C,Brokerage!$B360,'YTD Purchases'!$G:$G,Brokerage!Q$4)</f>
        <v>0</v>
      </c>
      <c r="R360" s="857">
        <f>SUMIFS('YTD Sales'!$N:$N,'YTD Sales'!$B:$B,Brokerage!$B360,'YTD Sales'!$M:$M,Brokerage!R$4)+SUMIFS('YTD Purchases'!$H:$H,'YTD Purchases'!$C:$C,Brokerage!$B360,'YTD Purchases'!$G:$G,Brokerage!R$4)</f>
        <v>0</v>
      </c>
      <c r="S360" s="857">
        <f>SUMIFS('YTD Sales'!$N:$N,'YTD Sales'!$B:$B,Brokerage!$B360,'YTD Sales'!$M:$M,Brokerage!S$4)+SUMIFS('YTD Purchases'!$H:$H,'YTD Purchases'!$C:$C,Brokerage!$B360,'YTD Purchases'!$G:$G,Brokerage!S$4)</f>
        <v>0</v>
      </c>
      <c r="T360" s="857">
        <f>SUMIFS('YTD Sales'!$N:$N,'YTD Sales'!$B:$B,Brokerage!$B360,'YTD Sales'!$M:$M,Brokerage!T$4)+SUMIFS('YTD Purchases'!$H:$H,'YTD Purchases'!$C:$C,Brokerage!$B360,'YTD Purchases'!$G:$G,Brokerage!T$4)</f>
        <v>0</v>
      </c>
      <c r="U360" s="857">
        <f>SUMIFS('YTD Sales'!$N:$N,'YTD Sales'!$B:$B,Brokerage!$B360,'YTD Sales'!$M:$M,Brokerage!U$4)+SUMIFS('YTD Purchases'!$H:$H,'YTD Purchases'!$C:$C,Brokerage!$B360,'YTD Purchases'!$G:$G,Brokerage!U$4)</f>
        <v>0</v>
      </c>
      <c r="V360" s="857">
        <f>SUMIFS('YTD Sales'!$N:$N,'YTD Sales'!$B:$B,Brokerage!$B360,'YTD Sales'!$M:$M,Brokerage!V$4)+SUMIFS('YTD Purchases'!$H:$H,'YTD Purchases'!$C:$C,Brokerage!$B360,'YTD Purchases'!$G:$G,Brokerage!V$4)</f>
        <v>0</v>
      </c>
      <c r="W360" s="857">
        <f>SUMIFS('YTD Sales'!$N:$N,'YTD Sales'!$B:$B,Brokerage!$B360,'YTD Sales'!$M:$M,Brokerage!W$4)+SUMIFS('YTD Purchases'!$H:$H,'YTD Purchases'!$C:$C,Brokerage!$B360,'YTD Purchases'!$G:$G,Brokerage!W$4)</f>
        <v>0</v>
      </c>
      <c r="X360" s="857">
        <f>SUMIFS('YTD Sales'!$N:$N,'YTD Sales'!$B:$B,Brokerage!$B360,'YTD Sales'!$M:$M,Brokerage!X$4)+SUMIFS('YTD Purchases'!$H:$H,'YTD Purchases'!$C:$C,Brokerage!$B360,'YTD Purchases'!$G:$G,Brokerage!X$4)</f>
        <v>0</v>
      </c>
      <c r="Y360" s="857">
        <f>SUMIFS('YTD Sales'!$N:$N,'YTD Sales'!$B:$B,Brokerage!$B360,'YTD Sales'!$M:$M,Brokerage!Y$4)+SUMIFS('YTD Purchases'!$H:$H,'YTD Purchases'!$C:$C,Brokerage!$B360,'YTD Purchases'!$G:$G,Brokerage!Y$4)</f>
        <v>0</v>
      </c>
      <c r="Z360" s="857">
        <f>SUMIFS('YTD Sales'!$N:$N,'YTD Sales'!$B:$B,Brokerage!$B360,'YTD Sales'!$M:$M,Brokerage!Z$4)+SUMIFS('YTD Purchases'!$H:$H,'YTD Purchases'!$C:$C,Brokerage!$B360,'YTD Purchases'!$G:$G,Brokerage!Z$4)</f>
        <v>0</v>
      </c>
      <c r="AA360" s="857">
        <f>SUMIFS('YTD Sales'!$N:$N,'YTD Sales'!$B:$B,Brokerage!$B360,'YTD Sales'!$M:$M,Brokerage!AA$4)+SUMIFS('YTD Purchases'!$H:$H,'YTD Purchases'!$C:$C,Brokerage!$B360,'YTD Purchases'!$G:$G,Brokerage!AA$4)</f>
        <v>0</v>
      </c>
      <c r="AB360" s="857">
        <f>SUMIFS('YTD Sales'!$N:$N,'YTD Sales'!$B:$B,Brokerage!$B360,'YTD Sales'!$M:$M,Brokerage!AB$4)+SUMIFS('YTD Purchases'!$H:$H,'YTD Purchases'!$C:$C,Brokerage!$B360,'YTD Purchases'!$G:$G,Brokerage!AB$4)</f>
        <v>0</v>
      </c>
      <c r="AC360" s="857">
        <f>SUMIFS('YTD Sales'!$N:$N,'YTD Sales'!$B:$B,Brokerage!$B360,'YTD Sales'!$M:$M,Brokerage!AC$4)+SUMIFS('YTD Purchases'!$H:$H,'YTD Purchases'!$C:$C,Brokerage!$B360,'YTD Purchases'!$G:$G,Brokerage!AC$4)</f>
        <v>0</v>
      </c>
      <c r="AD360" s="857">
        <f>+SUMIFS(PIB!AG:AG,PIB!AF:AF,Brokerage!AD$4,PIB!AA:AA,Brokerage!$B360)+SUMIFS('T-Bills'!AB:AB,'T-Bills'!AA:AA,Brokerage!AD$4,'T-Bills'!V:V,Brokerage!$B360)</f>
        <v>0</v>
      </c>
      <c r="AE360" s="857">
        <f>+SUMIFS(PIB!AH:AH,PIB!AG:AG,Brokerage!AE$4,PIB!AB:AB,Brokerage!$B360)+SUMIFS('T-Bills'!AC:AC,'T-Bills'!AB:AB,Brokerage!AE$4,'T-Bills'!W:W,Brokerage!$B360)</f>
        <v>0</v>
      </c>
      <c r="AF360" s="857">
        <f>+SUMIFS(PIB!AI:AI,PIB!AH:AH,Brokerage!AF$4,PIB!AC:AC,Brokerage!$B360)+SUMIFS('T-Bills'!AD:AD,'T-Bills'!AC:AC,Brokerage!AF$4,'T-Bills'!X:X,Brokerage!$B360)</f>
        <v>0</v>
      </c>
      <c r="AG360" s="857">
        <f t="shared" si="30"/>
        <v>0</v>
      </c>
      <c r="AH360" s="858">
        <f t="shared" si="31"/>
        <v>0</v>
      </c>
    </row>
    <row r="361" spans="2:34" x14ac:dyDescent="0.15">
      <c r="B361" s="661">
        <f t="shared" si="29"/>
        <v>44917</v>
      </c>
      <c r="C361" s="857">
        <f>SUMIFS('YTD Sales'!$N:$N,'YTD Sales'!$B:$B,Brokerage!$B361,'YTD Sales'!$M:$M,Brokerage!C$4)+SUMIFS('YTD Purchases'!$H:$H,'YTD Purchases'!$C:$C,Brokerage!$B361,'YTD Purchases'!$G:$G,Brokerage!C$4)</f>
        <v>0</v>
      </c>
      <c r="D361" s="857">
        <f>SUMIFS('YTD Sales'!$N:$N,'YTD Sales'!$B:$B,Brokerage!$B361,'YTD Sales'!$M:$M,Brokerage!D$4)+SUMIFS('YTD Purchases'!$H:$H,'YTD Purchases'!$C:$C,Brokerage!$B361,'YTD Purchases'!$G:$G,Brokerage!D$4)</f>
        <v>0</v>
      </c>
      <c r="E361" s="857">
        <f>SUMIFS('YTD Sales'!$N:$N,'YTD Sales'!$B:$B,Brokerage!$B361,'YTD Sales'!$M:$M,Brokerage!E$4)+SUMIFS('YTD Purchases'!$H:$H,'YTD Purchases'!$C:$C,Brokerage!$B361,'YTD Purchases'!$G:$G,Brokerage!E$4)</f>
        <v>0</v>
      </c>
      <c r="F361" s="857">
        <f>SUMIFS('YTD Sales'!$N:$N,'YTD Sales'!$B:$B,Brokerage!$B361,'YTD Sales'!$M:$M,Brokerage!F$4)+SUMIFS('YTD Purchases'!$H:$H,'YTD Purchases'!$C:$C,Brokerage!$B361,'YTD Purchases'!$G:$G,Brokerage!F$4)</f>
        <v>0</v>
      </c>
      <c r="G361" s="857">
        <f>SUMIFS('YTD Sales'!$N:$N,'YTD Sales'!$B:$B,Brokerage!$B361,'YTD Sales'!$M:$M,Brokerage!G$4)+SUMIFS('YTD Purchases'!$H:$H,'YTD Purchases'!$C:$C,Brokerage!$B361,'YTD Purchases'!$G:$G,Brokerage!G$4)</f>
        <v>0</v>
      </c>
      <c r="H361" s="857">
        <f>SUMIFS('YTD Sales'!$N:$N,'YTD Sales'!$B:$B,Brokerage!$B361,'YTD Sales'!$M:$M,Brokerage!H$4)+SUMIFS('YTD Purchases'!$H:$H,'YTD Purchases'!$C:$C,Brokerage!$B361,'YTD Purchases'!$G:$G,Brokerage!H$4)</f>
        <v>0</v>
      </c>
      <c r="I361" s="857">
        <f>SUMIFS('YTD Sales'!$N:$N,'YTD Sales'!$B:$B,Brokerage!$B361,'YTD Sales'!$M:$M,Brokerage!I$4)+SUMIFS('YTD Purchases'!$H:$H,'YTD Purchases'!$C:$C,Brokerage!$B361,'YTD Purchases'!$G:$G,Brokerage!I$4)</f>
        <v>0</v>
      </c>
      <c r="J361" s="857">
        <f>SUMIFS('YTD Sales'!$N:$N,'YTD Sales'!$B:$B,Brokerage!$B361,'YTD Sales'!$M:$M,Brokerage!J$4)+SUMIFS('YTD Purchases'!$H:$H,'YTD Purchases'!$C:$C,Brokerage!$B361,'YTD Purchases'!$G:$G,Brokerage!J$4)</f>
        <v>0</v>
      </c>
      <c r="K361" s="857">
        <f>SUMIFS('YTD Sales'!$N:$N,'YTD Sales'!$B:$B,Brokerage!$B361,'YTD Sales'!$M:$M,Brokerage!K$4)+SUMIFS('YTD Purchases'!$H:$H,'YTD Purchases'!$C:$C,Brokerage!$B361,'YTD Purchases'!$G:$G,Brokerage!K$4)</f>
        <v>0</v>
      </c>
      <c r="L361" s="857">
        <f>SUMIFS('YTD Sales'!$N:$N,'YTD Sales'!$B:$B,Brokerage!$B361,'YTD Sales'!$M:$M,Brokerage!L$4)+SUMIFS('YTD Purchases'!$H:$H,'YTD Purchases'!$C:$C,Brokerage!$B361,'YTD Purchases'!$G:$G,Brokerage!L$4)</f>
        <v>0</v>
      </c>
      <c r="M361" s="857">
        <f>SUMIFS('YTD Sales'!$N:$N,'YTD Sales'!$B:$B,Brokerage!$B361,'YTD Sales'!$M:$M,Brokerage!M$4)+SUMIFS('YTD Purchases'!$H:$H,'YTD Purchases'!$C:$C,Brokerage!$B361,'YTD Purchases'!$G:$G,Brokerage!M$4)</f>
        <v>0</v>
      </c>
      <c r="N361" s="857">
        <f>SUMIFS('YTD Sales'!$N:$N,'YTD Sales'!$B:$B,Brokerage!$B361,'YTD Sales'!$M:$M,Brokerage!N$4)+SUMIFS('YTD Purchases'!$H:$H,'YTD Purchases'!$C:$C,Brokerage!$B361,'YTD Purchases'!$G:$G,Brokerage!N$4)</f>
        <v>0</v>
      </c>
      <c r="O361" s="857">
        <f>SUMIFS('YTD Sales'!$N:$N,'YTD Sales'!$B:$B,Brokerage!$B361,'YTD Sales'!$M:$M,Brokerage!O$4)+SUMIFS('YTD Purchases'!$H:$H,'YTD Purchases'!$C:$C,Brokerage!$B361,'YTD Purchases'!$G:$G,Brokerage!O$4)</f>
        <v>0</v>
      </c>
      <c r="P361" s="857">
        <f>SUMIFS('YTD Sales'!$N:$N,'YTD Sales'!$B:$B,Brokerage!$B361,'YTD Sales'!$M:$M,Brokerage!P$4)+SUMIFS('YTD Purchases'!$H:$H,'YTD Purchases'!$C:$C,Brokerage!$B361,'YTD Purchases'!$G:$G,Brokerage!P$4)</f>
        <v>0</v>
      </c>
      <c r="Q361" s="857">
        <f>SUMIFS('YTD Sales'!$N:$N,'YTD Sales'!$B:$B,Brokerage!$B361,'YTD Sales'!$M:$M,Brokerage!Q$4)+SUMIFS('YTD Purchases'!$H:$H,'YTD Purchases'!$C:$C,Brokerage!$B361,'YTD Purchases'!$G:$G,Brokerage!Q$4)</f>
        <v>0</v>
      </c>
      <c r="R361" s="857">
        <f>SUMIFS('YTD Sales'!$N:$N,'YTD Sales'!$B:$B,Brokerage!$B361,'YTD Sales'!$M:$M,Brokerage!R$4)+SUMIFS('YTD Purchases'!$H:$H,'YTD Purchases'!$C:$C,Brokerage!$B361,'YTD Purchases'!$G:$G,Brokerage!R$4)</f>
        <v>0</v>
      </c>
      <c r="S361" s="857">
        <f>SUMIFS('YTD Sales'!$N:$N,'YTD Sales'!$B:$B,Brokerage!$B361,'YTD Sales'!$M:$M,Brokerage!S$4)+SUMIFS('YTD Purchases'!$H:$H,'YTD Purchases'!$C:$C,Brokerage!$B361,'YTD Purchases'!$G:$G,Brokerage!S$4)</f>
        <v>0</v>
      </c>
      <c r="T361" s="857">
        <f>SUMIFS('YTD Sales'!$N:$N,'YTD Sales'!$B:$B,Brokerage!$B361,'YTD Sales'!$M:$M,Brokerage!T$4)+SUMIFS('YTD Purchases'!$H:$H,'YTD Purchases'!$C:$C,Brokerage!$B361,'YTD Purchases'!$G:$G,Brokerage!T$4)</f>
        <v>0</v>
      </c>
      <c r="U361" s="857">
        <f>SUMIFS('YTD Sales'!$N:$N,'YTD Sales'!$B:$B,Brokerage!$B361,'YTD Sales'!$M:$M,Brokerage!U$4)+SUMIFS('YTD Purchases'!$H:$H,'YTD Purchases'!$C:$C,Brokerage!$B361,'YTD Purchases'!$G:$G,Brokerage!U$4)</f>
        <v>0</v>
      </c>
      <c r="V361" s="857">
        <f>SUMIFS('YTD Sales'!$N:$N,'YTD Sales'!$B:$B,Brokerage!$B361,'YTD Sales'!$M:$M,Brokerage!V$4)+SUMIFS('YTD Purchases'!$H:$H,'YTD Purchases'!$C:$C,Brokerage!$B361,'YTD Purchases'!$G:$G,Brokerage!V$4)</f>
        <v>0</v>
      </c>
      <c r="W361" s="857">
        <f>SUMIFS('YTD Sales'!$N:$N,'YTD Sales'!$B:$B,Brokerage!$B361,'YTD Sales'!$M:$M,Brokerage!W$4)+SUMIFS('YTD Purchases'!$H:$H,'YTD Purchases'!$C:$C,Brokerage!$B361,'YTD Purchases'!$G:$G,Brokerage!W$4)</f>
        <v>0</v>
      </c>
      <c r="X361" s="857">
        <f>SUMIFS('YTD Sales'!$N:$N,'YTD Sales'!$B:$B,Brokerage!$B361,'YTD Sales'!$M:$M,Brokerage!X$4)+SUMIFS('YTD Purchases'!$H:$H,'YTD Purchases'!$C:$C,Brokerage!$B361,'YTD Purchases'!$G:$G,Brokerage!X$4)</f>
        <v>0</v>
      </c>
      <c r="Y361" s="857">
        <f>SUMIFS('YTD Sales'!$N:$N,'YTD Sales'!$B:$B,Brokerage!$B361,'YTD Sales'!$M:$M,Brokerage!Y$4)+SUMIFS('YTD Purchases'!$H:$H,'YTD Purchases'!$C:$C,Brokerage!$B361,'YTD Purchases'!$G:$G,Brokerage!Y$4)</f>
        <v>0</v>
      </c>
      <c r="Z361" s="857">
        <f>SUMIFS('YTD Sales'!$N:$N,'YTD Sales'!$B:$B,Brokerage!$B361,'YTD Sales'!$M:$M,Brokerage!Z$4)+SUMIFS('YTD Purchases'!$H:$H,'YTD Purchases'!$C:$C,Brokerage!$B361,'YTD Purchases'!$G:$G,Brokerage!Z$4)</f>
        <v>0</v>
      </c>
      <c r="AA361" s="857">
        <f>SUMIFS('YTD Sales'!$N:$N,'YTD Sales'!$B:$B,Brokerage!$B361,'YTD Sales'!$M:$M,Brokerage!AA$4)+SUMIFS('YTD Purchases'!$H:$H,'YTD Purchases'!$C:$C,Brokerage!$B361,'YTD Purchases'!$G:$G,Brokerage!AA$4)</f>
        <v>0</v>
      </c>
      <c r="AB361" s="857">
        <f>SUMIFS('YTD Sales'!$N:$N,'YTD Sales'!$B:$B,Brokerage!$B361,'YTD Sales'!$M:$M,Brokerage!AB$4)+SUMIFS('YTD Purchases'!$H:$H,'YTD Purchases'!$C:$C,Brokerage!$B361,'YTD Purchases'!$G:$G,Brokerage!AB$4)</f>
        <v>0</v>
      </c>
      <c r="AC361" s="857">
        <f>SUMIFS('YTD Sales'!$N:$N,'YTD Sales'!$B:$B,Brokerage!$B361,'YTD Sales'!$M:$M,Brokerage!AC$4)+SUMIFS('YTD Purchases'!$H:$H,'YTD Purchases'!$C:$C,Brokerage!$B361,'YTD Purchases'!$G:$G,Brokerage!AC$4)</f>
        <v>0</v>
      </c>
      <c r="AD361" s="857">
        <f>+SUMIFS(PIB!AG:AG,PIB!AF:AF,Brokerage!AD$4,PIB!AA:AA,Brokerage!$B361)+SUMIFS('T-Bills'!AB:AB,'T-Bills'!AA:AA,Brokerage!AD$4,'T-Bills'!V:V,Brokerage!$B361)</f>
        <v>0</v>
      </c>
      <c r="AE361" s="857">
        <f>+SUMIFS(PIB!AH:AH,PIB!AG:AG,Brokerage!AE$4,PIB!AB:AB,Brokerage!$B361)+SUMIFS('T-Bills'!AC:AC,'T-Bills'!AB:AB,Brokerage!AE$4,'T-Bills'!W:W,Brokerage!$B361)</f>
        <v>0</v>
      </c>
      <c r="AF361" s="857">
        <f>+SUMIFS(PIB!AI:AI,PIB!AH:AH,Brokerage!AF$4,PIB!AC:AC,Brokerage!$B361)+SUMIFS('T-Bills'!AD:AD,'T-Bills'!AC:AC,Brokerage!AF$4,'T-Bills'!X:X,Brokerage!$B361)</f>
        <v>0</v>
      </c>
      <c r="AG361" s="857">
        <f t="shared" si="30"/>
        <v>0</v>
      </c>
      <c r="AH361" s="858">
        <f t="shared" si="31"/>
        <v>0</v>
      </c>
    </row>
    <row r="362" spans="2:34" x14ac:dyDescent="0.15">
      <c r="B362" s="661">
        <f t="shared" si="29"/>
        <v>44918</v>
      </c>
      <c r="C362" s="857">
        <f>SUMIFS('YTD Sales'!$N:$N,'YTD Sales'!$B:$B,Brokerage!$B362,'YTD Sales'!$M:$M,Brokerage!C$4)+SUMIFS('YTD Purchases'!$H:$H,'YTD Purchases'!$C:$C,Brokerage!$B362,'YTD Purchases'!$G:$G,Brokerage!C$4)</f>
        <v>0</v>
      </c>
      <c r="D362" s="857">
        <f>SUMIFS('YTD Sales'!$N:$N,'YTD Sales'!$B:$B,Brokerage!$B362,'YTD Sales'!$M:$M,Brokerage!D$4)+SUMIFS('YTD Purchases'!$H:$H,'YTD Purchases'!$C:$C,Brokerage!$B362,'YTD Purchases'!$G:$G,Brokerage!D$4)</f>
        <v>0</v>
      </c>
      <c r="E362" s="857">
        <f>SUMIFS('YTD Sales'!$N:$N,'YTD Sales'!$B:$B,Brokerage!$B362,'YTD Sales'!$M:$M,Brokerage!E$4)+SUMIFS('YTD Purchases'!$H:$H,'YTD Purchases'!$C:$C,Brokerage!$B362,'YTD Purchases'!$G:$G,Brokerage!E$4)</f>
        <v>0</v>
      </c>
      <c r="F362" s="857">
        <f>SUMIFS('YTD Sales'!$N:$N,'YTD Sales'!$B:$B,Brokerage!$B362,'YTD Sales'!$M:$M,Brokerage!F$4)+SUMIFS('YTD Purchases'!$H:$H,'YTD Purchases'!$C:$C,Brokerage!$B362,'YTD Purchases'!$G:$G,Brokerage!F$4)</f>
        <v>0</v>
      </c>
      <c r="G362" s="857">
        <f>SUMIFS('YTD Sales'!$N:$N,'YTD Sales'!$B:$B,Brokerage!$B362,'YTD Sales'!$M:$M,Brokerage!G$4)+SUMIFS('YTD Purchases'!$H:$H,'YTD Purchases'!$C:$C,Brokerage!$B362,'YTD Purchases'!$G:$G,Brokerage!G$4)</f>
        <v>0</v>
      </c>
      <c r="H362" s="857">
        <f>SUMIFS('YTD Sales'!$N:$N,'YTD Sales'!$B:$B,Brokerage!$B362,'YTD Sales'!$M:$M,Brokerage!H$4)+SUMIFS('YTD Purchases'!$H:$H,'YTD Purchases'!$C:$C,Brokerage!$B362,'YTD Purchases'!$G:$G,Brokerage!H$4)</f>
        <v>0</v>
      </c>
      <c r="I362" s="857">
        <f>SUMIFS('YTD Sales'!$N:$N,'YTD Sales'!$B:$B,Brokerage!$B362,'YTD Sales'!$M:$M,Brokerage!I$4)+SUMIFS('YTD Purchases'!$H:$H,'YTD Purchases'!$C:$C,Brokerage!$B362,'YTD Purchases'!$G:$G,Brokerage!I$4)</f>
        <v>0</v>
      </c>
      <c r="J362" s="857">
        <f>SUMIFS('YTD Sales'!$N:$N,'YTD Sales'!$B:$B,Brokerage!$B362,'YTD Sales'!$M:$M,Brokerage!J$4)+SUMIFS('YTD Purchases'!$H:$H,'YTD Purchases'!$C:$C,Brokerage!$B362,'YTD Purchases'!$G:$G,Brokerage!J$4)</f>
        <v>0</v>
      </c>
      <c r="K362" s="857">
        <f>SUMIFS('YTD Sales'!$N:$N,'YTD Sales'!$B:$B,Brokerage!$B362,'YTD Sales'!$M:$M,Brokerage!K$4)+SUMIFS('YTD Purchases'!$H:$H,'YTD Purchases'!$C:$C,Brokerage!$B362,'YTD Purchases'!$G:$G,Brokerage!K$4)</f>
        <v>0</v>
      </c>
      <c r="L362" s="857">
        <f>SUMIFS('YTD Sales'!$N:$N,'YTD Sales'!$B:$B,Brokerage!$B362,'YTD Sales'!$M:$M,Brokerage!L$4)+SUMIFS('YTD Purchases'!$H:$H,'YTD Purchases'!$C:$C,Brokerage!$B362,'YTD Purchases'!$G:$G,Brokerage!L$4)</f>
        <v>0</v>
      </c>
      <c r="M362" s="857">
        <f>SUMIFS('YTD Sales'!$N:$N,'YTD Sales'!$B:$B,Brokerage!$B362,'YTD Sales'!$M:$M,Brokerage!M$4)+SUMIFS('YTD Purchases'!$H:$H,'YTD Purchases'!$C:$C,Brokerage!$B362,'YTD Purchases'!$G:$G,Brokerage!M$4)</f>
        <v>0</v>
      </c>
      <c r="N362" s="857">
        <f>SUMIFS('YTD Sales'!$N:$N,'YTD Sales'!$B:$B,Brokerage!$B362,'YTD Sales'!$M:$M,Brokerage!N$4)+SUMIFS('YTD Purchases'!$H:$H,'YTD Purchases'!$C:$C,Brokerage!$B362,'YTD Purchases'!$G:$G,Brokerage!N$4)</f>
        <v>0</v>
      </c>
      <c r="O362" s="857">
        <f>SUMIFS('YTD Sales'!$N:$N,'YTD Sales'!$B:$B,Brokerage!$B362,'YTD Sales'!$M:$M,Brokerage!O$4)+SUMIFS('YTD Purchases'!$H:$H,'YTD Purchases'!$C:$C,Brokerage!$B362,'YTD Purchases'!$G:$G,Brokerage!O$4)</f>
        <v>0</v>
      </c>
      <c r="P362" s="857">
        <f>SUMIFS('YTD Sales'!$N:$N,'YTD Sales'!$B:$B,Brokerage!$B362,'YTD Sales'!$M:$M,Brokerage!P$4)+SUMIFS('YTD Purchases'!$H:$H,'YTD Purchases'!$C:$C,Brokerage!$B362,'YTD Purchases'!$G:$G,Brokerage!P$4)</f>
        <v>0</v>
      </c>
      <c r="Q362" s="857">
        <f>SUMIFS('YTD Sales'!$N:$N,'YTD Sales'!$B:$B,Brokerage!$B362,'YTD Sales'!$M:$M,Brokerage!Q$4)+SUMIFS('YTD Purchases'!$H:$H,'YTD Purchases'!$C:$C,Brokerage!$B362,'YTD Purchases'!$G:$G,Brokerage!Q$4)</f>
        <v>0</v>
      </c>
      <c r="R362" s="857">
        <f>SUMIFS('YTD Sales'!$N:$N,'YTD Sales'!$B:$B,Brokerage!$B362,'YTD Sales'!$M:$M,Brokerage!R$4)+SUMIFS('YTD Purchases'!$H:$H,'YTD Purchases'!$C:$C,Brokerage!$B362,'YTD Purchases'!$G:$G,Brokerage!R$4)</f>
        <v>0</v>
      </c>
      <c r="S362" s="857">
        <f>SUMIFS('YTD Sales'!$N:$N,'YTD Sales'!$B:$B,Brokerage!$B362,'YTD Sales'!$M:$M,Brokerage!S$4)+SUMIFS('YTD Purchases'!$H:$H,'YTD Purchases'!$C:$C,Brokerage!$B362,'YTD Purchases'!$G:$G,Brokerage!S$4)</f>
        <v>0</v>
      </c>
      <c r="T362" s="857">
        <f>SUMIFS('YTD Sales'!$N:$N,'YTD Sales'!$B:$B,Brokerage!$B362,'YTD Sales'!$M:$M,Brokerage!T$4)+SUMIFS('YTD Purchases'!$H:$H,'YTD Purchases'!$C:$C,Brokerage!$B362,'YTD Purchases'!$G:$G,Brokerage!T$4)</f>
        <v>0</v>
      </c>
      <c r="U362" s="857">
        <f>SUMIFS('YTD Sales'!$N:$N,'YTD Sales'!$B:$B,Brokerage!$B362,'YTD Sales'!$M:$M,Brokerage!U$4)+SUMIFS('YTD Purchases'!$H:$H,'YTD Purchases'!$C:$C,Brokerage!$B362,'YTD Purchases'!$G:$G,Brokerage!U$4)</f>
        <v>0</v>
      </c>
      <c r="V362" s="857">
        <f>SUMIFS('YTD Sales'!$N:$N,'YTD Sales'!$B:$B,Brokerage!$B362,'YTD Sales'!$M:$M,Brokerage!V$4)+SUMIFS('YTD Purchases'!$H:$H,'YTD Purchases'!$C:$C,Brokerage!$B362,'YTD Purchases'!$G:$G,Brokerage!V$4)</f>
        <v>0</v>
      </c>
      <c r="W362" s="857">
        <f>SUMIFS('YTD Sales'!$N:$N,'YTD Sales'!$B:$B,Brokerage!$B362,'YTD Sales'!$M:$M,Brokerage!W$4)+SUMIFS('YTD Purchases'!$H:$H,'YTD Purchases'!$C:$C,Brokerage!$B362,'YTD Purchases'!$G:$G,Brokerage!W$4)</f>
        <v>0</v>
      </c>
      <c r="X362" s="857">
        <f>SUMIFS('YTD Sales'!$N:$N,'YTD Sales'!$B:$B,Brokerage!$B362,'YTD Sales'!$M:$M,Brokerage!X$4)+SUMIFS('YTD Purchases'!$H:$H,'YTD Purchases'!$C:$C,Brokerage!$B362,'YTD Purchases'!$G:$G,Brokerage!X$4)</f>
        <v>0</v>
      </c>
      <c r="Y362" s="857">
        <f>SUMIFS('YTD Sales'!$N:$N,'YTD Sales'!$B:$B,Brokerage!$B362,'YTD Sales'!$M:$M,Brokerage!Y$4)+SUMIFS('YTD Purchases'!$H:$H,'YTD Purchases'!$C:$C,Brokerage!$B362,'YTD Purchases'!$G:$G,Brokerage!Y$4)</f>
        <v>0</v>
      </c>
      <c r="Z362" s="857">
        <f>SUMIFS('YTD Sales'!$N:$N,'YTD Sales'!$B:$B,Brokerage!$B362,'YTD Sales'!$M:$M,Brokerage!Z$4)+SUMIFS('YTD Purchases'!$H:$H,'YTD Purchases'!$C:$C,Brokerage!$B362,'YTD Purchases'!$G:$G,Brokerage!Z$4)</f>
        <v>0</v>
      </c>
      <c r="AA362" s="857">
        <f>SUMIFS('YTD Sales'!$N:$N,'YTD Sales'!$B:$B,Brokerage!$B362,'YTD Sales'!$M:$M,Brokerage!AA$4)+SUMIFS('YTD Purchases'!$H:$H,'YTD Purchases'!$C:$C,Brokerage!$B362,'YTD Purchases'!$G:$G,Brokerage!AA$4)</f>
        <v>0</v>
      </c>
      <c r="AB362" s="857">
        <f>SUMIFS('YTD Sales'!$N:$N,'YTD Sales'!$B:$B,Brokerage!$B362,'YTD Sales'!$M:$M,Brokerage!AB$4)+SUMIFS('YTD Purchases'!$H:$H,'YTD Purchases'!$C:$C,Brokerage!$B362,'YTD Purchases'!$G:$G,Brokerage!AB$4)</f>
        <v>0</v>
      </c>
      <c r="AC362" s="857">
        <f>SUMIFS('YTD Sales'!$N:$N,'YTD Sales'!$B:$B,Brokerage!$B362,'YTD Sales'!$M:$M,Brokerage!AC$4)+SUMIFS('YTD Purchases'!$H:$H,'YTD Purchases'!$C:$C,Brokerage!$B362,'YTD Purchases'!$G:$G,Brokerage!AC$4)</f>
        <v>0</v>
      </c>
      <c r="AD362" s="857">
        <f>+SUMIFS(PIB!AG:AG,PIB!AF:AF,Brokerage!AD$4,PIB!AA:AA,Brokerage!$B362)+SUMIFS('T-Bills'!AB:AB,'T-Bills'!AA:AA,Brokerage!AD$4,'T-Bills'!V:V,Brokerage!$B362)</f>
        <v>0</v>
      </c>
      <c r="AE362" s="857">
        <f>+SUMIFS(PIB!AH:AH,PIB!AG:AG,Brokerage!AE$4,PIB!AB:AB,Brokerage!$B362)+SUMIFS('T-Bills'!AC:AC,'T-Bills'!AB:AB,Brokerage!AE$4,'T-Bills'!W:W,Brokerage!$B362)</f>
        <v>0</v>
      </c>
      <c r="AF362" s="857">
        <f>+SUMIFS(PIB!AI:AI,PIB!AH:AH,Brokerage!AF$4,PIB!AC:AC,Brokerage!$B362)+SUMIFS('T-Bills'!AD:AD,'T-Bills'!AC:AC,Brokerage!AF$4,'T-Bills'!X:X,Brokerage!$B362)</f>
        <v>0</v>
      </c>
      <c r="AG362" s="857">
        <f t="shared" si="30"/>
        <v>0</v>
      </c>
      <c r="AH362" s="858">
        <f t="shared" si="31"/>
        <v>0</v>
      </c>
    </row>
    <row r="363" spans="2:34" x14ac:dyDescent="0.15">
      <c r="B363" s="661">
        <f t="shared" si="29"/>
        <v>44919</v>
      </c>
      <c r="C363" s="857">
        <f>SUMIFS('YTD Sales'!$N:$N,'YTD Sales'!$B:$B,Brokerage!$B363,'YTD Sales'!$M:$M,Brokerage!C$4)+SUMIFS('YTD Purchases'!$H:$H,'YTD Purchases'!$C:$C,Brokerage!$B363,'YTD Purchases'!$G:$G,Brokerage!C$4)</f>
        <v>0</v>
      </c>
      <c r="D363" s="857">
        <f>SUMIFS('YTD Sales'!$N:$N,'YTD Sales'!$B:$B,Brokerage!$B363,'YTD Sales'!$M:$M,Brokerage!D$4)+SUMIFS('YTD Purchases'!$H:$H,'YTD Purchases'!$C:$C,Brokerage!$B363,'YTD Purchases'!$G:$G,Brokerage!D$4)</f>
        <v>0</v>
      </c>
      <c r="E363" s="857">
        <f>SUMIFS('YTD Sales'!$N:$N,'YTD Sales'!$B:$B,Brokerage!$B363,'YTD Sales'!$M:$M,Brokerage!E$4)+SUMIFS('YTD Purchases'!$H:$H,'YTD Purchases'!$C:$C,Brokerage!$B363,'YTD Purchases'!$G:$G,Brokerage!E$4)</f>
        <v>0</v>
      </c>
      <c r="F363" s="857">
        <f>SUMIFS('YTD Sales'!$N:$N,'YTD Sales'!$B:$B,Brokerage!$B363,'YTD Sales'!$M:$M,Brokerage!F$4)+SUMIFS('YTD Purchases'!$H:$H,'YTD Purchases'!$C:$C,Brokerage!$B363,'YTD Purchases'!$G:$G,Brokerage!F$4)</f>
        <v>0</v>
      </c>
      <c r="G363" s="857">
        <f>SUMIFS('YTD Sales'!$N:$N,'YTD Sales'!$B:$B,Brokerage!$B363,'YTD Sales'!$M:$M,Brokerage!G$4)+SUMIFS('YTD Purchases'!$H:$H,'YTD Purchases'!$C:$C,Brokerage!$B363,'YTD Purchases'!$G:$G,Brokerage!G$4)</f>
        <v>0</v>
      </c>
      <c r="H363" s="857">
        <f>SUMIFS('YTD Sales'!$N:$N,'YTD Sales'!$B:$B,Brokerage!$B363,'YTD Sales'!$M:$M,Brokerage!H$4)+SUMIFS('YTD Purchases'!$H:$H,'YTD Purchases'!$C:$C,Brokerage!$B363,'YTD Purchases'!$G:$G,Brokerage!H$4)</f>
        <v>0</v>
      </c>
      <c r="I363" s="857">
        <f>SUMIFS('YTD Sales'!$N:$N,'YTD Sales'!$B:$B,Brokerage!$B363,'YTD Sales'!$M:$M,Brokerage!I$4)+SUMIFS('YTD Purchases'!$H:$H,'YTD Purchases'!$C:$C,Brokerage!$B363,'YTD Purchases'!$G:$G,Brokerage!I$4)</f>
        <v>0</v>
      </c>
      <c r="J363" s="857">
        <f>SUMIFS('YTD Sales'!$N:$N,'YTD Sales'!$B:$B,Brokerage!$B363,'YTD Sales'!$M:$M,Brokerage!J$4)+SUMIFS('YTD Purchases'!$H:$H,'YTD Purchases'!$C:$C,Brokerage!$B363,'YTD Purchases'!$G:$G,Brokerage!J$4)</f>
        <v>0</v>
      </c>
      <c r="K363" s="857">
        <f>SUMIFS('YTD Sales'!$N:$N,'YTD Sales'!$B:$B,Brokerage!$B363,'YTD Sales'!$M:$M,Brokerage!K$4)+SUMIFS('YTD Purchases'!$H:$H,'YTD Purchases'!$C:$C,Brokerage!$B363,'YTD Purchases'!$G:$G,Brokerage!K$4)</f>
        <v>0</v>
      </c>
      <c r="L363" s="857">
        <f>SUMIFS('YTD Sales'!$N:$N,'YTD Sales'!$B:$B,Brokerage!$B363,'YTD Sales'!$M:$M,Brokerage!L$4)+SUMIFS('YTD Purchases'!$H:$H,'YTD Purchases'!$C:$C,Brokerage!$B363,'YTD Purchases'!$G:$G,Brokerage!L$4)</f>
        <v>0</v>
      </c>
      <c r="M363" s="857">
        <f>SUMIFS('YTD Sales'!$N:$N,'YTD Sales'!$B:$B,Brokerage!$B363,'YTD Sales'!$M:$M,Brokerage!M$4)+SUMIFS('YTD Purchases'!$H:$H,'YTD Purchases'!$C:$C,Brokerage!$B363,'YTD Purchases'!$G:$G,Brokerage!M$4)</f>
        <v>0</v>
      </c>
      <c r="N363" s="857">
        <f>SUMIFS('YTD Sales'!$N:$N,'YTD Sales'!$B:$B,Brokerage!$B363,'YTD Sales'!$M:$M,Brokerage!N$4)+SUMIFS('YTD Purchases'!$H:$H,'YTD Purchases'!$C:$C,Brokerage!$B363,'YTD Purchases'!$G:$G,Brokerage!N$4)</f>
        <v>0</v>
      </c>
      <c r="O363" s="857">
        <f>SUMIFS('YTD Sales'!$N:$N,'YTD Sales'!$B:$B,Brokerage!$B363,'YTD Sales'!$M:$M,Brokerage!O$4)+SUMIFS('YTD Purchases'!$H:$H,'YTD Purchases'!$C:$C,Brokerage!$B363,'YTD Purchases'!$G:$G,Brokerage!O$4)</f>
        <v>0</v>
      </c>
      <c r="P363" s="857">
        <f>SUMIFS('YTD Sales'!$N:$N,'YTD Sales'!$B:$B,Brokerage!$B363,'YTD Sales'!$M:$M,Brokerage!P$4)+SUMIFS('YTD Purchases'!$H:$H,'YTD Purchases'!$C:$C,Brokerage!$B363,'YTD Purchases'!$G:$G,Brokerage!P$4)</f>
        <v>0</v>
      </c>
      <c r="Q363" s="857">
        <f>SUMIFS('YTD Sales'!$N:$N,'YTD Sales'!$B:$B,Brokerage!$B363,'YTD Sales'!$M:$M,Brokerage!Q$4)+SUMIFS('YTD Purchases'!$H:$H,'YTD Purchases'!$C:$C,Brokerage!$B363,'YTD Purchases'!$G:$G,Brokerage!Q$4)</f>
        <v>0</v>
      </c>
      <c r="R363" s="857">
        <f>SUMIFS('YTD Sales'!$N:$N,'YTD Sales'!$B:$B,Brokerage!$B363,'YTD Sales'!$M:$M,Brokerage!R$4)+SUMIFS('YTD Purchases'!$H:$H,'YTD Purchases'!$C:$C,Brokerage!$B363,'YTD Purchases'!$G:$G,Brokerage!R$4)</f>
        <v>0</v>
      </c>
      <c r="S363" s="857">
        <f>SUMIFS('YTD Sales'!$N:$N,'YTD Sales'!$B:$B,Brokerage!$B363,'YTD Sales'!$M:$M,Brokerage!S$4)+SUMIFS('YTD Purchases'!$H:$H,'YTD Purchases'!$C:$C,Brokerage!$B363,'YTD Purchases'!$G:$G,Brokerage!S$4)</f>
        <v>0</v>
      </c>
      <c r="T363" s="857">
        <f>SUMIFS('YTD Sales'!$N:$N,'YTD Sales'!$B:$B,Brokerage!$B363,'YTD Sales'!$M:$M,Brokerage!T$4)+SUMIFS('YTD Purchases'!$H:$H,'YTD Purchases'!$C:$C,Brokerage!$B363,'YTD Purchases'!$G:$G,Brokerage!T$4)</f>
        <v>0</v>
      </c>
      <c r="U363" s="857">
        <f>SUMIFS('YTD Sales'!$N:$N,'YTD Sales'!$B:$B,Brokerage!$B363,'YTD Sales'!$M:$M,Brokerage!U$4)+SUMIFS('YTD Purchases'!$H:$H,'YTD Purchases'!$C:$C,Brokerage!$B363,'YTD Purchases'!$G:$G,Brokerage!U$4)</f>
        <v>0</v>
      </c>
      <c r="V363" s="857">
        <f>SUMIFS('YTD Sales'!$N:$N,'YTD Sales'!$B:$B,Brokerage!$B363,'YTD Sales'!$M:$M,Brokerage!V$4)+SUMIFS('YTD Purchases'!$H:$H,'YTD Purchases'!$C:$C,Brokerage!$B363,'YTD Purchases'!$G:$G,Brokerage!V$4)</f>
        <v>0</v>
      </c>
      <c r="W363" s="857">
        <f>SUMIFS('YTD Sales'!$N:$N,'YTD Sales'!$B:$B,Brokerage!$B363,'YTD Sales'!$M:$M,Brokerage!W$4)+SUMIFS('YTD Purchases'!$H:$H,'YTD Purchases'!$C:$C,Brokerage!$B363,'YTD Purchases'!$G:$G,Brokerage!W$4)</f>
        <v>0</v>
      </c>
      <c r="X363" s="857">
        <f>SUMIFS('YTD Sales'!$N:$N,'YTD Sales'!$B:$B,Brokerage!$B363,'YTD Sales'!$M:$M,Brokerage!X$4)+SUMIFS('YTD Purchases'!$H:$H,'YTD Purchases'!$C:$C,Brokerage!$B363,'YTD Purchases'!$G:$G,Brokerage!X$4)</f>
        <v>0</v>
      </c>
      <c r="Y363" s="857">
        <f>SUMIFS('YTD Sales'!$N:$N,'YTD Sales'!$B:$B,Brokerage!$B363,'YTD Sales'!$M:$M,Brokerage!Y$4)+SUMIFS('YTD Purchases'!$H:$H,'YTD Purchases'!$C:$C,Brokerage!$B363,'YTD Purchases'!$G:$G,Brokerage!Y$4)</f>
        <v>0</v>
      </c>
      <c r="Z363" s="857">
        <f>SUMIFS('YTD Sales'!$N:$N,'YTD Sales'!$B:$B,Brokerage!$B363,'YTD Sales'!$M:$M,Brokerage!Z$4)+SUMIFS('YTD Purchases'!$H:$H,'YTD Purchases'!$C:$C,Brokerage!$B363,'YTD Purchases'!$G:$G,Brokerage!Z$4)</f>
        <v>0</v>
      </c>
      <c r="AA363" s="857">
        <f>SUMIFS('YTD Sales'!$N:$N,'YTD Sales'!$B:$B,Brokerage!$B363,'YTD Sales'!$M:$M,Brokerage!AA$4)+SUMIFS('YTD Purchases'!$H:$H,'YTD Purchases'!$C:$C,Brokerage!$B363,'YTD Purchases'!$G:$G,Brokerage!AA$4)</f>
        <v>0</v>
      </c>
      <c r="AB363" s="857">
        <f>SUMIFS('YTD Sales'!$N:$N,'YTD Sales'!$B:$B,Brokerage!$B363,'YTD Sales'!$M:$M,Brokerage!AB$4)+SUMIFS('YTD Purchases'!$H:$H,'YTD Purchases'!$C:$C,Brokerage!$B363,'YTD Purchases'!$G:$G,Brokerage!AB$4)</f>
        <v>0</v>
      </c>
      <c r="AC363" s="857">
        <f>SUMIFS('YTD Sales'!$N:$N,'YTD Sales'!$B:$B,Brokerage!$B363,'YTD Sales'!$M:$M,Brokerage!AC$4)+SUMIFS('YTD Purchases'!$H:$H,'YTD Purchases'!$C:$C,Brokerage!$B363,'YTD Purchases'!$G:$G,Brokerage!AC$4)</f>
        <v>0</v>
      </c>
      <c r="AD363" s="857">
        <f>+SUMIFS(PIB!AG:AG,PIB!AF:AF,Brokerage!AD$4,PIB!AA:AA,Brokerage!$B363)+SUMIFS('T-Bills'!AB:AB,'T-Bills'!AA:AA,Brokerage!AD$4,'T-Bills'!V:V,Brokerage!$B363)</f>
        <v>0</v>
      </c>
      <c r="AE363" s="857">
        <f>+SUMIFS(PIB!AH:AH,PIB!AG:AG,Brokerage!AE$4,PIB!AB:AB,Brokerage!$B363)+SUMIFS('T-Bills'!AC:AC,'T-Bills'!AB:AB,Brokerage!AE$4,'T-Bills'!W:W,Brokerage!$B363)</f>
        <v>0</v>
      </c>
      <c r="AF363" s="857">
        <f>+SUMIFS(PIB!AI:AI,PIB!AH:AH,Brokerage!AF$4,PIB!AC:AC,Brokerage!$B363)+SUMIFS('T-Bills'!AD:AD,'T-Bills'!AC:AC,Brokerage!AF$4,'T-Bills'!X:X,Brokerage!$B363)</f>
        <v>0</v>
      </c>
      <c r="AG363" s="857">
        <f t="shared" si="30"/>
        <v>0</v>
      </c>
      <c r="AH363" s="858">
        <f t="shared" si="31"/>
        <v>0</v>
      </c>
    </row>
    <row r="364" spans="2:34" x14ac:dyDescent="0.15">
      <c r="B364" s="661">
        <f t="shared" si="29"/>
        <v>44920</v>
      </c>
      <c r="C364" s="857">
        <f>SUMIFS('YTD Sales'!$N:$N,'YTD Sales'!$B:$B,Brokerage!$B364,'YTD Sales'!$M:$M,Brokerage!C$4)+SUMIFS('YTD Purchases'!$H:$H,'YTD Purchases'!$C:$C,Brokerage!$B364,'YTD Purchases'!$G:$G,Brokerage!C$4)</f>
        <v>0</v>
      </c>
      <c r="D364" s="857">
        <f>SUMIFS('YTD Sales'!$N:$N,'YTD Sales'!$B:$B,Brokerage!$B364,'YTD Sales'!$M:$M,Brokerage!D$4)+SUMIFS('YTD Purchases'!$H:$H,'YTD Purchases'!$C:$C,Brokerage!$B364,'YTD Purchases'!$G:$G,Brokerage!D$4)</f>
        <v>0</v>
      </c>
      <c r="E364" s="857">
        <f>SUMIFS('YTD Sales'!$N:$N,'YTD Sales'!$B:$B,Brokerage!$B364,'YTD Sales'!$M:$M,Brokerage!E$4)+SUMIFS('YTD Purchases'!$H:$H,'YTD Purchases'!$C:$C,Brokerage!$B364,'YTD Purchases'!$G:$G,Brokerage!E$4)</f>
        <v>0</v>
      </c>
      <c r="F364" s="857">
        <f>SUMIFS('YTD Sales'!$N:$N,'YTD Sales'!$B:$B,Brokerage!$B364,'YTD Sales'!$M:$M,Brokerage!F$4)+SUMIFS('YTD Purchases'!$H:$H,'YTD Purchases'!$C:$C,Brokerage!$B364,'YTD Purchases'!$G:$G,Brokerage!F$4)</f>
        <v>0</v>
      </c>
      <c r="G364" s="857">
        <f>SUMIFS('YTD Sales'!$N:$N,'YTD Sales'!$B:$B,Brokerage!$B364,'YTD Sales'!$M:$M,Brokerage!G$4)+SUMIFS('YTD Purchases'!$H:$H,'YTD Purchases'!$C:$C,Brokerage!$B364,'YTD Purchases'!$G:$G,Brokerage!G$4)</f>
        <v>0</v>
      </c>
      <c r="H364" s="857">
        <f>SUMIFS('YTD Sales'!$N:$N,'YTD Sales'!$B:$B,Brokerage!$B364,'YTD Sales'!$M:$M,Brokerage!H$4)+SUMIFS('YTD Purchases'!$H:$H,'YTD Purchases'!$C:$C,Brokerage!$B364,'YTD Purchases'!$G:$G,Brokerage!H$4)</f>
        <v>0</v>
      </c>
      <c r="I364" s="857">
        <f>SUMIFS('YTD Sales'!$N:$N,'YTD Sales'!$B:$B,Brokerage!$B364,'YTD Sales'!$M:$M,Brokerage!I$4)+SUMIFS('YTD Purchases'!$H:$H,'YTD Purchases'!$C:$C,Brokerage!$B364,'YTD Purchases'!$G:$G,Brokerage!I$4)</f>
        <v>0</v>
      </c>
      <c r="J364" s="857">
        <f>SUMIFS('YTD Sales'!$N:$N,'YTD Sales'!$B:$B,Brokerage!$B364,'YTD Sales'!$M:$M,Brokerage!J$4)+SUMIFS('YTD Purchases'!$H:$H,'YTD Purchases'!$C:$C,Brokerage!$B364,'YTD Purchases'!$G:$G,Brokerage!J$4)</f>
        <v>0</v>
      </c>
      <c r="K364" s="857">
        <f>SUMIFS('YTD Sales'!$N:$N,'YTD Sales'!$B:$B,Brokerage!$B364,'YTD Sales'!$M:$M,Brokerage!K$4)+SUMIFS('YTD Purchases'!$H:$H,'YTD Purchases'!$C:$C,Brokerage!$B364,'YTD Purchases'!$G:$G,Brokerage!K$4)</f>
        <v>0</v>
      </c>
      <c r="L364" s="857">
        <f>SUMIFS('YTD Sales'!$N:$N,'YTD Sales'!$B:$B,Brokerage!$B364,'YTD Sales'!$M:$M,Brokerage!L$4)+SUMIFS('YTD Purchases'!$H:$H,'YTD Purchases'!$C:$C,Brokerage!$B364,'YTD Purchases'!$G:$G,Brokerage!L$4)</f>
        <v>0</v>
      </c>
      <c r="M364" s="857">
        <f>SUMIFS('YTD Sales'!$N:$N,'YTD Sales'!$B:$B,Brokerage!$B364,'YTD Sales'!$M:$M,Brokerage!M$4)+SUMIFS('YTD Purchases'!$H:$H,'YTD Purchases'!$C:$C,Brokerage!$B364,'YTD Purchases'!$G:$G,Brokerage!M$4)</f>
        <v>0</v>
      </c>
      <c r="N364" s="857">
        <f>SUMIFS('YTD Sales'!$N:$N,'YTD Sales'!$B:$B,Brokerage!$B364,'YTD Sales'!$M:$M,Brokerage!N$4)+SUMIFS('YTD Purchases'!$H:$H,'YTD Purchases'!$C:$C,Brokerage!$B364,'YTD Purchases'!$G:$G,Brokerage!N$4)</f>
        <v>0</v>
      </c>
      <c r="O364" s="857">
        <f>SUMIFS('YTD Sales'!$N:$N,'YTD Sales'!$B:$B,Brokerage!$B364,'YTD Sales'!$M:$M,Brokerage!O$4)+SUMIFS('YTD Purchases'!$H:$H,'YTD Purchases'!$C:$C,Brokerage!$B364,'YTD Purchases'!$G:$G,Brokerage!O$4)</f>
        <v>0</v>
      </c>
      <c r="P364" s="857">
        <f>SUMIFS('YTD Sales'!$N:$N,'YTD Sales'!$B:$B,Brokerage!$B364,'YTD Sales'!$M:$M,Brokerage!P$4)+SUMIFS('YTD Purchases'!$H:$H,'YTD Purchases'!$C:$C,Brokerage!$B364,'YTD Purchases'!$G:$G,Brokerage!P$4)</f>
        <v>0</v>
      </c>
      <c r="Q364" s="857">
        <f>SUMIFS('YTD Sales'!$N:$N,'YTD Sales'!$B:$B,Brokerage!$B364,'YTD Sales'!$M:$M,Brokerage!Q$4)+SUMIFS('YTD Purchases'!$H:$H,'YTD Purchases'!$C:$C,Brokerage!$B364,'YTD Purchases'!$G:$G,Brokerage!Q$4)</f>
        <v>0</v>
      </c>
      <c r="R364" s="857">
        <f>SUMIFS('YTD Sales'!$N:$N,'YTD Sales'!$B:$B,Brokerage!$B364,'YTD Sales'!$M:$M,Brokerage!R$4)+SUMIFS('YTD Purchases'!$H:$H,'YTD Purchases'!$C:$C,Brokerage!$B364,'YTD Purchases'!$G:$G,Brokerage!R$4)</f>
        <v>0</v>
      </c>
      <c r="S364" s="857">
        <f>SUMIFS('YTD Sales'!$N:$N,'YTD Sales'!$B:$B,Brokerage!$B364,'YTD Sales'!$M:$M,Brokerage!S$4)+SUMIFS('YTD Purchases'!$H:$H,'YTD Purchases'!$C:$C,Brokerage!$B364,'YTD Purchases'!$G:$G,Brokerage!S$4)</f>
        <v>0</v>
      </c>
      <c r="T364" s="857">
        <f>SUMIFS('YTD Sales'!$N:$N,'YTD Sales'!$B:$B,Brokerage!$B364,'YTD Sales'!$M:$M,Brokerage!T$4)+SUMIFS('YTD Purchases'!$H:$H,'YTD Purchases'!$C:$C,Brokerage!$B364,'YTD Purchases'!$G:$G,Brokerage!T$4)</f>
        <v>0</v>
      </c>
      <c r="U364" s="857">
        <f>SUMIFS('YTD Sales'!$N:$N,'YTD Sales'!$B:$B,Brokerage!$B364,'YTD Sales'!$M:$M,Brokerage!U$4)+SUMIFS('YTD Purchases'!$H:$H,'YTD Purchases'!$C:$C,Brokerage!$B364,'YTD Purchases'!$G:$G,Brokerage!U$4)</f>
        <v>0</v>
      </c>
      <c r="V364" s="857">
        <f>SUMIFS('YTD Sales'!$N:$N,'YTD Sales'!$B:$B,Brokerage!$B364,'YTD Sales'!$M:$M,Brokerage!V$4)+SUMIFS('YTD Purchases'!$H:$H,'YTD Purchases'!$C:$C,Brokerage!$B364,'YTD Purchases'!$G:$G,Brokerage!V$4)</f>
        <v>0</v>
      </c>
      <c r="W364" s="857">
        <f>SUMIFS('YTD Sales'!$N:$N,'YTD Sales'!$B:$B,Brokerage!$B364,'YTD Sales'!$M:$M,Brokerage!W$4)+SUMIFS('YTD Purchases'!$H:$H,'YTD Purchases'!$C:$C,Brokerage!$B364,'YTD Purchases'!$G:$G,Brokerage!W$4)</f>
        <v>0</v>
      </c>
      <c r="X364" s="857">
        <f>SUMIFS('YTD Sales'!$N:$N,'YTD Sales'!$B:$B,Brokerage!$B364,'YTD Sales'!$M:$M,Brokerage!X$4)+SUMIFS('YTD Purchases'!$H:$H,'YTD Purchases'!$C:$C,Brokerage!$B364,'YTD Purchases'!$G:$G,Brokerage!X$4)</f>
        <v>0</v>
      </c>
      <c r="Y364" s="857">
        <f>SUMIFS('YTD Sales'!$N:$N,'YTD Sales'!$B:$B,Brokerage!$B364,'YTD Sales'!$M:$M,Brokerage!Y$4)+SUMIFS('YTD Purchases'!$H:$H,'YTD Purchases'!$C:$C,Brokerage!$B364,'YTD Purchases'!$G:$G,Brokerage!Y$4)</f>
        <v>0</v>
      </c>
      <c r="Z364" s="857">
        <f>SUMIFS('YTD Sales'!$N:$N,'YTD Sales'!$B:$B,Brokerage!$B364,'YTD Sales'!$M:$M,Brokerage!Z$4)+SUMIFS('YTD Purchases'!$H:$H,'YTD Purchases'!$C:$C,Brokerage!$B364,'YTD Purchases'!$G:$G,Brokerage!Z$4)</f>
        <v>0</v>
      </c>
      <c r="AA364" s="857">
        <f>SUMIFS('YTD Sales'!$N:$N,'YTD Sales'!$B:$B,Brokerage!$B364,'YTD Sales'!$M:$M,Brokerage!AA$4)+SUMIFS('YTD Purchases'!$H:$H,'YTD Purchases'!$C:$C,Brokerage!$B364,'YTD Purchases'!$G:$G,Brokerage!AA$4)</f>
        <v>0</v>
      </c>
      <c r="AB364" s="857">
        <f>SUMIFS('YTD Sales'!$N:$N,'YTD Sales'!$B:$B,Brokerage!$B364,'YTD Sales'!$M:$M,Brokerage!AB$4)+SUMIFS('YTD Purchases'!$H:$H,'YTD Purchases'!$C:$C,Brokerage!$B364,'YTD Purchases'!$G:$G,Brokerage!AB$4)</f>
        <v>0</v>
      </c>
      <c r="AC364" s="857">
        <f>SUMIFS('YTD Sales'!$N:$N,'YTD Sales'!$B:$B,Brokerage!$B364,'YTD Sales'!$M:$M,Brokerage!AC$4)+SUMIFS('YTD Purchases'!$H:$H,'YTD Purchases'!$C:$C,Brokerage!$B364,'YTD Purchases'!$G:$G,Brokerage!AC$4)</f>
        <v>0</v>
      </c>
      <c r="AD364" s="857">
        <f>+SUMIFS(PIB!AG:AG,PIB!AF:AF,Brokerage!AD$4,PIB!AA:AA,Brokerage!$B364)+SUMIFS('T-Bills'!AB:AB,'T-Bills'!AA:AA,Brokerage!AD$4,'T-Bills'!V:V,Brokerage!$B364)</f>
        <v>0</v>
      </c>
      <c r="AE364" s="857">
        <f>+SUMIFS(PIB!AH:AH,PIB!AG:AG,Brokerage!AE$4,PIB!AB:AB,Brokerage!$B364)+SUMIFS('T-Bills'!AC:AC,'T-Bills'!AB:AB,Brokerage!AE$4,'T-Bills'!W:W,Brokerage!$B364)</f>
        <v>0</v>
      </c>
      <c r="AF364" s="857">
        <f>+SUMIFS(PIB!AI:AI,PIB!AH:AH,Brokerage!AF$4,PIB!AC:AC,Brokerage!$B364)+SUMIFS('T-Bills'!AD:AD,'T-Bills'!AC:AC,Brokerage!AF$4,'T-Bills'!X:X,Brokerage!$B364)</f>
        <v>0</v>
      </c>
      <c r="AG364" s="857">
        <f t="shared" si="30"/>
        <v>0</v>
      </c>
      <c r="AH364" s="858">
        <f t="shared" si="31"/>
        <v>0</v>
      </c>
    </row>
    <row r="365" spans="2:34" x14ac:dyDescent="0.15">
      <c r="B365" s="661">
        <f t="shared" si="29"/>
        <v>44921</v>
      </c>
      <c r="C365" s="857">
        <f>SUMIFS('YTD Sales'!$N:$N,'YTD Sales'!$B:$B,Brokerage!$B365,'YTD Sales'!$M:$M,Brokerage!C$4)+SUMIFS('YTD Purchases'!$H:$H,'YTD Purchases'!$C:$C,Brokerage!$B365,'YTD Purchases'!$G:$G,Brokerage!C$4)</f>
        <v>0</v>
      </c>
      <c r="D365" s="857">
        <f>SUMIFS('YTD Sales'!$N:$N,'YTD Sales'!$B:$B,Brokerage!$B365,'YTD Sales'!$M:$M,Brokerage!D$4)+SUMIFS('YTD Purchases'!$H:$H,'YTD Purchases'!$C:$C,Brokerage!$B365,'YTD Purchases'!$G:$G,Brokerage!D$4)</f>
        <v>0</v>
      </c>
      <c r="E365" s="857">
        <f>SUMIFS('YTD Sales'!$N:$N,'YTD Sales'!$B:$B,Brokerage!$B365,'YTD Sales'!$M:$M,Brokerage!E$4)+SUMIFS('YTD Purchases'!$H:$H,'YTD Purchases'!$C:$C,Brokerage!$B365,'YTD Purchases'!$G:$G,Brokerage!E$4)</f>
        <v>0</v>
      </c>
      <c r="F365" s="857">
        <f>SUMIFS('YTD Sales'!$N:$N,'YTD Sales'!$B:$B,Brokerage!$B365,'YTD Sales'!$M:$M,Brokerage!F$4)+SUMIFS('YTD Purchases'!$H:$H,'YTD Purchases'!$C:$C,Brokerage!$B365,'YTD Purchases'!$G:$G,Brokerage!F$4)</f>
        <v>0</v>
      </c>
      <c r="G365" s="857">
        <f>SUMIFS('YTD Sales'!$N:$N,'YTD Sales'!$B:$B,Brokerage!$B365,'YTD Sales'!$M:$M,Brokerage!G$4)+SUMIFS('YTD Purchases'!$H:$H,'YTD Purchases'!$C:$C,Brokerage!$B365,'YTD Purchases'!$G:$G,Brokerage!G$4)</f>
        <v>0</v>
      </c>
      <c r="H365" s="857">
        <f>SUMIFS('YTD Sales'!$N:$N,'YTD Sales'!$B:$B,Brokerage!$B365,'YTD Sales'!$M:$M,Brokerage!H$4)+SUMIFS('YTD Purchases'!$H:$H,'YTD Purchases'!$C:$C,Brokerage!$B365,'YTD Purchases'!$G:$G,Brokerage!H$4)</f>
        <v>0</v>
      </c>
      <c r="I365" s="857">
        <f>SUMIFS('YTD Sales'!$N:$N,'YTD Sales'!$B:$B,Brokerage!$B365,'YTD Sales'!$M:$M,Brokerage!I$4)+SUMIFS('YTD Purchases'!$H:$H,'YTD Purchases'!$C:$C,Brokerage!$B365,'YTD Purchases'!$G:$G,Brokerage!I$4)</f>
        <v>0</v>
      </c>
      <c r="J365" s="857">
        <f>SUMIFS('YTD Sales'!$N:$N,'YTD Sales'!$B:$B,Brokerage!$B365,'YTD Sales'!$M:$M,Brokerage!J$4)+SUMIFS('YTD Purchases'!$H:$H,'YTD Purchases'!$C:$C,Brokerage!$B365,'YTD Purchases'!$G:$G,Brokerage!J$4)</f>
        <v>0</v>
      </c>
      <c r="K365" s="857">
        <f>SUMIFS('YTD Sales'!$N:$N,'YTD Sales'!$B:$B,Brokerage!$B365,'YTD Sales'!$M:$M,Brokerage!K$4)+SUMIFS('YTD Purchases'!$H:$H,'YTD Purchases'!$C:$C,Brokerage!$B365,'YTD Purchases'!$G:$G,Brokerage!K$4)</f>
        <v>0</v>
      </c>
      <c r="L365" s="857">
        <f>SUMIFS('YTD Sales'!$N:$N,'YTD Sales'!$B:$B,Brokerage!$B365,'YTD Sales'!$M:$M,Brokerage!L$4)+SUMIFS('YTD Purchases'!$H:$H,'YTD Purchases'!$C:$C,Brokerage!$B365,'YTD Purchases'!$G:$G,Brokerage!L$4)</f>
        <v>0</v>
      </c>
      <c r="M365" s="857">
        <f>SUMIFS('YTD Sales'!$N:$N,'YTD Sales'!$B:$B,Brokerage!$B365,'YTD Sales'!$M:$M,Brokerage!M$4)+SUMIFS('YTD Purchases'!$H:$H,'YTD Purchases'!$C:$C,Brokerage!$B365,'YTD Purchases'!$G:$G,Brokerage!M$4)</f>
        <v>0</v>
      </c>
      <c r="N365" s="857">
        <f>SUMIFS('YTD Sales'!$N:$N,'YTD Sales'!$B:$B,Brokerage!$B365,'YTD Sales'!$M:$M,Brokerage!N$4)+SUMIFS('YTD Purchases'!$H:$H,'YTD Purchases'!$C:$C,Brokerage!$B365,'YTD Purchases'!$G:$G,Brokerage!N$4)</f>
        <v>0</v>
      </c>
      <c r="O365" s="857">
        <f>SUMIFS('YTD Sales'!$N:$N,'YTD Sales'!$B:$B,Brokerage!$B365,'YTD Sales'!$M:$M,Brokerage!O$4)+SUMIFS('YTD Purchases'!$H:$H,'YTD Purchases'!$C:$C,Brokerage!$B365,'YTD Purchases'!$G:$G,Brokerage!O$4)</f>
        <v>0</v>
      </c>
      <c r="P365" s="857">
        <f>SUMIFS('YTD Sales'!$N:$N,'YTD Sales'!$B:$B,Brokerage!$B365,'YTD Sales'!$M:$M,Brokerage!P$4)+SUMIFS('YTD Purchases'!$H:$H,'YTD Purchases'!$C:$C,Brokerage!$B365,'YTD Purchases'!$G:$G,Brokerage!P$4)</f>
        <v>0</v>
      </c>
      <c r="Q365" s="857">
        <f>SUMIFS('YTD Sales'!$N:$N,'YTD Sales'!$B:$B,Brokerage!$B365,'YTD Sales'!$M:$M,Brokerage!Q$4)+SUMIFS('YTD Purchases'!$H:$H,'YTD Purchases'!$C:$C,Brokerage!$B365,'YTD Purchases'!$G:$G,Brokerage!Q$4)</f>
        <v>0</v>
      </c>
      <c r="R365" s="857">
        <f>SUMIFS('YTD Sales'!$N:$N,'YTD Sales'!$B:$B,Brokerage!$B365,'YTD Sales'!$M:$M,Brokerage!R$4)+SUMIFS('YTD Purchases'!$H:$H,'YTD Purchases'!$C:$C,Brokerage!$B365,'YTD Purchases'!$G:$G,Brokerage!R$4)</f>
        <v>0</v>
      </c>
      <c r="S365" s="857">
        <f>SUMIFS('YTD Sales'!$N:$N,'YTD Sales'!$B:$B,Brokerage!$B365,'YTD Sales'!$M:$M,Brokerage!S$4)+SUMIFS('YTD Purchases'!$H:$H,'YTD Purchases'!$C:$C,Brokerage!$B365,'YTD Purchases'!$G:$G,Brokerage!S$4)</f>
        <v>0</v>
      </c>
      <c r="T365" s="857">
        <f>SUMIFS('YTD Sales'!$N:$N,'YTD Sales'!$B:$B,Brokerage!$B365,'YTD Sales'!$M:$M,Brokerage!T$4)+SUMIFS('YTD Purchases'!$H:$H,'YTD Purchases'!$C:$C,Brokerage!$B365,'YTD Purchases'!$G:$G,Brokerage!T$4)</f>
        <v>0</v>
      </c>
      <c r="U365" s="857">
        <f>SUMIFS('YTD Sales'!$N:$N,'YTD Sales'!$B:$B,Brokerage!$B365,'YTD Sales'!$M:$M,Brokerage!U$4)+SUMIFS('YTD Purchases'!$H:$H,'YTD Purchases'!$C:$C,Brokerage!$B365,'YTD Purchases'!$G:$G,Brokerage!U$4)</f>
        <v>0</v>
      </c>
      <c r="V365" s="857">
        <f>SUMIFS('YTD Sales'!$N:$N,'YTD Sales'!$B:$B,Brokerage!$B365,'YTD Sales'!$M:$M,Brokerage!V$4)+SUMIFS('YTD Purchases'!$H:$H,'YTD Purchases'!$C:$C,Brokerage!$B365,'YTD Purchases'!$G:$G,Brokerage!V$4)</f>
        <v>0</v>
      </c>
      <c r="W365" s="857">
        <f>SUMIFS('YTD Sales'!$N:$N,'YTD Sales'!$B:$B,Brokerage!$B365,'YTD Sales'!$M:$M,Brokerage!W$4)+SUMIFS('YTD Purchases'!$H:$H,'YTD Purchases'!$C:$C,Brokerage!$B365,'YTD Purchases'!$G:$G,Brokerage!W$4)</f>
        <v>0</v>
      </c>
      <c r="X365" s="857">
        <f>SUMIFS('YTD Sales'!$N:$N,'YTD Sales'!$B:$B,Brokerage!$B365,'YTD Sales'!$M:$M,Brokerage!X$4)+SUMIFS('YTD Purchases'!$H:$H,'YTD Purchases'!$C:$C,Brokerage!$B365,'YTD Purchases'!$G:$G,Brokerage!X$4)</f>
        <v>0</v>
      </c>
      <c r="Y365" s="857">
        <f>SUMIFS('YTD Sales'!$N:$N,'YTD Sales'!$B:$B,Brokerage!$B365,'YTD Sales'!$M:$M,Brokerage!Y$4)+SUMIFS('YTD Purchases'!$H:$H,'YTD Purchases'!$C:$C,Brokerage!$B365,'YTD Purchases'!$G:$G,Brokerage!Y$4)</f>
        <v>0</v>
      </c>
      <c r="Z365" s="857">
        <f>SUMIFS('YTD Sales'!$N:$N,'YTD Sales'!$B:$B,Brokerage!$B365,'YTD Sales'!$M:$M,Brokerage!Z$4)+SUMIFS('YTD Purchases'!$H:$H,'YTD Purchases'!$C:$C,Brokerage!$B365,'YTD Purchases'!$G:$G,Brokerage!Z$4)</f>
        <v>0</v>
      </c>
      <c r="AA365" s="857">
        <f>SUMIFS('YTD Sales'!$N:$N,'YTD Sales'!$B:$B,Brokerage!$B365,'YTD Sales'!$M:$M,Brokerage!AA$4)+SUMIFS('YTD Purchases'!$H:$H,'YTD Purchases'!$C:$C,Brokerage!$B365,'YTD Purchases'!$G:$G,Brokerage!AA$4)</f>
        <v>0</v>
      </c>
      <c r="AB365" s="857">
        <f>SUMIFS('YTD Sales'!$N:$N,'YTD Sales'!$B:$B,Brokerage!$B365,'YTD Sales'!$M:$M,Brokerage!AB$4)+SUMIFS('YTD Purchases'!$H:$H,'YTD Purchases'!$C:$C,Brokerage!$B365,'YTD Purchases'!$G:$G,Brokerage!AB$4)</f>
        <v>0</v>
      </c>
      <c r="AC365" s="857">
        <f>SUMIFS('YTD Sales'!$N:$N,'YTD Sales'!$B:$B,Brokerage!$B365,'YTD Sales'!$M:$M,Brokerage!AC$4)+SUMIFS('YTD Purchases'!$H:$H,'YTD Purchases'!$C:$C,Brokerage!$B365,'YTD Purchases'!$G:$G,Brokerage!AC$4)</f>
        <v>0</v>
      </c>
      <c r="AD365" s="857">
        <f>+SUMIFS(PIB!AG:AG,PIB!AF:AF,Brokerage!AD$4,PIB!AA:AA,Brokerage!$B365)+SUMIFS('T-Bills'!AB:AB,'T-Bills'!AA:AA,Brokerage!AD$4,'T-Bills'!V:V,Brokerage!$B365)</f>
        <v>0</v>
      </c>
      <c r="AE365" s="857">
        <f>+SUMIFS(PIB!AH:AH,PIB!AG:AG,Brokerage!AE$4,PIB!AB:AB,Brokerage!$B365)+SUMIFS('T-Bills'!AC:AC,'T-Bills'!AB:AB,Brokerage!AE$4,'T-Bills'!W:W,Brokerage!$B365)</f>
        <v>0</v>
      </c>
      <c r="AF365" s="857">
        <f>+SUMIFS(PIB!AI:AI,PIB!AH:AH,Brokerage!AF$4,PIB!AC:AC,Brokerage!$B365)+SUMIFS('T-Bills'!AD:AD,'T-Bills'!AC:AC,Brokerage!AF$4,'T-Bills'!X:X,Brokerage!$B365)</f>
        <v>0</v>
      </c>
      <c r="AG365" s="857">
        <f t="shared" si="30"/>
        <v>0</v>
      </c>
      <c r="AH365" s="858">
        <f t="shared" si="31"/>
        <v>0</v>
      </c>
    </row>
    <row r="366" spans="2:34" x14ac:dyDescent="0.15">
      <c r="B366" s="661">
        <f t="shared" si="29"/>
        <v>44922</v>
      </c>
      <c r="C366" s="857">
        <f>SUMIFS('YTD Sales'!$N:$N,'YTD Sales'!$B:$B,Brokerage!$B366,'YTD Sales'!$M:$M,Brokerage!C$4)+SUMIFS('YTD Purchases'!$H:$H,'YTD Purchases'!$C:$C,Brokerage!$B366,'YTD Purchases'!$G:$G,Brokerage!C$4)</f>
        <v>0</v>
      </c>
      <c r="D366" s="857">
        <f>SUMIFS('YTD Sales'!$N:$N,'YTD Sales'!$B:$B,Brokerage!$B366,'YTD Sales'!$M:$M,Brokerage!D$4)+SUMIFS('YTD Purchases'!$H:$H,'YTD Purchases'!$C:$C,Brokerage!$B366,'YTD Purchases'!$G:$G,Brokerage!D$4)</f>
        <v>0</v>
      </c>
      <c r="E366" s="857">
        <f>SUMIFS('YTD Sales'!$N:$N,'YTD Sales'!$B:$B,Brokerage!$B366,'YTD Sales'!$M:$M,Brokerage!E$4)+SUMIFS('YTD Purchases'!$H:$H,'YTD Purchases'!$C:$C,Brokerage!$B366,'YTD Purchases'!$G:$G,Brokerage!E$4)</f>
        <v>0</v>
      </c>
      <c r="F366" s="857">
        <f>SUMIFS('YTD Sales'!$N:$N,'YTD Sales'!$B:$B,Brokerage!$B366,'YTD Sales'!$M:$M,Brokerage!F$4)+SUMIFS('YTD Purchases'!$H:$H,'YTD Purchases'!$C:$C,Brokerage!$B366,'YTD Purchases'!$G:$G,Brokerage!F$4)</f>
        <v>0</v>
      </c>
      <c r="G366" s="857">
        <f>SUMIFS('YTD Sales'!$N:$N,'YTD Sales'!$B:$B,Brokerage!$B366,'YTD Sales'!$M:$M,Brokerage!G$4)+SUMIFS('YTD Purchases'!$H:$H,'YTD Purchases'!$C:$C,Brokerage!$B366,'YTD Purchases'!$G:$G,Brokerage!G$4)</f>
        <v>0</v>
      </c>
      <c r="H366" s="857">
        <f>SUMIFS('YTD Sales'!$N:$N,'YTD Sales'!$B:$B,Brokerage!$B366,'YTD Sales'!$M:$M,Brokerage!H$4)+SUMIFS('YTD Purchases'!$H:$H,'YTD Purchases'!$C:$C,Brokerage!$B366,'YTD Purchases'!$G:$G,Brokerage!H$4)</f>
        <v>0</v>
      </c>
      <c r="I366" s="857">
        <f>SUMIFS('YTD Sales'!$N:$N,'YTD Sales'!$B:$B,Brokerage!$B366,'YTD Sales'!$M:$M,Brokerage!I$4)+SUMIFS('YTD Purchases'!$H:$H,'YTD Purchases'!$C:$C,Brokerage!$B366,'YTD Purchases'!$G:$G,Brokerage!I$4)</f>
        <v>0</v>
      </c>
      <c r="J366" s="857">
        <f>SUMIFS('YTD Sales'!$N:$N,'YTD Sales'!$B:$B,Brokerage!$B366,'YTD Sales'!$M:$M,Brokerage!J$4)+SUMIFS('YTD Purchases'!$H:$H,'YTD Purchases'!$C:$C,Brokerage!$B366,'YTD Purchases'!$G:$G,Brokerage!J$4)</f>
        <v>0</v>
      </c>
      <c r="K366" s="857">
        <f>SUMIFS('YTD Sales'!$N:$N,'YTD Sales'!$B:$B,Brokerage!$B366,'YTD Sales'!$M:$M,Brokerage!K$4)+SUMIFS('YTD Purchases'!$H:$H,'YTD Purchases'!$C:$C,Brokerage!$B366,'YTD Purchases'!$G:$G,Brokerage!K$4)</f>
        <v>0</v>
      </c>
      <c r="L366" s="857">
        <f>SUMIFS('YTD Sales'!$N:$N,'YTD Sales'!$B:$B,Brokerage!$B366,'YTD Sales'!$M:$M,Brokerage!L$4)+SUMIFS('YTD Purchases'!$H:$H,'YTD Purchases'!$C:$C,Brokerage!$B366,'YTD Purchases'!$G:$G,Brokerage!L$4)</f>
        <v>0</v>
      </c>
      <c r="M366" s="857">
        <f>SUMIFS('YTD Sales'!$N:$N,'YTD Sales'!$B:$B,Brokerage!$B366,'YTD Sales'!$M:$M,Brokerage!M$4)+SUMIFS('YTD Purchases'!$H:$H,'YTD Purchases'!$C:$C,Brokerage!$B366,'YTD Purchases'!$G:$G,Brokerage!M$4)</f>
        <v>0</v>
      </c>
      <c r="N366" s="857">
        <f>SUMIFS('YTD Sales'!$N:$N,'YTD Sales'!$B:$B,Brokerage!$B366,'YTD Sales'!$M:$M,Brokerage!N$4)+SUMIFS('YTD Purchases'!$H:$H,'YTD Purchases'!$C:$C,Brokerage!$B366,'YTD Purchases'!$G:$G,Brokerage!N$4)</f>
        <v>0</v>
      </c>
      <c r="O366" s="857">
        <f>SUMIFS('YTD Sales'!$N:$N,'YTD Sales'!$B:$B,Brokerage!$B366,'YTD Sales'!$M:$M,Brokerage!O$4)+SUMIFS('YTD Purchases'!$H:$H,'YTD Purchases'!$C:$C,Brokerage!$B366,'YTD Purchases'!$G:$G,Brokerage!O$4)</f>
        <v>0</v>
      </c>
      <c r="P366" s="857">
        <f>SUMIFS('YTD Sales'!$N:$N,'YTD Sales'!$B:$B,Brokerage!$B366,'YTD Sales'!$M:$M,Brokerage!P$4)+SUMIFS('YTD Purchases'!$H:$H,'YTD Purchases'!$C:$C,Brokerage!$B366,'YTD Purchases'!$G:$G,Brokerage!P$4)</f>
        <v>0</v>
      </c>
      <c r="Q366" s="857">
        <f>SUMIFS('YTD Sales'!$N:$N,'YTD Sales'!$B:$B,Brokerage!$B366,'YTD Sales'!$M:$M,Brokerage!Q$4)+SUMIFS('YTD Purchases'!$H:$H,'YTD Purchases'!$C:$C,Brokerage!$B366,'YTD Purchases'!$G:$G,Brokerage!Q$4)</f>
        <v>0</v>
      </c>
      <c r="R366" s="857">
        <f>SUMIFS('YTD Sales'!$N:$N,'YTD Sales'!$B:$B,Brokerage!$B366,'YTD Sales'!$M:$M,Brokerage!R$4)+SUMIFS('YTD Purchases'!$H:$H,'YTD Purchases'!$C:$C,Brokerage!$B366,'YTD Purchases'!$G:$G,Brokerage!R$4)</f>
        <v>0</v>
      </c>
      <c r="S366" s="857">
        <f>SUMIFS('YTD Sales'!$N:$N,'YTD Sales'!$B:$B,Brokerage!$B366,'YTD Sales'!$M:$M,Brokerage!S$4)+SUMIFS('YTD Purchases'!$H:$H,'YTD Purchases'!$C:$C,Brokerage!$B366,'YTD Purchases'!$G:$G,Brokerage!S$4)</f>
        <v>0</v>
      </c>
      <c r="T366" s="857">
        <f>SUMIFS('YTD Sales'!$N:$N,'YTD Sales'!$B:$B,Brokerage!$B366,'YTD Sales'!$M:$M,Brokerage!T$4)+SUMIFS('YTD Purchases'!$H:$H,'YTD Purchases'!$C:$C,Brokerage!$B366,'YTD Purchases'!$G:$G,Brokerage!T$4)</f>
        <v>0</v>
      </c>
      <c r="U366" s="857">
        <f>SUMIFS('YTD Sales'!$N:$N,'YTD Sales'!$B:$B,Brokerage!$B366,'YTD Sales'!$M:$M,Brokerage!U$4)+SUMIFS('YTD Purchases'!$H:$H,'YTD Purchases'!$C:$C,Brokerage!$B366,'YTD Purchases'!$G:$G,Brokerage!U$4)</f>
        <v>0</v>
      </c>
      <c r="V366" s="857">
        <f>SUMIFS('YTD Sales'!$N:$N,'YTD Sales'!$B:$B,Brokerage!$B366,'YTD Sales'!$M:$M,Brokerage!V$4)+SUMIFS('YTD Purchases'!$H:$H,'YTD Purchases'!$C:$C,Brokerage!$B366,'YTD Purchases'!$G:$G,Brokerage!V$4)</f>
        <v>0</v>
      </c>
      <c r="W366" s="857">
        <f>SUMIFS('YTD Sales'!$N:$N,'YTD Sales'!$B:$B,Brokerage!$B366,'YTD Sales'!$M:$M,Brokerage!W$4)+SUMIFS('YTD Purchases'!$H:$H,'YTD Purchases'!$C:$C,Brokerage!$B366,'YTD Purchases'!$G:$G,Brokerage!W$4)</f>
        <v>0</v>
      </c>
      <c r="X366" s="857">
        <f>SUMIFS('YTD Sales'!$N:$N,'YTD Sales'!$B:$B,Brokerage!$B366,'YTD Sales'!$M:$M,Brokerage!X$4)+SUMIFS('YTD Purchases'!$H:$H,'YTD Purchases'!$C:$C,Brokerage!$B366,'YTD Purchases'!$G:$G,Brokerage!X$4)</f>
        <v>0</v>
      </c>
      <c r="Y366" s="857">
        <f>SUMIFS('YTD Sales'!$N:$N,'YTD Sales'!$B:$B,Brokerage!$B366,'YTD Sales'!$M:$M,Brokerage!Y$4)+SUMIFS('YTD Purchases'!$H:$H,'YTD Purchases'!$C:$C,Brokerage!$B366,'YTD Purchases'!$G:$G,Brokerage!Y$4)</f>
        <v>0</v>
      </c>
      <c r="Z366" s="857">
        <f>SUMIFS('YTD Sales'!$N:$N,'YTD Sales'!$B:$B,Brokerage!$B366,'YTD Sales'!$M:$M,Brokerage!Z$4)+SUMIFS('YTD Purchases'!$H:$H,'YTD Purchases'!$C:$C,Brokerage!$B366,'YTD Purchases'!$G:$G,Brokerage!Z$4)</f>
        <v>0</v>
      </c>
      <c r="AA366" s="857">
        <f>SUMIFS('YTD Sales'!$N:$N,'YTD Sales'!$B:$B,Brokerage!$B366,'YTD Sales'!$M:$M,Brokerage!AA$4)+SUMIFS('YTD Purchases'!$H:$H,'YTD Purchases'!$C:$C,Brokerage!$B366,'YTD Purchases'!$G:$G,Brokerage!AA$4)</f>
        <v>0</v>
      </c>
      <c r="AB366" s="857">
        <f>SUMIFS('YTD Sales'!$N:$N,'YTD Sales'!$B:$B,Brokerage!$B366,'YTD Sales'!$M:$M,Brokerage!AB$4)+SUMIFS('YTD Purchases'!$H:$H,'YTD Purchases'!$C:$C,Brokerage!$B366,'YTD Purchases'!$G:$G,Brokerage!AB$4)</f>
        <v>0</v>
      </c>
      <c r="AC366" s="857">
        <f>SUMIFS('YTD Sales'!$N:$N,'YTD Sales'!$B:$B,Brokerage!$B366,'YTD Sales'!$M:$M,Brokerage!AC$4)+SUMIFS('YTD Purchases'!$H:$H,'YTD Purchases'!$C:$C,Brokerage!$B366,'YTD Purchases'!$G:$G,Brokerage!AC$4)</f>
        <v>0</v>
      </c>
      <c r="AD366" s="857">
        <f>+SUMIFS(PIB!AG:AG,PIB!AF:AF,Brokerage!AD$4,PIB!AA:AA,Brokerage!$B366)+SUMIFS('T-Bills'!AB:AB,'T-Bills'!AA:AA,Brokerage!AD$4,'T-Bills'!V:V,Brokerage!$B366)</f>
        <v>0</v>
      </c>
      <c r="AE366" s="857">
        <f>+SUMIFS(PIB!AH:AH,PIB!AG:AG,Brokerage!AE$4,PIB!AB:AB,Brokerage!$B366)+SUMIFS('T-Bills'!AC:AC,'T-Bills'!AB:AB,Brokerage!AE$4,'T-Bills'!W:W,Brokerage!$B366)</f>
        <v>0</v>
      </c>
      <c r="AF366" s="857">
        <f>+SUMIFS(PIB!AI:AI,PIB!AH:AH,Brokerage!AF$4,PIB!AC:AC,Brokerage!$B366)+SUMIFS('T-Bills'!AD:AD,'T-Bills'!AC:AC,Brokerage!AF$4,'T-Bills'!X:X,Brokerage!$B366)</f>
        <v>0</v>
      </c>
      <c r="AG366" s="857">
        <f t="shared" si="30"/>
        <v>0</v>
      </c>
      <c r="AH366" s="858">
        <f t="shared" si="31"/>
        <v>0</v>
      </c>
    </row>
    <row r="367" spans="2:34" x14ac:dyDescent="0.15">
      <c r="B367" s="661">
        <f t="shared" si="29"/>
        <v>44923</v>
      </c>
      <c r="C367" s="857">
        <f>SUMIFS('YTD Sales'!$N:$N,'YTD Sales'!$B:$B,Brokerage!$B367,'YTD Sales'!$M:$M,Brokerage!C$4)+SUMIFS('YTD Purchases'!$H:$H,'YTD Purchases'!$C:$C,Brokerage!$B367,'YTD Purchases'!$G:$G,Brokerage!C$4)</f>
        <v>0</v>
      </c>
      <c r="D367" s="857">
        <f>SUMIFS('YTD Sales'!$N:$N,'YTD Sales'!$B:$B,Brokerage!$B367,'YTD Sales'!$M:$M,Brokerage!D$4)+SUMIFS('YTD Purchases'!$H:$H,'YTD Purchases'!$C:$C,Brokerage!$B367,'YTD Purchases'!$G:$G,Brokerage!D$4)</f>
        <v>0</v>
      </c>
      <c r="E367" s="857">
        <f>SUMIFS('YTD Sales'!$N:$N,'YTD Sales'!$B:$B,Brokerage!$B367,'YTD Sales'!$M:$M,Brokerage!E$4)+SUMIFS('YTD Purchases'!$H:$H,'YTD Purchases'!$C:$C,Brokerage!$B367,'YTD Purchases'!$G:$G,Brokerage!E$4)</f>
        <v>0</v>
      </c>
      <c r="F367" s="857">
        <f>SUMIFS('YTD Sales'!$N:$N,'YTD Sales'!$B:$B,Brokerage!$B367,'YTD Sales'!$M:$M,Brokerage!F$4)+SUMIFS('YTD Purchases'!$H:$H,'YTD Purchases'!$C:$C,Brokerage!$B367,'YTD Purchases'!$G:$G,Brokerage!F$4)</f>
        <v>0</v>
      </c>
      <c r="G367" s="857">
        <f>SUMIFS('YTD Sales'!$N:$N,'YTD Sales'!$B:$B,Brokerage!$B367,'YTD Sales'!$M:$M,Brokerage!G$4)+SUMIFS('YTD Purchases'!$H:$H,'YTD Purchases'!$C:$C,Brokerage!$B367,'YTD Purchases'!$G:$G,Brokerage!G$4)</f>
        <v>0</v>
      </c>
      <c r="H367" s="857">
        <f>SUMIFS('YTD Sales'!$N:$N,'YTD Sales'!$B:$B,Brokerage!$B367,'YTD Sales'!$M:$M,Brokerage!H$4)+SUMIFS('YTD Purchases'!$H:$H,'YTD Purchases'!$C:$C,Brokerage!$B367,'YTD Purchases'!$G:$G,Brokerage!H$4)</f>
        <v>0</v>
      </c>
      <c r="I367" s="857">
        <f>SUMIFS('YTD Sales'!$N:$N,'YTD Sales'!$B:$B,Brokerage!$B367,'YTD Sales'!$M:$M,Brokerage!I$4)+SUMIFS('YTD Purchases'!$H:$H,'YTD Purchases'!$C:$C,Brokerage!$B367,'YTD Purchases'!$G:$G,Brokerage!I$4)</f>
        <v>0</v>
      </c>
      <c r="J367" s="857">
        <f>SUMIFS('YTD Sales'!$N:$N,'YTD Sales'!$B:$B,Brokerage!$B367,'YTD Sales'!$M:$M,Brokerage!J$4)+SUMIFS('YTD Purchases'!$H:$H,'YTD Purchases'!$C:$C,Brokerage!$B367,'YTD Purchases'!$G:$G,Brokerage!J$4)</f>
        <v>0</v>
      </c>
      <c r="K367" s="857">
        <f>SUMIFS('YTD Sales'!$N:$N,'YTD Sales'!$B:$B,Brokerage!$B367,'YTD Sales'!$M:$M,Brokerage!K$4)+SUMIFS('YTD Purchases'!$H:$H,'YTD Purchases'!$C:$C,Brokerage!$B367,'YTD Purchases'!$G:$G,Brokerage!K$4)</f>
        <v>0</v>
      </c>
      <c r="L367" s="857">
        <f>SUMIFS('YTD Sales'!$N:$N,'YTD Sales'!$B:$B,Brokerage!$B367,'YTD Sales'!$M:$M,Brokerage!L$4)+SUMIFS('YTD Purchases'!$H:$H,'YTD Purchases'!$C:$C,Brokerage!$B367,'YTD Purchases'!$G:$G,Brokerage!L$4)</f>
        <v>0</v>
      </c>
      <c r="M367" s="857">
        <f>SUMIFS('YTD Sales'!$N:$N,'YTD Sales'!$B:$B,Brokerage!$B367,'YTD Sales'!$M:$M,Brokerage!M$4)+SUMIFS('YTD Purchases'!$H:$H,'YTD Purchases'!$C:$C,Brokerage!$B367,'YTD Purchases'!$G:$G,Brokerage!M$4)</f>
        <v>0</v>
      </c>
      <c r="N367" s="857">
        <f>SUMIFS('YTD Sales'!$N:$N,'YTD Sales'!$B:$B,Brokerage!$B367,'YTD Sales'!$M:$M,Brokerage!N$4)+SUMIFS('YTD Purchases'!$H:$H,'YTD Purchases'!$C:$C,Brokerage!$B367,'YTD Purchases'!$G:$G,Brokerage!N$4)</f>
        <v>0</v>
      </c>
      <c r="O367" s="857">
        <f>SUMIFS('YTD Sales'!$N:$N,'YTD Sales'!$B:$B,Brokerage!$B367,'YTD Sales'!$M:$M,Brokerage!O$4)+SUMIFS('YTD Purchases'!$H:$H,'YTD Purchases'!$C:$C,Brokerage!$B367,'YTD Purchases'!$G:$G,Brokerage!O$4)</f>
        <v>0</v>
      </c>
      <c r="P367" s="857">
        <f>SUMIFS('YTD Sales'!$N:$N,'YTD Sales'!$B:$B,Brokerage!$B367,'YTD Sales'!$M:$M,Brokerage!P$4)+SUMIFS('YTD Purchases'!$H:$H,'YTD Purchases'!$C:$C,Brokerage!$B367,'YTD Purchases'!$G:$G,Brokerage!P$4)</f>
        <v>0</v>
      </c>
      <c r="Q367" s="857">
        <f>SUMIFS('YTD Sales'!$N:$N,'YTD Sales'!$B:$B,Brokerage!$B367,'YTD Sales'!$M:$M,Brokerage!Q$4)+SUMIFS('YTD Purchases'!$H:$H,'YTD Purchases'!$C:$C,Brokerage!$B367,'YTD Purchases'!$G:$G,Brokerage!Q$4)</f>
        <v>0</v>
      </c>
      <c r="R367" s="857">
        <f>SUMIFS('YTD Sales'!$N:$N,'YTD Sales'!$B:$B,Brokerage!$B367,'YTD Sales'!$M:$M,Brokerage!R$4)+SUMIFS('YTD Purchases'!$H:$H,'YTD Purchases'!$C:$C,Brokerage!$B367,'YTD Purchases'!$G:$G,Brokerage!R$4)</f>
        <v>0</v>
      </c>
      <c r="S367" s="857">
        <f>SUMIFS('YTD Sales'!$N:$N,'YTD Sales'!$B:$B,Brokerage!$B367,'YTD Sales'!$M:$M,Brokerage!S$4)+SUMIFS('YTD Purchases'!$H:$H,'YTD Purchases'!$C:$C,Brokerage!$B367,'YTD Purchases'!$G:$G,Brokerage!S$4)</f>
        <v>0</v>
      </c>
      <c r="T367" s="857">
        <f>SUMIFS('YTD Sales'!$N:$N,'YTD Sales'!$B:$B,Brokerage!$B367,'YTD Sales'!$M:$M,Brokerage!T$4)+SUMIFS('YTD Purchases'!$H:$H,'YTD Purchases'!$C:$C,Brokerage!$B367,'YTD Purchases'!$G:$G,Brokerage!T$4)</f>
        <v>0</v>
      </c>
      <c r="U367" s="857">
        <f>SUMIFS('YTD Sales'!$N:$N,'YTD Sales'!$B:$B,Brokerage!$B367,'YTD Sales'!$M:$M,Brokerage!U$4)+SUMIFS('YTD Purchases'!$H:$H,'YTD Purchases'!$C:$C,Brokerage!$B367,'YTD Purchases'!$G:$G,Brokerage!U$4)</f>
        <v>0</v>
      </c>
      <c r="V367" s="857">
        <f>SUMIFS('YTD Sales'!$N:$N,'YTD Sales'!$B:$B,Brokerage!$B367,'YTD Sales'!$M:$M,Brokerage!V$4)+SUMIFS('YTD Purchases'!$H:$H,'YTD Purchases'!$C:$C,Brokerage!$B367,'YTD Purchases'!$G:$G,Brokerage!V$4)</f>
        <v>0</v>
      </c>
      <c r="W367" s="857">
        <f>SUMIFS('YTD Sales'!$N:$N,'YTD Sales'!$B:$B,Brokerage!$B367,'YTD Sales'!$M:$M,Brokerage!W$4)+SUMIFS('YTD Purchases'!$H:$H,'YTD Purchases'!$C:$C,Brokerage!$B367,'YTD Purchases'!$G:$G,Brokerage!W$4)</f>
        <v>0</v>
      </c>
      <c r="X367" s="857">
        <f>SUMIFS('YTD Sales'!$N:$N,'YTD Sales'!$B:$B,Brokerage!$B367,'YTD Sales'!$M:$M,Brokerage!X$4)+SUMIFS('YTD Purchases'!$H:$H,'YTD Purchases'!$C:$C,Brokerage!$B367,'YTD Purchases'!$G:$G,Brokerage!X$4)</f>
        <v>0</v>
      </c>
      <c r="Y367" s="857">
        <f>SUMIFS('YTD Sales'!$N:$N,'YTD Sales'!$B:$B,Brokerage!$B367,'YTD Sales'!$M:$M,Brokerage!Y$4)+SUMIFS('YTD Purchases'!$H:$H,'YTD Purchases'!$C:$C,Brokerage!$B367,'YTD Purchases'!$G:$G,Brokerage!Y$4)</f>
        <v>0</v>
      </c>
      <c r="Z367" s="857">
        <f>SUMIFS('YTD Sales'!$N:$N,'YTD Sales'!$B:$B,Brokerage!$B367,'YTD Sales'!$M:$M,Brokerage!Z$4)+SUMIFS('YTD Purchases'!$H:$H,'YTD Purchases'!$C:$C,Brokerage!$B367,'YTD Purchases'!$G:$G,Brokerage!Z$4)</f>
        <v>0</v>
      </c>
      <c r="AA367" s="857">
        <f>SUMIFS('YTD Sales'!$N:$N,'YTD Sales'!$B:$B,Brokerage!$B367,'YTD Sales'!$M:$M,Brokerage!AA$4)+SUMIFS('YTD Purchases'!$H:$H,'YTD Purchases'!$C:$C,Brokerage!$B367,'YTD Purchases'!$G:$G,Brokerage!AA$4)</f>
        <v>0</v>
      </c>
      <c r="AB367" s="857">
        <f>SUMIFS('YTD Sales'!$N:$N,'YTD Sales'!$B:$B,Brokerage!$B367,'YTD Sales'!$M:$M,Brokerage!AB$4)+SUMIFS('YTD Purchases'!$H:$H,'YTD Purchases'!$C:$C,Brokerage!$B367,'YTD Purchases'!$G:$G,Brokerage!AB$4)</f>
        <v>0</v>
      </c>
      <c r="AC367" s="857">
        <f>SUMIFS('YTD Sales'!$N:$N,'YTD Sales'!$B:$B,Brokerage!$B367,'YTD Sales'!$M:$M,Brokerage!AC$4)+SUMIFS('YTD Purchases'!$H:$H,'YTD Purchases'!$C:$C,Brokerage!$B367,'YTD Purchases'!$G:$G,Brokerage!AC$4)</f>
        <v>0</v>
      </c>
      <c r="AD367" s="857">
        <f>+SUMIFS(PIB!AG:AG,PIB!AF:AF,Brokerage!AD$4,PIB!AA:AA,Brokerage!$B367)+SUMIFS('T-Bills'!AB:AB,'T-Bills'!AA:AA,Brokerage!AD$4,'T-Bills'!V:V,Brokerage!$B367)</f>
        <v>0</v>
      </c>
      <c r="AE367" s="857">
        <f>+SUMIFS(PIB!AH:AH,PIB!AG:AG,Brokerage!AE$4,PIB!AB:AB,Brokerage!$B367)+SUMIFS('T-Bills'!AC:AC,'T-Bills'!AB:AB,Brokerage!AE$4,'T-Bills'!W:W,Brokerage!$B367)</f>
        <v>0</v>
      </c>
      <c r="AF367" s="857">
        <f>+SUMIFS(PIB!AI:AI,PIB!AH:AH,Brokerage!AF$4,PIB!AC:AC,Brokerage!$B367)+SUMIFS('T-Bills'!AD:AD,'T-Bills'!AC:AC,Brokerage!AF$4,'T-Bills'!X:X,Brokerage!$B367)</f>
        <v>0</v>
      </c>
      <c r="AG367" s="857">
        <f t="shared" si="30"/>
        <v>0</v>
      </c>
      <c r="AH367" s="858">
        <f t="shared" si="31"/>
        <v>0</v>
      </c>
    </row>
    <row r="368" spans="2:34" x14ac:dyDescent="0.15">
      <c r="B368" s="661">
        <f t="shared" si="29"/>
        <v>44924</v>
      </c>
      <c r="C368" s="857">
        <f>SUMIFS('YTD Sales'!$N:$N,'YTD Sales'!$B:$B,Brokerage!$B368,'YTD Sales'!$M:$M,Brokerage!C$4)+SUMIFS('YTD Purchases'!$H:$H,'YTD Purchases'!$C:$C,Brokerage!$B368,'YTD Purchases'!$G:$G,Brokerage!C$4)</f>
        <v>0</v>
      </c>
      <c r="D368" s="857">
        <f>SUMIFS('YTD Sales'!$N:$N,'YTD Sales'!$B:$B,Brokerage!$B368,'YTD Sales'!$M:$M,Brokerage!D$4)+SUMIFS('YTD Purchases'!$H:$H,'YTD Purchases'!$C:$C,Brokerage!$B368,'YTD Purchases'!$G:$G,Brokerage!D$4)</f>
        <v>0</v>
      </c>
      <c r="E368" s="857">
        <f>SUMIFS('YTD Sales'!$N:$N,'YTD Sales'!$B:$B,Brokerage!$B368,'YTD Sales'!$M:$M,Brokerage!E$4)+SUMIFS('YTD Purchases'!$H:$H,'YTD Purchases'!$C:$C,Brokerage!$B368,'YTD Purchases'!$G:$G,Brokerage!E$4)</f>
        <v>0</v>
      </c>
      <c r="F368" s="857">
        <f>SUMIFS('YTD Sales'!$N:$N,'YTD Sales'!$B:$B,Brokerage!$B368,'YTD Sales'!$M:$M,Brokerage!F$4)+SUMIFS('YTD Purchases'!$H:$H,'YTD Purchases'!$C:$C,Brokerage!$B368,'YTD Purchases'!$G:$G,Brokerage!F$4)</f>
        <v>0</v>
      </c>
      <c r="G368" s="857">
        <f>SUMIFS('YTD Sales'!$N:$N,'YTD Sales'!$B:$B,Brokerage!$B368,'YTD Sales'!$M:$M,Brokerage!G$4)+SUMIFS('YTD Purchases'!$H:$H,'YTD Purchases'!$C:$C,Brokerage!$B368,'YTD Purchases'!$G:$G,Brokerage!G$4)</f>
        <v>0</v>
      </c>
      <c r="H368" s="857">
        <f>SUMIFS('YTD Sales'!$N:$N,'YTD Sales'!$B:$B,Brokerage!$B368,'YTD Sales'!$M:$M,Brokerage!H$4)+SUMIFS('YTD Purchases'!$H:$H,'YTD Purchases'!$C:$C,Brokerage!$B368,'YTD Purchases'!$G:$G,Brokerage!H$4)</f>
        <v>0</v>
      </c>
      <c r="I368" s="857">
        <f>SUMIFS('YTD Sales'!$N:$N,'YTD Sales'!$B:$B,Brokerage!$B368,'YTD Sales'!$M:$M,Brokerage!I$4)+SUMIFS('YTD Purchases'!$H:$H,'YTD Purchases'!$C:$C,Brokerage!$B368,'YTD Purchases'!$G:$G,Brokerage!I$4)</f>
        <v>0</v>
      </c>
      <c r="J368" s="857">
        <f>SUMIFS('YTD Sales'!$N:$N,'YTD Sales'!$B:$B,Brokerage!$B368,'YTD Sales'!$M:$M,Brokerage!J$4)+SUMIFS('YTD Purchases'!$H:$H,'YTD Purchases'!$C:$C,Brokerage!$B368,'YTD Purchases'!$G:$G,Brokerage!J$4)</f>
        <v>0</v>
      </c>
      <c r="K368" s="857">
        <f>SUMIFS('YTD Sales'!$N:$N,'YTD Sales'!$B:$B,Brokerage!$B368,'YTD Sales'!$M:$M,Brokerage!K$4)+SUMIFS('YTD Purchases'!$H:$H,'YTD Purchases'!$C:$C,Brokerage!$B368,'YTD Purchases'!$G:$G,Brokerage!K$4)</f>
        <v>0</v>
      </c>
      <c r="L368" s="857">
        <f>SUMIFS('YTD Sales'!$N:$N,'YTD Sales'!$B:$B,Brokerage!$B368,'YTD Sales'!$M:$M,Brokerage!L$4)+SUMIFS('YTD Purchases'!$H:$H,'YTD Purchases'!$C:$C,Brokerage!$B368,'YTD Purchases'!$G:$G,Brokerage!L$4)</f>
        <v>0</v>
      </c>
      <c r="M368" s="857">
        <f>SUMIFS('YTD Sales'!$N:$N,'YTD Sales'!$B:$B,Brokerage!$B368,'YTD Sales'!$M:$M,Brokerage!M$4)+SUMIFS('YTD Purchases'!$H:$H,'YTD Purchases'!$C:$C,Brokerage!$B368,'YTD Purchases'!$G:$G,Brokerage!M$4)</f>
        <v>0</v>
      </c>
      <c r="N368" s="857">
        <f>SUMIFS('YTD Sales'!$N:$N,'YTD Sales'!$B:$B,Brokerage!$B368,'YTD Sales'!$M:$M,Brokerage!N$4)+SUMIFS('YTD Purchases'!$H:$H,'YTD Purchases'!$C:$C,Brokerage!$B368,'YTD Purchases'!$G:$G,Brokerage!N$4)</f>
        <v>0</v>
      </c>
      <c r="O368" s="857">
        <f>SUMIFS('YTD Sales'!$N:$N,'YTD Sales'!$B:$B,Brokerage!$B368,'YTD Sales'!$M:$M,Brokerage!O$4)+SUMIFS('YTD Purchases'!$H:$H,'YTD Purchases'!$C:$C,Brokerage!$B368,'YTD Purchases'!$G:$G,Brokerage!O$4)</f>
        <v>0</v>
      </c>
      <c r="P368" s="857">
        <f>SUMIFS('YTD Sales'!$N:$N,'YTD Sales'!$B:$B,Brokerage!$B368,'YTD Sales'!$M:$M,Brokerage!P$4)+SUMIFS('YTD Purchases'!$H:$H,'YTD Purchases'!$C:$C,Brokerage!$B368,'YTD Purchases'!$G:$G,Brokerage!P$4)</f>
        <v>0</v>
      </c>
      <c r="Q368" s="857">
        <f>SUMIFS('YTD Sales'!$N:$N,'YTD Sales'!$B:$B,Brokerage!$B368,'YTD Sales'!$M:$M,Brokerage!Q$4)+SUMIFS('YTD Purchases'!$H:$H,'YTD Purchases'!$C:$C,Brokerage!$B368,'YTD Purchases'!$G:$G,Brokerage!Q$4)</f>
        <v>0</v>
      </c>
      <c r="R368" s="857">
        <f>SUMIFS('YTD Sales'!$N:$N,'YTD Sales'!$B:$B,Brokerage!$B368,'YTD Sales'!$M:$M,Brokerage!R$4)+SUMIFS('YTD Purchases'!$H:$H,'YTD Purchases'!$C:$C,Brokerage!$B368,'YTD Purchases'!$G:$G,Brokerage!R$4)</f>
        <v>0</v>
      </c>
      <c r="S368" s="857">
        <f>SUMIFS('YTD Sales'!$N:$N,'YTD Sales'!$B:$B,Brokerage!$B368,'YTD Sales'!$M:$M,Brokerage!S$4)+SUMIFS('YTD Purchases'!$H:$H,'YTD Purchases'!$C:$C,Brokerage!$B368,'YTD Purchases'!$G:$G,Brokerage!S$4)</f>
        <v>0</v>
      </c>
      <c r="T368" s="857">
        <f>SUMIFS('YTD Sales'!$N:$N,'YTD Sales'!$B:$B,Brokerage!$B368,'YTD Sales'!$M:$M,Brokerage!T$4)+SUMIFS('YTD Purchases'!$H:$H,'YTD Purchases'!$C:$C,Brokerage!$B368,'YTD Purchases'!$G:$G,Brokerage!T$4)</f>
        <v>0</v>
      </c>
      <c r="U368" s="857">
        <f>SUMIFS('YTD Sales'!$N:$N,'YTD Sales'!$B:$B,Brokerage!$B368,'YTD Sales'!$M:$M,Brokerage!U$4)+SUMIFS('YTD Purchases'!$H:$H,'YTD Purchases'!$C:$C,Brokerage!$B368,'YTD Purchases'!$G:$G,Brokerage!U$4)</f>
        <v>0</v>
      </c>
      <c r="V368" s="857">
        <f>SUMIFS('YTD Sales'!$N:$N,'YTD Sales'!$B:$B,Brokerage!$B368,'YTD Sales'!$M:$M,Brokerage!V$4)+SUMIFS('YTD Purchases'!$H:$H,'YTD Purchases'!$C:$C,Brokerage!$B368,'YTD Purchases'!$G:$G,Brokerage!V$4)</f>
        <v>0</v>
      </c>
      <c r="W368" s="857">
        <f>SUMIFS('YTD Sales'!$N:$N,'YTD Sales'!$B:$B,Brokerage!$B368,'YTD Sales'!$M:$M,Brokerage!W$4)+SUMIFS('YTD Purchases'!$H:$H,'YTD Purchases'!$C:$C,Brokerage!$B368,'YTD Purchases'!$G:$G,Brokerage!W$4)</f>
        <v>0</v>
      </c>
      <c r="X368" s="857">
        <f>SUMIFS('YTD Sales'!$N:$N,'YTD Sales'!$B:$B,Brokerage!$B368,'YTD Sales'!$M:$M,Brokerage!X$4)+SUMIFS('YTD Purchases'!$H:$H,'YTD Purchases'!$C:$C,Brokerage!$B368,'YTD Purchases'!$G:$G,Brokerage!X$4)</f>
        <v>0</v>
      </c>
      <c r="Y368" s="857">
        <f>SUMIFS('YTD Sales'!$N:$N,'YTD Sales'!$B:$B,Brokerage!$B368,'YTD Sales'!$M:$M,Brokerage!Y$4)+SUMIFS('YTD Purchases'!$H:$H,'YTD Purchases'!$C:$C,Brokerage!$B368,'YTD Purchases'!$G:$G,Brokerage!Y$4)</f>
        <v>0</v>
      </c>
      <c r="Z368" s="857">
        <f>SUMIFS('YTD Sales'!$N:$N,'YTD Sales'!$B:$B,Brokerage!$B368,'YTD Sales'!$M:$M,Brokerage!Z$4)+SUMIFS('YTD Purchases'!$H:$H,'YTD Purchases'!$C:$C,Brokerage!$B368,'YTD Purchases'!$G:$G,Brokerage!Z$4)</f>
        <v>0</v>
      </c>
      <c r="AA368" s="857">
        <f>SUMIFS('YTD Sales'!$N:$N,'YTD Sales'!$B:$B,Brokerage!$B368,'YTD Sales'!$M:$M,Brokerage!AA$4)+SUMIFS('YTD Purchases'!$H:$H,'YTD Purchases'!$C:$C,Brokerage!$B368,'YTD Purchases'!$G:$G,Brokerage!AA$4)</f>
        <v>0</v>
      </c>
      <c r="AB368" s="857">
        <f>SUMIFS('YTD Sales'!$N:$N,'YTD Sales'!$B:$B,Brokerage!$B368,'YTD Sales'!$M:$M,Brokerage!AB$4)+SUMIFS('YTD Purchases'!$H:$H,'YTD Purchases'!$C:$C,Brokerage!$B368,'YTD Purchases'!$G:$G,Brokerage!AB$4)</f>
        <v>0</v>
      </c>
      <c r="AC368" s="857">
        <f>SUMIFS('YTD Sales'!$N:$N,'YTD Sales'!$B:$B,Brokerage!$B368,'YTD Sales'!$M:$M,Brokerage!AC$4)+SUMIFS('YTD Purchases'!$H:$H,'YTD Purchases'!$C:$C,Brokerage!$B368,'YTD Purchases'!$G:$G,Brokerage!AC$4)</f>
        <v>0</v>
      </c>
      <c r="AD368" s="857">
        <f>+SUMIFS(PIB!AG:AG,PIB!AF:AF,Brokerage!AD$4,PIB!AA:AA,Brokerage!$B368)+SUMIFS('T-Bills'!AB:AB,'T-Bills'!AA:AA,Brokerage!AD$4,'T-Bills'!V:V,Brokerage!$B368)</f>
        <v>0</v>
      </c>
      <c r="AE368" s="857">
        <f>+SUMIFS(PIB!AH:AH,PIB!AG:AG,Brokerage!AE$4,PIB!AB:AB,Brokerage!$B368)+SUMIFS('T-Bills'!AC:AC,'T-Bills'!AB:AB,Brokerage!AE$4,'T-Bills'!W:W,Brokerage!$B368)</f>
        <v>0</v>
      </c>
      <c r="AF368" s="857">
        <f>+SUMIFS(PIB!AI:AI,PIB!AH:AH,Brokerage!AF$4,PIB!AC:AC,Brokerage!$B368)+SUMIFS('T-Bills'!AD:AD,'T-Bills'!AC:AC,Brokerage!AF$4,'T-Bills'!X:X,Brokerage!$B368)</f>
        <v>0</v>
      </c>
      <c r="AG368" s="857">
        <f t="shared" si="30"/>
        <v>0</v>
      </c>
      <c r="AH368" s="858">
        <f t="shared" si="31"/>
        <v>0</v>
      </c>
    </row>
    <row r="369" spans="2:34" x14ac:dyDescent="0.15">
      <c r="B369" s="661">
        <f t="shared" si="29"/>
        <v>44925</v>
      </c>
      <c r="C369" s="857">
        <f>SUMIFS('YTD Sales'!$N:$N,'YTD Sales'!$B:$B,Brokerage!$B369,'YTD Sales'!$M:$M,Brokerage!C$4)+SUMIFS('YTD Purchases'!$H:$H,'YTD Purchases'!$C:$C,Brokerage!$B369,'YTD Purchases'!$G:$G,Brokerage!C$4)</f>
        <v>0</v>
      </c>
      <c r="D369" s="857">
        <f>SUMIFS('YTD Sales'!$N:$N,'YTD Sales'!$B:$B,Brokerage!$B369,'YTD Sales'!$M:$M,Brokerage!D$4)+SUMIFS('YTD Purchases'!$H:$H,'YTD Purchases'!$C:$C,Brokerage!$B369,'YTD Purchases'!$G:$G,Brokerage!D$4)</f>
        <v>0</v>
      </c>
      <c r="E369" s="857">
        <f>SUMIFS('YTD Sales'!$N:$N,'YTD Sales'!$B:$B,Brokerage!$B369,'YTD Sales'!$M:$M,Brokerage!E$4)+SUMIFS('YTD Purchases'!$H:$H,'YTD Purchases'!$C:$C,Brokerage!$B369,'YTD Purchases'!$G:$G,Brokerage!E$4)</f>
        <v>0</v>
      </c>
      <c r="F369" s="857">
        <f>SUMIFS('YTD Sales'!$N:$N,'YTD Sales'!$B:$B,Brokerage!$B369,'YTD Sales'!$M:$M,Brokerage!F$4)+SUMIFS('YTD Purchases'!$H:$H,'YTD Purchases'!$C:$C,Brokerage!$B369,'YTD Purchases'!$G:$G,Brokerage!F$4)</f>
        <v>0</v>
      </c>
      <c r="G369" s="857">
        <f>SUMIFS('YTD Sales'!$N:$N,'YTD Sales'!$B:$B,Brokerage!$B369,'YTD Sales'!$M:$M,Brokerage!G$4)+SUMIFS('YTD Purchases'!$H:$H,'YTD Purchases'!$C:$C,Brokerage!$B369,'YTD Purchases'!$G:$G,Brokerage!G$4)</f>
        <v>0</v>
      </c>
      <c r="H369" s="857">
        <f>SUMIFS('YTD Sales'!$N:$N,'YTD Sales'!$B:$B,Brokerage!$B369,'YTD Sales'!$M:$M,Brokerage!H$4)+SUMIFS('YTD Purchases'!$H:$H,'YTD Purchases'!$C:$C,Brokerage!$B369,'YTD Purchases'!$G:$G,Brokerage!H$4)</f>
        <v>0</v>
      </c>
      <c r="I369" s="857">
        <f>SUMIFS('YTD Sales'!$N:$N,'YTD Sales'!$B:$B,Brokerage!$B369,'YTD Sales'!$M:$M,Brokerage!I$4)+SUMIFS('YTD Purchases'!$H:$H,'YTD Purchases'!$C:$C,Brokerage!$B369,'YTD Purchases'!$G:$G,Brokerage!I$4)</f>
        <v>0</v>
      </c>
      <c r="J369" s="857">
        <f>SUMIFS('YTD Sales'!$N:$N,'YTD Sales'!$B:$B,Brokerage!$B369,'YTD Sales'!$M:$M,Brokerage!J$4)+SUMIFS('YTD Purchases'!$H:$H,'YTD Purchases'!$C:$C,Brokerage!$B369,'YTD Purchases'!$G:$G,Brokerage!J$4)</f>
        <v>0</v>
      </c>
      <c r="K369" s="857">
        <f>SUMIFS('YTD Sales'!$N:$N,'YTD Sales'!$B:$B,Brokerage!$B369,'YTD Sales'!$M:$M,Brokerage!K$4)+SUMIFS('YTD Purchases'!$H:$H,'YTD Purchases'!$C:$C,Brokerage!$B369,'YTD Purchases'!$G:$G,Brokerage!K$4)</f>
        <v>0</v>
      </c>
      <c r="L369" s="857">
        <f>SUMIFS('YTD Sales'!$N:$N,'YTD Sales'!$B:$B,Brokerage!$B369,'YTD Sales'!$M:$M,Brokerage!L$4)+SUMIFS('YTD Purchases'!$H:$H,'YTD Purchases'!$C:$C,Brokerage!$B369,'YTD Purchases'!$G:$G,Brokerage!L$4)</f>
        <v>0</v>
      </c>
      <c r="M369" s="857">
        <f>SUMIFS('YTD Sales'!$N:$N,'YTD Sales'!$B:$B,Brokerage!$B369,'YTD Sales'!$M:$M,Brokerage!M$4)+SUMIFS('YTD Purchases'!$H:$H,'YTD Purchases'!$C:$C,Brokerage!$B369,'YTD Purchases'!$G:$G,Brokerage!M$4)</f>
        <v>0</v>
      </c>
      <c r="N369" s="857">
        <f>SUMIFS('YTD Sales'!$N:$N,'YTD Sales'!$B:$B,Brokerage!$B369,'YTD Sales'!$M:$M,Brokerage!N$4)+SUMIFS('YTD Purchases'!$H:$H,'YTD Purchases'!$C:$C,Brokerage!$B369,'YTD Purchases'!$G:$G,Brokerage!N$4)</f>
        <v>0</v>
      </c>
      <c r="O369" s="857">
        <f>SUMIFS('YTD Sales'!$N:$N,'YTD Sales'!$B:$B,Brokerage!$B369,'YTD Sales'!$M:$M,Brokerage!O$4)+SUMIFS('YTD Purchases'!$H:$H,'YTD Purchases'!$C:$C,Brokerage!$B369,'YTD Purchases'!$G:$G,Brokerage!O$4)</f>
        <v>0</v>
      </c>
      <c r="P369" s="857">
        <f>SUMIFS('YTD Sales'!$N:$N,'YTD Sales'!$B:$B,Brokerage!$B369,'YTD Sales'!$M:$M,Brokerage!P$4)+SUMIFS('YTD Purchases'!$H:$H,'YTD Purchases'!$C:$C,Brokerage!$B369,'YTD Purchases'!$G:$G,Brokerage!P$4)</f>
        <v>0</v>
      </c>
      <c r="Q369" s="857">
        <f>SUMIFS('YTD Sales'!$N:$N,'YTD Sales'!$B:$B,Brokerage!$B369,'YTD Sales'!$M:$M,Brokerage!Q$4)+SUMIFS('YTD Purchases'!$H:$H,'YTD Purchases'!$C:$C,Brokerage!$B369,'YTD Purchases'!$G:$G,Brokerage!Q$4)</f>
        <v>0</v>
      </c>
      <c r="R369" s="857">
        <f>SUMIFS('YTD Sales'!$N:$N,'YTD Sales'!$B:$B,Brokerage!$B369,'YTD Sales'!$M:$M,Brokerage!R$4)+SUMIFS('YTD Purchases'!$H:$H,'YTD Purchases'!$C:$C,Brokerage!$B369,'YTD Purchases'!$G:$G,Brokerage!R$4)</f>
        <v>0</v>
      </c>
      <c r="S369" s="857">
        <f>SUMIFS('YTD Sales'!$N:$N,'YTD Sales'!$B:$B,Brokerage!$B369,'YTD Sales'!$M:$M,Brokerage!S$4)+SUMIFS('YTD Purchases'!$H:$H,'YTD Purchases'!$C:$C,Brokerage!$B369,'YTD Purchases'!$G:$G,Brokerage!S$4)</f>
        <v>0</v>
      </c>
      <c r="T369" s="857">
        <f>SUMIFS('YTD Sales'!$N:$N,'YTD Sales'!$B:$B,Brokerage!$B369,'YTD Sales'!$M:$M,Brokerage!T$4)+SUMIFS('YTD Purchases'!$H:$H,'YTD Purchases'!$C:$C,Brokerage!$B369,'YTD Purchases'!$G:$G,Brokerage!T$4)</f>
        <v>0</v>
      </c>
      <c r="U369" s="857">
        <f>SUMIFS('YTD Sales'!$N:$N,'YTD Sales'!$B:$B,Brokerage!$B369,'YTD Sales'!$M:$M,Brokerage!U$4)+SUMIFS('YTD Purchases'!$H:$H,'YTD Purchases'!$C:$C,Brokerage!$B369,'YTD Purchases'!$G:$G,Brokerage!U$4)</f>
        <v>0</v>
      </c>
      <c r="V369" s="857">
        <f>SUMIFS('YTD Sales'!$N:$N,'YTD Sales'!$B:$B,Brokerage!$B369,'YTD Sales'!$M:$M,Brokerage!V$4)+SUMIFS('YTD Purchases'!$H:$H,'YTD Purchases'!$C:$C,Brokerage!$B369,'YTD Purchases'!$G:$G,Brokerage!V$4)</f>
        <v>0</v>
      </c>
      <c r="W369" s="857">
        <f>SUMIFS('YTD Sales'!$N:$N,'YTD Sales'!$B:$B,Brokerage!$B369,'YTD Sales'!$M:$M,Brokerage!W$4)+SUMIFS('YTD Purchases'!$H:$H,'YTD Purchases'!$C:$C,Brokerage!$B369,'YTD Purchases'!$G:$G,Brokerage!W$4)</f>
        <v>0</v>
      </c>
      <c r="X369" s="857">
        <f>SUMIFS('YTD Sales'!$N:$N,'YTD Sales'!$B:$B,Brokerage!$B369,'YTD Sales'!$M:$M,Brokerage!X$4)+SUMIFS('YTD Purchases'!$H:$H,'YTD Purchases'!$C:$C,Brokerage!$B369,'YTD Purchases'!$G:$G,Brokerage!X$4)</f>
        <v>0</v>
      </c>
      <c r="Y369" s="857">
        <f>SUMIFS('YTD Sales'!$N:$N,'YTD Sales'!$B:$B,Brokerage!$B369,'YTD Sales'!$M:$M,Brokerage!Y$4)+SUMIFS('YTD Purchases'!$H:$H,'YTD Purchases'!$C:$C,Brokerage!$B369,'YTD Purchases'!$G:$G,Brokerage!Y$4)</f>
        <v>0</v>
      </c>
      <c r="Z369" s="857">
        <f>SUMIFS('YTD Sales'!$N:$N,'YTD Sales'!$B:$B,Brokerage!$B369,'YTD Sales'!$M:$M,Brokerage!Z$4)+SUMIFS('YTD Purchases'!$H:$H,'YTD Purchases'!$C:$C,Brokerage!$B369,'YTD Purchases'!$G:$G,Brokerage!Z$4)</f>
        <v>0</v>
      </c>
      <c r="AA369" s="857">
        <f>SUMIFS('YTD Sales'!$N:$N,'YTD Sales'!$B:$B,Brokerage!$B369,'YTD Sales'!$M:$M,Brokerage!AA$4)+SUMIFS('YTD Purchases'!$H:$H,'YTD Purchases'!$C:$C,Brokerage!$B369,'YTD Purchases'!$G:$G,Brokerage!AA$4)</f>
        <v>0</v>
      </c>
      <c r="AB369" s="857">
        <f>SUMIFS('YTD Sales'!$N:$N,'YTD Sales'!$B:$B,Brokerage!$B369,'YTD Sales'!$M:$M,Brokerage!AB$4)+SUMIFS('YTD Purchases'!$H:$H,'YTD Purchases'!$C:$C,Brokerage!$B369,'YTD Purchases'!$G:$G,Brokerage!AB$4)</f>
        <v>0</v>
      </c>
      <c r="AC369" s="857">
        <f>SUMIFS('YTD Sales'!$N:$N,'YTD Sales'!$B:$B,Brokerage!$B369,'YTD Sales'!$M:$M,Brokerage!AC$4)+SUMIFS('YTD Purchases'!$H:$H,'YTD Purchases'!$C:$C,Brokerage!$B369,'YTD Purchases'!$G:$G,Brokerage!AC$4)</f>
        <v>0</v>
      </c>
      <c r="AD369" s="857">
        <f>+SUMIFS(PIB!AG:AG,PIB!AF:AF,Brokerage!AD$4,PIB!AA:AA,Brokerage!$B369)+SUMIFS('T-Bills'!AB:AB,'T-Bills'!AA:AA,Brokerage!AD$4,'T-Bills'!V:V,Brokerage!$B369)</f>
        <v>0</v>
      </c>
      <c r="AE369" s="857">
        <f>+SUMIFS(PIB!AH:AH,PIB!AG:AG,Brokerage!AE$4,PIB!AB:AB,Brokerage!$B369)+SUMIFS('T-Bills'!AC:AC,'T-Bills'!AB:AB,Brokerage!AE$4,'T-Bills'!W:W,Brokerage!$B369)</f>
        <v>0</v>
      </c>
      <c r="AF369" s="857">
        <f>+SUMIFS(PIB!AI:AI,PIB!AH:AH,Brokerage!AF$4,PIB!AC:AC,Brokerage!$B369)+SUMIFS('T-Bills'!AD:AD,'T-Bills'!AC:AC,Brokerage!AF$4,'T-Bills'!X:X,Brokerage!$B369)</f>
        <v>0</v>
      </c>
      <c r="AG369" s="857">
        <f t="shared" si="30"/>
        <v>0</v>
      </c>
      <c r="AH369" s="858">
        <f t="shared" si="31"/>
        <v>0</v>
      </c>
    </row>
    <row r="370" spans="2:34" x14ac:dyDescent="0.15">
      <c r="B370" s="661">
        <f t="shared" si="29"/>
        <v>44926</v>
      </c>
      <c r="C370" s="857">
        <f>SUMIFS('YTD Sales'!$N:$N,'YTD Sales'!$B:$B,Brokerage!$B370,'YTD Sales'!$M:$M,Brokerage!C$4)+SUMIFS('YTD Purchases'!$H:$H,'YTD Purchases'!$C:$C,Brokerage!$B370,'YTD Purchases'!$G:$G,Brokerage!C$4)</f>
        <v>0</v>
      </c>
      <c r="D370" s="857">
        <f>SUMIFS('YTD Sales'!$N:$N,'YTD Sales'!$B:$B,Brokerage!$B370,'YTD Sales'!$M:$M,Brokerage!D$4)+SUMIFS('YTD Purchases'!$H:$H,'YTD Purchases'!$C:$C,Brokerage!$B370,'YTD Purchases'!$G:$G,Brokerage!D$4)</f>
        <v>0</v>
      </c>
      <c r="E370" s="857">
        <f>SUMIFS('YTD Sales'!$N:$N,'YTD Sales'!$B:$B,Brokerage!$B370,'YTD Sales'!$M:$M,Brokerage!E$4)+SUMIFS('YTD Purchases'!$H:$H,'YTD Purchases'!$C:$C,Brokerage!$B370,'YTD Purchases'!$G:$G,Brokerage!E$4)</f>
        <v>0</v>
      </c>
      <c r="F370" s="857">
        <f>SUMIFS('YTD Sales'!$N:$N,'YTD Sales'!$B:$B,Brokerage!$B370,'YTD Sales'!$M:$M,Brokerage!F$4)+SUMIFS('YTD Purchases'!$H:$H,'YTD Purchases'!$C:$C,Brokerage!$B370,'YTD Purchases'!$G:$G,Brokerage!F$4)</f>
        <v>0</v>
      </c>
      <c r="G370" s="857">
        <f>SUMIFS('YTD Sales'!$N:$N,'YTD Sales'!$B:$B,Brokerage!$B370,'YTD Sales'!$M:$M,Brokerage!G$4)+SUMIFS('YTD Purchases'!$H:$H,'YTD Purchases'!$C:$C,Brokerage!$B370,'YTD Purchases'!$G:$G,Brokerage!G$4)</f>
        <v>0</v>
      </c>
      <c r="H370" s="857">
        <f>SUMIFS('YTD Sales'!$N:$N,'YTD Sales'!$B:$B,Brokerage!$B370,'YTD Sales'!$M:$M,Brokerage!H$4)+SUMIFS('YTD Purchases'!$H:$H,'YTD Purchases'!$C:$C,Brokerage!$B370,'YTD Purchases'!$G:$G,Brokerage!H$4)</f>
        <v>0</v>
      </c>
      <c r="I370" s="857">
        <f>SUMIFS('YTD Sales'!$N:$N,'YTD Sales'!$B:$B,Brokerage!$B370,'YTD Sales'!$M:$M,Brokerage!I$4)+SUMIFS('YTD Purchases'!$H:$H,'YTD Purchases'!$C:$C,Brokerage!$B370,'YTD Purchases'!$G:$G,Brokerage!I$4)</f>
        <v>0</v>
      </c>
      <c r="J370" s="857">
        <f>SUMIFS('YTD Sales'!$N:$N,'YTD Sales'!$B:$B,Brokerage!$B370,'YTD Sales'!$M:$M,Brokerage!J$4)+SUMIFS('YTD Purchases'!$H:$H,'YTD Purchases'!$C:$C,Brokerage!$B370,'YTD Purchases'!$G:$G,Brokerage!J$4)</f>
        <v>0</v>
      </c>
      <c r="K370" s="857">
        <f>SUMIFS('YTD Sales'!$N:$N,'YTD Sales'!$B:$B,Brokerage!$B370,'YTD Sales'!$M:$M,Brokerage!K$4)+SUMIFS('YTD Purchases'!$H:$H,'YTD Purchases'!$C:$C,Brokerage!$B370,'YTD Purchases'!$G:$G,Brokerage!K$4)</f>
        <v>0</v>
      </c>
      <c r="L370" s="857">
        <f>SUMIFS('YTD Sales'!$N:$N,'YTD Sales'!$B:$B,Brokerage!$B370,'YTD Sales'!$M:$M,Brokerage!L$4)+SUMIFS('YTD Purchases'!$H:$H,'YTD Purchases'!$C:$C,Brokerage!$B370,'YTD Purchases'!$G:$G,Brokerage!L$4)</f>
        <v>0</v>
      </c>
      <c r="M370" s="857">
        <f>SUMIFS('YTD Sales'!$N:$N,'YTD Sales'!$B:$B,Brokerage!$B370,'YTD Sales'!$M:$M,Brokerage!M$4)+SUMIFS('YTD Purchases'!$H:$H,'YTD Purchases'!$C:$C,Brokerage!$B370,'YTD Purchases'!$G:$G,Brokerage!M$4)</f>
        <v>0</v>
      </c>
      <c r="N370" s="857">
        <f>SUMIFS('YTD Sales'!$N:$N,'YTD Sales'!$B:$B,Brokerage!$B370,'YTD Sales'!$M:$M,Brokerage!N$4)+SUMIFS('YTD Purchases'!$H:$H,'YTD Purchases'!$C:$C,Brokerage!$B370,'YTD Purchases'!$G:$G,Brokerage!N$4)</f>
        <v>0</v>
      </c>
      <c r="O370" s="857">
        <f>SUMIFS('YTD Sales'!$N:$N,'YTD Sales'!$B:$B,Brokerage!$B370,'YTD Sales'!$M:$M,Brokerage!O$4)+SUMIFS('YTD Purchases'!$H:$H,'YTD Purchases'!$C:$C,Brokerage!$B370,'YTD Purchases'!$G:$G,Brokerage!O$4)</f>
        <v>0</v>
      </c>
      <c r="P370" s="857">
        <f>SUMIFS('YTD Sales'!$N:$N,'YTD Sales'!$B:$B,Brokerage!$B370,'YTD Sales'!$M:$M,Brokerage!P$4)+SUMIFS('YTD Purchases'!$H:$H,'YTD Purchases'!$C:$C,Brokerage!$B370,'YTD Purchases'!$G:$G,Brokerage!P$4)</f>
        <v>0</v>
      </c>
      <c r="Q370" s="857">
        <f>SUMIFS('YTD Sales'!$N:$N,'YTD Sales'!$B:$B,Brokerage!$B370,'YTD Sales'!$M:$M,Brokerage!Q$4)+SUMIFS('YTD Purchases'!$H:$H,'YTD Purchases'!$C:$C,Brokerage!$B370,'YTD Purchases'!$G:$G,Brokerage!Q$4)</f>
        <v>0</v>
      </c>
      <c r="R370" s="857">
        <f>SUMIFS('YTD Sales'!$N:$N,'YTD Sales'!$B:$B,Brokerage!$B370,'YTD Sales'!$M:$M,Brokerage!R$4)+SUMIFS('YTD Purchases'!$H:$H,'YTD Purchases'!$C:$C,Brokerage!$B370,'YTD Purchases'!$G:$G,Brokerage!R$4)</f>
        <v>0</v>
      </c>
      <c r="S370" s="857">
        <f>SUMIFS('YTD Sales'!$N:$N,'YTD Sales'!$B:$B,Brokerage!$B370,'YTD Sales'!$M:$M,Brokerage!S$4)+SUMIFS('YTD Purchases'!$H:$H,'YTD Purchases'!$C:$C,Brokerage!$B370,'YTD Purchases'!$G:$G,Brokerage!S$4)</f>
        <v>0</v>
      </c>
      <c r="T370" s="857">
        <f>SUMIFS('YTD Sales'!$N:$N,'YTD Sales'!$B:$B,Brokerage!$B370,'YTD Sales'!$M:$M,Brokerage!T$4)+SUMIFS('YTD Purchases'!$H:$H,'YTD Purchases'!$C:$C,Brokerage!$B370,'YTD Purchases'!$G:$G,Brokerage!T$4)</f>
        <v>0</v>
      </c>
      <c r="U370" s="857">
        <f>SUMIFS('YTD Sales'!$N:$N,'YTD Sales'!$B:$B,Brokerage!$B370,'YTD Sales'!$M:$M,Brokerage!U$4)+SUMIFS('YTD Purchases'!$H:$H,'YTD Purchases'!$C:$C,Brokerage!$B370,'YTD Purchases'!$G:$G,Brokerage!U$4)</f>
        <v>0</v>
      </c>
      <c r="V370" s="857">
        <f>SUMIFS('YTD Sales'!$N:$N,'YTD Sales'!$B:$B,Brokerage!$B370,'YTD Sales'!$M:$M,Brokerage!V$4)+SUMIFS('YTD Purchases'!$H:$H,'YTD Purchases'!$C:$C,Brokerage!$B370,'YTD Purchases'!$G:$G,Brokerage!V$4)</f>
        <v>0</v>
      </c>
      <c r="W370" s="857">
        <f>SUMIFS('YTD Sales'!$N:$N,'YTD Sales'!$B:$B,Brokerage!$B370,'YTD Sales'!$M:$M,Brokerage!W$4)+SUMIFS('YTD Purchases'!$H:$H,'YTD Purchases'!$C:$C,Brokerage!$B370,'YTD Purchases'!$G:$G,Brokerage!W$4)</f>
        <v>0</v>
      </c>
      <c r="X370" s="857">
        <f>SUMIFS('YTD Sales'!$N:$N,'YTD Sales'!$B:$B,Brokerage!$B370,'YTD Sales'!$M:$M,Brokerage!X$4)+SUMIFS('YTD Purchases'!$H:$H,'YTD Purchases'!$C:$C,Brokerage!$B370,'YTD Purchases'!$G:$G,Brokerage!X$4)</f>
        <v>0</v>
      </c>
      <c r="Y370" s="857">
        <f>SUMIFS('YTD Sales'!$N:$N,'YTD Sales'!$B:$B,Brokerage!$B370,'YTD Sales'!$M:$M,Brokerage!Y$4)+SUMIFS('YTD Purchases'!$H:$H,'YTD Purchases'!$C:$C,Brokerage!$B370,'YTD Purchases'!$G:$G,Brokerage!Y$4)</f>
        <v>0</v>
      </c>
      <c r="Z370" s="857">
        <f>SUMIFS('YTD Sales'!$N:$N,'YTD Sales'!$B:$B,Brokerage!$B370,'YTD Sales'!$M:$M,Brokerage!Z$4)+SUMIFS('YTD Purchases'!$H:$H,'YTD Purchases'!$C:$C,Brokerage!$B370,'YTD Purchases'!$G:$G,Brokerage!Z$4)</f>
        <v>0</v>
      </c>
      <c r="AA370" s="857">
        <f>SUMIFS('YTD Sales'!$N:$N,'YTD Sales'!$B:$B,Brokerage!$B370,'YTD Sales'!$M:$M,Brokerage!AA$4)+SUMIFS('YTD Purchases'!$H:$H,'YTD Purchases'!$C:$C,Brokerage!$B370,'YTD Purchases'!$G:$G,Brokerage!AA$4)</f>
        <v>0</v>
      </c>
      <c r="AB370" s="857">
        <f>SUMIFS('YTD Sales'!$N:$N,'YTD Sales'!$B:$B,Brokerage!$B370,'YTD Sales'!$M:$M,Brokerage!AB$4)+SUMIFS('YTD Purchases'!$H:$H,'YTD Purchases'!$C:$C,Brokerage!$B370,'YTD Purchases'!$G:$G,Brokerage!AB$4)</f>
        <v>0</v>
      </c>
      <c r="AC370" s="857">
        <f>SUMIFS('YTD Sales'!$N:$N,'YTD Sales'!$B:$B,Brokerage!$B370,'YTD Sales'!$M:$M,Brokerage!AC$4)+SUMIFS('YTD Purchases'!$H:$H,'YTD Purchases'!$C:$C,Brokerage!$B370,'YTD Purchases'!$G:$G,Brokerage!AC$4)</f>
        <v>0</v>
      </c>
      <c r="AD370" s="857">
        <f>+SUMIFS(PIB!AG:AG,PIB!AF:AF,Brokerage!AD$4,PIB!AA:AA,Brokerage!$B370)+SUMIFS('T-Bills'!AB:AB,'T-Bills'!AA:AA,Brokerage!AD$4,'T-Bills'!V:V,Brokerage!$B370)</f>
        <v>0</v>
      </c>
      <c r="AE370" s="857">
        <f>+SUMIFS(PIB!AH:AH,PIB!AG:AG,Brokerage!AE$4,PIB!AB:AB,Brokerage!$B370)+SUMIFS('T-Bills'!AC:AC,'T-Bills'!AB:AB,Brokerage!AE$4,'T-Bills'!W:W,Brokerage!$B370)</f>
        <v>0</v>
      </c>
      <c r="AF370" s="857">
        <f>+SUMIFS(PIB!AI:AI,PIB!AH:AH,Brokerage!AF$4,PIB!AC:AC,Brokerage!$B370)+SUMIFS('T-Bills'!AD:AD,'T-Bills'!AC:AC,Brokerage!AF$4,'T-Bills'!X:X,Brokerage!$B370)</f>
        <v>0</v>
      </c>
      <c r="AG370" s="857">
        <f t="shared" si="30"/>
        <v>0</v>
      </c>
      <c r="AH370" s="858">
        <f t="shared" si="31"/>
        <v>0</v>
      </c>
    </row>
    <row r="371" spans="2:34" x14ac:dyDescent="0.15">
      <c r="B371" s="661"/>
      <c r="C371" s="857"/>
      <c r="D371" s="857"/>
      <c r="E371" s="857"/>
      <c r="F371" s="857"/>
      <c r="G371" s="857"/>
      <c r="H371" s="857"/>
      <c r="I371" s="857"/>
      <c r="J371" s="857"/>
      <c r="K371" s="857"/>
      <c r="L371" s="857"/>
      <c r="M371" s="857"/>
      <c r="N371" s="857"/>
      <c r="O371" s="857"/>
      <c r="P371" s="857"/>
      <c r="Q371" s="857"/>
      <c r="R371" s="857"/>
      <c r="S371" s="857"/>
      <c r="T371" s="857"/>
      <c r="U371" s="857"/>
      <c r="V371" s="857"/>
      <c r="W371" s="857"/>
      <c r="X371" s="857"/>
      <c r="Y371" s="857"/>
      <c r="Z371" s="857"/>
      <c r="AA371" s="857"/>
      <c r="AB371" s="857"/>
      <c r="AC371" s="857"/>
      <c r="AD371" s="857"/>
      <c r="AE371" s="857"/>
      <c r="AF371" s="857"/>
      <c r="AG371" s="857"/>
    </row>
    <row r="372" spans="2:34" ht="12" thickBot="1" x14ac:dyDescent="0.2">
      <c r="C372" s="859">
        <f t="shared" ref="C372:AG372" si="32">SUM(C5:C202)</f>
        <v>224197.18838461541</v>
      </c>
      <c r="D372" s="859">
        <f>SUM(D5:D202)</f>
        <v>698678.15026923059</v>
      </c>
      <c r="E372" s="859">
        <f t="shared" si="32"/>
        <v>280349.3724579222</v>
      </c>
      <c r="F372" s="859">
        <f t="shared" si="32"/>
        <v>0</v>
      </c>
      <c r="G372" s="859">
        <f t="shared" si="32"/>
        <v>456905.34718365758</v>
      </c>
      <c r="H372" s="859">
        <f t="shared" si="32"/>
        <v>403534.1486640512</v>
      </c>
      <c r="I372" s="859">
        <f t="shared" si="32"/>
        <v>202509.62239999996</v>
      </c>
      <c r="J372" s="859">
        <f t="shared" si="32"/>
        <v>0</v>
      </c>
      <c r="K372" s="859">
        <f t="shared" si="32"/>
        <v>164611.19649999999</v>
      </c>
      <c r="L372" s="859">
        <f t="shared" si="32"/>
        <v>87617.53</v>
      </c>
      <c r="M372" s="859">
        <f t="shared" si="32"/>
        <v>469624.62264301284</v>
      </c>
      <c r="N372" s="859">
        <f t="shared" si="32"/>
        <v>223069.89999999997</v>
      </c>
      <c r="O372" s="859"/>
      <c r="P372" s="859">
        <f t="shared" si="32"/>
        <v>219938.34786447987</v>
      </c>
      <c r="Q372" s="859">
        <f t="shared" si="32"/>
        <v>194232.16</v>
      </c>
      <c r="R372" s="859">
        <f t="shared" si="32"/>
        <v>174760.74</v>
      </c>
      <c r="S372" s="859"/>
      <c r="T372" s="859"/>
      <c r="U372" s="859"/>
      <c r="V372" s="859"/>
      <c r="W372" s="859"/>
      <c r="X372" s="859"/>
      <c r="Y372" s="859">
        <f t="shared" si="32"/>
        <v>101799.59214000001</v>
      </c>
      <c r="Z372" s="859"/>
      <c r="AA372" s="859"/>
      <c r="AB372" s="859"/>
      <c r="AC372" s="859"/>
      <c r="AD372" s="859"/>
      <c r="AE372" s="859"/>
      <c r="AF372" s="859"/>
      <c r="AG372" s="859">
        <f t="shared" si="32"/>
        <v>6118398.6925078873</v>
      </c>
      <c r="AH372" s="859">
        <f>SUM(AH5:AH31)</f>
        <v>22</v>
      </c>
    </row>
    <row r="374" spans="2:34" x14ac:dyDescent="0.15">
      <c r="Q374" s="892" t="s">
        <v>506</v>
      </c>
      <c r="R374" s="892"/>
      <c r="S374" s="892"/>
      <c r="T374" s="892"/>
      <c r="U374" s="892"/>
      <c r="V374" s="892"/>
      <c r="W374" s="892"/>
      <c r="X374" s="892"/>
      <c r="Y374" s="892"/>
      <c r="Z374" s="892"/>
      <c r="AA374" s="892"/>
      <c r="AB374" s="892"/>
      <c r="AC374" s="892"/>
      <c r="AD374" s="892"/>
      <c r="AE374" s="892"/>
      <c r="AF374" s="892"/>
      <c r="AG374" s="893"/>
    </row>
    <row r="375" spans="2:34" x14ac:dyDescent="0.15">
      <c r="AG375" s="866">
        <f>+AG374-AG372</f>
        <v>-6118398.6925078873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27</vt:i4>
      </vt:variant>
    </vt:vector>
  </HeadingPairs>
  <TitlesOfParts>
    <vt:vector size="59" baseType="lpstr">
      <vt:lpstr>NAV 22.07.2022</vt:lpstr>
      <vt:lpstr>comparison</vt:lpstr>
      <vt:lpstr>Capital Growth Fund</vt:lpstr>
      <vt:lpstr>Equity - CIAP MA</vt:lpstr>
      <vt:lpstr>Equity Portfolio Movement</vt:lpstr>
      <vt:lpstr>Daily Trade Summary</vt:lpstr>
      <vt:lpstr>YTD Purchases</vt:lpstr>
      <vt:lpstr>YTD Sales</vt:lpstr>
      <vt:lpstr>Brokerage</vt:lpstr>
      <vt:lpstr>TDR accrual </vt:lpstr>
      <vt:lpstr>PIB Sold</vt:lpstr>
      <vt:lpstr>DPA - HBL</vt:lpstr>
      <vt:lpstr>PIB</vt:lpstr>
      <vt:lpstr>PIB Accrual And Income</vt:lpstr>
      <vt:lpstr>PIB Ammortization</vt:lpstr>
      <vt:lpstr>T-Bills</vt:lpstr>
      <vt:lpstr>T-Bills Amortization </vt:lpstr>
      <vt:lpstr>TFCs -Market Value </vt:lpstr>
      <vt:lpstr>TFCs -Accrued Income</vt:lpstr>
      <vt:lpstr>NCCPL Charges</vt:lpstr>
      <vt:lpstr>NCCPL Working</vt:lpstr>
      <vt:lpstr>Dividend</vt:lpstr>
      <vt:lpstr>Bonus</vt:lpstr>
      <vt:lpstr>PKRV</vt:lpstr>
      <vt:lpstr>Rates</vt:lpstr>
      <vt:lpstr>TDR - NBP - 22-Apr-21</vt:lpstr>
      <vt:lpstr>MONTHLY CDC CHARGES</vt:lpstr>
      <vt:lpstr>MONTHLY BANK CHARGES</vt:lpstr>
      <vt:lpstr>Soneri - 08Jan21-TFC</vt:lpstr>
      <vt:lpstr>Right Shares - Mughal</vt:lpstr>
      <vt:lpstr>Right Shares - ICL</vt:lpstr>
      <vt:lpstr>Right Shares - HASCOL</vt:lpstr>
      <vt:lpstr>Bonus!Print_Area</vt:lpstr>
      <vt:lpstr>'Capital Growth Fund'!Print_Area</vt:lpstr>
      <vt:lpstr>comparison!Print_Area</vt:lpstr>
      <vt:lpstr>'Daily Trade Summary'!Print_Area</vt:lpstr>
      <vt:lpstr>Dividend!Print_Area</vt:lpstr>
      <vt:lpstr>'Equity - CIAP MA'!Print_Area</vt:lpstr>
      <vt:lpstr>'NAV 22.07.2022'!Print_Area</vt:lpstr>
      <vt:lpstr>PIB!Print_Area</vt:lpstr>
      <vt:lpstr>'PIB Accrual And Income'!Print_Area</vt:lpstr>
      <vt:lpstr>'PIB Ammortization'!Print_Area</vt:lpstr>
      <vt:lpstr>'PIB Sold'!Print_Area</vt:lpstr>
      <vt:lpstr>Rates!Print_Area</vt:lpstr>
      <vt:lpstr>'Right Shares - HASCOL'!Print_Area</vt:lpstr>
      <vt:lpstr>'Right Shares - ICL'!Print_Area</vt:lpstr>
      <vt:lpstr>'Right Shares - Mughal'!Print_Area</vt:lpstr>
      <vt:lpstr>'T-Bills'!Print_Area</vt:lpstr>
      <vt:lpstr>'T-Bills Amortization '!Print_Area</vt:lpstr>
      <vt:lpstr>'TDR accrual '!Print_Area</vt:lpstr>
      <vt:lpstr>'TFCs -Accrued Income'!Print_Area</vt:lpstr>
      <vt:lpstr>'TFCs -Market Value '!Print_Area</vt:lpstr>
      <vt:lpstr>'YTD Purchases'!Print_Area</vt:lpstr>
      <vt:lpstr>'YTD Sales'!Print_Area</vt:lpstr>
      <vt:lpstr>'Capital Growth Fund'!Print_Titles</vt:lpstr>
      <vt:lpstr>'Equity - CIAP MA'!Print_Titles</vt:lpstr>
      <vt:lpstr>'TDR accrual '!Print_Titles</vt:lpstr>
      <vt:lpstr>'TFCs -Accrued Income'!Print_Titles</vt:lpstr>
      <vt:lpstr>'TFCs -Market Value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Sidrah Kanwer</dc:creator>
  <cp:lastModifiedBy>Sameer Raj</cp:lastModifiedBy>
  <cp:lastPrinted>2022-07-18T05:54:13Z</cp:lastPrinted>
  <dcterms:created xsi:type="dcterms:W3CDTF">2012-10-31T10:53:31Z</dcterms:created>
  <dcterms:modified xsi:type="dcterms:W3CDTF">2022-07-28T06:12:55Z</dcterms:modified>
</cp:coreProperties>
</file>